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4.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omments35.xml" ContentType="application/vnd.openxmlformats-officedocument.spreadsheetml.comments+xml"/>
  <Override PartName="/xl/charts/chart2.xml" ContentType="application/vnd.openxmlformats-officedocument.drawingml.chart+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11.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2.xml" ContentType="application/vnd.ms-excel.threadedcomments+xml"/>
  <Override PartName="/xl/threadedComments/threadedComment13.xml" ContentType="application/vnd.ms-excel.threadedcomments+xml"/>
  <Override PartName="/xl/threadedComments/threadedComment14.xml" ContentType="application/vnd.ms-excel.threadedcomments+xml"/>
  <Override PartName="/xl/threadedComments/threadedComment15.xml" ContentType="application/vnd.ms-excel.threadedcomments+xml"/>
  <Override PartName="/xl/threadedComments/threadedComment16.xml" ContentType="application/vnd.ms-excel.threadedcomments+xml"/>
  <Override PartName="/xl/threadedComments/threadedComment17.xml" ContentType="application/vnd.ms-excel.threadedcomments+xml"/>
  <Override PartName="/xl/threadedComments/threadedComment18.xml" ContentType="application/vnd.ms-excel.threadedcomments+xml"/>
  <Override PartName="/xl/threadedComments/threadedComment19.xml" ContentType="application/vnd.ms-excel.threadedcomments+xml"/>
  <Override PartName="/xl/threadedComments/threadedComment20.xml" ContentType="application/vnd.ms-excel.threadedcomments+xml"/>
  <Override PartName="/xl/threadedComments/threadedComment21.xml" ContentType="application/vnd.ms-excel.threadedcomments+xml"/>
  <Override PartName="/xl/threadedComments/threadedComment22.xml" ContentType="application/vnd.ms-excel.threadedcomments+xml"/>
  <Override PartName="/xl/threadedComments/threadedComment23.xml" ContentType="application/vnd.ms-excel.threadedcomments+xml"/>
  <Override PartName="/xl/threadedComments/threadedComment24.xml" ContentType="application/vnd.ms-excel.threadedcomments+xml"/>
  <Override PartName="/xl/threadedComments/threadedComment25.xml" ContentType="application/vnd.ms-excel.threadedcomments+xml"/>
  <Override PartName="/xl/threadedComments/threadedComment26.xml" ContentType="application/vnd.ms-excel.threadedcomments+xml"/>
  <Override PartName="/xl/threadedComments/threadedComment27.xml" ContentType="application/vnd.ms-excel.threadedcomments+xml"/>
  <Override PartName="/xl/threadedComments/threadedComment28.xml" ContentType="application/vnd.ms-excel.threadedcomments+xml"/>
  <Override PartName="/xl/threadedComments/threadedComment29.xml" ContentType="application/vnd.ms-excel.threadedcomments+xml"/>
  <Override PartName="/xl/threadedComments/threadedComment30.xml" ContentType="application/vnd.ms-excel.threadedcomments+xml"/>
  <Override PartName="/xl/threadedComments/threadedComment31.xml" ContentType="application/vnd.ms-excel.threadedcomments+xml"/>
  <Override PartName="/xl/threadedComments/threadedComment32.xml" ContentType="application/vnd.ms-excel.threadedcomments+xml"/>
  <Override PartName="/xl/threadedComments/threadedComment33.xml" ContentType="application/vnd.ms-excel.threadedcomments+xml"/>
  <Override PartName="/xl/threadedComments/threadedComment34.xml" ContentType="application/vnd.ms-excel.threadedcomments+xml"/>
  <Override PartName="/xl/threadedComments/threadedComment35.xml" ContentType="application/vnd.ms-excel.threadedcomments+xml"/>
  <Override PartName="/xl/threadedComments/threadedComment36.xml" ContentType="application/vnd.ms-excel.threadedcomments+xml"/>
  <Override PartName="/xl/threadedComments/threadedComment37.xml" ContentType="application/vnd.ms-excel.threadedcomments+xml"/>
  <Override PartName="/xl/threadedComments/threadedComment38.xml" ContentType="application/vnd.ms-excel.threadedcomments+xml"/>
  <Override PartName="/xl/threadedComments/threadedComment39.xml" ContentType="application/vnd.ms-excel.threadedcomments+xml"/>
  <Override PartName="/xl/threadedComments/threadedComment40.xml" ContentType="application/vnd.ms-excel.threadedcomments+xml"/>
  <Override PartName="/xl/threadedComments/threadedComment41.xml" ContentType="application/vnd.ms-excel.threadedcomments+xml"/>
  <Override PartName="/xl/threadedComments/threadedComment42.xml" ContentType="application/vnd.ms-excel.threadedcomments+xml"/>
  <Override PartName="/xl/threadedComments/threadedComment43.xml" ContentType="application/vnd.ms-excel.threadedcomments+xml"/>
  <Override PartName="/xl/threadedComments/threadedComment44.xml" ContentType="application/vnd.ms-excel.threadedcomments+xml"/>
  <Override PartName="/xl/threadedComments/threadedComment45.xml" ContentType="application/vnd.ms-excel.threadedcomments+xml"/>
  <Override PartName="/xl/threadedComments/threadedComment46.xml" ContentType="application/vnd.ms-excel.threadedcomments+xml"/>
  <Override PartName="/xl/threadedComments/threadedComment47.xml" ContentType="application/vnd.ms-excel.threadedcomments+xml"/>
  <Override PartName="/xl/threadedComments/threadedComment48.xml" ContentType="application/vnd.ms-excel.threadedcomments+xml"/>
  <Override PartName="/xl/threadedComments/threadedComment49.xml" ContentType="application/vnd.ms-excel.threadedcomments+xml"/>
  <Override PartName="/xl/threadedComments/threadedComment50.xml" ContentType="application/vnd.ms-excel.threadedcomments+xml"/>
  <Override PartName="/xl/threadedComments/threadedComment51.xml" ContentType="application/vnd.ms-excel.threadedcomments+xml"/>
  <Override PartName="/xl/threadedComments/threadedComment52.xml" ContentType="application/vnd.ms-excel.threadedcomments+xml"/>
  <Override PartName="/xl/threadedComments/threadedComment53.xml" ContentType="application/vnd.ms-excel.threadedcomments+xml"/>
  <Override PartName="/xl/threadedComments/threadedComment54.xml" ContentType="application/vnd.ms-excel.threadedcomments+xml"/>
  <Override PartName="/xl/threadedComments/threadedComment55.xml" ContentType="application/vnd.ms-excel.threadedcomments+xml"/>
  <Override PartName="/xl/threadedComments/threadedComment56.xml" ContentType="application/vnd.ms-excel.threadedcomments+xml"/>
  <Override PartName="/xl/threadedComments/threadedComment57.xml" ContentType="application/vnd.ms-excel.threadedcomments+xml"/>
  <Override PartName="/xl/threadedComments/threadedComment58.xml" ContentType="application/vnd.ms-excel.threadedcomments+xml"/>
  <Override PartName="/xl/threadedComments/threadedComment59.xml" ContentType="application/vnd.ms-excel.threadedcomments+xml"/>
  <Override PartName="/xl/threadedComments/threadedComment60.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7" yWindow="13" windowWidth="20959" windowHeight="9727" activeTab="3"/>
  </bookViews>
  <sheets>
    <sheet name="Recapitulatif" sheetId="1" r:id="rId1"/>
    <sheet name="Installations" sheetId="2" r:id="rId2"/>
    <sheet name="Ana_eco" sheetId="3" r:id="rId3"/>
    <sheet name="Comparatif" sheetId="66" r:id="rId4"/>
    <sheet name="543_390_Max" sheetId="4" r:id="rId5"/>
    <sheet name="SIG" sheetId="11" r:id="rId6"/>
    <sheet name="543 DS405 FRON sans BJ" sheetId="5" r:id="rId7"/>
    <sheet name="570_405_bi_pan" sheetId="6" r:id="rId8"/>
    <sheet name="570_405_SE" sheetId="7" r:id="rId9"/>
    <sheet name="570_375_bi_pan_Max" sheetId="8" r:id="rId10"/>
    <sheet name="570_36kW" sheetId="9" r:id="rId11"/>
    <sheet name="570_405_99,9kWc" sheetId="10" r:id="rId12"/>
    <sheet name="MAIF" sheetId="12" r:id="rId13"/>
    <sheet name="Catalogue" sheetId="13" r:id="rId14"/>
    <sheet name="335-36kVA" sheetId="14" r:id="rId15"/>
    <sheet name="335-Max" sheetId="15" r:id="rId16"/>
    <sheet name="337-Sur-SE" sheetId="16" r:id="rId17"/>
    <sheet name="354-360" sheetId="17" r:id="rId18"/>
    <sheet name="543" sheetId="18" r:id="rId19"/>
    <sheet name="543_99,9kW" sheetId="19" r:id="rId20"/>
    <sheet name="543 DS405 SMA" sheetId="20" r:id="rId21"/>
    <sheet name="543 DS405 FRON" sheetId="21" r:id="rId22"/>
    <sheet name="543_375_Max" sheetId="22" r:id="rId23"/>
    <sheet name="550_Max_ISB" sheetId="23" r:id="rId24"/>
    <sheet name="550_Max_IAB" sheetId="24" r:id="rId25"/>
    <sheet name="550_Max_IAB_SE" sheetId="25" r:id="rId26"/>
    <sheet name="550_36kW_ISB" sheetId="26" r:id="rId27"/>
    <sheet name="563_Max" sheetId="27" r:id="rId28"/>
    <sheet name="567" sheetId="28" r:id="rId29"/>
    <sheet name="569" sheetId="29" r:id="rId30"/>
    <sheet name="570_Max" sheetId="30" r:id="rId31"/>
    <sheet name="570_375_bi_pan" sheetId="31" r:id="rId32"/>
    <sheet name="570_405_Max" sheetId="32" r:id="rId33"/>
    <sheet name="599_Sur" sheetId="33" r:id="rId34"/>
    <sheet name="599_ISB" sheetId="34" r:id="rId35"/>
    <sheet name="605" sheetId="35" r:id="rId36"/>
    <sheet name="REX Durées" sheetId="36" r:id="rId37"/>
    <sheet name="Plan_de_trésorerie" sheetId="37" r:id="rId38"/>
    <sheet name="Tresorerie_mensuelle" sheetId="38" r:id="rId39"/>
    <sheet name="Aide" sheetId="39" r:id="rId40"/>
    <sheet name="041" sheetId="40" r:id="rId41"/>
    <sheet name="245" sheetId="41" r:id="rId42"/>
    <sheet name="051" sheetId="42" r:id="rId43"/>
    <sheet name="076" sheetId="43" r:id="rId44"/>
    <sheet name="058" sheetId="44" r:id="rId45"/>
    <sheet name="337-Sur-F" sheetId="45" r:id="rId46"/>
    <sheet name="337-H-375" sheetId="46" r:id="rId47"/>
    <sheet name="338" sheetId="47" r:id="rId48"/>
    <sheet name="354-340" sheetId="48" r:id="rId49"/>
    <sheet name="387" sheetId="49" r:id="rId50"/>
    <sheet name="400" sheetId="50" r:id="rId51"/>
    <sheet name="402" sheetId="51" r:id="rId52"/>
    <sheet name="436" sheetId="52" r:id="rId53"/>
    <sheet name="438" sheetId="53" r:id="rId54"/>
    <sheet name="446" sheetId="54" r:id="rId55"/>
    <sheet name="461" sheetId="55" r:id="rId56"/>
    <sheet name="505-SE" sheetId="56" r:id="rId57"/>
    <sheet name="527" sheetId="57" r:id="rId58"/>
    <sheet name="533" sheetId="58" r:id="rId59"/>
    <sheet name="546" sheetId="59" r:id="rId60"/>
    <sheet name="554" sheetId="60" r:id="rId61"/>
    <sheet name="556" sheetId="61" r:id="rId62"/>
    <sheet name="561Min" sheetId="62" r:id="rId63"/>
    <sheet name="561Max" sheetId="63" r:id="rId64"/>
    <sheet name="562" sheetId="64" r:id="rId65"/>
    <sheet name="Stat" sheetId="65" r:id="rId66"/>
  </sheets>
  <definedNames>
    <definedName name="_xlnm._FilterDatabase" localSheetId="13" hidden="1">Catalogue!$B$3:$AA$922</definedName>
    <definedName name="_xlnm._FilterDatabase" localSheetId="1" hidden="1">Installations!$A$6:$CT$90</definedName>
    <definedName name="_FilterDatabase_0" localSheetId="13">Catalogue!$B$3:$AA$510</definedName>
    <definedName name="_FilterDatabase_0_0" localSheetId="13">Catalogue!$B$3:$AA$239</definedName>
    <definedName name="_FilterDatabase_0_0_0" localSheetId="13">Catalogue!$B$3:$AA$200</definedName>
    <definedName name="_FilterDatabase_0_0_0_0" localSheetId="13">Catalogue!$B$3:$AA$199</definedName>
    <definedName name="_FilterDatabase_0_0_0_0_0" localSheetId="13">Catalogue!$B$3:$AA$509</definedName>
    <definedName name="_FilterDatabase_0_0_0_0_0_0" localSheetId="13">Catalogue!$B$3:$AA$184</definedName>
    <definedName name="_FilterDatabase_0_0_0_0_0_0_0" localSheetId="13">Catalogue!$B$3:$AA$157</definedName>
    <definedName name="_FilterDatabase_0_0_0_0_0_0_0_0" localSheetId="13">Catalogue!$B$3:$AA$105</definedName>
    <definedName name="_FilterDatabase_0_0_0_0_0_0_0_0_0" localSheetId="13">Catalogue!$B$3:$AA$104</definedName>
    <definedName name="_FilterDatabase_0_0_0_0_0_0_0_0_0_0" localSheetId="13">Catalogue!$B$3:$AA$103</definedName>
    <definedName name="_FilterDatabase_0_0_0_0_0_0_0_0_0_0_0" localSheetId="13">Catalogue!$B$3:$AA$97</definedName>
    <definedName name="_FilterDatabase_0_0_0_0_0_0_0_0_0_0_0_0" localSheetId="13">Catalogue!$B$3:$AA$88</definedName>
    <definedName name="_FilterDatabase_0_0_0_0_0_0_0_0_0_0_0_0_0" localSheetId="13">Catalogue!$B$3:$AA$87</definedName>
    <definedName name="_FilterDatabase_0_0_0_0_0_0_0_0_0_0_0_0_0_0" localSheetId="13">Catalogue!$B$3:$Y$84</definedName>
    <definedName name="_FilterDatabase_0_0_0_0_0_0_0_0_0_0_0_0_0_0_0" localSheetId="13">Catalogue!$B$3:$AA$75</definedName>
    <definedName name="_FilterDatabase_0_0_0_0_0_0_0_0_0_0_0_0_0_0_0_0" localSheetId="13">Catalogue!$B$3:$Y$75</definedName>
    <definedName name="autres_couts">Ana_eco!$D$17</definedName>
    <definedName name="avance_remb_1">Ana_eco!$B$45</definedName>
    <definedName name="avance_remb_2">Ana_eco!$B$46</definedName>
    <definedName name="avances_remboursables">Ana_eco!$B$47</definedName>
    <definedName name="CCA_1">Ana_eco!$I$34</definedName>
    <definedName name="compte_courant_associes">Ana_eco!$I$38</definedName>
    <definedName name="cout_cables">Ana_eco!$D$10</definedName>
    <definedName name="cout_coffrets">Ana_eco!$D$12</definedName>
    <definedName name="coût_maintenance">Ana_eco!$M$8</definedName>
    <definedName name="cout_monitoring">Ana_eco!$D$13</definedName>
    <definedName name="cout_ond">Ana_eco!$D$9</definedName>
    <definedName name="coût_par_Wc">Ana_eco!$C$68</definedName>
    <definedName name="cout_pose">Ana_eco!$D$8</definedName>
    <definedName name="cout_PV">Ana_eco!$D$7</definedName>
    <definedName name="cout_racco">Ana_eco!$D$11</definedName>
    <definedName name="coût_total">Ana_eco!$D$19</definedName>
    <definedName name="dette">Ana_eco!$B$49</definedName>
    <definedName name="differe_AR1">Ana_eco!$H$45</definedName>
    <definedName name="differe_AR2">Ana_eco!$H$46</definedName>
    <definedName name="duree_amort_autres_couts">Ana_eco!$F$17</definedName>
    <definedName name="duree_amort_cables">Ana_eco!$F$10</definedName>
    <definedName name="duree_amort_coff">Ana_eco!$F$12</definedName>
    <definedName name="duree_amort_moni">Ana_eco!$F$13</definedName>
    <definedName name="duree_amort_notaire">Ana_eco!$F$16</definedName>
    <definedName name="duree_amort_ond">Ana_eco!$F$9</definedName>
    <definedName name="duree_amort_pose">Ana_eco!$F$8</definedName>
    <definedName name="duree_amort_racco">Ana_eco!$F$11</definedName>
    <definedName name="duree_amort_tvxproprios">Ana_eco!$F$15</definedName>
    <definedName name="duree_amort_tvxPV">Ana_eco!$F$14</definedName>
    <definedName name="durée_amortPV">Ana_eco!$F$7</definedName>
    <definedName name="durée_AR1">Ana_eco!$D$45</definedName>
    <definedName name="durée_AR2">Ana_eco!$D$46</definedName>
    <definedName name="durée_AR3">Ana_eco!$H$49</definedName>
    <definedName name="durée_CCA">Ana_eco!$J$34</definedName>
    <definedName name="durée_CCA_2">Ana_eco!$J$35</definedName>
    <definedName name="Durée_d_amortissement">Ana_eco!$F$7</definedName>
    <definedName name="durée_emprunt1">Ana_eco!$D$42</definedName>
    <definedName name="durée_emprunt2">Ana_eco!$D$43</definedName>
    <definedName name="duree_extension_garantie_ond">Installations!$AV$4</definedName>
    <definedName name="ecart_tauxCCA">Ana_eco!$I$36</definedName>
    <definedName name="emprunt1">Ana_eco!$B$42</definedName>
    <definedName name="emprunt2">Ana_eco!$B$43</definedName>
    <definedName name="emprunts_bancaires">Ana_eco!$B$44</definedName>
    <definedName name="fonds_propres">Ana_eco!$D$38</definedName>
    <definedName name="frais_notaire">Ana_eco!$D$16</definedName>
    <definedName name="i">Ana_eco!$C$26</definedName>
    <definedName name="inv_tx_tva">Tresorerie_mensuelle!$F$71</definedName>
    <definedName name="LOYERS">Ana_eco!$M$11</definedName>
    <definedName name="montant_part">Ana_eco!$D$33</definedName>
    <definedName name="nb_parts_pers_mor">Ana_eco!$D$35</definedName>
    <definedName name="nb_parts_pers_phys">Ana_eco!$D$34</definedName>
    <definedName name="perte_prod">Ana_eco!$C$23</definedName>
    <definedName name="pret_relais_TVA">Ana_eco!$L$43</definedName>
    <definedName name="Print_Titles" localSheetId="1">Installations!$A:$D</definedName>
    <definedName name="Print_Titles" localSheetId="38">Tresorerie_mensuelle!$A:$F</definedName>
    <definedName name="puissance">Recapitulatif!$E$8</definedName>
    <definedName name="ratioPM">Ana_eco!$E$35</definedName>
    <definedName name="ratioPP">Ana_eco!$E$34</definedName>
    <definedName name="reservesL">Ana_eco!$M$23</definedName>
    <definedName name="reservesS">Ana_eco!$M$24</definedName>
    <definedName name="societe">Recapitulatif!$D$4</definedName>
    <definedName name="Taux_deduc_CCA">Ana_eco!$I$35</definedName>
    <definedName name="taux_tva">Tresorerie_mensuelle!$D$71</definedName>
    <definedName name="TURPE">Ana_eco!$M$9</definedName>
    <definedName name="tvx_induitsPV">Ana_eco!$D$14</definedName>
    <definedName name="tvx_proprios">Ana_eco!$D$15</definedName>
    <definedName name="tx_actu">sig #REF!</definedName>
    <definedName name="tx_actualisation_tarif">Ana_eco!$C$24</definedName>
    <definedName name="tx_AR1">Ana_eco!$C$45</definedName>
    <definedName name="tx_AR2">Ana_eco!$C$46</definedName>
    <definedName name="tx_CCA">Ana_eco!$K$34</definedName>
    <definedName name="tx_emprunt1">Ana_eco!$C$42</definedName>
    <definedName name="tx_emprunt2">Ana_eco!$C$43</definedName>
    <definedName name="tx_inflation">Ana_eco!$C$26</definedName>
    <definedName name="_xlnm.Print_Area" localSheetId="39">Aide!$A$7:$AG$81</definedName>
    <definedName name="_xlnm.Print_Area" localSheetId="2">Ana_eco!$A$1:$V$69</definedName>
    <definedName name="_xlnm.Print_Area" localSheetId="1">Installations!$A$3:$BH$93</definedName>
    <definedName name="_xlnm.Print_Area" localSheetId="37">Plan_de_trésorerie!$B$1:$Y$61</definedName>
    <definedName name="_xlnm.Print_Area" localSheetId="0">Recapitulatif!$A$1:$F$27</definedName>
    <definedName name="_xlnm.Print_Area" localSheetId="5">SIG!$A$1:$X$46</definedName>
    <definedName name="_xlnm.Print_Area" localSheetId="38">Tresorerie_mensuelle!$A$1:$AQ$72</definedName>
    <definedName name="ZRR">Ana_eco!$H$23</definedName>
  </definedNames>
  <calcPr calcId="145621" iterateDelta="1E-4"/>
</workbook>
</file>

<file path=xl/calcChain.xml><?xml version="1.0" encoding="utf-8"?>
<calcChain xmlns="http://schemas.openxmlformats.org/spreadsheetml/2006/main">
  <c r="D34" i="3" l="1"/>
  <c r="M43" i="4"/>
  <c r="B24" i="65"/>
  <c r="B23" i="65"/>
  <c r="B17" i="65"/>
  <c r="U11" i="65"/>
  <c r="T11" i="65"/>
  <c r="S11" i="65"/>
  <c r="R11" i="65"/>
  <c r="Q11" i="65"/>
  <c r="P11" i="65"/>
  <c r="O11" i="65"/>
  <c r="N11" i="65"/>
  <c r="M11" i="65"/>
  <c r="AE10" i="65"/>
  <c r="AC10" i="65"/>
  <c r="AA10" i="65"/>
  <c r="Y10" i="65"/>
  <c r="U10" i="65"/>
  <c r="AF10" i="65" s="1"/>
  <c r="T10" i="65"/>
  <c r="S10" i="65"/>
  <c r="AD10" i="65" s="1"/>
  <c r="R10" i="65"/>
  <c r="Q10" i="65"/>
  <c r="AB10" i="65" s="1"/>
  <c r="P10" i="65"/>
  <c r="O10" i="65"/>
  <c r="Z10" i="65" s="1"/>
  <c r="N10" i="65"/>
  <c r="M10" i="65"/>
  <c r="X10" i="65" s="1"/>
  <c r="F10" i="65"/>
  <c r="B10" i="65"/>
  <c r="AD9" i="65"/>
  <c r="U9" i="65"/>
  <c r="AF9" i="65" s="1"/>
  <c r="T9" i="65"/>
  <c r="AE9" i="65" s="1"/>
  <c r="S9" i="65"/>
  <c r="R9" i="65"/>
  <c r="AC9" i="65" s="1"/>
  <c r="Q9" i="65"/>
  <c r="AB9" i="65" s="1"/>
  <c r="P9" i="65"/>
  <c r="AA9" i="65" s="1"/>
  <c r="O9" i="65"/>
  <c r="Z9" i="65" s="1"/>
  <c r="N9" i="65"/>
  <c r="Y9" i="65" s="1"/>
  <c r="M9" i="65"/>
  <c r="X9" i="65" s="1"/>
  <c r="F9" i="65"/>
  <c r="B9" i="65"/>
  <c r="AF8" i="65"/>
  <c r="AE8" i="65"/>
  <c r="AD8" i="65"/>
  <c r="AC8" i="65"/>
  <c r="AB8" i="65"/>
  <c r="AA8" i="65"/>
  <c r="Z8" i="65"/>
  <c r="Y8" i="65"/>
  <c r="X8" i="65"/>
  <c r="F8" i="65"/>
  <c r="B8" i="65"/>
  <c r="AF7" i="65"/>
  <c r="AE7" i="65"/>
  <c r="AD7" i="65"/>
  <c r="AC7" i="65"/>
  <c r="AB7" i="65"/>
  <c r="AA7" i="65"/>
  <c r="Z7" i="65"/>
  <c r="Y7" i="65"/>
  <c r="X7" i="65"/>
  <c r="F7" i="65"/>
  <c r="B7" i="65"/>
  <c r="F6" i="65"/>
  <c r="E6" i="65"/>
  <c r="D6" i="65"/>
  <c r="C6" i="65"/>
  <c r="B6" i="65"/>
  <c r="H149" i="64"/>
  <c r="I149" i="64" s="1"/>
  <c r="F149" i="64"/>
  <c r="F148" i="64"/>
  <c r="H148" i="64" s="1"/>
  <c r="I148" i="64" s="1"/>
  <c r="I147" i="64"/>
  <c r="H147" i="64"/>
  <c r="H142" i="64"/>
  <c r="I141" i="64"/>
  <c r="H141" i="64"/>
  <c r="A141" i="64"/>
  <c r="A142" i="64" s="1"/>
  <c r="I142" i="64" s="1"/>
  <c r="H140" i="64"/>
  <c r="I140" i="64" s="1"/>
  <c r="F140" i="64"/>
  <c r="F139" i="64"/>
  <c r="H139" i="64" s="1"/>
  <c r="H138" i="64"/>
  <c r="A138" i="64"/>
  <c r="I138" i="64" s="1"/>
  <c r="I137" i="64"/>
  <c r="H137" i="64"/>
  <c r="F137" i="64"/>
  <c r="I136" i="64"/>
  <c r="H136" i="64"/>
  <c r="F133" i="64"/>
  <c r="H133" i="64" s="1"/>
  <c r="I133" i="64" s="1"/>
  <c r="I132" i="64"/>
  <c r="H132" i="64"/>
  <c r="H131" i="64"/>
  <c r="I131" i="64" s="1"/>
  <c r="I130" i="64"/>
  <c r="H130" i="64"/>
  <c r="H129" i="64"/>
  <c r="I129" i="64" s="1"/>
  <c r="I128" i="64"/>
  <c r="H128" i="64"/>
  <c r="H127" i="64"/>
  <c r="I127" i="64" s="1"/>
  <c r="I144" i="64" s="1"/>
  <c r="I123" i="64"/>
  <c r="H113" i="64"/>
  <c r="F112" i="64"/>
  <c r="H112" i="64" s="1"/>
  <c r="H111" i="64"/>
  <c r="H110" i="64"/>
  <c r="H109" i="64"/>
  <c r="H108" i="64"/>
  <c r="H107" i="64"/>
  <c r="H106" i="64"/>
  <c r="H105" i="64"/>
  <c r="H104" i="64"/>
  <c r="H97" i="64"/>
  <c r="I97" i="64" s="1"/>
  <c r="I95" i="64"/>
  <c r="H95" i="64"/>
  <c r="H94" i="64"/>
  <c r="I94" i="64" s="1"/>
  <c r="F94" i="64"/>
  <c r="F93" i="64"/>
  <c r="H93" i="64" s="1"/>
  <c r="I93" i="64" s="1"/>
  <c r="I92" i="64"/>
  <c r="H92" i="64"/>
  <c r="H91" i="64"/>
  <c r="I91" i="64" s="1"/>
  <c r="I90" i="64"/>
  <c r="H90" i="64"/>
  <c r="F90" i="64"/>
  <c r="I87" i="64"/>
  <c r="H87" i="64"/>
  <c r="I86" i="64"/>
  <c r="H86" i="64"/>
  <c r="I85" i="64"/>
  <c r="H85" i="64"/>
  <c r="I84" i="64"/>
  <c r="H84" i="64"/>
  <c r="I83" i="64"/>
  <c r="H83" i="64"/>
  <c r="I82" i="64"/>
  <c r="H82" i="64"/>
  <c r="I79" i="64"/>
  <c r="H79" i="64"/>
  <c r="I78" i="64"/>
  <c r="H78" i="64"/>
  <c r="I77" i="64"/>
  <c r="H77" i="64"/>
  <c r="H76" i="64"/>
  <c r="I76" i="64" s="1"/>
  <c r="H75" i="64"/>
  <c r="I75" i="64" s="1"/>
  <c r="H74" i="64"/>
  <c r="I74" i="64" s="1"/>
  <c r="H73" i="64"/>
  <c r="I73" i="64" s="1"/>
  <c r="H72" i="64"/>
  <c r="I72" i="64" s="1"/>
  <c r="I64" i="64"/>
  <c r="H63" i="64"/>
  <c r="F63" i="64"/>
  <c r="H62" i="64"/>
  <c r="I62" i="64" s="1"/>
  <c r="F58" i="64"/>
  <c r="H58" i="64" s="1"/>
  <c r="A58" i="64"/>
  <c r="F57" i="64"/>
  <c r="H57" i="64" s="1"/>
  <c r="I57" i="64" s="1"/>
  <c r="I56" i="64"/>
  <c r="F56" i="64"/>
  <c r="H56" i="64" s="1"/>
  <c r="I55" i="64"/>
  <c r="H55" i="64"/>
  <c r="F55" i="64"/>
  <c r="A55" i="64"/>
  <c r="I54" i="64"/>
  <c r="H54" i="64"/>
  <c r="F54" i="64"/>
  <c r="H53" i="64"/>
  <c r="I53" i="64" s="1"/>
  <c r="F53" i="64"/>
  <c r="F52" i="64"/>
  <c r="H52" i="64" s="1"/>
  <c r="I52" i="64" s="1"/>
  <c r="I51" i="64"/>
  <c r="F51" i="64"/>
  <c r="H51" i="64" s="1"/>
  <c r="I50" i="64"/>
  <c r="H50" i="64"/>
  <c r="F50" i="64"/>
  <c r="H49" i="64"/>
  <c r="I49" i="64" s="1"/>
  <c r="F49" i="64"/>
  <c r="F48" i="64"/>
  <c r="H48" i="64" s="1"/>
  <c r="I48" i="64" s="1"/>
  <c r="I47" i="64"/>
  <c r="F47" i="64"/>
  <c r="H47" i="64" s="1"/>
  <c r="H46" i="64"/>
  <c r="I46" i="64" s="1"/>
  <c r="F46" i="64"/>
  <c r="H45" i="64"/>
  <c r="F45" i="64"/>
  <c r="F44" i="64"/>
  <c r="H44" i="64" s="1"/>
  <c r="I44" i="64" s="1"/>
  <c r="F43" i="64"/>
  <c r="H43" i="64" s="1"/>
  <c r="F42" i="64"/>
  <c r="H42" i="64" s="1"/>
  <c r="I42" i="64" s="1"/>
  <c r="H33" i="64"/>
  <c r="I33" i="64" s="1"/>
  <c r="S33" i="64" s="1"/>
  <c r="F33" i="64"/>
  <c r="H32" i="64"/>
  <c r="I32" i="64" s="1"/>
  <c r="S32" i="64" s="1"/>
  <c r="H31" i="64"/>
  <c r="I31" i="64" s="1"/>
  <c r="S31" i="64" s="1"/>
  <c r="S30" i="64"/>
  <c r="H30" i="64"/>
  <c r="I30" i="64" s="1"/>
  <c r="I29" i="64"/>
  <c r="S29" i="64" s="1"/>
  <c r="S36" i="64" s="1"/>
  <c r="S38" i="64" s="1"/>
  <c r="H29" i="64"/>
  <c r="H28" i="64"/>
  <c r="I28" i="64" s="1"/>
  <c r="O28" i="64" s="1"/>
  <c r="M27" i="64"/>
  <c r="H27" i="64"/>
  <c r="I27" i="64" s="1"/>
  <c r="H26" i="64"/>
  <c r="I26" i="64" s="1"/>
  <c r="O26" i="64" s="1"/>
  <c r="R25" i="64"/>
  <c r="I25" i="64"/>
  <c r="H25" i="64"/>
  <c r="H24" i="64"/>
  <c r="I24" i="64" s="1"/>
  <c r="R24" i="64" s="1"/>
  <c r="I23" i="64"/>
  <c r="R23" i="64" s="1"/>
  <c r="H23" i="64"/>
  <c r="H22" i="64"/>
  <c r="I22" i="64" s="1"/>
  <c r="N22" i="64" s="1"/>
  <c r="N21" i="64"/>
  <c r="I21" i="64"/>
  <c r="H21" i="64"/>
  <c r="I20" i="64"/>
  <c r="N20" i="64" s="1"/>
  <c r="H20" i="64"/>
  <c r="F20" i="64"/>
  <c r="I19" i="64"/>
  <c r="N19" i="64" s="1"/>
  <c r="H19" i="64"/>
  <c r="H18" i="64"/>
  <c r="I18" i="64" s="1"/>
  <c r="O18" i="64" s="1"/>
  <c r="H17" i="64"/>
  <c r="H16" i="64"/>
  <c r="A16" i="64"/>
  <c r="A17" i="64" s="1"/>
  <c r="I17" i="64" s="1"/>
  <c r="O17" i="64" s="1"/>
  <c r="H15" i="64"/>
  <c r="A15" i="64"/>
  <c r="H14" i="64"/>
  <c r="I14" i="64" s="1"/>
  <c r="O14" i="64" s="1"/>
  <c r="I13" i="64"/>
  <c r="R13" i="64" s="1"/>
  <c r="H13" i="64"/>
  <c r="A13" i="64"/>
  <c r="I12" i="64"/>
  <c r="R12" i="64" s="1"/>
  <c r="H12" i="64"/>
  <c r="H11" i="64"/>
  <c r="I11" i="64" s="1"/>
  <c r="R11" i="64" s="1"/>
  <c r="H10" i="64"/>
  <c r="I10" i="64" s="1"/>
  <c r="R10" i="64" s="1"/>
  <c r="H9" i="64"/>
  <c r="I9" i="64" s="1"/>
  <c r="R9" i="64" s="1"/>
  <c r="I8" i="64"/>
  <c r="R8" i="64" s="1"/>
  <c r="H8" i="64"/>
  <c r="H7" i="64"/>
  <c r="I7" i="64" s="1"/>
  <c r="R7" i="64" s="1"/>
  <c r="J6" i="64"/>
  <c r="I6" i="64"/>
  <c r="M6" i="64" s="1"/>
  <c r="H6" i="64"/>
  <c r="F6" i="64"/>
  <c r="A6" i="64"/>
  <c r="I5" i="64"/>
  <c r="H5" i="64"/>
  <c r="H4" i="64"/>
  <c r="I4" i="64" s="1"/>
  <c r="I1" i="64"/>
  <c r="L1" i="64" s="1"/>
  <c r="F161" i="63"/>
  <c r="H161" i="63" s="1"/>
  <c r="I161" i="63" s="1"/>
  <c r="I160" i="63"/>
  <c r="H160" i="63"/>
  <c r="F160" i="63"/>
  <c r="H159" i="63"/>
  <c r="I159" i="63" s="1"/>
  <c r="I163" i="63" s="1"/>
  <c r="H154" i="63"/>
  <c r="H153" i="63"/>
  <c r="A153" i="63"/>
  <c r="A154" i="63" s="1"/>
  <c r="I154" i="63" s="1"/>
  <c r="H152" i="63"/>
  <c r="I152" i="63" s="1"/>
  <c r="F152" i="63"/>
  <c r="F151" i="63"/>
  <c r="H151" i="63" s="1"/>
  <c r="H150" i="63"/>
  <c r="A150" i="63"/>
  <c r="H149" i="63"/>
  <c r="I149" i="63" s="1"/>
  <c r="F149" i="63"/>
  <c r="I148" i="63"/>
  <c r="H148" i="63"/>
  <c r="F145" i="63"/>
  <c r="H145" i="63" s="1"/>
  <c r="I145" i="63" s="1"/>
  <c r="H144" i="63"/>
  <c r="I144" i="63" s="1"/>
  <c r="I143" i="63"/>
  <c r="H143" i="63"/>
  <c r="H142" i="63"/>
  <c r="I142" i="63" s="1"/>
  <c r="H141" i="63"/>
  <c r="I141" i="63" s="1"/>
  <c r="H140" i="63"/>
  <c r="I140" i="63" s="1"/>
  <c r="H139" i="63"/>
  <c r="I139" i="63" s="1"/>
  <c r="I156" i="63" s="1"/>
  <c r="J125" i="63"/>
  <c r="H125" i="63"/>
  <c r="I125" i="63" s="1"/>
  <c r="I135" i="63" s="1"/>
  <c r="H116" i="63"/>
  <c r="H115" i="63"/>
  <c r="F115" i="63"/>
  <c r="H114" i="63"/>
  <c r="H113" i="63"/>
  <c r="H112" i="63"/>
  <c r="H111" i="63"/>
  <c r="H110" i="63"/>
  <c r="H109" i="63"/>
  <c r="H108" i="63"/>
  <c r="H107" i="63"/>
  <c r="H100" i="63"/>
  <c r="I100" i="63" s="1"/>
  <c r="I98" i="63"/>
  <c r="H98" i="63"/>
  <c r="H97" i="63"/>
  <c r="I97" i="63" s="1"/>
  <c r="F97" i="63"/>
  <c r="H96" i="63"/>
  <c r="I96" i="63" s="1"/>
  <c r="F96" i="63"/>
  <c r="I95" i="63"/>
  <c r="F95" i="63"/>
  <c r="H95" i="63" s="1"/>
  <c r="I94" i="63"/>
  <c r="H94" i="63"/>
  <c r="H93" i="63"/>
  <c r="I93" i="63" s="1"/>
  <c r="H92" i="63"/>
  <c r="I92" i="63" s="1"/>
  <c r="F92" i="63"/>
  <c r="I89" i="63"/>
  <c r="H89" i="63"/>
  <c r="I88" i="63"/>
  <c r="H88" i="63"/>
  <c r="I87" i="63"/>
  <c r="H87" i="63"/>
  <c r="I86" i="63"/>
  <c r="H86" i="63"/>
  <c r="I85" i="63"/>
  <c r="H85" i="63"/>
  <c r="I84" i="63"/>
  <c r="H84" i="63"/>
  <c r="I81" i="63"/>
  <c r="H81" i="63"/>
  <c r="I80" i="63"/>
  <c r="H80" i="63"/>
  <c r="I79" i="63"/>
  <c r="H79" i="63"/>
  <c r="I78" i="63"/>
  <c r="H78" i="63"/>
  <c r="I77" i="63"/>
  <c r="H77" i="63"/>
  <c r="I76" i="63"/>
  <c r="H76" i="63"/>
  <c r="I75" i="63"/>
  <c r="H75" i="63"/>
  <c r="I74" i="63"/>
  <c r="H74" i="63"/>
  <c r="I66" i="63"/>
  <c r="H65" i="63"/>
  <c r="F65" i="63"/>
  <c r="H64" i="63"/>
  <c r="I64" i="63" s="1"/>
  <c r="I60" i="63"/>
  <c r="F60" i="63"/>
  <c r="H60" i="63" s="1"/>
  <c r="A60" i="63"/>
  <c r="F59" i="63"/>
  <c r="H59" i="63" s="1"/>
  <c r="I59" i="63" s="1"/>
  <c r="H58" i="63"/>
  <c r="I58" i="63" s="1"/>
  <c r="F58" i="63"/>
  <c r="F57" i="63"/>
  <c r="H57" i="63" s="1"/>
  <c r="I57" i="63" s="1"/>
  <c r="H56" i="63"/>
  <c r="I56" i="63" s="1"/>
  <c r="F56" i="63"/>
  <c r="H55" i="63"/>
  <c r="I55" i="63" s="1"/>
  <c r="F55" i="63"/>
  <c r="I54" i="63"/>
  <c r="F54" i="63"/>
  <c r="H54" i="63" s="1"/>
  <c r="I53" i="63"/>
  <c r="H53" i="63"/>
  <c r="F53" i="63"/>
  <c r="F52" i="63"/>
  <c r="H52" i="63" s="1"/>
  <c r="I52" i="63" s="1"/>
  <c r="H51" i="63"/>
  <c r="F51" i="63"/>
  <c r="A51" i="63"/>
  <c r="I51" i="63" s="1"/>
  <c r="H50" i="63"/>
  <c r="F50" i="63"/>
  <c r="A50" i="63"/>
  <c r="F49" i="63"/>
  <c r="H49" i="63" s="1"/>
  <c r="I49" i="63" s="1"/>
  <c r="I48" i="63"/>
  <c r="F48" i="63"/>
  <c r="H48" i="63" s="1"/>
  <c r="H47" i="63"/>
  <c r="F47" i="63"/>
  <c r="H46" i="63"/>
  <c r="I46" i="63" s="1"/>
  <c r="F46" i="63"/>
  <c r="F45" i="63"/>
  <c r="H45" i="63" s="1"/>
  <c r="F44" i="63"/>
  <c r="H44" i="63" s="1"/>
  <c r="I44" i="63" s="1"/>
  <c r="A44" i="63"/>
  <c r="A57" i="63" s="1"/>
  <c r="H35" i="63"/>
  <c r="I35" i="63" s="1"/>
  <c r="S35" i="63" s="1"/>
  <c r="F35" i="63"/>
  <c r="H34" i="63"/>
  <c r="I34" i="63" s="1"/>
  <c r="S34" i="63" s="1"/>
  <c r="S33" i="63"/>
  <c r="I33" i="63"/>
  <c r="H33" i="63"/>
  <c r="I32" i="63"/>
  <c r="S32" i="63" s="1"/>
  <c r="H32" i="63"/>
  <c r="H31" i="63"/>
  <c r="I31" i="63" s="1"/>
  <c r="S31" i="63" s="1"/>
  <c r="F30" i="63"/>
  <c r="H30" i="63" s="1"/>
  <c r="I30" i="63" s="1"/>
  <c r="O30" i="63" s="1"/>
  <c r="H29" i="63"/>
  <c r="I29" i="63" s="1"/>
  <c r="O29" i="63" s="1"/>
  <c r="M28" i="63"/>
  <c r="I28" i="63"/>
  <c r="H28" i="63"/>
  <c r="H27" i="63"/>
  <c r="I27" i="63" s="1"/>
  <c r="O27" i="63" s="1"/>
  <c r="I26" i="63"/>
  <c r="R26" i="63" s="1"/>
  <c r="H26" i="63"/>
  <c r="H25" i="63"/>
  <c r="I25" i="63" s="1"/>
  <c r="R25" i="63" s="1"/>
  <c r="I24" i="63"/>
  <c r="R24" i="63" s="1"/>
  <c r="H24" i="63"/>
  <c r="H23" i="63"/>
  <c r="I23" i="63" s="1"/>
  <c r="N23" i="63" s="1"/>
  <c r="H22" i="63"/>
  <c r="I22" i="63" s="1"/>
  <c r="N22" i="63" s="1"/>
  <c r="H21" i="63"/>
  <c r="I21" i="63" s="1"/>
  <c r="N21" i="63" s="1"/>
  <c r="I20" i="63"/>
  <c r="N20" i="63" s="1"/>
  <c r="H20" i="63"/>
  <c r="H19" i="63"/>
  <c r="I19" i="63" s="1"/>
  <c r="O19" i="63" s="1"/>
  <c r="I18" i="63"/>
  <c r="O18" i="63" s="1"/>
  <c r="H18" i="63"/>
  <c r="A18" i="63"/>
  <c r="H17" i="63"/>
  <c r="I17" i="63" s="1"/>
  <c r="O17" i="63" s="1"/>
  <c r="H16" i="63"/>
  <c r="A16" i="63"/>
  <c r="I16" i="63" s="1"/>
  <c r="O16" i="63" s="1"/>
  <c r="H15" i="63"/>
  <c r="A15" i="63"/>
  <c r="H14" i="63"/>
  <c r="A14" i="63"/>
  <c r="H13" i="63"/>
  <c r="I13" i="63" s="1"/>
  <c r="R13" i="63" s="1"/>
  <c r="I12" i="63"/>
  <c r="R12" i="63" s="1"/>
  <c r="H12" i="63"/>
  <c r="H11" i="63"/>
  <c r="I11" i="63" s="1"/>
  <c r="R11" i="63" s="1"/>
  <c r="H10" i="63"/>
  <c r="I10" i="63" s="1"/>
  <c r="R10" i="63" s="1"/>
  <c r="H9" i="63"/>
  <c r="I9" i="63" s="1"/>
  <c r="R9" i="63" s="1"/>
  <c r="F9" i="63"/>
  <c r="F8" i="63"/>
  <c r="H8" i="63" s="1"/>
  <c r="I8" i="63" s="1"/>
  <c r="R8" i="63" s="1"/>
  <c r="I7" i="63"/>
  <c r="M7" i="63" s="1"/>
  <c r="H7" i="63"/>
  <c r="A7" i="63"/>
  <c r="A45" i="63" s="1"/>
  <c r="H6" i="63"/>
  <c r="I6" i="63" s="1"/>
  <c r="M6" i="63" s="1"/>
  <c r="F6" i="63"/>
  <c r="H5" i="63"/>
  <c r="I5" i="63" s="1"/>
  <c r="I4" i="63"/>
  <c r="H4" i="63"/>
  <c r="A4" i="63"/>
  <c r="I1" i="63"/>
  <c r="F152" i="62"/>
  <c r="H152" i="62" s="1"/>
  <c r="I152" i="62" s="1"/>
  <c r="H151" i="62"/>
  <c r="I151" i="62" s="1"/>
  <c r="F151" i="62"/>
  <c r="H150" i="62"/>
  <c r="I150" i="62" s="1"/>
  <c r="I147" i="62"/>
  <c r="H145" i="62"/>
  <c r="A145" i="62"/>
  <c r="I145" i="62" s="1"/>
  <c r="I144" i="62"/>
  <c r="H144" i="62"/>
  <c r="A144" i="62"/>
  <c r="H143" i="62"/>
  <c r="I143" i="62" s="1"/>
  <c r="F143" i="62"/>
  <c r="H142" i="62"/>
  <c r="F142" i="62"/>
  <c r="H141" i="62"/>
  <c r="A141" i="62"/>
  <c r="A142" i="62" s="1"/>
  <c r="I142" i="62" s="1"/>
  <c r="F140" i="62"/>
  <c r="H140" i="62" s="1"/>
  <c r="I140" i="62" s="1"/>
  <c r="I139" i="62"/>
  <c r="H139" i="62"/>
  <c r="H136" i="62"/>
  <c r="I136" i="62" s="1"/>
  <c r="F136" i="62"/>
  <c r="H135" i="62"/>
  <c r="I135" i="62" s="1"/>
  <c r="H134" i="62"/>
  <c r="I134" i="62" s="1"/>
  <c r="H133" i="62"/>
  <c r="I133" i="62" s="1"/>
  <c r="I132" i="62"/>
  <c r="H132" i="62"/>
  <c r="H131" i="62"/>
  <c r="I131" i="62" s="1"/>
  <c r="H130" i="62"/>
  <c r="I130" i="62" s="1"/>
  <c r="I126" i="62"/>
  <c r="H116" i="62"/>
  <c r="F115" i="62"/>
  <c r="H115" i="62" s="1"/>
  <c r="H114" i="62"/>
  <c r="H113" i="62"/>
  <c r="H112" i="62"/>
  <c r="H111" i="62"/>
  <c r="H110" i="62"/>
  <c r="H109" i="62"/>
  <c r="H108" i="62"/>
  <c r="H107" i="62"/>
  <c r="I100" i="62"/>
  <c r="H100" i="62"/>
  <c r="H98" i="62"/>
  <c r="I98" i="62" s="1"/>
  <c r="I97" i="62"/>
  <c r="H97" i="62"/>
  <c r="F97" i="62"/>
  <c r="H96" i="62"/>
  <c r="I96" i="62" s="1"/>
  <c r="F96" i="62"/>
  <c r="F95" i="62"/>
  <c r="H95" i="62" s="1"/>
  <c r="I95" i="62" s="1"/>
  <c r="I94" i="62"/>
  <c r="H94" i="62"/>
  <c r="H93" i="62"/>
  <c r="I93" i="62" s="1"/>
  <c r="F92" i="62"/>
  <c r="H92" i="62" s="1"/>
  <c r="I92" i="62" s="1"/>
  <c r="H89" i="62"/>
  <c r="I89" i="62" s="1"/>
  <c r="H88" i="62"/>
  <c r="I88" i="62" s="1"/>
  <c r="I87" i="62"/>
  <c r="H87" i="62"/>
  <c r="H86" i="62"/>
  <c r="I86" i="62" s="1"/>
  <c r="I85" i="62"/>
  <c r="H85" i="62"/>
  <c r="H84" i="62"/>
  <c r="I84" i="62" s="1"/>
  <c r="I81" i="62"/>
  <c r="H81" i="62"/>
  <c r="H80" i="62"/>
  <c r="I80" i="62" s="1"/>
  <c r="H79" i="62"/>
  <c r="I79" i="62" s="1"/>
  <c r="H78" i="62"/>
  <c r="I78" i="62" s="1"/>
  <c r="I77" i="62"/>
  <c r="H77" i="62"/>
  <c r="H76" i="62"/>
  <c r="I76" i="62" s="1"/>
  <c r="I75" i="62"/>
  <c r="I102" i="62" s="1"/>
  <c r="Q102" i="62" s="1"/>
  <c r="Q40" i="62" s="1"/>
  <c r="H75" i="62"/>
  <c r="H74" i="62"/>
  <c r="I74" i="62" s="1"/>
  <c r="I66" i="62"/>
  <c r="F65" i="62"/>
  <c r="H65" i="62" s="1"/>
  <c r="I64" i="62"/>
  <c r="H64" i="62"/>
  <c r="F60" i="62"/>
  <c r="H60" i="62" s="1"/>
  <c r="A60" i="62"/>
  <c r="F59" i="62"/>
  <c r="H59" i="62" s="1"/>
  <c r="I59" i="62" s="1"/>
  <c r="I58" i="62"/>
  <c r="F58" i="62"/>
  <c r="H58" i="62" s="1"/>
  <c r="H57" i="62"/>
  <c r="F57" i="62"/>
  <c r="A57" i="62"/>
  <c r="I57" i="62" s="1"/>
  <c r="H56" i="62"/>
  <c r="I56" i="62" s="1"/>
  <c r="F56" i="62"/>
  <c r="F55" i="62"/>
  <c r="H55" i="62" s="1"/>
  <c r="I55" i="62" s="1"/>
  <c r="H54" i="62"/>
  <c r="I54" i="62" s="1"/>
  <c r="F54" i="62"/>
  <c r="F53" i="62"/>
  <c r="H53" i="62" s="1"/>
  <c r="I53" i="62" s="1"/>
  <c r="I52" i="62"/>
  <c r="H52" i="62"/>
  <c r="F52" i="62"/>
  <c r="H51" i="62"/>
  <c r="I51" i="62" s="1"/>
  <c r="F51" i="62"/>
  <c r="A51" i="62"/>
  <c r="H50" i="62"/>
  <c r="I50" i="62" s="1"/>
  <c r="F50" i="62"/>
  <c r="A50" i="62"/>
  <c r="H49" i="62"/>
  <c r="I49" i="62" s="1"/>
  <c r="F49" i="62"/>
  <c r="F48" i="62"/>
  <c r="H48" i="62" s="1"/>
  <c r="I48" i="62" s="1"/>
  <c r="F47" i="62"/>
  <c r="H47" i="62" s="1"/>
  <c r="F46" i="62"/>
  <c r="H46" i="62" s="1"/>
  <c r="I46" i="62" s="1"/>
  <c r="F45" i="62"/>
  <c r="H45" i="62" s="1"/>
  <c r="A45" i="62"/>
  <c r="F44" i="62"/>
  <c r="H44" i="62" s="1"/>
  <c r="I44" i="62" s="1"/>
  <c r="H35" i="62"/>
  <c r="I35" i="62" s="1"/>
  <c r="S35" i="62" s="1"/>
  <c r="F35" i="62"/>
  <c r="H34" i="62"/>
  <c r="I34" i="62" s="1"/>
  <c r="S34" i="62" s="1"/>
  <c r="H33" i="62"/>
  <c r="I33" i="62" s="1"/>
  <c r="S33" i="62" s="1"/>
  <c r="S32" i="62"/>
  <c r="I32" i="62"/>
  <c r="H32" i="62"/>
  <c r="I31" i="62"/>
  <c r="S31" i="62" s="1"/>
  <c r="S38" i="62" s="1"/>
  <c r="S40" i="62" s="1"/>
  <c r="H31" i="62"/>
  <c r="H30" i="62"/>
  <c r="I30" i="62" s="1"/>
  <c r="O30" i="62" s="1"/>
  <c r="F30" i="62"/>
  <c r="H29" i="62"/>
  <c r="I29" i="62" s="1"/>
  <c r="O29" i="62" s="1"/>
  <c r="M28" i="62"/>
  <c r="H28" i="62"/>
  <c r="I28" i="62" s="1"/>
  <c r="O27" i="62"/>
  <c r="I27" i="62"/>
  <c r="H27" i="62"/>
  <c r="I26" i="62"/>
  <c r="R26" i="62" s="1"/>
  <c r="H26" i="62"/>
  <c r="H25" i="62"/>
  <c r="I25" i="62" s="1"/>
  <c r="R25" i="62" s="1"/>
  <c r="H24" i="62"/>
  <c r="I24" i="62" s="1"/>
  <c r="R24" i="62" s="1"/>
  <c r="N23" i="62"/>
  <c r="I23" i="62"/>
  <c r="H23" i="62"/>
  <c r="I22" i="62"/>
  <c r="N22" i="62" s="1"/>
  <c r="H22" i="62"/>
  <c r="H21" i="62"/>
  <c r="I21" i="62" s="1"/>
  <c r="N21" i="62" s="1"/>
  <c r="H20" i="62"/>
  <c r="I20" i="62" s="1"/>
  <c r="N20" i="62" s="1"/>
  <c r="O19" i="62"/>
  <c r="I19" i="62"/>
  <c r="H19" i="62"/>
  <c r="I18" i="62"/>
  <c r="O18" i="62" s="1"/>
  <c r="H18" i="62"/>
  <c r="A18" i="62"/>
  <c r="I17" i="62"/>
  <c r="O17" i="62" s="1"/>
  <c r="H17" i="62"/>
  <c r="H16" i="62"/>
  <c r="H15" i="62"/>
  <c r="A15" i="62"/>
  <c r="A16" i="62" s="1"/>
  <c r="H14" i="62"/>
  <c r="A14" i="62"/>
  <c r="H13" i="62"/>
  <c r="I13" i="62" s="1"/>
  <c r="R13" i="62" s="1"/>
  <c r="H12" i="62"/>
  <c r="I12" i="62" s="1"/>
  <c r="R12" i="62" s="1"/>
  <c r="R11" i="62"/>
  <c r="I11" i="62"/>
  <c r="H11" i="62"/>
  <c r="I10" i="62"/>
  <c r="R10" i="62" s="1"/>
  <c r="H10" i="62"/>
  <c r="H9" i="62"/>
  <c r="I9" i="62" s="1"/>
  <c r="R9" i="62" s="1"/>
  <c r="F9" i="62"/>
  <c r="H8" i="62"/>
  <c r="I8" i="62" s="1"/>
  <c r="R8" i="62" s="1"/>
  <c r="F8" i="62"/>
  <c r="I7" i="62"/>
  <c r="M7" i="62" s="1"/>
  <c r="H7" i="62"/>
  <c r="I6" i="62"/>
  <c r="M6" i="62" s="1"/>
  <c r="H6" i="62"/>
  <c r="F6" i="62"/>
  <c r="J6" i="62" s="1"/>
  <c r="H5" i="62"/>
  <c r="I5" i="62" s="1"/>
  <c r="H4" i="62"/>
  <c r="A4" i="62"/>
  <c r="A47" i="62" s="1"/>
  <c r="I47" i="62" s="1"/>
  <c r="I1" i="62"/>
  <c r="J4" i="62" s="1"/>
  <c r="F148" i="61"/>
  <c r="H148" i="61" s="1"/>
  <c r="I148" i="61" s="1"/>
  <c r="I147" i="61"/>
  <c r="H147" i="61"/>
  <c r="F147" i="61"/>
  <c r="H146" i="61"/>
  <c r="I146" i="61" s="1"/>
  <c r="I150" i="61" s="1"/>
  <c r="H141" i="61"/>
  <c r="H140" i="61"/>
  <c r="A140" i="61"/>
  <c r="I140" i="61" s="1"/>
  <c r="I139" i="61"/>
  <c r="H139" i="61"/>
  <c r="F139" i="61"/>
  <c r="H138" i="61"/>
  <c r="F138" i="61"/>
  <c r="H137" i="61"/>
  <c r="I137" i="61" s="1"/>
  <c r="A137" i="61"/>
  <c r="A138" i="61" s="1"/>
  <c r="I138" i="61" s="1"/>
  <c r="F136" i="61"/>
  <c r="H136" i="61" s="1"/>
  <c r="I136" i="61" s="1"/>
  <c r="I135" i="61"/>
  <c r="H135" i="61"/>
  <c r="H132" i="61"/>
  <c r="I132" i="61" s="1"/>
  <c r="F132" i="61"/>
  <c r="H131" i="61"/>
  <c r="I131" i="61" s="1"/>
  <c r="I130" i="61"/>
  <c r="H130" i="61"/>
  <c r="H129" i="61"/>
  <c r="I129" i="61" s="1"/>
  <c r="I128" i="61"/>
  <c r="H128" i="61"/>
  <c r="H127" i="61"/>
  <c r="I127" i="61" s="1"/>
  <c r="I126" i="61"/>
  <c r="H126" i="61"/>
  <c r="I122" i="61"/>
  <c r="H112" i="61"/>
  <c r="H111" i="61"/>
  <c r="F111" i="61"/>
  <c r="H110" i="61"/>
  <c r="H109" i="61"/>
  <c r="H108" i="61"/>
  <c r="H107" i="61"/>
  <c r="H106" i="61"/>
  <c r="H105" i="61"/>
  <c r="H104" i="61"/>
  <c r="H103" i="61"/>
  <c r="I96" i="61"/>
  <c r="H96" i="61"/>
  <c r="H94" i="61"/>
  <c r="I94" i="61" s="1"/>
  <c r="F93" i="61"/>
  <c r="H93" i="61" s="1"/>
  <c r="I93" i="61" s="1"/>
  <c r="I92" i="61"/>
  <c r="H92" i="61"/>
  <c r="F92" i="61"/>
  <c r="H91" i="61"/>
  <c r="I91" i="61" s="1"/>
  <c r="I90" i="61"/>
  <c r="H90" i="61"/>
  <c r="F89" i="61"/>
  <c r="H89" i="61" s="1"/>
  <c r="I89" i="61" s="1"/>
  <c r="H86" i="61"/>
  <c r="I86" i="61" s="1"/>
  <c r="I85" i="61"/>
  <c r="H85" i="61"/>
  <c r="H84" i="61"/>
  <c r="I84" i="61" s="1"/>
  <c r="I83" i="61"/>
  <c r="H83" i="61"/>
  <c r="H82" i="61"/>
  <c r="I82" i="61" s="1"/>
  <c r="H81" i="61"/>
  <c r="I81" i="61" s="1"/>
  <c r="H78" i="61"/>
  <c r="I78" i="61" s="1"/>
  <c r="H77" i="61"/>
  <c r="I77" i="61" s="1"/>
  <c r="H76" i="61"/>
  <c r="I76" i="61" s="1"/>
  <c r="I75" i="61"/>
  <c r="H75" i="61"/>
  <c r="H74" i="61"/>
  <c r="I74" i="61" s="1"/>
  <c r="I73" i="61"/>
  <c r="H73" i="61"/>
  <c r="H72" i="61"/>
  <c r="I72" i="61" s="1"/>
  <c r="I71" i="61"/>
  <c r="I98" i="61" s="1"/>
  <c r="Q98" i="61" s="1"/>
  <c r="Q37" i="61" s="1"/>
  <c r="H71" i="61"/>
  <c r="I63" i="61"/>
  <c r="F62" i="61"/>
  <c r="H62" i="61" s="1"/>
  <c r="I61" i="61"/>
  <c r="H61" i="61"/>
  <c r="I57" i="61"/>
  <c r="H57" i="61"/>
  <c r="F57" i="61"/>
  <c r="A57" i="61"/>
  <c r="I56" i="61"/>
  <c r="H56" i="61"/>
  <c r="F56" i="61"/>
  <c r="F55" i="61"/>
  <c r="H55" i="61" s="1"/>
  <c r="I55" i="61" s="1"/>
  <c r="F54" i="61"/>
  <c r="H54" i="61" s="1"/>
  <c r="A54" i="61"/>
  <c r="F53" i="61"/>
  <c r="H53" i="61" s="1"/>
  <c r="I53" i="61" s="1"/>
  <c r="I52" i="61"/>
  <c r="F52" i="61"/>
  <c r="H52" i="61" s="1"/>
  <c r="I51" i="61"/>
  <c r="H51" i="61"/>
  <c r="F51" i="61"/>
  <c r="H50" i="61"/>
  <c r="I50" i="61" s="1"/>
  <c r="F50" i="61"/>
  <c r="F49" i="61"/>
  <c r="H49" i="61" s="1"/>
  <c r="I49" i="61" s="1"/>
  <c r="F48" i="61"/>
  <c r="H48" i="61" s="1"/>
  <c r="I48" i="61" s="1"/>
  <c r="I47" i="61"/>
  <c r="H47" i="61"/>
  <c r="F47" i="61"/>
  <c r="H46" i="61"/>
  <c r="I46" i="61" s="1"/>
  <c r="F46" i="61"/>
  <c r="F45" i="61"/>
  <c r="H45" i="61" s="1"/>
  <c r="I45" i="61" s="1"/>
  <c r="F44" i="61"/>
  <c r="H44" i="61" s="1"/>
  <c r="I44" i="61" s="1"/>
  <c r="A44" i="61"/>
  <c r="F43" i="61"/>
  <c r="H43" i="61" s="1"/>
  <c r="I43" i="61" s="1"/>
  <c r="H42" i="61"/>
  <c r="F42" i="61"/>
  <c r="H41" i="61"/>
  <c r="I41" i="61" s="1"/>
  <c r="F41" i="61"/>
  <c r="S32" i="61"/>
  <c r="F32" i="61"/>
  <c r="H32" i="61" s="1"/>
  <c r="I32" i="61" s="1"/>
  <c r="H31" i="61"/>
  <c r="I31" i="61" s="1"/>
  <c r="S31" i="61" s="1"/>
  <c r="S30" i="61"/>
  <c r="I30" i="61"/>
  <c r="H30" i="61"/>
  <c r="I29" i="61"/>
  <c r="S29" i="61" s="1"/>
  <c r="H29" i="61"/>
  <c r="H28" i="61"/>
  <c r="I28" i="61" s="1"/>
  <c r="S28" i="61" s="1"/>
  <c r="H27" i="61"/>
  <c r="I27" i="61" s="1"/>
  <c r="O27" i="61" s="1"/>
  <c r="M26" i="61"/>
  <c r="I26" i="61"/>
  <c r="H26" i="61"/>
  <c r="I25" i="61"/>
  <c r="O25" i="61" s="1"/>
  <c r="H25" i="61"/>
  <c r="H24" i="61"/>
  <c r="I24" i="61" s="1"/>
  <c r="R24" i="61" s="1"/>
  <c r="H23" i="61"/>
  <c r="I23" i="61" s="1"/>
  <c r="R23" i="61" s="1"/>
  <c r="I22" i="61"/>
  <c r="R22" i="61" s="1"/>
  <c r="H22" i="61"/>
  <c r="I21" i="61"/>
  <c r="N21" i="61" s="1"/>
  <c r="H21" i="61"/>
  <c r="H20" i="61"/>
  <c r="I20" i="61" s="1"/>
  <c r="N20" i="61" s="1"/>
  <c r="H19" i="61"/>
  <c r="I19" i="61" s="1"/>
  <c r="N19" i="61" s="1"/>
  <c r="I18" i="61"/>
  <c r="N18" i="61" s="1"/>
  <c r="H18" i="61"/>
  <c r="I17" i="61"/>
  <c r="O17" i="61" s="1"/>
  <c r="H17" i="61"/>
  <c r="H16" i="61"/>
  <c r="A16" i="61"/>
  <c r="H15" i="61"/>
  <c r="A15" i="61"/>
  <c r="H14" i="61"/>
  <c r="A14" i="61"/>
  <c r="I14" i="61" s="1"/>
  <c r="O14" i="61" s="1"/>
  <c r="H13" i="61"/>
  <c r="A13" i="61"/>
  <c r="H12" i="61"/>
  <c r="A12" i="61"/>
  <c r="I12" i="61" s="1"/>
  <c r="R12" i="61" s="1"/>
  <c r="H11" i="61"/>
  <c r="I11" i="61" s="1"/>
  <c r="R11" i="61" s="1"/>
  <c r="R10" i="61"/>
  <c r="I10" i="61"/>
  <c r="H10" i="61"/>
  <c r="R9" i="61"/>
  <c r="I9" i="61"/>
  <c r="H9" i="61"/>
  <c r="H8" i="61"/>
  <c r="I8" i="61" s="1"/>
  <c r="R8" i="61" s="1"/>
  <c r="H7" i="61"/>
  <c r="I7" i="61" s="1"/>
  <c r="R7" i="61" s="1"/>
  <c r="R35" i="61" s="1"/>
  <c r="R37" i="61" s="1"/>
  <c r="F6" i="61"/>
  <c r="J6" i="61" s="1"/>
  <c r="A6" i="61"/>
  <c r="A42" i="61" s="1"/>
  <c r="A59" i="61" s="1"/>
  <c r="A62" i="61" s="1"/>
  <c r="I62" i="61" s="1"/>
  <c r="I66" i="61" s="1"/>
  <c r="P66" i="61" s="1"/>
  <c r="P37" i="61" s="1"/>
  <c r="H5" i="61"/>
  <c r="I5" i="61" s="1"/>
  <c r="H4" i="61"/>
  <c r="I4" i="61" s="1"/>
  <c r="M4" i="61" s="1"/>
  <c r="L1" i="61"/>
  <c r="I1" i="61"/>
  <c r="J4" i="61" s="1"/>
  <c r="H127" i="60"/>
  <c r="I127" i="60" s="1"/>
  <c r="F127" i="60"/>
  <c r="F126" i="60"/>
  <c r="H126" i="60" s="1"/>
  <c r="I126" i="60" s="1"/>
  <c r="I125" i="60"/>
  <c r="H125" i="60"/>
  <c r="H120" i="60"/>
  <c r="I120" i="60" s="1"/>
  <c r="H119" i="60"/>
  <c r="I119" i="60" s="1"/>
  <c r="H118" i="60"/>
  <c r="I118" i="60" s="1"/>
  <c r="H117" i="60"/>
  <c r="I117" i="60" s="1"/>
  <c r="I116" i="60"/>
  <c r="H116" i="60"/>
  <c r="H115" i="60"/>
  <c r="I115" i="60" s="1"/>
  <c r="I111" i="60"/>
  <c r="H101" i="60"/>
  <c r="F100" i="60"/>
  <c r="H100" i="60" s="1"/>
  <c r="H99" i="60"/>
  <c r="H98" i="60"/>
  <c r="H97" i="60"/>
  <c r="H96" i="60"/>
  <c r="H95" i="60"/>
  <c r="H94" i="60"/>
  <c r="H93" i="60"/>
  <c r="H92" i="60"/>
  <c r="H85" i="60"/>
  <c r="A85" i="60"/>
  <c r="I85" i="60" s="1"/>
  <c r="I84" i="60"/>
  <c r="H84" i="60"/>
  <c r="H83" i="60"/>
  <c r="I83" i="60" s="1"/>
  <c r="I82" i="60"/>
  <c r="H82" i="60"/>
  <c r="H81" i="60"/>
  <c r="I81" i="60" s="1"/>
  <c r="I80" i="60"/>
  <c r="H80" i="60"/>
  <c r="H77" i="60"/>
  <c r="I77" i="60" s="1"/>
  <c r="I76" i="60"/>
  <c r="H76" i="60"/>
  <c r="H75" i="60"/>
  <c r="I75" i="60" s="1"/>
  <c r="I74" i="60"/>
  <c r="H74" i="60"/>
  <c r="H73" i="60"/>
  <c r="I73" i="60" s="1"/>
  <c r="I72" i="60"/>
  <c r="H72" i="60"/>
  <c r="H71" i="60"/>
  <c r="I71" i="60" s="1"/>
  <c r="I70" i="60"/>
  <c r="H70" i="60"/>
  <c r="I62" i="60"/>
  <c r="H62" i="60"/>
  <c r="H61" i="60"/>
  <c r="F61" i="60"/>
  <c r="I60" i="60"/>
  <c r="H60" i="60"/>
  <c r="H56" i="60"/>
  <c r="I56" i="60" s="1"/>
  <c r="F56" i="60"/>
  <c r="F55" i="60"/>
  <c r="H55" i="60" s="1"/>
  <c r="I55" i="60" s="1"/>
  <c r="I54" i="60"/>
  <c r="H54" i="60"/>
  <c r="F54" i="60"/>
  <c r="I53" i="60"/>
  <c r="H53" i="60"/>
  <c r="F53" i="60"/>
  <c r="F52" i="60"/>
  <c r="H52" i="60" s="1"/>
  <c r="A52" i="60"/>
  <c r="H51" i="60"/>
  <c r="I51" i="60" s="1"/>
  <c r="F51" i="60"/>
  <c r="F50" i="60"/>
  <c r="H50" i="60" s="1"/>
  <c r="I50" i="60" s="1"/>
  <c r="I49" i="60"/>
  <c r="H49" i="60"/>
  <c r="F49" i="60"/>
  <c r="I48" i="60"/>
  <c r="H48" i="60"/>
  <c r="F48" i="60"/>
  <c r="F47" i="60"/>
  <c r="H47" i="60" s="1"/>
  <c r="I47" i="60" s="1"/>
  <c r="I46" i="60"/>
  <c r="F46" i="60"/>
  <c r="H46" i="60" s="1"/>
  <c r="H45" i="60"/>
  <c r="I45" i="60" s="1"/>
  <c r="F45" i="60"/>
  <c r="F44" i="60"/>
  <c r="H44" i="60" s="1"/>
  <c r="I44" i="60" s="1"/>
  <c r="H43" i="60"/>
  <c r="F43" i="60"/>
  <c r="H42" i="60"/>
  <c r="I42" i="60" s="1"/>
  <c r="F42" i="60"/>
  <c r="F41" i="60"/>
  <c r="H41" i="60" s="1"/>
  <c r="A41" i="60"/>
  <c r="I40" i="60"/>
  <c r="F40" i="60"/>
  <c r="H40" i="60" s="1"/>
  <c r="H31" i="60"/>
  <c r="I31" i="60" s="1"/>
  <c r="S31" i="60" s="1"/>
  <c r="F31" i="60"/>
  <c r="I30" i="60"/>
  <c r="S30" i="60" s="1"/>
  <c r="H30" i="60"/>
  <c r="H29" i="60"/>
  <c r="I29" i="60" s="1"/>
  <c r="S29" i="60" s="1"/>
  <c r="S28" i="60"/>
  <c r="I28" i="60"/>
  <c r="H28" i="60"/>
  <c r="S27" i="60"/>
  <c r="S34" i="60" s="1"/>
  <c r="S36" i="60" s="1"/>
  <c r="I27" i="60"/>
  <c r="H27" i="60"/>
  <c r="H26" i="60"/>
  <c r="I26" i="60" s="1"/>
  <c r="O26" i="60" s="1"/>
  <c r="M25" i="60"/>
  <c r="H25" i="60"/>
  <c r="I25" i="60" s="1"/>
  <c r="I24" i="60"/>
  <c r="O24" i="60" s="1"/>
  <c r="H24" i="60"/>
  <c r="H23" i="60"/>
  <c r="I23" i="60" s="1"/>
  <c r="R23" i="60" s="1"/>
  <c r="I22" i="60"/>
  <c r="R22" i="60" s="1"/>
  <c r="H22" i="60"/>
  <c r="H21" i="60"/>
  <c r="I21" i="60" s="1"/>
  <c r="R21" i="60" s="1"/>
  <c r="N20" i="60"/>
  <c r="I20" i="60"/>
  <c r="H20" i="60"/>
  <c r="N19" i="60"/>
  <c r="I19" i="60"/>
  <c r="H19" i="60"/>
  <c r="H18" i="60"/>
  <c r="I18" i="60" s="1"/>
  <c r="N18" i="60" s="1"/>
  <c r="N17" i="60"/>
  <c r="N34" i="60" s="1"/>
  <c r="N36" i="60" s="1"/>
  <c r="H17" i="60"/>
  <c r="I17" i="60" s="1"/>
  <c r="H16" i="60"/>
  <c r="I15" i="60"/>
  <c r="O15" i="60" s="1"/>
  <c r="H15" i="60"/>
  <c r="A15" i="60"/>
  <c r="A16" i="60" s="1"/>
  <c r="I16" i="60" s="1"/>
  <c r="O16" i="60" s="1"/>
  <c r="F14" i="60"/>
  <c r="H14" i="60" s="1"/>
  <c r="H13" i="60"/>
  <c r="F13" i="60"/>
  <c r="A13" i="60"/>
  <c r="H12" i="60"/>
  <c r="I12" i="60" s="1"/>
  <c r="R12" i="60" s="1"/>
  <c r="A12" i="60"/>
  <c r="H11" i="60"/>
  <c r="I11" i="60" s="1"/>
  <c r="R11" i="60" s="1"/>
  <c r="R10" i="60"/>
  <c r="H10" i="60"/>
  <c r="I10" i="60" s="1"/>
  <c r="I9" i="60"/>
  <c r="R9" i="60" s="1"/>
  <c r="H9" i="60"/>
  <c r="H8" i="60"/>
  <c r="I8" i="60" s="1"/>
  <c r="R8" i="60" s="1"/>
  <c r="I7" i="60"/>
  <c r="R7" i="60" s="1"/>
  <c r="H7" i="60"/>
  <c r="H6" i="60"/>
  <c r="I6" i="60" s="1"/>
  <c r="M6" i="60" s="1"/>
  <c r="F6" i="60"/>
  <c r="J6" i="60" s="1"/>
  <c r="A6" i="60"/>
  <c r="H5" i="60"/>
  <c r="I5" i="60" s="1"/>
  <c r="J4" i="60"/>
  <c r="H4" i="60"/>
  <c r="I4" i="60" s="1"/>
  <c r="L1" i="60"/>
  <c r="H143" i="59"/>
  <c r="I143" i="59" s="1"/>
  <c r="I142" i="59"/>
  <c r="H142" i="59"/>
  <c r="H136" i="59"/>
  <c r="I136" i="59" s="1"/>
  <c r="F136" i="59"/>
  <c r="F135" i="59"/>
  <c r="H135" i="59" s="1"/>
  <c r="I135" i="59" s="1"/>
  <c r="H134" i="59"/>
  <c r="I134" i="59" s="1"/>
  <c r="I138" i="59" s="1"/>
  <c r="H129" i="59"/>
  <c r="H128" i="59"/>
  <c r="I127" i="59"/>
  <c r="H127" i="59"/>
  <c r="F127" i="59"/>
  <c r="A127" i="59"/>
  <c r="A128" i="59" s="1"/>
  <c r="A129" i="59" s="1"/>
  <c r="I129" i="59" s="1"/>
  <c r="H126" i="59"/>
  <c r="F126" i="59"/>
  <c r="H125" i="59"/>
  <c r="F124" i="59"/>
  <c r="H124" i="59" s="1"/>
  <c r="A124" i="59"/>
  <c r="A125" i="59" s="1"/>
  <c r="H123" i="59"/>
  <c r="A123" i="59"/>
  <c r="I120" i="59"/>
  <c r="H120" i="59"/>
  <c r="I119" i="59"/>
  <c r="H119" i="59"/>
  <c r="I118" i="59"/>
  <c r="H118" i="59"/>
  <c r="I117" i="59"/>
  <c r="H117" i="59"/>
  <c r="I116" i="59"/>
  <c r="H116" i="59"/>
  <c r="I115" i="59"/>
  <c r="H115" i="59"/>
  <c r="F114" i="59"/>
  <c r="H114" i="59" s="1"/>
  <c r="I114" i="59" s="1"/>
  <c r="I100" i="59"/>
  <c r="H100" i="59"/>
  <c r="I99" i="59"/>
  <c r="H99" i="59"/>
  <c r="F99" i="59"/>
  <c r="H98" i="59"/>
  <c r="I98" i="59" s="1"/>
  <c r="I97" i="59"/>
  <c r="H97" i="59"/>
  <c r="H96" i="59"/>
  <c r="I96" i="59" s="1"/>
  <c r="H95" i="59"/>
  <c r="I95" i="59" s="1"/>
  <c r="H94" i="59"/>
  <c r="I94" i="59" s="1"/>
  <c r="H93" i="59"/>
  <c r="I93" i="59" s="1"/>
  <c r="H92" i="59"/>
  <c r="I92" i="59" s="1"/>
  <c r="I91" i="59"/>
  <c r="I110" i="59" s="1"/>
  <c r="H91" i="59"/>
  <c r="I84" i="59"/>
  <c r="H84" i="59"/>
  <c r="H83" i="59"/>
  <c r="I83" i="59" s="1"/>
  <c r="H82" i="59"/>
  <c r="I82" i="59" s="1"/>
  <c r="H81" i="59"/>
  <c r="I81" i="59" s="1"/>
  <c r="H80" i="59"/>
  <c r="I80" i="59" s="1"/>
  <c r="H79" i="59"/>
  <c r="I79" i="59" s="1"/>
  <c r="I76" i="59"/>
  <c r="H76" i="59"/>
  <c r="H75" i="59"/>
  <c r="I75" i="59" s="1"/>
  <c r="I74" i="59"/>
  <c r="H74" i="59"/>
  <c r="H73" i="59"/>
  <c r="I73" i="59" s="1"/>
  <c r="H72" i="59"/>
  <c r="I72" i="59" s="1"/>
  <c r="H71" i="59"/>
  <c r="I71" i="59" s="1"/>
  <c r="H70" i="59"/>
  <c r="I70" i="59" s="1"/>
  <c r="H69" i="59"/>
  <c r="I69" i="59" s="1"/>
  <c r="H61" i="59"/>
  <c r="I61" i="59" s="1"/>
  <c r="H60" i="59"/>
  <c r="F60" i="59"/>
  <c r="I59" i="59"/>
  <c r="H59" i="59"/>
  <c r="F55" i="59"/>
  <c r="H55" i="59" s="1"/>
  <c r="I55" i="59" s="1"/>
  <c r="H54" i="59"/>
  <c r="I54" i="59" s="1"/>
  <c r="F54" i="59"/>
  <c r="F53" i="59"/>
  <c r="H53" i="59" s="1"/>
  <c r="I53" i="59" s="1"/>
  <c r="F52" i="59"/>
  <c r="H52" i="59" s="1"/>
  <c r="I52" i="59" s="1"/>
  <c r="I51" i="59"/>
  <c r="H51" i="59"/>
  <c r="F51" i="59"/>
  <c r="A51" i="59"/>
  <c r="I50" i="59"/>
  <c r="H50" i="59"/>
  <c r="F50" i="59"/>
  <c r="H49" i="59"/>
  <c r="I49" i="59" s="1"/>
  <c r="F49" i="59"/>
  <c r="F48" i="59"/>
  <c r="H48" i="59" s="1"/>
  <c r="I48" i="59" s="1"/>
  <c r="F47" i="59"/>
  <c r="H47" i="59" s="1"/>
  <c r="I47" i="59" s="1"/>
  <c r="H46" i="59"/>
  <c r="F46" i="59"/>
  <c r="I45" i="59"/>
  <c r="H45" i="59"/>
  <c r="F45" i="59"/>
  <c r="H44" i="59"/>
  <c r="I44" i="59" s="1"/>
  <c r="F44" i="59"/>
  <c r="F43" i="59"/>
  <c r="H43" i="59" s="1"/>
  <c r="I43" i="59" s="1"/>
  <c r="F42" i="59"/>
  <c r="H42" i="59" s="1"/>
  <c r="F41" i="59"/>
  <c r="H41" i="59" s="1"/>
  <c r="I41" i="59" s="1"/>
  <c r="H40" i="59"/>
  <c r="F40" i="59"/>
  <c r="I39" i="59"/>
  <c r="H39" i="59"/>
  <c r="F39" i="59"/>
  <c r="I30" i="59"/>
  <c r="S30" i="59" s="1"/>
  <c r="H30" i="59"/>
  <c r="F30" i="59"/>
  <c r="I29" i="59"/>
  <c r="S29" i="59" s="1"/>
  <c r="H29" i="59"/>
  <c r="H28" i="59"/>
  <c r="I28" i="59" s="1"/>
  <c r="S28" i="59" s="1"/>
  <c r="H27" i="59"/>
  <c r="I27" i="59" s="1"/>
  <c r="S27" i="59" s="1"/>
  <c r="S26" i="59"/>
  <c r="I26" i="59"/>
  <c r="H26" i="59"/>
  <c r="I25" i="59"/>
  <c r="O25" i="59" s="1"/>
  <c r="H25" i="59"/>
  <c r="M24" i="59"/>
  <c r="H24" i="59"/>
  <c r="I24" i="59" s="1"/>
  <c r="H23" i="59"/>
  <c r="I23" i="59" s="1"/>
  <c r="O23" i="59" s="1"/>
  <c r="R22" i="59"/>
  <c r="I22" i="59"/>
  <c r="H22" i="59"/>
  <c r="I21" i="59"/>
  <c r="R21" i="59" s="1"/>
  <c r="H21" i="59"/>
  <c r="H20" i="59"/>
  <c r="I20" i="59" s="1"/>
  <c r="R20" i="59" s="1"/>
  <c r="H19" i="59"/>
  <c r="I19" i="59" s="1"/>
  <c r="N19" i="59" s="1"/>
  <c r="N18" i="59"/>
  <c r="I18" i="59"/>
  <c r="H18" i="59"/>
  <c r="I17" i="59"/>
  <c r="N17" i="59" s="1"/>
  <c r="H17" i="59"/>
  <c r="A17" i="59"/>
  <c r="A46" i="59" s="1"/>
  <c r="I46" i="59" s="1"/>
  <c r="I16" i="59"/>
  <c r="N16" i="59" s="1"/>
  <c r="H16" i="59"/>
  <c r="H15" i="59"/>
  <c r="I15" i="59" s="1"/>
  <c r="O15" i="59" s="1"/>
  <c r="A15" i="59"/>
  <c r="H14" i="59"/>
  <c r="I14" i="59" s="1"/>
  <c r="O14" i="59" s="1"/>
  <c r="F13" i="59"/>
  <c r="H13" i="59" s="1"/>
  <c r="H12" i="59"/>
  <c r="I12" i="59" s="1"/>
  <c r="O12" i="59" s="1"/>
  <c r="F12" i="59"/>
  <c r="H11" i="59"/>
  <c r="I11" i="59" s="1"/>
  <c r="R11" i="59" s="1"/>
  <c r="A11" i="59"/>
  <c r="H10" i="59"/>
  <c r="I10" i="59" s="1"/>
  <c r="R10" i="59" s="1"/>
  <c r="H9" i="59"/>
  <c r="I9" i="59" s="1"/>
  <c r="R9" i="59" s="1"/>
  <c r="H8" i="59"/>
  <c r="I8" i="59" s="1"/>
  <c r="R8" i="59" s="1"/>
  <c r="I7" i="59"/>
  <c r="R7" i="59" s="1"/>
  <c r="R33" i="59" s="1"/>
  <c r="R35" i="59" s="1"/>
  <c r="H7" i="59"/>
  <c r="A6" i="59"/>
  <c r="A40" i="59" s="1"/>
  <c r="I5" i="59"/>
  <c r="H5" i="59"/>
  <c r="I4" i="59"/>
  <c r="H4" i="59"/>
  <c r="I1" i="59"/>
  <c r="J4" i="59" s="1"/>
  <c r="H118" i="58"/>
  <c r="I118" i="58" s="1"/>
  <c r="I117" i="58"/>
  <c r="H117" i="58"/>
  <c r="I111" i="58"/>
  <c r="H111" i="58"/>
  <c r="F111" i="58"/>
  <c r="H110" i="58"/>
  <c r="I110" i="58" s="1"/>
  <c r="F110" i="58"/>
  <c r="H109" i="58"/>
  <c r="I109" i="58" s="1"/>
  <c r="I113" i="58" s="1"/>
  <c r="I103" i="58"/>
  <c r="H103" i="58"/>
  <c r="H102" i="58"/>
  <c r="I102" i="58" s="1"/>
  <c r="I101" i="58"/>
  <c r="H101" i="58"/>
  <c r="H100" i="58"/>
  <c r="I100" i="58" s="1"/>
  <c r="I99" i="58"/>
  <c r="H99" i="58"/>
  <c r="H98" i="58"/>
  <c r="I98" i="58" s="1"/>
  <c r="F97" i="58"/>
  <c r="H97" i="58" s="1"/>
  <c r="I97" i="58" s="1"/>
  <c r="I106" i="58" s="1"/>
  <c r="H84" i="58"/>
  <c r="I84" i="58" s="1"/>
  <c r="I83" i="58"/>
  <c r="H83" i="58"/>
  <c r="H82" i="58"/>
  <c r="I82" i="58" s="1"/>
  <c r="H81" i="58"/>
  <c r="I81" i="58" s="1"/>
  <c r="H80" i="58"/>
  <c r="I80" i="58" s="1"/>
  <c r="I79" i="58"/>
  <c r="H79" i="58"/>
  <c r="H76" i="58"/>
  <c r="I76" i="58" s="1"/>
  <c r="H75" i="58"/>
  <c r="I75" i="58" s="1"/>
  <c r="H74" i="58"/>
  <c r="I74" i="58" s="1"/>
  <c r="H73" i="58"/>
  <c r="I73" i="58" s="1"/>
  <c r="H72" i="58"/>
  <c r="I72" i="58" s="1"/>
  <c r="H71" i="58"/>
  <c r="I71" i="58" s="1"/>
  <c r="H70" i="58"/>
  <c r="I70" i="58" s="1"/>
  <c r="I69" i="58"/>
  <c r="H69" i="58"/>
  <c r="H61" i="58"/>
  <c r="I61" i="58" s="1"/>
  <c r="F60" i="58"/>
  <c r="H60" i="58" s="1"/>
  <c r="H59" i="58"/>
  <c r="I59" i="58" s="1"/>
  <c r="I55" i="58"/>
  <c r="F55" i="58"/>
  <c r="H55" i="58" s="1"/>
  <c r="H54" i="58"/>
  <c r="I54" i="58" s="1"/>
  <c r="F54" i="58"/>
  <c r="F53" i="58"/>
  <c r="H53" i="58" s="1"/>
  <c r="I53" i="58" s="1"/>
  <c r="F52" i="58"/>
  <c r="H52" i="58" s="1"/>
  <c r="I52" i="58" s="1"/>
  <c r="I51" i="58"/>
  <c r="F51" i="58"/>
  <c r="H51" i="58" s="1"/>
  <c r="A51" i="58"/>
  <c r="I50" i="58"/>
  <c r="H50" i="58"/>
  <c r="F50" i="58"/>
  <c r="H49" i="58"/>
  <c r="I49" i="58" s="1"/>
  <c r="F49" i="58"/>
  <c r="F48" i="58"/>
  <c r="H48" i="58" s="1"/>
  <c r="I48" i="58" s="1"/>
  <c r="F47" i="58"/>
  <c r="H47" i="58" s="1"/>
  <c r="I47" i="58" s="1"/>
  <c r="I46" i="58"/>
  <c r="H46" i="58"/>
  <c r="F46" i="58"/>
  <c r="H45" i="58"/>
  <c r="I45" i="58" s="1"/>
  <c r="F45" i="58"/>
  <c r="F44" i="58"/>
  <c r="H44" i="58" s="1"/>
  <c r="I44" i="58" s="1"/>
  <c r="F43" i="58"/>
  <c r="H43" i="58" s="1"/>
  <c r="I43" i="58" s="1"/>
  <c r="H42" i="58"/>
  <c r="F42" i="58"/>
  <c r="A42" i="58"/>
  <c r="I42" i="58" s="1"/>
  <c r="I41" i="58"/>
  <c r="H41" i="58"/>
  <c r="F41" i="58"/>
  <c r="I40" i="58"/>
  <c r="H40" i="58"/>
  <c r="F40" i="58"/>
  <c r="H39" i="58"/>
  <c r="I39" i="58" s="1"/>
  <c r="F39" i="58"/>
  <c r="I30" i="58"/>
  <c r="S30" i="58" s="1"/>
  <c r="H30" i="58"/>
  <c r="F30" i="58"/>
  <c r="I29" i="58"/>
  <c r="S29" i="58" s="1"/>
  <c r="H29" i="58"/>
  <c r="H28" i="58"/>
  <c r="I28" i="58" s="1"/>
  <c r="S28" i="58" s="1"/>
  <c r="H27" i="58"/>
  <c r="I27" i="58" s="1"/>
  <c r="S27" i="58" s="1"/>
  <c r="S26" i="58"/>
  <c r="I26" i="58"/>
  <c r="H26" i="58"/>
  <c r="I25" i="58"/>
  <c r="O25" i="58" s="1"/>
  <c r="H25" i="58"/>
  <c r="M24" i="58"/>
  <c r="H24" i="58"/>
  <c r="I24" i="58" s="1"/>
  <c r="H23" i="58"/>
  <c r="I23" i="58" s="1"/>
  <c r="O23" i="58" s="1"/>
  <c r="R22" i="58"/>
  <c r="I22" i="58"/>
  <c r="H22" i="58"/>
  <c r="I21" i="58"/>
  <c r="R21" i="58" s="1"/>
  <c r="H21" i="58"/>
  <c r="H20" i="58"/>
  <c r="I20" i="58" s="1"/>
  <c r="R20" i="58" s="1"/>
  <c r="H19" i="58"/>
  <c r="I19" i="58" s="1"/>
  <c r="N19" i="58" s="1"/>
  <c r="N18" i="58"/>
  <c r="I18" i="58"/>
  <c r="H18" i="58"/>
  <c r="I17" i="58"/>
  <c r="N17" i="58" s="1"/>
  <c r="H17" i="58"/>
  <c r="A17" i="58"/>
  <c r="I16" i="58"/>
  <c r="N16" i="58" s="1"/>
  <c r="N33" i="58" s="1"/>
  <c r="N35" i="58" s="1"/>
  <c r="H15" i="58"/>
  <c r="I15" i="58" s="1"/>
  <c r="O15" i="58" s="1"/>
  <c r="H14" i="58"/>
  <c r="I14" i="58" s="1"/>
  <c r="O14" i="58" s="1"/>
  <c r="F13" i="58"/>
  <c r="H13" i="58" s="1"/>
  <c r="I13" i="58" s="1"/>
  <c r="O13" i="58" s="1"/>
  <c r="A13" i="58"/>
  <c r="F12" i="58"/>
  <c r="H12" i="58" s="1"/>
  <c r="I12" i="58" s="1"/>
  <c r="O12" i="58" s="1"/>
  <c r="H11" i="58"/>
  <c r="A11" i="58"/>
  <c r="I11" i="58" s="1"/>
  <c r="R11" i="58" s="1"/>
  <c r="H10" i="58"/>
  <c r="I10" i="58" s="1"/>
  <c r="R10" i="58" s="1"/>
  <c r="I9" i="58"/>
  <c r="R9" i="58" s="1"/>
  <c r="H9" i="58"/>
  <c r="H8" i="58"/>
  <c r="I8" i="58" s="1"/>
  <c r="R8" i="58" s="1"/>
  <c r="H7" i="58"/>
  <c r="I7" i="58" s="1"/>
  <c r="R7" i="58" s="1"/>
  <c r="F6" i="58"/>
  <c r="H6" i="58" s="1"/>
  <c r="I6" i="58" s="1"/>
  <c r="M6" i="58" s="1"/>
  <c r="A6" i="58"/>
  <c r="A40" i="58" s="1"/>
  <c r="A57" i="58" s="1"/>
  <c r="A60" i="58" s="1"/>
  <c r="I60" i="58" s="1"/>
  <c r="I64" i="58" s="1"/>
  <c r="P64" i="58" s="1"/>
  <c r="H5" i="58"/>
  <c r="I5" i="58" s="1"/>
  <c r="J4" i="58"/>
  <c r="H4" i="58"/>
  <c r="I4" i="58" s="1"/>
  <c r="L1" i="58"/>
  <c r="F90" i="57"/>
  <c r="H90" i="57" s="1"/>
  <c r="I90" i="57" s="1"/>
  <c r="F89" i="57"/>
  <c r="H89" i="57" s="1"/>
  <c r="I89" i="57" s="1"/>
  <c r="I88" i="57"/>
  <c r="I92" i="57" s="1"/>
  <c r="H88" i="57"/>
  <c r="H83" i="57"/>
  <c r="I83" i="57" s="1"/>
  <c r="H82" i="57"/>
  <c r="I82" i="57" s="1"/>
  <c r="H81" i="57"/>
  <c r="I81" i="57" s="1"/>
  <c r="H80" i="57"/>
  <c r="I80" i="57" s="1"/>
  <c r="H79" i="57"/>
  <c r="I79" i="57" s="1"/>
  <c r="H68" i="57"/>
  <c r="I68" i="57" s="1"/>
  <c r="H67" i="57"/>
  <c r="I67" i="57" s="1"/>
  <c r="H66" i="57"/>
  <c r="I66" i="57" s="1"/>
  <c r="F66" i="57"/>
  <c r="I61" i="57"/>
  <c r="H61" i="57"/>
  <c r="H60" i="57"/>
  <c r="I60" i="57" s="1"/>
  <c r="F59" i="57"/>
  <c r="H59" i="57" s="1"/>
  <c r="I59" i="57" s="1"/>
  <c r="H58" i="57"/>
  <c r="F58" i="57"/>
  <c r="H57" i="57"/>
  <c r="I57" i="57" s="1"/>
  <c r="F53" i="57"/>
  <c r="H53" i="57" s="1"/>
  <c r="I53" i="57" s="1"/>
  <c r="F52" i="57"/>
  <c r="H52" i="57" s="1"/>
  <c r="A52" i="57"/>
  <c r="I52" i="57" s="1"/>
  <c r="F51" i="57"/>
  <c r="H51" i="57" s="1"/>
  <c r="I51" i="57" s="1"/>
  <c r="I50" i="57"/>
  <c r="H50" i="57"/>
  <c r="F50" i="57"/>
  <c r="H49" i="57"/>
  <c r="I49" i="57" s="1"/>
  <c r="F49" i="57"/>
  <c r="F48" i="57"/>
  <c r="H48" i="57" s="1"/>
  <c r="I48" i="57" s="1"/>
  <c r="F47" i="57"/>
  <c r="H47" i="57" s="1"/>
  <c r="I47" i="57" s="1"/>
  <c r="I46" i="57"/>
  <c r="H46" i="57"/>
  <c r="F46" i="57"/>
  <c r="H45" i="57"/>
  <c r="I45" i="57" s="1"/>
  <c r="F45" i="57"/>
  <c r="F44" i="57"/>
  <c r="H44" i="57" s="1"/>
  <c r="I44" i="57" s="1"/>
  <c r="F43" i="57"/>
  <c r="H43" i="57" s="1"/>
  <c r="I43" i="57" s="1"/>
  <c r="I42" i="57"/>
  <c r="H42" i="57"/>
  <c r="F42" i="57"/>
  <c r="H41" i="57"/>
  <c r="I41" i="57" s="1"/>
  <c r="F41" i="57"/>
  <c r="A41" i="57"/>
  <c r="H40" i="57"/>
  <c r="I40" i="57" s="1"/>
  <c r="F40" i="57"/>
  <c r="A40" i="57"/>
  <c r="H39" i="57"/>
  <c r="I39" i="57" s="1"/>
  <c r="F39" i="57"/>
  <c r="A39" i="57"/>
  <c r="A55" i="57" s="1"/>
  <c r="A58" i="57" s="1"/>
  <c r="I58" i="57" s="1"/>
  <c r="I62" i="57" s="1"/>
  <c r="P62" i="57" s="1"/>
  <c r="H38" i="57"/>
  <c r="I38" i="57" s="1"/>
  <c r="F38" i="57"/>
  <c r="F28" i="57"/>
  <c r="H28" i="57" s="1"/>
  <c r="I28" i="57" s="1"/>
  <c r="S28" i="57" s="1"/>
  <c r="H27" i="57"/>
  <c r="I27" i="57" s="1"/>
  <c r="S27" i="57" s="1"/>
  <c r="H26" i="57"/>
  <c r="I26" i="57" s="1"/>
  <c r="S26" i="57" s="1"/>
  <c r="S34" i="57" s="1"/>
  <c r="I25" i="57"/>
  <c r="R25" i="57" s="1"/>
  <c r="H25" i="57"/>
  <c r="H24" i="57"/>
  <c r="I24" i="57" s="1"/>
  <c r="R24" i="57" s="1"/>
  <c r="H23" i="57"/>
  <c r="I23" i="57" s="1"/>
  <c r="O23" i="57" s="1"/>
  <c r="M22" i="57"/>
  <c r="H22" i="57"/>
  <c r="I22" i="57" s="1"/>
  <c r="I21" i="57"/>
  <c r="O21" i="57" s="1"/>
  <c r="H21" i="57"/>
  <c r="H20" i="57"/>
  <c r="I20" i="57" s="1"/>
  <c r="H19" i="57"/>
  <c r="I19" i="57" s="1"/>
  <c r="N19" i="57" s="1"/>
  <c r="I18" i="57"/>
  <c r="N18" i="57" s="1"/>
  <c r="H18" i="57"/>
  <c r="H17" i="57"/>
  <c r="I17" i="57" s="1"/>
  <c r="N17" i="57" s="1"/>
  <c r="H16" i="57"/>
  <c r="I16" i="57" s="1"/>
  <c r="N16" i="57" s="1"/>
  <c r="H15" i="57"/>
  <c r="I15" i="57" s="1"/>
  <c r="O15" i="57" s="1"/>
  <c r="I14" i="57"/>
  <c r="O14" i="57" s="1"/>
  <c r="H14" i="57"/>
  <c r="H13" i="57"/>
  <c r="I13" i="57" s="1"/>
  <c r="O13" i="57" s="1"/>
  <c r="F13" i="57"/>
  <c r="H12" i="57"/>
  <c r="I12" i="57" s="1"/>
  <c r="O12" i="57" s="1"/>
  <c r="O32" i="57" s="1"/>
  <c r="O34" i="57" s="1"/>
  <c r="F12" i="57"/>
  <c r="H11" i="57"/>
  <c r="I11" i="57" s="1"/>
  <c r="H10" i="57"/>
  <c r="I10" i="57" s="1"/>
  <c r="R10" i="57" s="1"/>
  <c r="I9" i="57"/>
  <c r="R9" i="57" s="1"/>
  <c r="H9" i="57"/>
  <c r="H8" i="57"/>
  <c r="I8" i="57" s="1"/>
  <c r="R8" i="57" s="1"/>
  <c r="H7" i="57"/>
  <c r="I7" i="57" s="1"/>
  <c r="R7" i="57" s="1"/>
  <c r="H6" i="57"/>
  <c r="I6" i="57" s="1"/>
  <c r="M6" i="57" s="1"/>
  <c r="F5" i="57"/>
  <c r="H5" i="57" s="1"/>
  <c r="I5" i="57" s="1"/>
  <c r="M5" i="57" s="1"/>
  <c r="A5" i="57"/>
  <c r="H4" i="57"/>
  <c r="I4" i="57" s="1"/>
  <c r="L1" i="57"/>
  <c r="F109" i="56"/>
  <c r="H109" i="56" s="1"/>
  <c r="I109" i="56" s="1"/>
  <c r="F108" i="56"/>
  <c r="H108" i="56" s="1"/>
  <c r="I108" i="56" s="1"/>
  <c r="H107" i="56"/>
  <c r="I107" i="56" s="1"/>
  <c r="I111" i="56" s="1"/>
  <c r="H102" i="56"/>
  <c r="I102" i="56" s="1"/>
  <c r="I101" i="56"/>
  <c r="H101" i="56"/>
  <c r="H100" i="56"/>
  <c r="I100" i="56" s="1"/>
  <c r="I99" i="56"/>
  <c r="H99" i="56"/>
  <c r="H98" i="56"/>
  <c r="I98" i="56" s="1"/>
  <c r="I97" i="56"/>
  <c r="H97" i="56"/>
  <c r="F97" i="56"/>
  <c r="I84" i="56"/>
  <c r="H84" i="56"/>
  <c r="H83" i="56"/>
  <c r="I83" i="56" s="1"/>
  <c r="I82" i="56"/>
  <c r="H82" i="56"/>
  <c r="H81" i="56"/>
  <c r="I81" i="56" s="1"/>
  <c r="H80" i="56"/>
  <c r="I80" i="56" s="1"/>
  <c r="H79" i="56"/>
  <c r="I79" i="56" s="1"/>
  <c r="H76" i="56"/>
  <c r="I76" i="56" s="1"/>
  <c r="H75" i="56"/>
  <c r="I75" i="56" s="1"/>
  <c r="H74" i="56"/>
  <c r="I74" i="56" s="1"/>
  <c r="H73" i="56"/>
  <c r="I73" i="56" s="1"/>
  <c r="H72" i="56"/>
  <c r="I72" i="56" s="1"/>
  <c r="H71" i="56"/>
  <c r="I71" i="56" s="1"/>
  <c r="H70" i="56"/>
  <c r="I70" i="56" s="1"/>
  <c r="H69" i="56"/>
  <c r="I69" i="56" s="1"/>
  <c r="H61" i="56"/>
  <c r="I61" i="56" s="1"/>
  <c r="F60" i="56"/>
  <c r="H60" i="56" s="1"/>
  <c r="H59" i="56"/>
  <c r="I59" i="56" s="1"/>
  <c r="I55" i="56"/>
  <c r="H55" i="56"/>
  <c r="F55" i="56"/>
  <c r="A55" i="56"/>
  <c r="I54" i="56"/>
  <c r="H54" i="56"/>
  <c r="F54" i="56"/>
  <c r="H53" i="56"/>
  <c r="I53" i="56" s="1"/>
  <c r="F53" i="56"/>
  <c r="F52" i="56"/>
  <c r="H52" i="56" s="1"/>
  <c r="I52" i="56" s="1"/>
  <c r="F51" i="56"/>
  <c r="H51" i="56" s="1"/>
  <c r="A51" i="56"/>
  <c r="I51" i="56" s="1"/>
  <c r="F50" i="56"/>
  <c r="H50" i="56" s="1"/>
  <c r="I50" i="56" s="1"/>
  <c r="I49" i="56"/>
  <c r="H49" i="56"/>
  <c r="F49" i="56"/>
  <c r="H48" i="56"/>
  <c r="I48" i="56" s="1"/>
  <c r="F48" i="56"/>
  <c r="F47" i="56"/>
  <c r="H47" i="56" s="1"/>
  <c r="I47" i="56" s="1"/>
  <c r="F46" i="56"/>
  <c r="H46" i="56" s="1"/>
  <c r="I46" i="56" s="1"/>
  <c r="I45" i="56"/>
  <c r="H45" i="56"/>
  <c r="F45" i="56"/>
  <c r="H44" i="56"/>
  <c r="I44" i="56" s="1"/>
  <c r="F44" i="56"/>
  <c r="F43" i="56"/>
  <c r="H43" i="56" s="1"/>
  <c r="I43" i="56" s="1"/>
  <c r="F42" i="56"/>
  <c r="H42" i="56" s="1"/>
  <c r="A42" i="56"/>
  <c r="I42" i="56" s="1"/>
  <c r="F41" i="56"/>
  <c r="H41" i="56" s="1"/>
  <c r="I41" i="56" s="1"/>
  <c r="I40" i="56"/>
  <c r="H40" i="56"/>
  <c r="F40" i="56"/>
  <c r="A40" i="56"/>
  <c r="A57" i="56" s="1"/>
  <c r="A60" i="56" s="1"/>
  <c r="I39" i="56"/>
  <c r="H39" i="56"/>
  <c r="F39" i="56"/>
  <c r="I30" i="56"/>
  <c r="S30" i="56" s="1"/>
  <c r="H30" i="56"/>
  <c r="F30" i="56"/>
  <c r="I29" i="56"/>
  <c r="S29" i="56" s="1"/>
  <c r="H29" i="56"/>
  <c r="H28" i="56"/>
  <c r="I28" i="56" s="1"/>
  <c r="S28" i="56" s="1"/>
  <c r="H27" i="56"/>
  <c r="I27" i="56" s="1"/>
  <c r="S27" i="56" s="1"/>
  <c r="S26" i="56"/>
  <c r="S33" i="56" s="1"/>
  <c r="S35" i="56" s="1"/>
  <c r="I26" i="56"/>
  <c r="H26" i="56"/>
  <c r="I25" i="56"/>
  <c r="O25" i="56" s="1"/>
  <c r="H25" i="56"/>
  <c r="M24" i="56"/>
  <c r="H24" i="56"/>
  <c r="I24" i="56" s="1"/>
  <c r="H23" i="56"/>
  <c r="I23" i="56" s="1"/>
  <c r="O23" i="56" s="1"/>
  <c r="R22" i="56"/>
  <c r="I22" i="56"/>
  <c r="H22" i="56"/>
  <c r="I21" i="56"/>
  <c r="R21" i="56" s="1"/>
  <c r="H21" i="56"/>
  <c r="H20" i="56"/>
  <c r="I20" i="56" s="1"/>
  <c r="R20" i="56" s="1"/>
  <c r="H19" i="56"/>
  <c r="I19" i="56" s="1"/>
  <c r="N19" i="56" s="1"/>
  <c r="N18" i="56"/>
  <c r="I18" i="56"/>
  <c r="H18" i="56"/>
  <c r="I17" i="56"/>
  <c r="N17" i="56" s="1"/>
  <c r="H17" i="56"/>
  <c r="H16" i="56"/>
  <c r="I16" i="56" s="1"/>
  <c r="N16" i="56" s="1"/>
  <c r="N33" i="56" s="1"/>
  <c r="N35" i="56" s="1"/>
  <c r="H15" i="56"/>
  <c r="I15" i="56" s="1"/>
  <c r="O15" i="56" s="1"/>
  <c r="H14" i="56"/>
  <c r="I14" i="56" s="1"/>
  <c r="O14" i="56" s="1"/>
  <c r="F13" i="56"/>
  <c r="H13" i="56" s="1"/>
  <c r="I13" i="56" s="1"/>
  <c r="O13" i="56" s="1"/>
  <c r="A13" i="56"/>
  <c r="F12" i="56"/>
  <c r="H12" i="56" s="1"/>
  <c r="I12" i="56" s="1"/>
  <c r="O12" i="56" s="1"/>
  <c r="H11" i="56"/>
  <c r="I11" i="56" s="1"/>
  <c r="R11" i="56" s="1"/>
  <c r="I10" i="56"/>
  <c r="R10" i="56" s="1"/>
  <c r="H10" i="56"/>
  <c r="H9" i="56"/>
  <c r="I9" i="56" s="1"/>
  <c r="R9" i="56" s="1"/>
  <c r="H8" i="56"/>
  <c r="I8" i="56" s="1"/>
  <c r="R8" i="56" s="1"/>
  <c r="H7" i="56"/>
  <c r="I7" i="56" s="1"/>
  <c r="R7" i="56" s="1"/>
  <c r="R33" i="56" s="1"/>
  <c r="R35" i="56" s="1"/>
  <c r="I6" i="56"/>
  <c r="M6" i="56" s="1"/>
  <c r="H6" i="56"/>
  <c r="A6" i="56"/>
  <c r="H5" i="56"/>
  <c r="I5" i="56" s="1"/>
  <c r="J4" i="56"/>
  <c r="H4" i="56"/>
  <c r="I4" i="56" s="1"/>
  <c r="L1" i="56"/>
  <c r="H89" i="55"/>
  <c r="I89" i="55" s="1"/>
  <c r="F89" i="55"/>
  <c r="F88" i="55"/>
  <c r="H88" i="55" s="1"/>
  <c r="I88" i="55" s="1"/>
  <c r="H87" i="55"/>
  <c r="I87" i="55" s="1"/>
  <c r="I82" i="55"/>
  <c r="H82" i="55"/>
  <c r="H81" i="55"/>
  <c r="I81" i="55" s="1"/>
  <c r="I80" i="55"/>
  <c r="H80" i="55"/>
  <c r="H79" i="55"/>
  <c r="I79" i="55" s="1"/>
  <c r="I78" i="55"/>
  <c r="H78" i="55"/>
  <c r="I67" i="55"/>
  <c r="H67" i="55"/>
  <c r="H66" i="55"/>
  <c r="I66" i="55" s="1"/>
  <c r="F65" i="55"/>
  <c r="H65" i="55" s="1"/>
  <c r="I65" i="55" s="1"/>
  <c r="I60" i="55"/>
  <c r="H60" i="55"/>
  <c r="H59" i="55"/>
  <c r="I59" i="55" s="1"/>
  <c r="F58" i="55"/>
  <c r="H58" i="55" s="1"/>
  <c r="I58" i="55" s="1"/>
  <c r="F57" i="55"/>
  <c r="H57" i="55" s="1"/>
  <c r="I56" i="55"/>
  <c r="H56" i="55"/>
  <c r="H52" i="55"/>
  <c r="I52" i="55" s="1"/>
  <c r="F52" i="55"/>
  <c r="F51" i="55"/>
  <c r="H51" i="55" s="1"/>
  <c r="I51" i="55" s="1"/>
  <c r="F50" i="55"/>
  <c r="H50" i="55" s="1"/>
  <c r="I50" i="55" s="1"/>
  <c r="F49" i="55"/>
  <c r="H49" i="55" s="1"/>
  <c r="I49" i="55" s="1"/>
  <c r="H48" i="55"/>
  <c r="I48" i="55" s="1"/>
  <c r="F48" i="55"/>
  <c r="F47" i="55"/>
  <c r="H47" i="55" s="1"/>
  <c r="I47" i="55" s="1"/>
  <c r="F46" i="55"/>
  <c r="H46" i="55" s="1"/>
  <c r="I46" i="55" s="1"/>
  <c r="F45" i="55"/>
  <c r="H45" i="55" s="1"/>
  <c r="I45" i="55" s="1"/>
  <c r="H44" i="55"/>
  <c r="I44" i="55" s="1"/>
  <c r="F44" i="55"/>
  <c r="F43" i="55"/>
  <c r="H43" i="55" s="1"/>
  <c r="I43" i="55" s="1"/>
  <c r="F42" i="55"/>
  <c r="H42" i="55" s="1"/>
  <c r="I42" i="55" s="1"/>
  <c r="F41" i="55"/>
  <c r="H41" i="55" s="1"/>
  <c r="I41" i="55" s="1"/>
  <c r="H40" i="55"/>
  <c r="I40" i="55" s="1"/>
  <c r="F40" i="55"/>
  <c r="A40" i="55"/>
  <c r="H39" i="55"/>
  <c r="I39" i="55" s="1"/>
  <c r="F39" i="55"/>
  <c r="A39" i="55"/>
  <c r="A54" i="55" s="1"/>
  <c r="A57" i="55" s="1"/>
  <c r="I57" i="55" s="1"/>
  <c r="I61" i="55" s="1"/>
  <c r="P61" i="55" s="1"/>
  <c r="H38" i="55"/>
  <c r="I38" i="55" s="1"/>
  <c r="F38" i="55"/>
  <c r="F37" i="55"/>
  <c r="H37" i="55" s="1"/>
  <c r="I37" i="55" s="1"/>
  <c r="F27" i="55"/>
  <c r="H27" i="55" s="1"/>
  <c r="I27" i="55" s="1"/>
  <c r="S27" i="55" s="1"/>
  <c r="S26" i="55"/>
  <c r="I26" i="55"/>
  <c r="H26" i="55"/>
  <c r="I25" i="55"/>
  <c r="S25" i="55" s="1"/>
  <c r="S33" i="55" s="1"/>
  <c r="H25" i="55"/>
  <c r="H23" i="55"/>
  <c r="I23" i="55" s="1"/>
  <c r="O23" i="55" s="1"/>
  <c r="F22" i="55"/>
  <c r="H22" i="55" s="1"/>
  <c r="I22" i="55" s="1"/>
  <c r="O22" i="55" s="1"/>
  <c r="M21" i="55"/>
  <c r="H21" i="55"/>
  <c r="I21" i="55" s="1"/>
  <c r="H20" i="55"/>
  <c r="I20" i="55" s="1"/>
  <c r="O20" i="55" s="1"/>
  <c r="I19" i="55"/>
  <c r="R19" i="55" s="1"/>
  <c r="H19" i="55"/>
  <c r="H18" i="55"/>
  <c r="I18" i="55" s="1"/>
  <c r="R18" i="55" s="1"/>
  <c r="H17" i="55"/>
  <c r="I17" i="55" s="1"/>
  <c r="N17" i="55" s="1"/>
  <c r="H16" i="55"/>
  <c r="I16" i="55" s="1"/>
  <c r="N16" i="55" s="1"/>
  <c r="I15" i="55"/>
  <c r="N15" i="55" s="1"/>
  <c r="N31" i="55" s="1"/>
  <c r="N33" i="55" s="1"/>
  <c r="H15" i="55"/>
  <c r="H14" i="55"/>
  <c r="I14" i="55" s="1"/>
  <c r="O14" i="55" s="1"/>
  <c r="H13" i="55"/>
  <c r="I13" i="55" s="1"/>
  <c r="O13" i="55" s="1"/>
  <c r="F12" i="55"/>
  <c r="H12" i="55" s="1"/>
  <c r="I12" i="55" s="1"/>
  <c r="O12" i="55" s="1"/>
  <c r="F11" i="55"/>
  <c r="H11" i="55" s="1"/>
  <c r="I11" i="55" s="1"/>
  <c r="O11" i="55" s="1"/>
  <c r="R10" i="55"/>
  <c r="I10" i="55"/>
  <c r="H10" i="55"/>
  <c r="I9" i="55"/>
  <c r="R9" i="55" s="1"/>
  <c r="H9" i="55"/>
  <c r="H8" i="55"/>
  <c r="I8" i="55" s="1"/>
  <c r="R8" i="55" s="1"/>
  <c r="H7" i="55"/>
  <c r="I7" i="55" s="1"/>
  <c r="R7" i="55" s="1"/>
  <c r="R6" i="55"/>
  <c r="I6" i="55"/>
  <c r="H6" i="55"/>
  <c r="I5" i="55"/>
  <c r="M5" i="55" s="1"/>
  <c r="H5" i="55"/>
  <c r="F5" i="55"/>
  <c r="I4" i="55"/>
  <c r="H4" i="55"/>
  <c r="L1" i="55"/>
  <c r="I88" i="54"/>
  <c r="H88" i="54"/>
  <c r="F88" i="54"/>
  <c r="H87" i="54"/>
  <c r="I87" i="54" s="1"/>
  <c r="F87" i="54"/>
  <c r="H86" i="54"/>
  <c r="I86" i="54" s="1"/>
  <c r="H81" i="54"/>
  <c r="I81" i="54" s="1"/>
  <c r="H80" i="54"/>
  <c r="I80" i="54" s="1"/>
  <c r="H79" i="54"/>
  <c r="I79" i="54" s="1"/>
  <c r="H78" i="54"/>
  <c r="I78" i="54" s="1"/>
  <c r="H77" i="54"/>
  <c r="I77" i="54" s="1"/>
  <c r="I83" i="54" s="1"/>
  <c r="H63" i="54"/>
  <c r="I63" i="54" s="1"/>
  <c r="H62" i="54"/>
  <c r="I62" i="54" s="1"/>
  <c r="F61" i="54"/>
  <c r="H61" i="54" s="1"/>
  <c r="I61" i="54" s="1"/>
  <c r="I64" i="54" s="1"/>
  <c r="Q64" i="54" s="1"/>
  <c r="H54" i="54"/>
  <c r="I54" i="54" s="1"/>
  <c r="F53" i="54"/>
  <c r="H53" i="54" s="1"/>
  <c r="I52" i="54"/>
  <c r="H52" i="54"/>
  <c r="H48" i="54"/>
  <c r="I48" i="54" s="1"/>
  <c r="F48" i="54"/>
  <c r="F47" i="54"/>
  <c r="H47" i="54" s="1"/>
  <c r="I47" i="54" s="1"/>
  <c r="F46" i="54"/>
  <c r="H46" i="54" s="1"/>
  <c r="I46" i="54" s="1"/>
  <c r="F45" i="54"/>
  <c r="H45" i="54" s="1"/>
  <c r="I45" i="54" s="1"/>
  <c r="H44" i="54"/>
  <c r="I44" i="54" s="1"/>
  <c r="F44" i="54"/>
  <c r="F43" i="54"/>
  <c r="H43" i="54" s="1"/>
  <c r="I43" i="54" s="1"/>
  <c r="F42" i="54"/>
  <c r="H42" i="54" s="1"/>
  <c r="I42" i="54" s="1"/>
  <c r="F41" i="54"/>
  <c r="H41" i="54" s="1"/>
  <c r="I41" i="54" s="1"/>
  <c r="H40" i="54"/>
  <c r="I40" i="54" s="1"/>
  <c r="F40" i="54"/>
  <c r="F39" i="54"/>
  <c r="H39" i="54" s="1"/>
  <c r="I39" i="54" s="1"/>
  <c r="F38" i="54"/>
  <c r="H38" i="54" s="1"/>
  <c r="I38" i="54" s="1"/>
  <c r="F37" i="54"/>
  <c r="H37" i="54" s="1"/>
  <c r="I37" i="54" s="1"/>
  <c r="A37" i="54"/>
  <c r="F36" i="54"/>
  <c r="H36" i="54" s="1"/>
  <c r="I36" i="54" s="1"/>
  <c r="H35" i="54"/>
  <c r="I35" i="54" s="1"/>
  <c r="F35" i="54"/>
  <c r="A35" i="54"/>
  <c r="A50" i="54" s="1"/>
  <c r="A53" i="54" s="1"/>
  <c r="I53" i="54" s="1"/>
  <c r="H34" i="54"/>
  <c r="I34" i="54" s="1"/>
  <c r="F34" i="54"/>
  <c r="F25" i="54"/>
  <c r="H25" i="54" s="1"/>
  <c r="I25" i="54" s="1"/>
  <c r="S25" i="54" s="1"/>
  <c r="H24" i="54"/>
  <c r="I24" i="54" s="1"/>
  <c r="S24" i="54" s="1"/>
  <c r="H23" i="54"/>
  <c r="I23" i="54" s="1"/>
  <c r="S23" i="54" s="1"/>
  <c r="S30" i="54" s="1"/>
  <c r="F22" i="54"/>
  <c r="H22" i="54" s="1"/>
  <c r="I22" i="54" s="1"/>
  <c r="O22" i="54" s="1"/>
  <c r="M21" i="54"/>
  <c r="I21" i="54"/>
  <c r="H21" i="54"/>
  <c r="H20" i="54"/>
  <c r="I20" i="54" s="1"/>
  <c r="O20" i="54" s="1"/>
  <c r="H19" i="54"/>
  <c r="I19" i="54" s="1"/>
  <c r="R19" i="54" s="1"/>
  <c r="H18" i="54"/>
  <c r="I18" i="54" s="1"/>
  <c r="R18" i="54" s="1"/>
  <c r="I17" i="54"/>
  <c r="N17" i="54" s="1"/>
  <c r="H17" i="54"/>
  <c r="H16" i="54"/>
  <c r="I16" i="54" s="1"/>
  <c r="N16" i="54" s="1"/>
  <c r="H15" i="54"/>
  <c r="I15" i="54" s="1"/>
  <c r="N15" i="54" s="1"/>
  <c r="O14" i="54"/>
  <c r="H14" i="54"/>
  <c r="I14" i="54" s="1"/>
  <c r="I13" i="54"/>
  <c r="O13" i="54" s="1"/>
  <c r="H13" i="54"/>
  <c r="H12" i="54"/>
  <c r="I12" i="54" s="1"/>
  <c r="O12" i="54" s="1"/>
  <c r="F12" i="54"/>
  <c r="H11" i="54"/>
  <c r="I11" i="54" s="1"/>
  <c r="O11" i="54" s="1"/>
  <c r="F11" i="54"/>
  <c r="H9" i="54"/>
  <c r="I9" i="54" s="1"/>
  <c r="R9" i="54" s="1"/>
  <c r="H6" i="54"/>
  <c r="I6" i="54" s="1"/>
  <c r="R6" i="54" s="1"/>
  <c r="F5" i="54"/>
  <c r="H5" i="54" s="1"/>
  <c r="I5" i="54" s="1"/>
  <c r="M5" i="54" s="1"/>
  <c r="M4" i="54"/>
  <c r="H4" i="54"/>
  <c r="I4" i="54" s="1"/>
  <c r="L1" i="54"/>
  <c r="F88" i="53"/>
  <c r="H88" i="53" s="1"/>
  <c r="I88" i="53" s="1"/>
  <c r="I87" i="53"/>
  <c r="F87" i="53"/>
  <c r="H87" i="53" s="1"/>
  <c r="H86" i="53"/>
  <c r="I86" i="53" s="1"/>
  <c r="I90" i="53" s="1"/>
  <c r="H81" i="53"/>
  <c r="I81" i="53" s="1"/>
  <c r="I80" i="53"/>
  <c r="H80" i="53"/>
  <c r="H79" i="53"/>
  <c r="I79" i="53" s="1"/>
  <c r="I78" i="53"/>
  <c r="H78" i="53"/>
  <c r="H77" i="53"/>
  <c r="I77" i="53" s="1"/>
  <c r="H66" i="53"/>
  <c r="I66" i="53" s="1"/>
  <c r="I65" i="53"/>
  <c r="H65" i="53"/>
  <c r="F64" i="53"/>
  <c r="H64" i="53" s="1"/>
  <c r="I64" i="53" s="1"/>
  <c r="H57" i="53"/>
  <c r="I57" i="53" s="1"/>
  <c r="F56" i="53"/>
  <c r="H56" i="53" s="1"/>
  <c r="I56" i="53" s="1"/>
  <c r="I55" i="53"/>
  <c r="H55" i="53"/>
  <c r="A53" i="53"/>
  <c r="H51" i="53"/>
  <c r="I51" i="53" s="1"/>
  <c r="F51" i="53"/>
  <c r="F50" i="53"/>
  <c r="H50" i="53" s="1"/>
  <c r="I50" i="53" s="1"/>
  <c r="F49" i="53"/>
  <c r="H49" i="53" s="1"/>
  <c r="I49" i="53" s="1"/>
  <c r="I48" i="53"/>
  <c r="F48" i="53"/>
  <c r="H48" i="53" s="1"/>
  <c r="H47" i="53"/>
  <c r="I47" i="53" s="1"/>
  <c r="F47" i="53"/>
  <c r="F46" i="53"/>
  <c r="H46" i="53" s="1"/>
  <c r="I46" i="53" s="1"/>
  <c r="F45" i="53"/>
  <c r="H45" i="53" s="1"/>
  <c r="I45" i="53" s="1"/>
  <c r="F44" i="53"/>
  <c r="H44" i="53" s="1"/>
  <c r="I44" i="53" s="1"/>
  <c r="H43" i="53"/>
  <c r="I43" i="53" s="1"/>
  <c r="F43" i="53"/>
  <c r="F42" i="53"/>
  <c r="H42" i="53" s="1"/>
  <c r="I42" i="53" s="1"/>
  <c r="F41" i="53"/>
  <c r="H41" i="53" s="1"/>
  <c r="I41" i="53" s="1"/>
  <c r="I40" i="53"/>
  <c r="F40" i="53"/>
  <c r="H40" i="53" s="1"/>
  <c r="H39" i="53"/>
  <c r="I39" i="53" s="1"/>
  <c r="F39" i="53"/>
  <c r="F38" i="53"/>
  <c r="H38" i="53" s="1"/>
  <c r="I38" i="53" s="1"/>
  <c r="F37" i="53"/>
  <c r="H37" i="53" s="1"/>
  <c r="I37" i="53" s="1"/>
  <c r="F27" i="53"/>
  <c r="H27" i="53" s="1"/>
  <c r="I27" i="53" s="1"/>
  <c r="S27" i="53" s="1"/>
  <c r="S26" i="53"/>
  <c r="I26" i="53"/>
  <c r="H26" i="53"/>
  <c r="I25" i="53"/>
  <c r="S25" i="53" s="1"/>
  <c r="S33" i="53" s="1"/>
  <c r="H25" i="53"/>
  <c r="H24" i="53"/>
  <c r="I24" i="53" s="1"/>
  <c r="S24" i="53" s="1"/>
  <c r="F22" i="53"/>
  <c r="H22" i="53" s="1"/>
  <c r="I22" i="53" s="1"/>
  <c r="O22" i="53" s="1"/>
  <c r="M21" i="53"/>
  <c r="H21" i="53"/>
  <c r="I21" i="53" s="1"/>
  <c r="I20" i="53"/>
  <c r="O20" i="53" s="1"/>
  <c r="H20" i="53"/>
  <c r="H19" i="53"/>
  <c r="I19" i="53" s="1"/>
  <c r="R19" i="53" s="1"/>
  <c r="H18" i="53"/>
  <c r="I18" i="53" s="1"/>
  <c r="R18" i="53" s="1"/>
  <c r="N17" i="53"/>
  <c r="H17" i="53"/>
  <c r="I17" i="53" s="1"/>
  <c r="I16" i="53"/>
  <c r="N16" i="53" s="1"/>
  <c r="H16" i="53"/>
  <c r="H15" i="53"/>
  <c r="I15" i="53" s="1"/>
  <c r="N15" i="53" s="1"/>
  <c r="H14" i="53"/>
  <c r="I14" i="53" s="1"/>
  <c r="O14" i="53" s="1"/>
  <c r="O13" i="53"/>
  <c r="H13" i="53"/>
  <c r="I13" i="53" s="1"/>
  <c r="I12" i="53"/>
  <c r="O12" i="53" s="1"/>
  <c r="F12" i="53"/>
  <c r="H12" i="53" s="1"/>
  <c r="F11" i="53"/>
  <c r="H11" i="53" s="1"/>
  <c r="I11" i="53" s="1"/>
  <c r="O11" i="53" s="1"/>
  <c r="O31" i="53" s="1"/>
  <c r="O33" i="53" s="1"/>
  <c r="R10" i="53"/>
  <c r="I10" i="53"/>
  <c r="H10" i="53"/>
  <c r="I9" i="53"/>
  <c r="R9" i="53" s="1"/>
  <c r="H9" i="53"/>
  <c r="H8" i="53"/>
  <c r="I8" i="53" s="1"/>
  <c r="R8" i="53" s="1"/>
  <c r="H7" i="53"/>
  <c r="I7" i="53" s="1"/>
  <c r="R7" i="53" s="1"/>
  <c r="R6" i="53"/>
  <c r="I6" i="53"/>
  <c r="H6" i="53"/>
  <c r="I5" i="53"/>
  <c r="M5" i="53" s="1"/>
  <c r="H5" i="53"/>
  <c r="H4" i="53"/>
  <c r="I4" i="53" s="1"/>
  <c r="L1" i="53"/>
  <c r="H90" i="52"/>
  <c r="I90" i="52" s="1"/>
  <c r="F90" i="52"/>
  <c r="F89" i="52"/>
  <c r="H89" i="52" s="1"/>
  <c r="I89" i="52" s="1"/>
  <c r="I88" i="52"/>
  <c r="H88" i="52"/>
  <c r="H83" i="52"/>
  <c r="I83" i="52" s="1"/>
  <c r="H82" i="52"/>
  <c r="I82" i="52" s="1"/>
  <c r="I81" i="52"/>
  <c r="H81" i="52"/>
  <c r="H80" i="52"/>
  <c r="I80" i="52" s="1"/>
  <c r="H79" i="52"/>
  <c r="I79" i="52" s="1"/>
  <c r="H78" i="52"/>
  <c r="I78" i="52" s="1"/>
  <c r="H67" i="52"/>
  <c r="I67" i="52" s="1"/>
  <c r="H66" i="52"/>
  <c r="I66" i="52" s="1"/>
  <c r="H65" i="52"/>
  <c r="I65" i="52" s="1"/>
  <c r="H58" i="52"/>
  <c r="I58" i="52" s="1"/>
  <c r="H57" i="52"/>
  <c r="F57" i="52"/>
  <c r="H56" i="52"/>
  <c r="I56" i="52" s="1"/>
  <c r="F52" i="52"/>
  <c r="H52" i="52" s="1"/>
  <c r="I52" i="52" s="1"/>
  <c r="H51" i="52"/>
  <c r="I51" i="52" s="1"/>
  <c r="F51" i="52"/>
  <c r="F50" i="52"/>
  <c r="H50" i="52" s="1"/>
  <c r="I50" i="52" s="1"/>
  <c r="H49" i="52"/>
  <c r="I49" i="52" s="1"/>
  <c r="F49" i="52"/>
  <c r="F48" i="52"/>
  <c r="H48" i="52" s="1"/>
  <c r="I48" i="52" s="1"/>
  <c r="H47" i="52"/>
  <c r="I47" i="52" s="1"/>
  <c r="F47" i="52"/>
  <c r="F46" i="52"/>
  <c r="H46" i="52" s="1"/>
  <c r="I46" i="52" s="1"/>
  <c r="H45" i="52"/>
  <c r="I45" i="52" s="1"/>
  <c r="F45" i="52"/>
  <c r="F44" i="52"/>
  <c r="H44" i="52" s="1"/>
  <c r="I44" i="52" s="1"/>
  <c r="H43" i="52"/>
  <c r="I43" i="52" s="1"/>
  <c r="F43" i="52"/>
  <c r="F42" i="52"/>
  <c r="H42" i="52" s="1"/>
  <c r="I42" i="52" s="1"/>
  <c r="H41" i="52"/>
  <c r="F41" i="52"/>
  <c r="A41" i="52"/>
  <c r="I41" i="52" s="1"/>
  <c r="H40" i="52"/>
  <c r="I40" i="52" s="1"/>
  <c r="F40" i="52"/>
  <c r="F39" i="52"/>
  <c r="H39" i="52" s="1"/>
  <c r="I39" i="52" s="1"/>
  <c r="A39" i="52"/>
  <c r="F38" i="52"/>
  <c r="H38" i="52" s="1"/>
  <c r="I38" i="52" s="1"/>
  <c r="H28" i="52"/>
  <c r="I28" i="52" s="1"/>
  <c r="S28" i="52" s="1"/>
  <c r="F28" i="52"/>
  <c r="H27" i="52"/>
  <c r="I27" i="52" s="1"/>
  <c r="S27" i="52" s="1"/>
  <c r="H26" i="52"/>
  <c r="I26" i="52" s="1"/>
  <c r="S26" i="52" s="1"/>
  <c r="H25" i="52"/>
  <c r="I25" i="52" s="1"/>
  <c r="S25" i="52" s="1"/>
  <c r="M22" i="52"/>
  <c r="I22" i="52"/>
  <c r="H22" i="52"/>
  <c r="H21" i="52"/>
  <c r="I21" i="52" s="1"/>
  <c r="O21" i="52" s="1"/>
  <c r="I20" i="52"/>
  <c r="R20" i="52" s="1"/>
  <c r="H20" i="52"/>
  <c r="H19" i="52"/>
  <c r="I19" i="52" s="1"/>
  <c r="R19" i="52" s="1"/>
  <c r="I18" i="52"/>
  <c r="R18" i="52" s="1"/>
  <c r="H18" i="52"/>
  <c r="H17" i="52"/>
  <c r="I17" i="52" s="1"/>
  <c r="N17" i="52" s="1"/>
  <c r="F16" i="52"/>
  <c r="H16" i="52" s="1"/>
  <c r="I16" i="52" s="1"/>
  <c r="N16" i="52" s="1"/>
  <c r="I15" i="52"/>
  <c r="N15" i="52" s="1"/>
  <c r="H15" i="52"/>
  <c r="H14" i="52"/>
  <c r="I14" i="52" s="1"/>
  <c r="O14" i="52" s="1"/>
  <c r="I13" i="52"/>
  <c r="O13" i="52" s="1"/>
  <c r="H13" i="52"/>
  <c r="H12" i="52"/>
  <c r="I12" i="52" s="1"/>
  <c r="O12" i="52" s="1"/>
  <c r="I11" i="52"/>
  <c r="O11" i="52" s="1"/>
  <c r="O32" i="52" s="1"/>
  <c r="O34" i="52" s="1"/>
  <c r="H11" i="52"/>
  <c r="H10" i="52"/>
  <c r="I10" i="52" s="1"/>
  <c r="R10" i="52" s="1"/>
  <c r="I9" i="52"/>
  <c r="R9" i="52" s="1"/>
  <c r="H9" i="52"/>
  <c r="H8" i="52"/>
  <c r="I8" i="52" s="1"/>
  <c r="R8" i="52" s="1"/>
  <c r="I7" i="52"/>
  <c r="R7" i="52" s="1"/>
  <c r="H7" i="52"/>
  <c r="H6" i="52"/>
  <c r="I6" i="52" s="1"/>
  <c r="R6" i="52" s="1"/>
  <c r="R32" i="52" s="1"/>
  <c r="R34" i="52" s="1"/>
  <c r="I5" i="52"/>
  <c r="M5" i="52" s="1"/>
  <c r="H5" i="52"/>
  <c r="H4" i="52"/>
  <c r="I4" i="52" s="1"/>
  <c r="L1" i="52"/>
  <c r="H89" i="51"/>
  <c r="I89" i="51" s="1"/>
  <c r="F89" i="51"/>
  <c r="F88" i="51"/>
  <c r="H88" i="51" s="1"/>
  <c r="I88" i="51" s="1"/>
  <c r="H87" i="51"/>
  <c r="I87" i="51" s="1"/>
  <c r="I91" i="51" s="1"/>
  <c r="I82" i="51"/>
  <c r="H82" i="51"/>
  <c r="I81" i="51"/>
  <c r="H81" i="51"/>
  <c r="I80" i="51"/>
  <c r="H80" i="51"/>
  <c r="I79" i="51"/>
  <c r="H79" i="51"/>
  <c r="I78" i="51"/>
  <c r="I84" i="51" s="1"/>
  <c r="H78" i="51"/>
  <c r="I67" i="51"/>
  <c r="H67" i="51"/>
  <c r="I66" i="51"/>
  <c r="H66" i="51"/>
  <c r="F65" i="51"/>
  <c r="H65" i="51" s="1"/>
  <c r="I65" i="51" s="1"/>
  <c r="I68" i="51" s="1"/>
  <c r="Q68" i="51" s="1"/>
  <c r="H60" i="51"/>
  <c r="I60" i="51" s="1"/>
  <c r="H59" i="51"/>
  <c r="I59" i="51" s="1"/>
  <c r="H58" i="51"/>
  <c r="I58" i="51" s="1"/>
  <c r="F58" i="51"/>
  <c r="F57" i="51"/>
  <c r="H57" i="51" s="1"/>
  <c r="I56" i="51"/>
  <c r="H56" i="51"/>
  <c r="H52" i="51"/>
  <c r="I52" i="51" s="1"/>
  <c r="F52" i="51"/>
  <c r="F51" i="51"/>
  <c r="H51" i="51" s="1"/>
  <c r="I51" i="51" s="1"/>
  <c r="H50" i="51"/>
  <c r="I50" i="51" s="1"/>
  <c r="F50" i="51"/>
  <c r="F49" i="51"/>
  <c r="H49" i="51" s="1"/>
  <c r="I49" i="51" s="1"/>
  <c r="H48" i="51"/>
  <c r="I48" i="51" s="1"/>
  <c r="F48" i="51"/>
  <c r="F47" i="51"/>
  <c r="H47" i="51" s="1"/>
  <c r="I47" i="51" s="1"/>
  <c r="H46" i="51"/>
  <c r="I46" i="51" s="1"/>
  <c r="F46" i="51"/>
  <c r="F45" i="51"/>
  <c r="H45" i="51" s="1"/>
  <c r="I45" i="51" s="1"/>
  <c r="H44" i="51"/>
  <c r="I44" i="51" s="1"/>
  <c r="F44" i="51"/>
  <c r="F43" i="51"/>
  <c r="H43" i="51" s="1"/>
  <c r="I43" i="51" s="1"/>
  <c r="H42" i="51"/>
  <c r="I42" i="51" s="1"/>
  <c r="F42" i="51"/>
  <c r="F41" i="51"/>
  <c r="H41" i="51" s="1"/>
  <c r="I41" i="51" s="1"/>
  <c r="H40" i="51"/>
  <c r="F40" i="51"/>
  <c r="H39" i="51"/>
  <c r="F39" i="51"/>
  <c r="A39" i="51"/>
  <c r="H38" i="51"/>
  <c r="I38" i="51" s="1"/>
  <c r="F38" i="51"/>
  <c r="F37" i="51"/>
  <c r="H37" i="51" s="1"/>
  <c r="I37" i="51" s="1"/>
  <c r="H27" i="51"/>
  <c r="I27" i="51" s="1"/>
  <c r="S27" i="51" s="1"/>
  <c r="F27" i="51"/>
  <c r="H26" i="51"/>
  <c r="I26" i="51" s="1"/>
  <c r="S26" i="51" s="1"/>
  <c r="I25" i="51"/>
  <c r="S25" i="51" s="1"/>
  <c r="S33" i="51" s="1"/>
  <c r="H25" i="51"/>
  <c r="H23" i="51"/>
  <c r="I23" i="51" s="1"/>
  <c r="O23" i="51" s="1"/>
  <c r="F22" i="51"/>
  <c r="H22" i="51" s="1"/>
  <c r="I22" i="51" s="1"/>
  <c r="O22" i="51" s="1"/>
  <c r="M21" i="51"/>
  <c r="I21" i="51"/>
  <c r="H21" i="51"/>
  <c r="H20" i="51"/>
  <c r="I20" i="51" s="1"/>
  <c r="O20" i="51" s="1"/>
  <c r="I19" i="51"/>
  <c r="R19" i="51" s="1"/>
  <c r="H19" i="51"/>
  <c r="H18" i="51"/>
  <c r="I18" i="51" s="1"/>
  <c r="R18" i="51" s="1"/>
  <c r="I17" i="51"/>
  <c r="N17" i="51" s="1"/>
  <c r="H17" i="51"/>
  <c r="H16" i="51"/>
  <c r="I16" i="51" s="1"/>
  <c r="N16" i="51" s="1"/>
  <c r="I15" i="51"/>
  <c r="N15" i="51" s="1"/>
  <c r="H15" i="51"/>
  <c r="H14" i="51"/>
  <c r="I14" i="51" s="1"/>
  <c r="O14" i="51" s="1"/>
  <c r="I13" i="51"/>
  <c r="O13" i="51" s="1"/>
  <c r="H13" i="51"/>
  <c r="H12" i="51"/>
  <c r="I12" i="51" s="1"/>
  <c r="O12" i="51" s="1"/>
  <c r="F12" i="51"/>
  <c r="H11" i="51"/>
  <c r="I11" i="51" s="1"/>
  <c r="O11" i="51" s="1"/>
  <c r="F11" i="51"/>
  <c r="H10" i="51"/>
  <c r="I10" i="51" s="1"/>
  <c r="R10" i="51" s="1"/>
  <c r="I9" i="51"/>
  <c r="R9" i="51" s="1"/>
  <c r="H9" i="51"/>
  <c r="H8" i="51"/>
  <c r="I8" i="51" s="1"/>
  <c r="R8" i="51" s="1"/>
  <c r="I7" i="51"/>
  <c r="R7" i="51" s="1"/>
  <c r="H7" i="51"/>
  <c r="H6" i="51"/>
  <c r="I6" i="51" s="1"/>
  <c r="R6" i="51" s="1"/>
  <c r="I4" i="51"/>
  <c r="H4" i="51"/>
  <c r="A4" i="51"/>
  <c r="A40" i="51" s="1"/>
  <c r="I40" i="51" s="1"/>
  <c r="H88" i="50"/>
  <c r="I88" i="50" s="1"/>
  <c r="F88" i="50"/>
  <c r="F87" i="50"/>
  <c r="H87" i="50" s="1"/>
  <c r="I87" i="50" s="1"/>
  <c r="H86" i="50"/>
  <c r="I86" i="50" s="1"/>
  <c r="I90" i="50" s="1"/>
  <c r="I81" i="50"/>
  <c r="H81" i="50"/>
  <c r="I80" i="50"/>
  <c r="H80" i="50"/>
  <c r="I79" i="50"/>
  <c r="H79" i="50"/>
  <c r="I78" i="50"/>
  <c r="H78" i="50"/>
  <c r="I77" i="50"/>
  <c r="I83" i="50" s="1"/>
  <c r="H77" i="50"/>
  <c r="I63" i="50"/>
  <c r="H63" i="50"/>
  <c r="I62" i="50"/>
  <c r="H62" i="50"/>
  <c r="F61" i="50"/>
  <c r="H61" i="50" s="1"/>
  <c r="I61" i="50" s="1"/>
  <c r="I64" i="50" s="1"/>
  <c r="Q64" i="50" s="1"/>
  <c r="H54" i="50"/>
  <c r="I54" i="50" s="1"/>
  <c r="H53" i="50"/>
  <c r="F53" i="50"/>
  <c r="H52" i="50"/>
  <c r="I52" i="50" s="1"/>
  <c r="F48" i="50"/>
  <c r="H48" i="50" s="1"/>
  <c r="I48" i="50" s="1"/>
  <c r="H47" i="50"/>
  <c r="I47" i="50" s="1"/>
  <c r="F47" i="50"/>
  <c r="F46" i="50"/>
  <c r="H46" i="50" s="1"/>
  <c r="I46" i="50" s="1"/>
  <c r="H45" i="50"/>
  <c r="I45" i="50" s="1"/>
  <c r="F45" i="50"/>
  <c r="F44" i="50"/>
  <c r="H44" i="50" s="1"/>
  <c r="I44" i="50" s="1"/>
  <c r="H43" i="50"/>
  <c r="I43" i="50" s="1"/>
  <c r="F43" i="50"/>
  <c r="F42" i="50"/>
  <c r="H42" i="50" s="1"/>
  <c r="I42" i="50" s="1"/>
  <c r="H41" i="50"/>
  <c r="I41" i="50" s="1"/>
  <c r="F41" i="50"/>
  <c r="F40" i="50"/>
  <c r="H40" i="50" s="1"/>
  <c r="I40" i="50" s="1"/>
  <c r="H39" i="50"/>
  <c r="I39" i="50" s="1"/>
  <c r="F39" i="50"/>
  <c r="F38" i="50"/>
  <c r="H38" i="50" s="1"/>
  <c r="I38" i="50" s="1"/>
  <c r="H37" i="50"/>
  <c r="F37" i="50"/>
  <c r="A37" i="50"/>
  <c r="I37" i="50" s="1"/>
  <c r="H36" i="50"/>
  <c r="F36" i="50"/>
  <c r="A36" i="50"/>
  <c r="I36" i="50" s="1"/>
  <c r="H35" i="50"/>
  <c r="F35" i="50"/>
  <c r="A35" i="50"/>
  <c r="A50" i="50" s="1"/>
  <c r="A53" i="50" s="1"/>
  <c r="I53" i="50" s="1"/>
  <c r="I57" i="50" s="1"/>
  <c r="P57" i="50" s="1"/>
  <c r="H34" i="50"/>
  <c r="I34" i="50" s="1"/>
  <c r="F34" i="50"/>
  <c r="F25" i="50"/>
  <c r="H25" i="50" s="1"/>
  <c r="I25" i="50" s="1"/>
  <c r="S25" i="50" s="1"/>
  <c r="I24" i="50"/>
  <c r="S24" i="50" s="1"/>
  <c r="H24" i="50"/>
  <c r="H23" i="50"/>
  <c r="I23" i="50" s="1"/>
  <c r="S23" i="50" s="1"/>
  <c r="F22" i="50"/>
  <c r="H22" i="50" s="1"/>
  <c r="I22" i="50" s="1"/>
  <c r="O22" i="50" s="1"/>
  <c r="M21" i="50"/>
  <c r="I21" i="50"/>
  <c r="H21" i="50"/>
  <c r="H20" i="50"/>
  <c r="I20" i="50" s="1"/>
  <c r="O20" i="50" s="1"/>
  <c r="I19" i="50"/>
  <c r="R19" i="50" s="1"/>
  <c r="H19" i="50"/>
  <c r="H18" i="50"/>
  <c r="I18" i="50" s="1"/>
  <c r="R18" i="50" s="1"/>
  <c r="I17" i="50"/>
  <c r="N17" i="50" s="1"/>
  <c r="H17" i="50"/>
  <c r="H15" i="50"/>
  <c r="I15" i="50" s="1"/>
  <c r="N15" i="50" s="1"/>
  <c r="N28" i="50" s="1"/>
  <c r="N30" i="50" s="1"/>
  <c r="F15" i="50"/>
  <c r="H14" i="50"/>
  <c r="I14" i="50" s="1"/>
  <c r="O14" i="50" s="1"/>
  <c r="I13" i="50"/>
  <c r="O13" i="50" s="1"/>
  <c r="H13" i="50"/>
  <c r="H12" i="50"/>
  <c r="I12" i="50" s="1"/>
  <c r="O12" i="50" s="1"/>
  <c r="F12" i="50"/>
  <c r="H11" i="50"/>
  <c r="I11" i="50" s="1"/>
  <c r="O11" i="50" s="1"/>
  <c r="O28" i="50" s="1"/>
  <c r="O30" i="50" s="1"/>
  <c r="F11" i="50"/>
  <c r="H9" i="50"/>
  <c r="I9" i="50" s="1"/>
  <c r="R9" i="50" s="1"/>
  <c r="F6" i="50"/>
  <c r="H6" i="50" s="1"/>
  <c r="I6" i="50" s="1"/>
  <c r="R6" i="50" s="1"/>
  <c r="F5" i="50"/>
  <c r="H5" i="50" s="1"/>
  <c r="I5" i="50" s="1"/>
  <c r="M5" i="50" s="1"/>
  <c r="I4" i="50"/>
  <c r="H4" i="50"/>
  <c r="L1" i="50"/>
  <c r="F89" i="49"/>
  <c r="H89" i="49" s="1"/>
  <c r="I89" i="49" s="1"/>
  <c r="H88" i="49"/>
  <c r="I88" i="49" s="1"/>
  <c r="F88" i="49"/>
  <c r="I87" i="49"/>
  <c r="H87" i="49"/>
  <c r="H82" i="49"/>
  <c r="I82" i="49" s="1"/>
  <c r="H81" i="49"/>
  <c r="I81" i="49" s="1"/>
  <c r="H80" i="49"/>
  <c r="I80" i="49" s="1"/>
  <c r="H79" i="49"/>
  <c r="I79" i="49" s="1"/>
  <c r="H78" i="49"/>
  <c r="I78" i="49" s="1"/>
  <c r="H65" i="49"/>
  <c r="I65" i="49" s="1"/>
  <c r="H64" i="49"/>
  <c r="I64" i="49" s="1"/>
  <c r="H63" i="49"/>
  <c r="I63" i="49" s="1"/>
  <c r="I66" i="49" s="1"/>
  <c r="Q66" i="49" s="1"/>
  <c r="F63" i="49"/>
  <c r="I56" i="49"/>
  <c r="H56" i="49"/>
  <c r="F55" i="49"/>
  <c r="H55" i="49" s="1"/>
  <c r="I54" i="49"/>
  <c r="H54" i="49"/>
  <c r="H50" i="49"/>
  <c r="I50" i="49" s="1"/>
  <c r="F50" i="49"/>
  <c r="F49" i="49"/>
  <c r="H49" i="49" s="1"/>
  <c r="I49" i="49" s="1"/>
  <c r="H48" i="49"/>
  <c r="I48" i="49" s="1"/>
  <c r="F48" i="49"/>
  <c r="F47" i="49"/>
  <c r="H47" i="49" s="1"/>
  <c r="I47" i="49" s="1"/>
  <c r="H46" i="49"/>
  <c r="I46" i="49" s="1"/>
  <c r="F46" i="49"/>
  <c r="F45" i="49"/>
  <c r="H45" i="49" s="1"/>
  <c r="I45" i="49" s="1"/>
  <c r="H44" i="49"/>
  <c r="I44" i="49" s="1"/>
  <c r="F44" i="49"/>
  <c r="F43" i="49"/>
  <c r="H43" i="49" s="1"/>
  <c r="I43" i="49" s="1"/>
  <c r="H42" i="49"/>
  <c r="I42" i="49" s="1"/>
  <c r="F42" i="49"/>
  <c r="F41" i="49"/>
  <c r="H41" i="49" s="1"/>
  <c r="I41" i="49" s="1"/>
  <c r="H40" i="49"/>
  <c r="I40" i="49" s="1"/>
  <c r="F40" i="49"/>
  <c r="F39" i="49"/>
  <c r="H39" i="49" s="1"/>
  <c r="I39" i="49" s="1"/>
  <c r="H38" i="49"/>
  <c r="F38" i="49"/>
  <c r="A38" i="49"/>
  <c r="I38" i="49" s="1"/>
  <c r="H37" i="49"/>
  <c r="F37" i="49"/>
  <c r="A37" i="49"/>
  <c r="I37" i="49" s="1"/>
  <c r="H36" i="49"/>
  <c r="F36" i="49"/>
  <c r="H35" i="49"/>
  <c r="I35" i="49" s="1"/>
  <c r="F35" i="49"/>
  <c r="F26" i="49"/>
  <c r="H26" i="49" s="1"/>
  <c r="I26" i="49" s="1"/>
  <c r="S26" i="49" s="1"/>
  <c r="I25" i="49"/>
  <c r="S25" i="49" s="1"/>
  <c r="H25" i="49"/>
  <c r="H24" i="49"/>
  <c r="I24" i="49" s="1"/>
  <c r="S24" i="49" s="1"/>
  <c r="F23" i="49"/>
  <c r="H23" i="49" s="1"/>
  <c r="I23" i="49" s="1"/>
  <c r="O23" i="49" s="1"/>
  <c r="M22" i="49"/>
  <c r="I22" i="49"/>
  <c r="H22" i="49"/>
  <c r="H21" i="49"/>
  <c r="I21" i="49" s="1"/>
  <c r="O21" i="49" s="1"/>
  <c r="I20" i="49"/>
  <c r="R20" i="49" s="1"/>
  <c r="H20" i="49"/>
  <c r="H19" i="49"/>
  <c r="I19" i="49" s="1"/>
  <c r="R19" i="49" s="1"/>
  <c r="I18" i="49"/>
  <c r="N18" i="49" s="1"/>
  <c r="H18" i="49"/>
  <c r="H17" i="49"/>
  <c r="I17" i="49" s="1"/>
  <c r="N17" i="49" s="1"/>
  <c r="I16" i="49"/>
  <c r="N16" i="49" s="1"/>
  <c r="H16" i="49"/>
  <c r="H15" i="49"/>
  <c r="I15" i="49" s="1"/>
  <c r="O15" i="49" s="1"/>
  <c r="I14" i="49"/>
  <c r="O14" i="49" s="1"/>
  <c r="H14" i="49"/>
  <c r="H13" i="49"/>
  <c r="I13" i="49" s="1"/>
  <c r="O13" i="49" s="1"/>
  <c r="F13" i="49"/>
  <c r="H12" i="49"/>
  <c r="I12" i="49" s="1"/>
  <c r="O12" i="49" s="1"/>
  <c r="F12" i="49"/>
  <c r="H10" i="49"/>
  <c r="I10" i="49" s="1"/>
  <c r="R10" i="49" s="1"/>
  <c r="I7" i="49"/>
  <c r="R7" i="49" s="1"/>
  <c r="R29" i="49" s="1"/>
  <c r="R31" i="49" s="1"/>
  <c r="H7" i="49"/>
  <c r="H6" i="49"/>
  <c r="F6" i="49"/>
  <c r="A6" i="49"/>
  <c r="I6" i="49" s="1"/>
  <c r="M6" i="49" s="1"/>
  <c r="A5" i="49"/>
  <c r="H4" i="49"/>
  <c r="I4" i="49" s="1"/>
  <c r="L1" i="49"/>
  <c r="H107" i="48"/>
  <c r="I107" i="48" s="1"/>
  <c r="F107" i="48"/>
  <c r="F106" i="48"/>
  <c r="H106" i="48" s="1"/>
  <c r="I106" i="48" s="1"/>
  <c r="H105" i="48"/>
  <c r="I105" i="48" s="1"/>
  <c r="H104" i="48"/>
  <c r="I104" i="48" s="1"/>
  <c r="H103" i="48"/>
  <c r="I103" i="48" s="1"/>
  <c r="I98" i="48"/>
  <c r="H98" i="48"/>
  <c r="I97" i="48"/>
  <c r="H97" i="48"/>
  <c r="I96" i="48"/>
  <c r="H96" i="48"/>
  <c r="I95" i="48"/>
  <c r="H95" i="48"/>
  <c r="I94" i="48"/>
  <c r="I100" i="48" s="1"/>
  <c r="H94" i="48"/>
  <c r="H88" i="48"/>
  <c r="I88" i="48" s="1"/>
  <c r="H87" i="48"/>
  <c r="I87" i="48" s="1"/>
  <c r="H81" i="48"/>
  <c r="I81" i="48" s="1"/>
  <c r="H80" i="48"/>
  <c r="I80" i="48" s="1"/>
  <c r="H79" i="48"/>
  <c r="I79" i="48" s="1"/>
  <c r="H78" i="48"/>
  <c r="I78" i="48" s="1"/>
  <c r="H77" i="48"/>
  <c r="I77" i="48" s="1"/>
  <c r="H76" i="48"/>
  <c r="I76" i="48" s="1"/>
  <c r="H73" i="48"/>
  <c r="I73" i="48" s="1"/>
  <c r="H72" i="48"/>
  <c r="I72" i="48" s="1"/>
  <c r="H71" i="48"/>
  <c r="I71" i="48" s="1"/>
  <c r="H70" i="48"/>
  <c r="I70" i="48" s="1"/>
  <c r="H69" i="48"/>
  <c r="I69" i="48" s="1"/>
  <c r="H68" i="48"/>
  <c r="I68" i="48" s="1"/>
  <c r="H67" i="48"/>
  <c r="I67" i="48" s="1"/>
  <c r="H66" i="48"/>
  <c r="I66" i="48" s="1"/>
  <c r="H58" i="48"/>
  <c r="I58" i="48" s="1"/>
  <c r="H57" i="48"/>
  <c r="F57" i="48"/>
  <c r="H56" i="48"/>
  <c r="I56" i="48" s="1"/>
  <c r="F52" i="48"/>
  <c r="H52" i="48" s="1"/>
  <c r="I52" i="48" s="1"/>
  <c r="H51" i="48"/>
  <c r="I51" i="48" s="1"/>
  <c r="F51" i="48"/>
  <c r="F50" i="48"/>
  <c r="H50" i="48" s="1"/>
  <c r="I50" i="48" s="1"/>
  <c r="H49" i="48"/>
  <c r="F49" i="48"/>
  <c r="A49" i="48"/>
  <c r="I49" i="48" s="1"/>
  <c r="H48" i="48"/>
  <c r="I48" i="48" s="1"/>
  <c r="F48" i="48"/>
  <c r="F47" i="48"/>
  <c r="H47" i="48" s="1"/>
  <c r="I47" i="48" s="1"/>
  <c r="H46" i="48"/>
  <c r="I46" i="48" s="1"/>
  <c r="F46" i="48"/>
  <c r="F45" i="48"/>
  <c r="H45" i="48" s="1"/>
  <c r="I45" i="48" s="1"/>
  <c r="H44" i="48"/>
  <c r="I44" i="48" s="1"/>
  <c r="F44" i="48"/>
  <c r="F43" i="48"/>
  <c r="H43" i="48" s="1"/>
  <c r="I43" i="48" s="1"/>
  <c r="H42" i="48"/>
  <c r="I42" i="48" s="1"/>
  <c r="F42" i="48"/>
  <c r="F41" i="48"/>
  <c r="H41" i="48" s="1"/>
  <c r="I41" i="48" s="1"/>
  <c r="H40" i="48"/>
  <c r="F40" i="48"/>
  <c r="H39" i="48"/>
  <c r="I39" i="48" s="1"/>
  <c r="F39" i="48"/>
  <c r="F38" i="48"/>
  <c r="H38" i="48" s="1"/>
  <c r="F37" i="48"/>
  <c r="H37" i="48" s="1"/>
  <c r="I37" i="48" s="1"/>
  <c r="F28" i="48"/>
  <c r="H28" i="48" s="1"/>
  <c r="I28" i="48" s="1"/>
  <c r="S28" i="48" s="1"/>
  <c r="I27" i="48"/>
  <c r="S27" i="48" s="1"/>
  <c r="H27" i="48"/>
  <c r="H26" i="48"/>
  <c r="I26" i="48" s="1"/>
  <c r="S26" i="48" s="1"/>
  <c r="I25" i="48"/>
  <c r="S25" i="48" s="1"/>
  <c r="H25" i="48"/>
  <c r="H24" i="48"/>
  <c r="I24" i="48" s="1"/>
  <c r="S24" i="48" s="1"/>
  <c r="H23" i="48"/>
  <c r="A23" i="48"/>
  <c r="I23" i="48" s="1"/>
  <c r="O23" i="48" s="1"/>
  <c r="M22" i="48"/>
  <c r="I22" i="48"/>
  <c r="H22" i="48"/>
  <c r="H21" i="48"/>
  <c r="I21" i="48" s="1"/>
  <c r="O21" i="48" s="1"/>
  <c r="I20" i="48"/>
  <c r="R20" i="48" s="1"/>
  <c r="H20" i="48"/>
  <c r="H19" i="48"/>
  <c r="I19" i="48" s="1"/>
  <c r="R19" i="48" s="1"/>
  <c r="I18" i="48"/>
  <c r="R18" i="48" s="1"/>
  <c r="H18" i="48"/>
  <c r="H17" i="48"/>
  <c r="I17" i="48" s="1"/>
  <c r="N17" i="48" s="1"/>
  <c r="H16" i="48"/>
  <c r="A16" i="48"/>
  <c r="I16" i="48" s="1"/>
  <c r="N16" i="48" s="1"/>
  <c r="I15" i="48"/>
  <c r="N15" i="48" s="1"/>
  <c r="H15" i="48"/>
  <c r="H14" i="48"/>
  <c r="H13" i="48"/>
  <c r="A13" i="48"/>
  <c r="A14" i="48" s="1"/>
  <c r="I14" i="48" s="1"/>
  <c r="O14" i="48" s="1"/>
  <c r="O12" i="48"/>
  <c r="H12" i="48"/>
  <c r="F12" i="48"/>
  <c r="A12" i="48"/>
  <c r="I12" i="48" s="1"/>
  <c r="I11" i="48"/>
  <c r="O11" i="48" s="1"/>
  <c r="F11" i="48"/>
  <c r="H11" i="48" s="1"/>
  <c r="A11" i="48"/>
  <c r="H10" i="48"/>
  <c r="H9" i="48"/>
  <c r="A9" i="48"/>
  <c r="I9" i="48" s="1"/>
  <c r="O9" i="48" s="1"/>
  <c r="R8" i="48"/>
  <c r="H8" i="48"/>
  <c r="I8" i="48" s="1"/>
  <c r="I7" i="48"/>
  <c r="R7" i="48" s="1"/>
  <c r="H7" i="48"/>
  <c r="R6" i="48"/>
  <c r="R31" i="48" s="1"/>
  <c r="R33" i="48" s="1"/>
  <c r="H6" i="48"/>
  <c r="I6" i="48" s="1"/>
  <c r="H5" i="48"/>
  <c r="A5" i="48"/>
  <c r="I5" i="48" s="1"/>
  <c r="M5" i="48" s="1"/>
  <c r="J4" i="48"/>
  <c r="H4" i="48"/>
  <c r="I4" i="48" s="1"/>
  <c r="L1" i="48"/>
  <c r="G125" i="47"/>
  <c r="G127" i="47" s="1"/>
  <c r="G122" i="47"/>
  <c r="F122" i="47"/>
  <c r="F125" i="47" s="1"/>
  <c r="F127" i="47" s="1"/>
  <c r="H127" i="47" s="1"/>
  <c r="G121" i="47"/>
  <c r="G124" i="47" s="1"/>
  <c r="G126" i="47" s="1"/>
  <c r="G128" i="47" s="1"/>
  <c r="F121" i="47"/>
  <c r="F124" i="47" s="1"/>
  <c r="F126" i="47" s="1"/>
  <c r="H115" i="47"/>
  <c r="I115" i="47" s="1"/>
  <c r="F115" i="47"/>
  <c r="I114" i="47"/>
  <c r="F114" i="47"/>
  <c r="H114" i="47" s="1"/>
  <c r="H113" i="47"/>
  <c r="I113" i="47" s="1"/>
  <c r="I112" i="47"/>
  <c r="H112" i="47"/>
  <c r="H111" i="47"/>
  <c r="I111" i="47" s="1"/>
  <c r="I117" i="47" s="1"/>
  <c r="I106" i="47"/>
  <c r="H106" i="47"/>
  <c r="H105" i="47"/>
  <c r="I105" i="47" s="1"/>
  <c r="I104" i="47"/>
  <c r="H104" i="47"/>
  <c r="H103" i="47"/>
  <c r="I103" i="47" s="1"/>
  <c r="I102" i="47"/>
  <c r="I108" i="47" s="1"/>
  <c r="H102" i="47"/>
  <c r="I89" i="47"/>
  <c r="H89" i="47"/>
  <c r="H87" i="47"/>
  <c r="I87" i="47" s="1"/>
  <c r="I86" i="47"/>
  <c r="H86" i="47"/>
  <c r="F86" i="47"/>
  <c r="H85" i="47"/>
  <c r="I85" i="47" s="1"/>
  <c r="A85" i="47"/>
  <c r="H84" i="47"/>
  <c r="I84" i="47" s="1"/>
  <c r="I83" i="47"/>
  <c r="H83" i="47"/>
  <c r="F83" i="47"/>
  <c r="H80" i="47"/>
  <c r="I80" i="47" s="1"/>
  <c r="I79" i="47"/>
  <c r="H79" i="47"/>
  <c r="H78" i="47"/>
  <c r="I78" i="47" s="1"/>
  <c r="I77" i="47"/>
  <c r="H77" i="47"/>
  <c r="H76" i="47"/>
  <c r="I76" i="47" s="1"/>
  <c r="I75" i="47"/>
  <c r="H75" i="47"/>
  <c r="H72" i="47"/>
  <c r="I72" i="47" s="1"/>
  <c r="I71" i="47"/>
  <c r="H71" i="47"/>
  <c r="H70" i="47"/>
  <c r="I70" i="47" s="1"/>
  <c r="I69" i="47"/>
  <c r="H69" i="47"/>
  <c r="H68" i="47"/>
  <c r="I68" i="47" s="1"/>
  <c r="I67" i="47"/>
  <c r="H67" i="47"/>
  <c r="H66" i="47"/>
  <c r="I66" i="47" s="1"/>
  <c r="I65" i="47"/>
  <c r="I91" i="47" s="1"/>
  <c r="Q91" i="47" s="1"/>
  <c r="Q33" i="47" s="1"/>
  <c r="H65" i="47"/>
  <c r="I57" i="47"/>
  <c r="H57" i="47"/>
  <c r="H56" i="47"/>
  <c r="F56" i="47"/>
  <c r="H55" i="47"/>
  <c r="I55" i="47" s="1"/>
  <c r="F51" i="47"/>
  <c r="H51" i="47" s="1"/>
  <c r="I51" i="47" s="1"/>
  <c r="F50" i="47"/>
  <c r="H50" i="47" s="1"/>
  <c r="I50" i="47" s="1"/>
  <c r="I49" i="47"/>
  <c r="H49" i="47"/>
  <c r="F49" i="47"/>
  <c r="H48" i="47"/>
  <c r="I48" i="47" s="1"/>
  <c r="F48" i="47"/>
  <c r="F47" i="47"/>
  <c r="H47" i="47" s="1"/>
  <c r="I47" i="47" s="1"/>
  <c r="F46" i="47"/>
  <c r="H46" i="47" s="1"/>
  <c r="I46" i="47" s="1"/>
  <c r="I45" i="47"/>
  <c r="H45" i="47"/>
  <c r="F45" i="47"/>
  <c r="H44" i="47"/>
  <c r="I44" i="47" s="1"/>
  <c r="F44" i="47"/>
  <c r="F43" i="47"/>
  <c r="H43" i="47" s="1"/>
  <c r="I43" i="47" s="1"/>
  <c r="F42" i="47"/>
  <c r="H42" i="47" s="1"/>
  <c r="I42" i="47" s="1"/>
  <c r="I41" i="47"/>
  <c r="H41" i="47"/>
  <c r="F41" i="47"/>
  <c r="H40" i="47"/>
  <c r="I40" i="47" s="1"/>
  <c r="F40" i="47"/>
  <c r="A40" i="47"/>
  <c r="H39" i="47"/>
  <c r="I39" i="47" s="1"/>
  <c r="F39" i="47"/>
  <c r="F38" i="47"/>
  <c r="H38" i="47" s="1"/>
  <c r="A38" i="47"/>
  <c r="A53" i="47" s="1"/>
  <c r="A56" i="47" s="1"/>
  <c r="I56" i="47" s="1"/>
  <c r="I60" i="47" s="1"/>
  <c r="P60" i="47" s="1"/>
  <c r="P33" i="47" s="1"/>
  <c r="F37" i="47"/>
  <c r="H37" i="47" s="1"/>
  <c r="I37" i="47" s="1"/>
  <c r="I28" i="47"/>
  <c r="S28" i="47" s="1"/>
  <c r="H28" i="47"/>
  <c r="F28" i="47"/>
  <c r="I27" i="47"/>
  <c r="S27" i="47" s="1"/>
  <c r="H27" i="47"/>
  <c r="H26" i="47"/>
  <c r="I26" i="47" s="1"/>
  <c r="S26" i="47" s="1"/>
  <c r="H25" i="47"/>
  <c r="I25" i="47" s="1"/>
  <c r="S25" i="47" s="1"/>
  <c r="S31" i="47" s="1"/>
  <c r="S33" i="47" s="1"/>
  <c r="M22" i="47"/>
  <c r="I22" i="47"/>
  <c r="H22" i="47"/>
  <c r="I21" i="47"/>
  <c r="O21" i="47" s="1"/>
  <c r="H21" i="47"/>
  <c r="H20" i="47"/>
  <c r="I20" i="47" s="1"/>
  <c r="R20" i="47" s="1"/>
  <c r="H19" i="47"/>
  <c r="I19" i="47" s="1"/>
  <c r="R19" i="47" s="1"/>
  <c r="H18" i="47"/>
  <c r="A18" i="47"/>
  <c r="I18" i="47" s="1"/>
  <c r="R18" i="47" s="1"/>
  <c r="N17" i="47"/>
  <c r="I17" i="47"/>
  <c r="H17" i="47"/>
  <c r="I16" i="47"/>
  <c r="N16" i="47" s="1"/>
  <c r="H16" i="47"/>
  <c r="H15" i="47"/>
  <c r="I15" i="47" s="1"/>
  <c r="N15" i="47" s="1"/>
  <c r="N31" i="47" s="1"/>
  <c r="N33" i="47" s="1"/>
  <c r="H14" i="47"/>
  <c r="A14" i="47"/>
  <c r="I14" i="47" s="1"/>
  <c r="O14" i="47" s="1"/>
  <c r="H13" i="47"/>
  <c r="I13" i="47" s="1"/>
  <c r="O13" i="47" s="1"/>
  <c r="A12" i="47"/>
  <c r="F12" i="47" s="1"/>
  <c r="H12" i="47" s="1"/>
  <c r="F11" i="47"/>
  <c r="H11" i="47" s="1"/>
  <c r="A11" i="47"/>
  <c r="H10" i="47"/>
  <c r="I10" i="47" s="1"/>
  <c r="R10" i="47" s="1"/>
  <c r="R9" i="47"/>
  <c r="H8" i="47"/>
  <c r="I8" i="47" s="1"/>
  <c r="R8" i="47" s="1"/>
  <c r="H7" i="47"/>
  <c r="I7" i="47" s="1"/>
  <c r="R7" i="47" s="1"/>
  <c r="R6" i="47"/>
  <c r="I6" i="47"/>
  <c r="H6" i="47"/>
  <c r="A5" i="47"/>
  <c r="F5" i="47" s="1"/>
  <c r="H5" i="47" s="1"/>
  <c r="I5" i="47" s="1"/>
  <c r="M5" i="47" s="1"/>
  <c r="M4" i="47"/>
  <c r="I4" i="47"/>
  <c r="H4" i="47"/>
  <c r="L1" i="47"/>
  <c r="F106" i="46"/>
  <c r="H106" i="46" s="1"/>
  <c r="I106" i="46" s="1"/>
  <c r="I105" i="46"/>
  <c r="H105" i="46"/>
  <c r="F105" i="46"/>
  <c r="H104" i="46"/>
  <c r="I104" i="46" s="1"/>
  <c r="F104" i="46"/>
  <c r="H103" i="46"/>
  <c r="I103" i="46" s="1"/>
  <c r="I102" i="46"/>
  <c r="H102" i="46"/>
  <c r="H101" i="46"/>
  <c r="I101" i="46" s="1"/>
  <c r="I89" i="46"/>
  <c r="H89" i="46"/>
  <c r="H88" i="46"/>
  <c r="I88" i="46" s="1"/>
  <c r="I87" i="46"/>
  <c r="H87" i="46"/>
  <c r="H86" i="46"/>
  <c r="I86" i="46" s="1"/>
  <c r="I85" i="46"/>
  <c r="H85" i="46"/>
  <c r="H84" i="46"/>
  <c r="I84" i="46" s="1"/>
  <c r="I91" i="46" s="1"/>
  <c r="I83" i="46"/>
  <c r="H83" i="46"/>
  <c r="I76" i="46"/>
  <c r="H76" i="46"/>
  <c r="H75" i="46"/>
  <c r="I75" i="46" s="1"/>
  <c r="I78" i="46" s="1"/>
  <c r="H69" i="46"/>
  <c r="I69" i="46" s="1"/>
  <c r="I68" i="46"/>
  <c r="H68" i="46"/>
  <c r="H67" i="46"/>
  <c r="I67" i="46" s="1"/>
  <c r="I66" i="46"/>
  <c r="H66" i="46"/>
  <c r="I61" i="46"/>
  <c r="H61" i="46"/>
  <c r="H60" i="46"/>
  <c r="I60" i="46" s="1"/>
  <c r="I59" i="46"/>
  <c r="H59" i="46"/>
  <c r="F58" i="46"/>
  <c r="H58" i="46" s="1"/>
  <c r="H57" i="46"/>
  <c r="I57" i="46" s="1"/>
  <c r="A55" i="46"/>
  <c r="A58" i="46" s="1"/>
  <c r="I58" i="46" s="1"/>
  <c r="I62" i="46" s="1"/>
  <c r="P62" i="46" s="1"/>
  <c r="P35" i="46" s="1"/>
  <c r="F53" i="46"/>
  <c r="H53" i="46" s="1"/>
  <c r="I53" i="46" s="1"/>
  <c r="I52" i="46"/>
  <c r="H52" i="46"/>
  <c r="F52" i="46"/>
  <c r="A52" i="46"/>
  <c r="I51" i="46"/>
  <c r="H51" i="46"/>
  <c r="F51" i="46"/>
  <c r="H50" i="46"/>
  <c r="I50" i="46" s="1"/>
  <c r="F50" i="46"/>
  <c r="F49" i="46"/>
  <c r="H49" i="46" s="1"/>
  <c r="I49" i="46" s="1"/>
  <c r="F48" i="46"/>
  <c r="H48" i="46" s="1"/>
  <c r="I48" i="46" s="1"/>
  <c r="I47" i="46"/>
  <c r="H47" i="46"/>
  <c r="F47" i="46"/>
  <c r="H46" i="46"/>
  <c r="I46" i="46" s="1"/>
  <c r="F46" i="46"/>
  <c r="F45" i="46"/>
  <c r="H45" i="46" s="1"/>
  <c r="I45" i="46" s="1"/>
  <c r="F44" i="46"/>
  <c r="H44" i="46" s="1"/>
  <c r="I44" i="46" s="1"/>
  <c r="I43" i="46"/>
  <c r="H43" i="46"/>
  <c r="F43" i="46"/>
  <c r="H42" i="46"/>
  <c r="I42" i="46" s="1"/>
  <c r="F42" i="46"/>
  <c r="A42" i="46"/>
  <c r="H41" i="46"/>
  <c r="I41" i="46" s="1"/>
  <c r="F41" i="46"/>
  <c r="A41" i="46"/>
  <c r="H40" i="46"/>
  <c r="I40" i="46" s="1"/>
  <c r="F40" i="46"/>
  <c r="F39" i="46"/>
  <c r="H39" i="46" s="1"/>
  <c r="A39" i="46"/>
  <c r="I39" i="46" s="1"/>
  <c r="I29" i="46"/>
  <c r="S29" i="46" s="1"/>
  <c r="H29" i="46"/>
  <c r="F29" i="46"/>
  <c r="I28" i="46"/>
  <c r="S28" i="46" s="1"/>
  <c r="H28" i="46"/>
  <c r="H27" i="46"/>
  <c r="I27" i="46" s="1"/>
  <c r="S27" i="46" s="1"/>
  <c r="H26" i="46"/>
  <c r="I26" i="46" s="1"/>
  <c r="S26" i="46" s="1"/>
  <c r="O25" i="46"/>
  <c r="I25" i="46"/>
  <c r="H25" i="46"/>
  <c r="I24" i="46"/>
  <c r="O24" i="46" s="1"/>
  <c r="H24" i="46"/>
  <c r="H23" i="46"/>
  <c r="I23" i="46" s="1"/>
  <c r="O23" i="46" s="1"/>
  <c r="M22" i="46"/>
  <c r="H22" i="46"/>
  <c r="I22" i="46" s="1"/>
  <c r="O21" i="46"/>
  <c r="I21" i="46"/>
  <c r="H21" i="46"/>
  <c r="I20" i="46"/>
  <c r="R20" i="46" s="1"/>
  <c r="H20" i="46"/>
  <c r="H19" i="46"/>
  <c r="I19" i="46" s="1"/>
  <c r="R19" i="46" s="1"/>
  <c r="H18" i="46"/>
  <c r="I18" i="46" s="1"/>
  <c r="N18" i="46" s="1"/>
  <c r="N17" i="46"/>
  <c r="I17" i="46"/>
  <c r="H17" i="46"/>
  <c r="I16" i="46"/>
  <c r="N16" i="46" s="1"/>
  <c r="N33" i="46" s="1"/>
  <c r="N35" i="46" s="1"/>
  <c r="H16" i="46"/>
  <c r="H15" i="46"/>
  <c r="I15" i="46" s="1"/>
  <c r="O15" i="46" s="1"/>
  <c r="H14" i="46"/>
  <c r="A14" i="46"/>
  <c r="I14" i="46" s="1"/>
  <c r="O14" i="46" s="1"/>
  <c r="H13" i="46"/>
  <c r="I13" i="46" s="1"/>
  <c r="O13" i="46" s="1"/>
  <c r="F12" i="46"/>
  <c r="H12" i="46" s="1"/>
  <c r="I12" i="46" s="1"/>
  <c r="O12" i="46" s="1"/>
  <c r="F11" i="46"/>
  <c r="H11" i="46" s="1"/>
  <c r="I11" i="46" s="1"/>
  <c r="O11" i="46" s="1"/>
  <c r="O33" i="46" s="1"/>
  <c r="O35" i="46" s="1"/>
  <c r="R10" i="46"/>
  <c r="I10" i="46"/>
  <c r="H10" i="46"/>
  <c r="I9" i="46"/>
  <c r="R9" i="46" s="1"/>
  <c r="H9" i="46"/>
  <c r="H8" i="46"/>
  <c r="I8" i="46" s="1"/>
  <c r="R8" i="46" s="1"/>
  <c r="H7" i="46"/>
  <c r="I7" i="46" s="1"/>
  <c r="R7" i="46" s="1"/>
  <c r="F6" i="46"/>
  <c r="H6" i="46" s="1"/>
  <c r="I6" i="46" s="1"/>
  <c r="R6" i="46" s="1"/>
  <c r="R33" i="46" s="1"/>
  <c r="R35" i="46" s="1"/>
  <c r="F5" i="46"/>
  <c r="H5" i="46" s="1"/>
  <c r="I5" i="46" s="1"/>
  <c r="M5" i="46" s="1"/>
  <c r="M4" i="46"/>
  <c r="I4" i="46"/>
  <c r="H4" i="46"/>
  <c r="L1" i="46"/>
  <c r="F108" i="45"/>
  <c r="H108" i="45" s="1"/>
  <c r="I108" i="45" s="1"/>
  <c r="I107" i="45"/>
  <c r="H107" i="45"/>
  <c r="F107" i="45"/>
  <c r="H106" i="45"/>
  <c r="I106" i="45" s="1"/>
  <c r="I105" i="45"/>
  <c r="H105" i="45"/>
  <c r="H104" i="45"/>
  <c r="I104" i="45" s="1"/>
  <c r="I110" i="45" s="1"/>
  <c r="H99" i="45"/>
  <c r="I99" i="45" s="1"/>
  <c r="I98" i="45"/>
  <c r="H98" i="45"/>
  <c r="H97" i="45"/>
  <c r="I97" i="45" s="1"/>
  <c r="I96" i="45"/>
  <c r="H96" i="45"/>
  <c r="H95" i="45"/>
  <c r="I95" i="45" s="1"/>
  <c r="I94" i="45"/>
  <c r="H94" i="45"/>
  <c r="H93" i="45"/>
  <c r="I93" i="45" s="1"/>
  <c r="H81" i="45"/>
  <c r="I81" i="45" s="1"/>
  <c r="I80" i="45"/>
  <c r="H80" i="45"/>
  <c r="H79" i="45"/>
  <c r="I79" i="45" s="1"/>
  <c r="I78" i="45"/>
  <c r="H78" i="45"/>
  <c r="H77" i="45"/>
  <c r="I77" i="45" s="1"/>
  <c r="I76" i="45"/>
  <c r="H76" i="45"/>
  <c r="H73" i="45"/>
  <c r="I73" i="45" s="1"/>
  <c r="I72" i="45"/>
  <c r="H72" i="45"/>
  <c r="H71" i="45"/>
  <c r="I71" i="45" s="1"/>
  <c r="I70" i="45"/>
  <c r="H70" i="45"/>
  <c r="H69" i="45"/>
  <c r="I69" i="45" s="1"/>
  <c r="I68" i="45"/>
  <c r="H68" i="45"/>
  <c r="H67" i="45"/>
  <c r="I67" i="45" s="1"/>
  <c r="I66" i="45"/>
  <c r="H66" i="45"/>
  <c r="I60" i="45"/>
  <c r="H60" i="45"/>
  <c r="H59" i="45"/>
  <c r="I59" i="45" s="1"/>
  <c r="I58" i="45"/>
  <c r="H58" i="45"/>
  <c r="F57" i="45"/>
  <c r="H57" i="45" s="1"/>
  <c r="H56" i="45"/>
  <c r="I56" i="45" s="1"/>
  <c r="A54" i="45"/>
  <c r="A57" i="45" s="1"/>
  <c r="I57" i="45" s="1"/>
  <c r="I61" i="45" s="1"/>
  <c r="P61" i="45" s="1"/>
  <c r="F52" i="45"/>
  <c r="H52" i="45" s="1"/>
  <c r="I52" i="45" s="1"/>
  <c r="I51" i="45"/>
  <c r="H51" i="45"/>
  <c r="F51" i="45"/>
  <c r="A51" i="45"/>
  <c r="I50" i="45"/>
  <c r="H50" i="45"/>
  <c r="F50" i="45"/>
  <c r="H49" i="45"/>
  <c r="I49" i="45" s="1"/>
  <c r="F49" i="45"/>
  <c r="F48" i="45"/>
  <c r="H48" i="45" s="1"/>
  <c r="I48" i="45" s="1"/>
  <c r="F47" i="45"/>
  <c r="H47" i="45" s="1"/>
  <c r="I47" i="45" s="1"/>
  <c r="I46" i="45"/>
  <c r="H46" i="45"/>
  <c r="F46" i="45"/>
  <c r="H45" i="45"/>
  <c r="I45" i="45" s="1"/>
  <c r="F45" i="45"/>
  <c r="F44" i="45"/>
  <c r="H44" i="45" s="1"/>
  <c r="I44" i="45" s="1"/>
  <c r="F43" i="45"/>
  <c r="H43" i="45" s="1"/>
  <c r="I43" i="45" s="1"/>
  <c r="I42" i="45"/>
  <c r="H42" i="45"/>
  <c r="F42" i="45"/>
  <c r="H41" i="45"/>
  <c r="I41" i="45" s="1"/>
  <c r="F41" i="45"/>
  <c r="A41" i="45"/>
  <c r="H40" i="45"/>
  <c r="I40" i="45" s="1"/>
  <c r="F40" i="45"/>
  <c r="A40" i="45"/>
  <c r="H39" i="45"/>
  <c r="I39" i="45" s="1"/>
  <c r="F39" i="45"/>
  <c r="F38" i="45"/>
  <c r="H38" i="45" s="1"/>
  <c r="A38" i="45"/>
  <c r="I38" i="45" s="1"/>
  <c r="F28" i="45"/>
  <c r="H28" i="45" s="1"/>
  <c r="I28" i="45" s="1"/>
  <c r="S28" i="45" s="1"/>
  <c r="H27" i="45"/>
  <c r="I27" i="45" s="1"/>
  <c r="S27" i="45" s="1"/>
  <c r="S26" i="45"/>
  <c r="I26" i="45"/>
  <c r="H26" i="45"/>
  <c r="I25" i="45"/>
  <c r="S25" i="45" s="1"/>
  <c r="H25" i="45"/>
  <c r="H24" i="45"/>
  <c r="I24" i="45" s="1"/>
  <c r="O24" i="45" s="1"/>
  <c r="F24" i="45"/>
  <c r="H23" i="45"/>
  <c r="I23" i="45" s="1"/>
  <c r="O23" i="45" s="1"/>
  <c r="F23" i="45"/>
  <c r="H22" i="45"/>
  <c r="I22" i="45" s="1"/>
  <c r="O22" i="45" s="1"/>
  <c r="F22" i="45"/>
  <c r="M21" i="45"/>
  <c r="H21" i="45"/>
  <c r="I21" i="45" s="1"/>
  <c r="H20" i="45"/>
  <c r="I20" i="45" s="1"/>
  <c r="O20" i="45" s="1"/>
  <c r="R19" i="45"/>
  <c r="I19" i="45"/>
  <c r="H19" i="45"/>
  <c r="I18" i="45"/>
  <c r="R18" i="45" s="1"/>
  <c r="H18" i="45"/>
  <c r="H17" i="45"/>
  <c r="I17" i="45" s="1"/>
  <c r="N17" i="45" s="1"/>
  <c r="H16" i="45"/>
  <c r="I16" i="45" s="1"/>
  <c r="N16" i="45" s="1"/>
  <c r="N15" i="45"/>
  <c r="N32" i="45" s="1"/>
  <c r="N34" i="45" s="1"/>
  <c r="I15" i="45"/>
  <c r="H15" i="45"/>
  <c r="I14" i="45"/>
  <c r="O14" i="45" s="1"/>
  <c r="H14" i="45"/>
  <c r="A14" i="45"/>
  <c r="I13" i="45"/>
  <c r="O13" i="45" s="1"/>
  <c r="H13" i="45"/>
  <c r="A13" i="45"/>
  <c r="I12" i="45"/>
  <c r="O12" i="45" s="1"/>
  <c r="H12" i="45"/>
  <c r="F12" i="45"/>
  <c r="I11" i="45"/>
  <c r="O11" i="45" s="1"/>
  <c r="O32" i="45" s="1"/>
  <c r="O34" i="45" s="1"/>
  <c r="H11" i="45"/>
  <c r="F11" i="45"/>
  <c r="I10" i="45"/>
  <c r="R10" i="45" s="1"/>
  <c r="H10" i="45"/>
  <c r="H9" i="45"/>
  <c r="I9" i="45" s="1"/>
  <c r="R9" i="45" s="1"/>
  <c r="H8" i="45"/>
  <c r="I8" i="45" s="1"/>
  <c r="R8" i="45" s="1"/>
  <c r="R7" i="45"/>
  <c r="I7" i="45"/>
  <c r="H7" i="45"/>
  <c r="I6" i="45"/>
  <c r="R6" i="45" s="1"/>
  <c r="H6" i="45"/>
  <c r="F6" i="45"/>
  <c r="I4" i="45"/>
  <c r="M4" i="45" s="1"/>
  <c r="M32" i="45" s="1"/>
  <c r="M34" i="45" s="1"/>
  <c r="H4" i="45"/>
  <c r="A4" i="45"/>
  <c r="F5" i="45" s="1"/>
  <c r="H5" i="45" s="1"/>
  <c r="I5" i="45" s="1"/>
  <c r="M5" i="45" s="1"/>
  <c r="L1" i="45"/>
  <c r="F90" i="44"/>
  <c r="H90" i="44" s="1"/>
  <c r="I90" i="44" s="1"/>
  <c r="I89" i="44"/>
  <c r="H89" i="44"/>
  <c r="F89" i="44"/>
  <c r="H88" i="44"/>
  <c r="I88" i="44" s="1"/>
  <c r="I92" i="44" s="1"/>
  <c r="H82" i="44"/>
  <c r="I82" i="44" s="1"/>
  <c r="I81" i="44"/>
  <c r="H81" i="44"/>
  <c r="H80" i="44"/>
  <c r="I80" i="44" s="1"/>
  <c r="I79" i="44"/>
  <c r="H79" i="44"/>
  <c r="H78" i="44"/>
  <c r="I78" i="44" s="1"/>
  <c r="I85" i="44" s="1"/>
  <c r="H67" i="44"/>
  <c r="I67" i="44" s="1"/>
  <c r="I66" i="44"/>
  <c r="H66" i="44"/>
  <c r="F65" i="44"/>
  <c r="H65" i="44" s="1"/>
  <c r="I65" i="44" s="1"/>
  <c r="I68" i="44" s="1"/>
  <c r="Q68" i="44" s="1"/>
  <c r="H60" i="44"/>
  <c r="I60" i="44" s="1"/>
  <c r="I59" i="44"/>
  <c r="H59" i="44"/>
  <c r="H58" i="44"/>
  <c r="I58" i="44" s="1"/>
  <c r="F58" i="44"/>
  <c r="F57" i="44"/>
  <c r="H57" i="44" s="1"/>
  <c r="H56" i="44"/>
  <c r="I56" i="44" s="1"/>
  <c r="F52" i="44"/>
  <c r="H52" i="44" s="1"/>
  <c r="I52" i="44" s="1"/>
  <c r="I51" i="44"/>
  <c r="H51" i="44"/>
  <c r="F51" i="44"/>
  <c r="H50" i="44"/>
  <c r="I50" i="44" s="1"/>
  <c r="F50" i="44"/>
  <c r="F49" i="44"/>
  <c r="H49" i="44" s="1"/>
  <c r="I49" i="44" s="1"/>
  <c r="F48" i="44"/>
  <c r="H48" i="44" s="1"/>
  <c r="I48" i="44" s="1"/>
  <c r="I47" i="44"/>
  <c r="H47" i="44"/>
  <c r="F47" i="44"/>
  <c r="H46" i="44"/>
  <c r="I46" i="44" s="1"/>
  <c r="F46" i="44"/>
  <c r="F45" i="44"/>
  <c r="H45" i="44" s="1"/>
  <c r="I45" i="44" s="1"/>
  <c r="F44" i="44"/>
  <c r="H44" i="44" s="1"/>
  <c r="I44" i="44" s="1"/>
  <c r="I43" i="44"/>
  <c r="H43" i="44"/>
  <c r="F43" i="44"/>
  <c r="H42" i="44"/>
  <c r="I42" i="44" s="1"/>
  <c r="F42" i="44"/>
  <c r="F41" i="44"/>
  <c r="H41" i="44" s="1"/>
  <c r="I41" i="44" s="1"/>
  <c r="F40" i="44"/>
  <c r="H40" i="44" s="1"/>
  <c r="A40" i="44"/>
  <c r="F39" i="44"/>
  <c r="H39" i="44" s="1"/>
  <c r="A39" i="44"/>
  <c r="A54" i="44" s="1"/>
  <c r="A57" i="44" s="1"/>
  <c r="I57" i="44" s="1"/>
  <c r="I61" i="44" s="1"/>
  <c r="P61" i="44" s="1"/>
  <c r="F38" i="44"/>
  <c r="H38" i="44" s="1"/>
  <c r="I38" i="44" s="1"/>
  <c r="I37" i="44"/>
  <c r="H37" i="44"/>
  <c r="F37" i="44"/>
  <c r="H27" i="44"/>
  <c r="I27" i="44" s="1"/>
  <c r="S27" i="44" s="1"/>
  <c r="F27" i="44"/>
  <c r="H26" i="44"/>
  <c r="I26" i="44" s="1"/>
  <c r="S26" i="44" s="1"/>
  <c r="H25" i="44"/>
  <c r="I25" i="44" s="1"/>
  <c r="S25" i="44" s="1"/>
  <c r="S33" i="44" s="1"/>
  <c r="O23" i="44"/>
  <c r="I23" i="44"/>
  <c r="H23" i="44"/>
  <c r="I22" i="44"/>
  <c r="O22" i="44" s="1"/>
  <c r="H22" i="44"/>
  <c r="F22" i="44"/>
  <c r="M21" i="44"/>
  <c r="I21" i="44"/>
  <c r="H21" i="44"/>
  <c r="H20" i="44"/>
  <c r="I20" i="44" s="1"/>
  <c r="O20" i="44" s="1"/>
  <c r="H19" i="44"/>
  <c r="I19" i="44" s="1"/>
  <c r="R19" i="44" s="1"/>
  <c r="R18" i="44"/>
  <c r="I18" i="44"/>
  <c r="H18" i="44"/>
  <c r="I17" i="44"/>
  <c r="N17" i="44" s="1"/>
  <c r="H17" i="44"/>
  <c r="H16" i="44"/>
  <c r="I16" i="44" s="1"/>
  <c r="N16" i="44" s="1"/>
  <c r="F15" i="44"/>
  <c r="H15" i="44" s="1"/>
  <c r="I15" i="44" s="1"/>
  <c r="N15" i="44" s="1"/>
  <c r="H14" i="44"/>
  <c r="I14" i="44" s="1"/>
  <c r="O14" i="44" s="1"/>
  <c r="O13" i="44"/>
  <c r="I13" i="44"/>
  <c r="H13" i="44"/>
  <c r="I12" i="44"/>
  <c r="O12" i="44" s="1"/>
  <c r="H12" i="44"/>
  <c r="F12" i="44"/>
  <c r="I11" i="44"/>
  <c r="O11" i="44" s="1"/>
  <c r="H11" i="44"/>
  <c r="F11" i="44"/>
  <c r="I10" i="44"/>
  <c r="R10" i="44" s="1"/>
  <c r="H10" i="44"/>
  <c r="H9" i="44"/>
  <c r="I9" i="44" s="1"/>
  <c r="R9" i="44" s="1"/>
  <c r="H8" i="44"/>
  <c r="I8" i="44" s="1"/>
  <c r="R8" i="44" s="1"/>
  <c r="R7" i="44"/>
  <c r="I7" i="44"/>
  <c r="H7" i="44"/>
  <c r="I6" i="44"/>
  <c r="R6" i="44" s="1"/>
  <c r="R31" i="44" s="1"/>
  <c r="R33" i="44" s="1"/>
  <c r="H6" i="44"/>
  <c r="H4" i="44"/>
  <c r="A4" i="44"/>
  <c r="I4" i="44" s="1"/>
  <c r="I117" i="43"/>
  <c r="H117" i="43"/>
  <c r="H116" i="43"/>
  <c r="I116" i="43" s="1"/>
  <c r="I115" i="43"/>
  <c r="I119" i="43" s="1"/>
  <c r="H115" i="43"/>
  <c r="H111" i="43"/>
  <c r="I111" i="43" s="1"/>
  <c r="F111" i="43"/>
  <c r="H110" i="43"/>
  <c r="I110" i="43" s="1"/>
  <c r="I109" i="43"/>
  <c r="H109" i="43"/>
  <c r="F108" i="43"/>
  <c r="H108" i="43" s="1"/>
  <c r="I108" i="43" s="1"/>
  <c r="H96" i="43"/>
  <c r="I96" i="43" s="1"/>
  <c r="I95" i="43"/>
  <c r="H95" i="43"/>
  <c r="H94" i="43"/>
  <c r="I94" i="43" s="1"/>
  <c r="I92" i="43"/>
  <c r="I97" i="43" s="1"/>
  <c r="Q97" i="43" s="1"/>
  <c r="H92" i="43"/>
  <c r="I85" i="43"/>
  <c r="H85" i="43"/>
  <c r="F84" i="43"/>
  <c r="H84" i="43" s="1"/>
  <c r="H83" i="43"/>
  <c r="I83" i="43" s="1"/>
  <c r="F79" i="43"/>
  <c r="H79" i="43" s="1"/>
  <c r="A79" i="43" s="1"/>
  <c r="I79" i="43" s="1"/>
  <c r="F78" i="43"/>
  <c r="H78" i="43" s="1"/>
  <c r="A78" i="43" s="1"/>
  <c r="I78" i="43" s="1"/>
  <c r="F77" i="43"/>
  <c r="H77" i="43" s="1"/>
  <c r="F76" i="43"/>
  <c r="H76" i="43" s="1"/>
  <c r="A76" i="43" s="1"/>
  <c r="I76" i="43" s="1"/>
  <c r="H75" i="43"/>
  <c r="F75" i="43"/>
  <c r="H74" i="43"/>
  <c r="A74" i="43" s="1"/>
  <c r="I74" i="43" s="1"/>
  <c r="F74" i="43"/>
  <c r="H73" i="43"/>
  <c r="F73" i="43"/>
  <c r="F72" i="43"/>
  <c r="H72" i="43" s="1"/>
  <c r="F71" i="43"/>
  <c r="H71" i="43" s="1"/>
  <c r="F70" i="43"/>
  <c r="H70" i="43" s="1"/>
  <c r="A70" i="43" s="1"/>
  <c r="I70" i="43" s="1"/>
  <c r="F69" i="43"/>
  <c r="H69" i="43" s="1"/>
  <c r="A69" i="43" s="1"/>
  <c r="I69" i="43" s="1"/>
  <c r="H68" i="43"/>
  <c r="F68" i="43"/>
  <c r="H67" i="43"/>
  <c r="A67" i="43" s="1"/>
  <c r="I67" i="43" s="1"/>
  <c r="F67" i="43"/>
  <c r="F66" i="43"/>
  <c r="H66" i="43" s="1"/>
  <c r="F65" i="43"/>
  <c r="H65" i="43" s="1"/>
  <c r="S56" i="43"/>
  <c r="F56" i="43"/>
  <c r="H56" i="43" s="1"/>
  <c r="I56" i="43" s="1"/>
  <c r="H55" i="43"/>
  <c r="I55" i="43" s="1"/>
  <c r="S55" i="43" s="1"/>
  <c r="I54" i="43"/>
  <c r="S54" i="43" s="1"/>
  <c r="H54" i="43"/>
  <c r="H53" i="43"/>
  <c r="I53" i="43" s="1"/>
  <c r="H28" i="43"/>
  <c r="I28" i="43" s="1"/>
  <c r="G6" i="43"/>
  <c r="H6" i="43" s="1"/>
  <c r="I6" i="43" s="1"/>
  <c r="P6" i="43" s="1"/>
  <c r="G5" i="43"/>
  <c r="H5" i="43" s="1"/>
  <c r="I5" i="43" s="1"/>
  <c r="P5" i="43" s="1"/>
  <c r="H125" i="42"/>
  <c r="I125" i="42" s="1"/>
  <c r="I124" i="42"/>
  <c r="H124" i="42"/>
  <c r="H123" i="42"/>
  <c r="I123" i="42" s="1"/>
  <c r="I127" i="42" s="1"/>
  <c r="F119" i="42"/>
  <c r="H119" i="42" s="1"/>
  <c r="I119" i="42" s="1"/>
  <c r="I118" i="42"/>
  <c r="H118" i="42"/>
  <c r="H117" i="42"/>
  <c r="I117" i="42" s="1"/>
  <c r="I116" i="42"/>
  <c r="I120" i="42" s="1"/>
  <c r="H116" i="42"/>
  <c r="F116" i="42"/>
  <c r="H98" i="42"/>
  <c r="I98" i="42" s="1"/>
  <c r="H97" i="42"/>
  <c r="I97" i="42" s="1"/>
  <c r="H96" i="42"/>
  <c r="I96" i="42" s="1"/>
  <c r="H95" i="42"/>
  <c r="I95" i="42" s="1"/>
  <c r="H94" i="42"/>
  <c r="I94" i="42" s="1"/>
  <c r="I99" i="42" s="1"/>
  <c r="Q99" i="42" s="1"/>
  <c r="H87" i="42"/>
  <c r="I87" i="42" s="1"/>
  <c r="F86" i="42"/>
  <c r="H86" i="42" s="1"/>
  <c r="I85" i="42"/>
  <c r="H85" i="42"/>
  <c r="H81" i="42"/>
  <c r="A81" i="42" s="1"/>
  <c r="I81" i="42" s="1"/>
  <c r="F81" i="42"/>
  <c r="H80" i="42"/>
  <c r="A80" i="42" s="1"/>
  <c r="I80" i="42" s="1"/>
  <c r="F80" i="42"/>
  <c r="F79" i="42"/>
  <c r="H79" i="42" s="1"/>
  <c r="I78" i="42"/>
  <c r="F78" i="42"/>
  <c r="H78" i="42" s="1"/>
  <c r="A78" i="42" s="1"/>
  <c r="F77" i="42"/>
  <c r="H77" i="42" s="1"/>
  <c r="F76" i="42"/>
  <c r="H76" i="42" s="1"/>
  <c r="A76" i="42" s="1"/>
  <c r="I76" i="42" s="1"/>
  <c r="F75" i="42"/>
  <c r="H75" i="42" s="1"/>
  <c r="H74" i="42"/>
  <c r="F74" i="42"/>
  <c r="H73" i="42"/>
  <c r="F73" i="42"/>
  <c r="I72" i="42"/>
  <c r="H72" i="42"/>
  <c r="F72" i="42"/>
  <c r="A72" i="42"/>
  <c r="I71" i="42"/>
  <c r="H71" i="42"/>
  <c r="F71" i="42"/>
  <c r="A71" i="42"/>
  <c r="F70" i="42"/>
  <c r="H70" i="42" s="1"/>
  <c r="F69" i="42"/>
  <c r="H69" i="42" s="1"/>
  <c r="A69" i="42" s="1"/>
  <c r="I69" i="42" s="1"/>
  <c r="H68" i="42"/>
  <c r="F68" i="42"/>
  <c r="H67" i="42"/>
  <c r="F67" i="42"/>
  <c r="H58" i="42"/>
  <c r="I58" i="42" s="1"/>
  <c r="S58" i="42" s="1"/>
  <c r="F58" i="42"/>
  <c r="H57" i="42"/>
  <c r="I57" i="42" s="1"/>
  <c r="S57" i="42" s="1"/>
  <c r="H56" i="42"/>
  <c r="I56" i="42" s="1"/>
  <c r="S56" i="42" s="1"/>
  <c r="S55" i="42"/>
  <c r="S63" i="42" s="1"/>
  <c r="I55" i="42"/>
  <c r="I59" i="42" s="1"/>
  <c r="H55" i="42"/>
  <c r="H30" i="42"/>
  <c r="I30" i="42" s="1"/>
  <c r="H15" i="42"/>
  <c r="I15" i="42" s="1"/>
  <c r="M15" i="42" s="1"/>
  <c r="H12" i="42"/>
  <c r="I12" i="42" s="1"/>
  <c r="P12" i="42" s="1"/>
  <c r="P70" i="42" s="1"/>
  <c r="A70" i="42" s="1"/>
  <c r="I70" i="42" s="1"/>
  <c r="G5" i="42"/>
  <c r="G6" i="42" s="1"/>
  <c r="I117" i="41"/>
  <c r="H117" i="41"/>
  <c r="H116" i="41"/>
  <c r="I116" i="41" s="1"/>
  <c r="I119" i="41" s="1"/>
  <c r="I115" i="41"/>
  <c r="H115" i="41"/>
  <c r="I111" i="41"/>
  <c r="H111" i="41"/>
  <c r="F111" i="41"/>
  <c r="H110" i="41"/>
  <c r="I110" i="41" s="1"/>
  <c r="I109" i="41"/>
  <c r="H109" i="41"/>
  <c r="H108" i="41"/>
  <c r="I108" i="41" s="1"/>
  <c r="F108" i="41"/>
  <c r="I96" i="41"/>
  <c r="H96" i="41"/>
  <c r="H95" i="41"/>
  <c r="I95" i="41" s="1"/>
  <c r="I94" i="41"/>
  <c r="H94" i="41"/>
  <c r="H92" i="41"/>
  <c r="I92" i="41" s="1"/>
  <c r="I97" i="41" s="1"/>
  <c r="Q97" i="41" s="1"/>
  <c r="I85" i="41"/>
  <c r="H85" i="41"/>
  <c r="H84" i="41"/>
  <c r="F84" i="41"/>
  <c r="H83" i="41"/>
  <c r="I83" i="41" s="1"/>
  <c r="F79" i="41"/>
  <c r="H79" i="41" s="1"/>
  <c r="A79" i="41" s="1"/>
  <c r="I79" i="41" s="1"/>
  <c r="F78" i="41"/>
  <c r="H78" i="41" s="1"/>
  <c r="A78" i="41" s="1"/>
  <c r="I78" i="41" s="1"/>
  <c r="H77" i="41"/>
  <c r="F77" i="41"/>
  <c r="H76" i="41"/>
  <c r="A76" i="41" s="1"/>
  <c r="I76" i="41" s="1"/>
  <c r="F76" i="41"/>
  <c r="H75" i="41"/>
  <c r="F75" i="41"/>
  <c r="H74" i="41"/>
  <c r="A74" i="41" s="1"/>
  <c r="I74" i="41" s="1"/>
  <c r="F74" i="41"/>
  <c r="F73" i="41"/>
  <c r="H73" i="41" s="1"/>
  <c r="F72" i="41"/>
  <c r="H72" i="41" s="1"/>
  <c r="H71" i="41"/>
  <c r="F71" i="41"/>
  <c r="H70" i="41"/>
  <c r="A70" i="41" s="1"/>
  <c r="I70" i="41" s="1"/>
  <c r="F70" i="41"/>
  <c r="H69" i="41"/>
  <c r="A69" i="41" s="1"/>
  <c r="I69" i="41" s="1"/>
  <c r="F69" i="41"/>
  <c r="H68" i="41"/>
  <c r="F68" i="41"/>
  <c r="H67" i="41"/>
  <c r="A67" i="41" s="1"/>
  <c r="I67" i="41" s="1"/>
  <c r="F67" i="41"/>
  <c r="F66" i="41"/>
  <c r="H66" i="41" s="1"/>
  <c r="H65" i="41"/>
  <c r="F65" i="41"/>
  <c r="F56" i="41"/>
  <c r="H56" i="41" s="1"/>
  <c r="I56" i="41" s="1"/>
  <c r="S56" i="41" s="1"/>
  <c r="H55" i="41"/>
  <c r="I55" i="41" s="1"/>
  <c r="S55" i="41" s="1"/>
  <c r="S54" i="41"/>
  <c r="I54" i="41"/>
  <c r="H54" i="41"/>
  <c r="I53" i="41"/>
  <c r="S53" i="41" s="1"/>
  <c r="S61" i="41" s="1"/>
  <c r="H53" i="41"/>
  <c r="F34" i="41"/>
  <c r="H28" i="41"/>
  <c r="I28" i="41" s="1"/>
  <c r="I5" i="41"/>
  <c r="P5" i="41" s="1"/>
  <c r="H5" i="41"/>
  <c r="G5" i="41"/>
  <c r="G6" i="41" s="1"/>
  <c r="I123" i="40"/>
  <c r="H123" i="40"/>
  <c r="H122" i="40"/>
  <c r="I122" i="40" s="1"/>
  <c r="I121" i="40"/>
  <c r="I125" i="40" s="1"/>
  <c r="H121" i="40"/>
  <c r="H117" i="40"/>
  <c r="I117" i="40" s="1"/>
  <c r="F117" i="40"/>
  <c r="H116" i="40"/>
  <c r="I116" i="40" s="1"/>
  <c r="I115" i="40"/>
  <c r="H115" i="40"/>
  <c r="F114" i="40"/>
  <c r="H114" i="40" s="1"/>
  <c r="I114" i="40" s="1"/>
  <c r="I96" i="40"/>
  <c r="H96" i="40"/>
  <c r="H95" i="40"/>
  <c r="I95" i="40" s="1"/>
  <c r="I94" i="40"/>
  <c r="H94" i="40"/>
  <c r="H93" i="40"/>
  <c r="I93" i="40" s="1"/>
  <c r="I92" i="40"/>
  <c r="H92" i="40"/>
  <c r="I85" i="40"/>
  <c r="H85" i="40"/>
  <c r="F84" i="40"/>
  <c r="H84" i="40" s="1"/>
  <c r="I83" i="40"/>
  <c r="H83" i="40"/>
  <c r="H79" i="40"/>
  <c r="F79" i="40"/>
  <c r="A79" i="40"/>
  <c r="I79" i="40" s="1"/>
  <c r="H78" i="40"/>
  <c r="F78" i="40"/>
  <c r="A78" i="40"/>
  <c r="I78" i="40" s="1"/>
  <c r="F77" i="40"/>
  <c r="H77" i="40" s="1"/>
  <c r="F76" i="40"/>
  <c r="H76" i="40" s="1"/>
  <c r="A76" i="40" s="1"/>
  <c r="I76" i="40" s="1"/>
  <c r="H75" i="40"/>
  <c r="F75" i="40"/>
  <c r="H74" i="40"/>
  <c r="A74" i="40" s="1"/>
  <c r="I74" i="40" s="1"/>
  <c r="F74" i="40"/>
  <c r="H73" i="40"/>
  <c r="F73" i="40"/>
  <c r="H72" i="40"/>
  <c r="F72" i="40"/>
  <c r="F71" i="40"/>
  <c r="H71" i="40" s="1"/>
  <c r="F70" i="40"/>
  <c r="H70" i="40" s="1"/>
  <c r="A70" i="40" s="1"/>
  <c r="I70" i="40" s="1"/>
  <c r="F69" i="40"/>
  <c r="H69" i="40" s="1"/>
  <c r="A69" i="40" s="1"/>
  <c r="I69" i="40" s="1"/>
  <c r="H68" i="40"/>
  <c r="F68" i="40"/>
  <c r="H67" i="40"/>
  <c r="A67" i="40" s="1"/>
  <c r="I67" i="40" s="1"/>
  <c r="F67" i="40"/>
  <c r="H66" i="40"/>
  <c r="F66" i="40"/>
  <c r="H65" i="40"/>
  <c r="F65" i="40"/>
  <c r="I56" i="40"/>
  <c r="S56" i="40" s="1"/>
  <c r="H56" i="40"/>
  <c r="F56" i="40"/>
  <c r="I55" i="40"/>
  <c r="S55" i="40" s="1"/>
  <c r="H55" i="40"/>
  <c r="H54" i="40"/>
  <c r="I54" i="40" s="1"/>
  <c r="S54" i="40" s="1"/>
  <c r="H53" i="40"/>
  <c r="I53" i="40" s="1"/>
  <c r="I28" i="40"/>
  <c r="H28" i="40"/>
  <c r="G5" i="40"/>
  <c r="G6" i="40" s="1"/>
  <c r="F71" i="38"/>
  <c r="AP66" i="38"/>
  <c r="AO66" i="38"/>
  <c r="AN66" i="38"/>
  <c r="AM66" i="38"/>
  <c r="AK66" i="38"/>
  <c r="AJ66" i="38"/>
  <c r="AI66" i="38"/>
  <c r="AH66" i="38"/>
  <c r="AG66" i="38"/>
  <c r="AF66" i="38"/>
  <c r="AE66" i="38"/>
  <c r="AD66" i="38"/>
  <c r="AC66" i="38"/>
  <c r="AB66" i="38"/>
  <c r="AA66" i="38"/>
  <c r="Y66" i="38"/>
  <c r="X66" i="38"/>
  <c r="W66" i="38"/>
  <c r="V66" i="38"/>
  <c r="U66" i="38"/>
  <c r="T66" i="38"/>
  <c r="S66" i="38"/>
  <c r="R66" i="38"/>
  <c r="Q66" i="38"/>
  <c r="P66" i="38"/>
  <c r="O66" i="38"/>
  <c r="M66" i="38"/>
  <c r="L66" i="38"/>
  <c r="K66" i="38"/>
  <c r="J66" i="38"/>
  <c r="I66" i="38"/>
  <c r="H66" i="38"/>
  <c r="G66" i="38"/>
  <c r="AR63" i="38"/>
  <c r="F63" i="38"/>
  <c r="G62" i="38"/>
  <c r="G61"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P58" i="38"/>
  <c r="O58" i="38"/>
  <c r="N58" i="38"/>
  <c r="M58" i="38"/>
  <c r="L58" i="38"/>
  <c r="K58" i="38"/>
  <c r="J58" i="38"/>
  <c r="I58" i="38"/>
  <c r="H58" i="38"/>
  <c r="G58" i="38"/>
  <c r="AM57" i="38"/>
  <c r="AI57" i="38"/>
  <c r="AE57" i="38"/>
  <c r="AA57" i="38"/>
  <c r="W57" i="38"/>
  <c r="S57" i="38"/>
  <c r="O57" i="38"/>
  <c r="K57" i="38"/>
  <c r="G57" i="38"/>
  <c r="D57" i="38"/>
  <c r="AP57" i="38" s="1"/>
  <c r="C57" i="38"/>
  <c r="AN57" i="38" s="1"/>
  <c r="D56" i="38"/>
  <c r="C56" i="38"/>
  <c r="AP56" i="38" s="1"/>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P55" i="38"/>
  <c r="O55" i="38"/>
  <c r="N55" i="38"/>
  <c r="M55" i="38"/>
  <c r="L55" i="38"/>
  <c r="K55" i="38"/>
  <c r="J55" i="38"/>
  <c r="I55" i="38"/>
  <c r="H55" i="38"/>
  <c r="G55" i="38"/>
  <c r="AP54" i="38"/>
  <c r="AO54" i="38"/>
  <c r="AN54" i="38"/>
  <c r="AM54" i="38"/>
  <c r="AL54" i="38"/>
  <c r="AK54" i="38"/>
  <c r="AI54" i="38"/>
  <c r="AH54" i="38"/>
  <c r="AG54" i="38"/>
  <c r="AF54" i="38"/>
  <c r="AE54" i="38"/>
  <c r="AD54" i="38"/>
  <c r="AC54" i="38"/>
  <c r="AB54" i="38"/>
  <c r="AA54" i="38"/>
  <c r="Z54" i="38"/>
  <c r="Y54" i="38"/>
  <c r="W54" i="38"/>
  <c r="V54" i="38"/>
  <c r="U54" i="38"/>
  <c r="T54" i="38"/>
  <c r="S54" i="38"/>
  <c r="R54" i="38"/>
  <c r="Q54" i="38"/>
  <c r="P54" i="38"/>
  <c r="O54" i="38"/>
  <c r="N54" i="38"/>
  <c r="M54" i="38"/>
  <c r="L54" i="38"/>
  <c r="K54" i="38"/>
  <c r="J54" i="38"/>
  <c r="I54" i="38"/>
  <c r="H54" i="38"/>
  <c r="G54" i="38"/>
  <c r="AS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AR52" i="38" s="1"/>
  <c r="R52" i="38"/>
  <c r="Q52" i="38"/>
  <c r="P52" i="38"/>
  <c r="O52" i="38"/>
  <c r="N52" i="38"/>
  <c r="M52" i="38"/>
  <c r="L52" i="38"/>
  <c r="K52" i="38"/>
  <c r="J52" i="38"/>
  <c r="I52" i="38"/>
  <c r="H52" i="38"/>
  <c r="G52"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P51" i="38"/>
  <c r="O51" i="38"/>
  <c r="N51" i="38"/>
  <c r="M51" i="38"/>
  <c r="L51" i="38"/>
  <c r="K51" i="38"/>
  <c r="J51" i="38"/>
  <c r="I51" i="38"/>
  <c r="H51" i="38"/>
  <c r="G51" i="38"/>
  <c r="AS50" i="38"/>
  <c r="AP50" i="38"/>
  <c r="AO50" i="38"/>
  <c r="AN50" i="38"/>
  <c r="AM50" i="38"/>
  <c r="AM47" i="38" s="1"/>
  <c r="AL50" i="38"/>
  <c r="AK50" i="38"/>
  <c r="AJ50" i="38"/>
  <c r="AI50" i="38"/>
  <c r="AI47" i="38" s="1"/>
  <c r="AH50" i="38"/>
  <c r="AG50" i="38"/>
  <c r="AF50" i="38"/>
  <c r="AE50" i="38"/>
  <c r="AE47" i="38" s="1"/>
  <c r="AD50" i="38"/>
  <c r="AC50" i="38"/>
  <c r="AB50" i="38"/>
  <c r="AA50" i="38"/>
  <c r="AA47" i="38" s="1"/>
  <c r="Z50" i="38"/>
  <c r="Y50" i="38"/>
  <c r="X50" i="38"/>
  <c r="W50" i="38"/>
  <c r="W47" i="38" s="1"/>
  <c r="V50" i="38"/>
  <c r="U50" i="38"/>
  <c r="T50" i="38"/>
  <c r="S50" i="38"/>
  <c r="S47" i="38" s="1"/>
  <c r="R50" i="38"/>
  <c r="Q50" i="38"/>
  <c r="P50" i="38"/>
  <c r="O50" i="38"/>
  <c r="O47" i="38" s="1"/>
  <c r="N50" i="38"/>
  <c r="M50" i="38"/>
  <c r="L50" i="38"/>
  <c r="K50" i="38"/>
  <c r="K47" i="38" s="1"/>
  <c r="J50" i="38"/>
  <c r="I50" i="38"/>
  <c r="H50" i="38"/>
  <c r="G50" i="38"/>
  <c r="AR50" i="38" s="1"/>
  <c r="AS49" i="38"/>
  <c r="AP49" i="38"/>
  <c r="AP47" i="38" s="1"/>
  <c r="AO49" i="38"/>
  <c r="AN49" i="38"/>
  <c r="AM49" i="38"/>
  <c r="AL49" i="38"/>
  <c r="AL47" i="38" s="1"/>
  <c r="AK49" i="38"/>
  <c r="AJ49" i="38"/>
  <c r="AI49" i="38"/>
  <c r="AH49" i="38"/>
  <c r="AH47" i="38" s="1"/>
  <c r="AG49" i="38"/>
  <c r="AF49" i="38"/>
  <c r="AE49" i="38"/>
  <c r="AD49" i="38"/>
  <c r="AD47" i="38" s="1"/>
  <c r="AC49" i="38"/>
  <c r="AB49" i="38"/>
  <c r="AA49" i="38"/>
  <c r="Z49" i="38"/>
  <c r="Z47" i="38" s="1"/>
  <c r="Y49" i="38"/>
  <c r="X49" i="38"/>
  <c r="W49" i="38"/>
  <c r="V49" i="38"/>
  <c r="V47" i="38" s="1"/>
  <c r="U49" i="38"/>
  <c r="T49" i="38"/>
  <c r="S49" i="38"/>
  <c r="R49" i="38"/>
  <c r="R47" i="38" s="1"/>
  <c r="Q49" i="38"/>
  <c r="P49" i="38"/>
  <c r="O49" i="38"/>
  <c r="N49" i="38"/>
  <c r="N47" i="38" s="1"/>
  <c r="M49" i="38"/>
  <c r="L49" i="38"/>
  <c r="K49" i="38"/>
  <c r="J49" i="38"/>
  <c r="J47" i="38" s="1"/>
  <c r="I49" i="38"/>
  <c r="H49" i="38"/>
  <c r="G49" i="38"/>
  <c r="AR49" i="38" s="1"/>
  <c r="AT49" i="38" s="1"/>
  <c r="AS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P48" i="38"/>
  <c r="O48" i="38"/>
  <c r="N48" i="38"/>
  <c r="M48" i="38"/>
  <c r="L48" i="38"/>
  <c r="K48" i="38"/>
  <c r="J48" i="38"/>
  <c r="I48" i="38"/>
  <c r="H48" i="38"/>
  <c r="G48" i="38"/>
  <c r="AR48" i="38" s="1"/>
  <c r="AT48" i="38" s="1"/>
  <c r="AO47" i="38"/>
  <c r="AN47" i="38"/>
  <c r="AK47" i="38"/>
  <c r="AJ47" i="38"/>
  <c r="AG47" i="38"/>
  <c r="AF47" i="38"/>
  <c r="AC47" i="38"/>
  <c r="AB47" i="38"/>
  <c r="Y47" i="38"/>
  <c r="X47" i="38"/>
  <c r="U47" i="38"/>
  <c r="T47" i="38"/>
  <c r="Q47" i="38"/>
  <c r="P47" i="38"/>
  <c r="M47" i="38"/>
  <c r="L47" i="38"/>
  <c r="I47" i="38"/>
  <c r="H47" i="38"/>
  <c r="AS46" i="38"/>
  <c r="AP46" i="38"/>
  <c r="AO46" i="38"/>
  <c r="AN46" i="38"/>
  <c r="AM46" i="38"/>
  <c r="AL46" i="38"/>
  <c r="AK46" i="38"/>
  <c r="AJ46" i="38"/>
  <c r="AI46" i="38"/>
  <c r="AH46" i="38"/>
  <c r="AG46" i="38"/>
  <c r="AF46" i="38"/>
  <c r="AE46" i="38"/>
  <c r="AD46" i="38"/>
  <c r="AC46" i="38"/>
  <c r="AB46" i="38"/>
  <c r="AA46" i="38"/>
  <c r="Z46" i="38"/>
  <c r="Y46" i="38"/>
  <c r="X46" i="38"/>
  <c r="AR46" i="38" s="1"/>
  <c r="W46" i="38"/>
  <c r="V46" i="38"/>
  <c r="U46" i="38"/>
  <c r="T46" i="38"/>
  <c r="S46" i="38"/>
  <c r="R46" i="38"/>
  <c r="Q46" i="38"/>
  <c r="P46" i="38"/>
  <c r="O46" i="38"/>
  <c r="N46" i="38"/>
  <c r="M46" i="38"/>
  <c r="L46" i="38"/>
  <c r="K46" i="38"/>
  <c r="J46" i="38"/>
  <c r="I46" i="38"/>
  <c r="H46" i="38"/>
  <c r="G46" i="38"/>
  <c r="AS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P45" i="38"/>
  <c r="O45" i="38"/>
  <c r="N45" i="38"/>
  <c r="M45" i="38"/>
  <c r="L45" i="38"/>
  <c r="K45" i="38"/>
  <c r="J45" i="38"/>
  <c r="I45" i="38"/>
  <c r="H45" i="38"/>
  <c r="G45" i="38"/>
  <c r="AR45" i="38" s="1"/>
  <c r="AS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AR44" i="38" s="1"/>
  <c r="AT44" i="38" s="1"/>
  <c r="AT43" i="38"/>
  <c r="AS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P42" i="38"/>
  <c r="O42" i="38"/>
  <c r="N42" i="38"/>
  <c r="M42" i="38"/>
  <c r="L42" i="38"/>
  <c r="K42" i="38"/>
  <c r="J42" i="38"/>
  <c r="I42" i="38"/>
  <c r="H42" i="38"/>
  <c r="G42" i="38"/>
  <c r="AR42" i="38" s="1"/>
  <c r="AT42" i="38" s="1"/>
  <c r="AP41" i="38"/>
  <c r="AO41" i="38"/>
  <c r="AN41" i="38"/>
  <c r="AM41" i="38"/>
  <c r="AL41" i="38"/>
  <c r="AK41" i="38"/>
  <c r="AI41" i="38"/>
  <c r="AH41" i="38"/>
  <c r="AG41" i="38"/>
  <c r="AF41" i="38"/>
  <c r="AE41" i="38"/>
  <c r="AD41" i="38"/>
  <c r="AC41" i="38"/>
  <c r="AB41" i="38"/>
  <c r="AA41" i="38"/>
  <c r="Z41" i="38"/>
  <c r="Y41" i="38"/>
  <c r="W41" i="38"/>
  <c r="V41" i="38"/>
  <c r="U41" i="38"/>
  <c r="T41" i="38"/>
  <c r="S41" i="38"/>
  <c r="R41" i="38"/>
  <c r="Q41" i="38"/>
  <c r="P41" i="38"/>
  <c r="O41" i="38"/>
  <c r="N41" i="38"/>
  <c r="M41" i="38"/>
  <c r="L41" i="38"/>
  <c r="K41" i="38"/>
  <c r="J41" i="38"/>
  <c r="I41" i="38"/>
  <c r="H41" i="38"/>
  <c r="G41" i="38"/>
  <c r="AS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P40" i="38"/>
  <c r="O40" i="38"/>
  <c r="N40" i="38"/>
  <c r="M40" i="38"/>
  <c r="L40" i="38"/>
  <c r="K40" i="38"/>
  <c r="J40" i="38"/>
  <c r="I40" i="38"/>
  <c r="H40" i="38"/>
  <c r="G40" i="38"/>
  <c r="AR40" i="38" s="1"/>
  <c r="AO38" i="38"/>
  <c r="AN38" i="38"/>
  <c r="AM38" i="38"/>
  <c r="AL38" i="38"/>
  <c r="AK38" i="38"/>
  <c r="AI38" i="38"/>
  <c r="AH38" i="38"/>
  <c r="AG38" i="38"/>
  <c r="AF38" i="38"/>
  <c r="AE38" i="38"/>
  <c r="AC38" i="38"/>
  <c r="AB38" i="38"/>
  <c r="AA38" i="38"/>
  <c r="Z38" i="38"/>
  <c r="Y38" i="38"/>
  <c r="W38" i="38"/>
  <c r="V38" i="38"/>
  <c r="U38" i="38"/>
  <c r="T38" i="38"/>
  <c r="S38" i="38"/>
  <c r="Q38" i="38"/>
  <c r="P38" i="38"/>
  <c r="O38" i="38"/>
  <c r="N38" i="38"/>
  <c r="M38" i="38"/>
  <c r="K38" i="38"/>
  <c r="J38" i="38"/>
  <c r="I38" i="38"/>
  <c r="H38" i="38"/>
  <c r="G38" i="38"/>
  <c r="D38" i="38"/>
  <c r="AO36" i="38"/>
  <c r="AN36" i="38"/>
  <c r="AM36" i="38"/>
  <c r="AL36" i="38"/>
  <c r="AL35" i="38" s="1"/>
  <c r="AJ36" i="38"/>
  <c r="AI36" i="38"/>
  <c r="AH36" i="38"/>
  <c r="AG36" i="38"/>
  <c r="AG35" i="38" s="1"/>
  <c r="AF36" i="38"/>
  <c r="AE36" i="38"/>
  <c r="AC36" i="38"/>
  <c r="AB36" i="38"/>
  <c r="AB35" i="38" s="1"/>
  <c r="AA36" i="38"/>
  <c r="AA35" i="38" s="1"/>
  <c r="Z36" i="38"/>
  <c r="X36" i="38"/>
  <c r="W36" i="38"/>
  <c r="W35" i="38" s="1"/>
  <c r="V36" i="38"/>
  <c r="V35" i="38" s="1"/>
  <c r="U36" i="38"/>
  <c r="T36" i="38"/>
  <c r="S36" i="38"/>
  <c r="S35" i="38" s="1"/>
  <c r="Q36" i="38"/>
  <c r="Q35" i="38" s="1"/>
  <c r="P36" i="38"/>
  <c r="P35" i="38" s="1"/>
  <c r="O36" i="38"/>
  <c r="N36" i="38"/>
  <c r="N35" i="38" s="1"/>
  <c r="L36" i="38"/>
  <c r="K36" i="38"/>
  <c r="J36" i="38"/>
  <c r="I36" i="38"/>
  <c r="I35" i="38" s="1"/>
  <c r="H36" i="38"/>
  <c r="H35" i="38" s="1"/>
  <c r="G36" i="38"/>
  <c r="D36" i="38"/>
  <c r="AO35" i="38"/>
  <c r="AI35" i="38"/>
  <c r="U35"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J34" i="38"/>
  <c r="I34" i="38"/>
  <c r="H34" i="38"/>
  <c r="G34"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N33" i="38"/>
  <c r="M33" i="38"/>
  <c r="L33" i="38"/>
  <c r="K33" i="38"/>
  <c r="J33" i="38"/>
  <c r="I33" i="38"/>
  <c r="H33"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I31" i="38"/>
  <c r="H31" i="38"/>
  <c r="D31"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N29" i="38"/>
  <c r="M29" i="38"/>
  <c r="L29" i="38"/>
  <c r="K29" i="38"/>
  <c r="I29" i="38"/>
  <c r="H29" i="38"/>
  <c r="D29"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P27" i="38"/>
  <c r="O27" i="38"/>
  <c r="N27" i="38"/>
  <c r="M27" i="38"/>
  <c r="L27" i="38"/>
  <c r="K27" i="38"/>
  <c r="J27" i="38"/>
  <c r="G27" i="38"/>
  <c r="D27"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N25" i="38"/>
  <c r="M25" i="38"/>
  <c r="L25" i="38"/>
  <c r="K25" i="38"/>
  <c r="I25" i="38"/>
  <c r="H25" i="38"/>
  <c r="D25"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P23" i="38"/>
  <c r="O23" i="38"/>
  <c r="N23" i="38"/>
  <c r="M23" i="38"/>
  <c r="L23" i="38"/>
  <c r="K23" i="38"/>
  <c r="I23" i="38"/>
  <c r="H23" i="38"/>
  <c r="D23" i="38"/>
  <c r="BA21" i="38"/>
  <c r="AP21" i="38"/>
  <c r="AH21" i="38"/>
  <c r="Z21" i="38"/>
  <c r="R21" i="38"/>
  <c r="J21" i="38"/>
  <c r="F21" i="38"/>
  <c r="AI21" i="38" s="1"/>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I17" i="38"/>
  <c r="H17"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N15" i="38"/>
  <c r="M15" i="38"/>
  <c r="K15" i="38"/>
  <c r="J15" i="38"/>
  <c r="H15" i="38"/>
  <c r="E15" i="38"/>
  <c r="AS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AT13" i="38"/>
  <c r="AL12" i="38"/>
  <c r="AD12" i="38"/>
  <c r="V12" i="38"/>
  <c r="N12" i="38"/>
  <c r="I12" i="38"/>
  <c r="E12" i="38"/>
  <c r="AI12" i="38" s="1"/>
  <c r="AT11" i="38"/>
  <c r="AO10" i="38"/>
  <c r="AN10" i="38"/>
  <c r="AK10" i="38"/>
  <c r="AJ10" i="38"/>
  <c r="AG10" i="38"/>
  <c r="AF10" i="38"/>
  <c r="AC10" i="38"/>
  <c r="AB10" i="38"/>
  <c r="Y10" i="38"/>
  <c r="X10" i="38"/>
  <c r="U10" i="38"/>
  <c r="T10" i="38"/>
  <c r="Q10" i="38"/>
  <c r="P10" i="38"/>
  <c r="M10" i="38"/>
  <c r="L10" i="38"/>
  <c r="I10" i="38"/>
  <c r="E10" i="38"/>
  <c r="AP10" i="38" s="1"/>
  <c r="AP9" i="38"/>
  <c r="AO9" i="38"/>
  <c r="AN9" i="38"/>
  <c r="AM9" i="38"/>
  <c r="AL9" i="38"/>
  <c r="AK9" i="38"/>
  <c r="AJ9" i="38"/>
  <c r="AI9" i="38"/>
  <c r="AH9" i="38"/>
  <c r="AG9" i="38"/>
  <c r="AF9" i="38"/>
  <c r="AE9" i="38"/>
  <c r="AD9" i="38"/>
  <c r="AC9" i="38"/>
  <c r="AB9" i="38"/>
  <c r="AA9" i="38"/>
  <c r="Z9" i="38"/>
  <c r="Y9" i="38"/>
  <c r="X9" i="38"/>
  <c r="W9" i="38"/>
  <c r="V9" i="38"/>
  <c r="U9" i="38"/>
  <c r="T9" i="38"/>
  <c r="S9" i="38"/>
  <c r="R9" i="38"/>
  <c r="Q9" i="38"/>
  <c r="P9" i="38"/>
  <c r="O9" i="38"/>
  <c r="N9" i="38"/>
  <c r="M9" i="38"/>
  <c r="L9" i="38"/>
  <c r="K9" i="38"/>
  <c r="J9" i="38"/>
  <c r="I9" i="38"/>
  <c r="H9" i="38"/>
  <c r="AP8" i="38"/>
  <c r="AO8" i="38"/>
  <c r="AN8" i="38"/>
  <c r="AM8" i="38"/>
  <c r="AL8" i="38"/>
  <c r="AK8" i="38"/>
  <c r="AI8" i="38"/>
  <c r="AH8" i="38"/>
  <c r="AG8" i="38"/>
  <c r="AF8" i="38"/>
  <c r="AE8" i="38"/>
  <c r="AD8" i="38"/>
  <c r="AC8" i="38"/>
  <c r="AB8" i="38"/>
  <c r="AA8" i="38"/>
  <c r="Z8" i="38"/>
  <c r="Y8" i="38"/>
  <c r="X8" i="38"/>
  <c r="W8" i="38"/>
  <c r="V8" i="38"/>
  <c r="U8" i="38"/>
  <c r="T8" i="38"/>
  <c r="S8" i="38"/>
  <c r="R8" i="38"/>
  <c r="Q8" i="38"/>
  <c r="P8" i="38"/>
  <c r="O8" i="38"/>
  <c r="N8" i="38"/>
  <c r="M8" i="38"/>
  <c r="L8" i="38"/>
  <c r="K8" i="38"/>
  <c r="J8" i="38"/>
  <c r="I8" i="38"/>
  <c r="H8" i="38"/>
  <c r="G8" i="38"/>
  <c r="BD6" i="38"/>
  <c r="BD7" i="38" s="1"/>
  <c r="BD8" i="38" s="1"/>
  <c r="BD9" i="38" s="1"/>
  <c r="BD10" i="38" s="1"/>
  <c r="BD11" i="38" s="1"/>
  <c r="G6" i="38"/>
  <c r="BD5" i="38"/>
  <c r="D33" i="37"/>
  <c r="C33" i="37"/>
  <c r="Y30" i="37"/>
  <c r="X30" i="37"/>
  <c r="W30" i="37"/>
  <c r="V30" i="37"/>
  <c r="U30" i="37"/>
  <c r="T30" i="37"/>
  <c r="S30" i="37"/>
  <c r="R30" i="37"/>
  <c r="Q30" i="37"/>
  <c r="P30" i="37"/>
  <c r="O30" i="37"/>
  <c r="N30" i="37"/>
  <c r="M30" i="37"/>
  <c r="L30" i="37"/>
  <c r="K30" i="37"/>
  <c r="J30" i="37"/>
  <c r="I30" i="37"/>
  <c r="H30" i="37"/>
  <c r="G30" i="37"/>
  <c r="F30" i="37"/>
  <c r="Y29" i="37"/>
  <c r="X29" i="37"/>
  <c r="W29" i="37"/>
  <c r="V29" i="37"/>
  <c r="U29" i="37"/>
  <c r="T29" i="37"/>
  <c r="S29" i="37"/>
  <c r="R29" i="37"/>
  <c r="Q29" i="37"/>
  <c r="P29" i="37"/>
  <c r="O29" i="37"/>
  <c r="N29" i="37"/>
  <c r="M29" i="37"/>
  <c r="L29" i="37"/>
  <c r="K29" i="37"/>
  <c r="J29" i="37"/>
  <c r="I29" i="37"/>
  <c r="H29" i="37"/>
  <c r="G29" i="37"/>
  <c r="F29" i="37"/>
  <c r="Y28" i="37"/>
  <c r="X28" i="37"/>
  <c r="W28" i="37"/>
  <c r="V28" i="37"/>
  <c r="U28" i="37"/>
  <c r="T28" i="37"/>
  <c r="S28" i="37"/>
  <c r="R28" i="37"/>
  <c r="Q28" i="37"/>
  <c r="P28" i="37"/>
  <c r="O28" i="37"/>
  <c r="N28" i="37"/>
  <c r="C15" i="37"/>
  <c r="C35" i="37" s="1"/>
  <c r="C36" i="37" s="1"/>
  <c r="E13" i="37"/>
  <c r="D13" i="37"/>
  <c r="D15" i="37" s="1"/>
  <c r="D35" i="37" s="1"/>
  <c r="E12" i="37"/>
  <c r="F27" i="37" s="1"/>
  <c r="D6" i="37"/>
  <c r="E6" i="37" s="1"/>
  <c r="F6" i="37" s="1"/>
  <c r="G6" i="37" s="1"/>
  <c r="H6" i="37" s="1"/>
  <c r="I6" i="37" s="1"/>
  <c r="J6" i="37" s="1"/>
  <c r="K6" i="37" s="1"/>
  <c r="L6" i="37" s="1"/>
  <c r="M6" i="37" s="1"/>
  <c r="N6" i="37" s="1"/>
  <c r="O6" i="37" s="1"/>
  <c r="P6" i="37" s="1"/>
  <c r="Q6" i="37" s="1"/>
  <c r="R6" i="37" s="1"/>
  <c r="S6" i="37" s="1"/>
  <c r="T6" i="37" s="1"/>
  <c r="U6" i="37" s="1"/>
  <c r="V6" i="37" s="1"/>
  <c r="W6" i="37" s="1"/>
  <c r="X6" i="37" s="1"/>
  <c r="Y6" i="37" s="1"/>
  <c r="C64" i="36"/>
  <c r="B64" i="36"/>
  <c r="C62" i="36"/>
  <c r="C65" i="36" s="1"/>
  <c r="B62" i="36"/>
  <c r="B65" i="36" s="1"/>
  <c r="C60" i="36"/>
  <c r="B60" i="36"/>
  <c r="C55" i="36"/>
  <c r="B55" i="36"/>
  <c r="F42" i="36"/>
  <c r="D42" i="36"/>
  <c r="D41" i="36"/>
  <c r="E41" i="36" s="1"/>
  <c r="F40" i="36"/>
  <c r="D40" i="36"/>
  <c r="D39" i="36"/>
  <c r="E39" i="36" s="1"/>
  <c r="E38" i="36"/>
  <c r="D38" i="36"/>
  <c r="D37" i="36"/>
  <c r="F37" i="36" s="1"/>
  <c r="E36" i="36"/>
  <c r="D36" i="36"/>
  <c r="D35" i="36"/>
  <c r="F35" i="36" s="1"/>
  <c r="F44" i="36" s="1"/>
  <c r="F45" i="36" s="1"/>
  <c r="E34" i="36"/>
  <c r="D34" i="36"/>
  <c r="D33" i="36"/>
  <c r="E33" i="36" s="1"/>
  <c r="B19" i="36"/>
  <c r="B21" i="36" s="1"/>
  <c r="C17" i="36"/>
  <c r="C18" i="36" s="1"/>
  <c r="B17" i="36"/>
  <c r="B15" i="36"/>
  <c r="B22" i="36" s="1"/>
  <c r="E13" i="36"/>
  <c r="E14" i="36" s="1"/>
  <c r="D13" i="36"/>
  <c r="D19" i="36" s="1"/>
  <c r="C13" i="36"/>
  <c r="C19" i="36" s="1"/>
  <c r="B13" i="36"/>
  <c r="B14" i="36" s="1"/>
  <c r="E12" i="36"/>
  <c r="E17" i="36" s="1"/>
  <c r="E18" i="36" s="1"/>
  <c r="D12" i="36"/>
  <c r="D17" i="36" s="1"/>
  <c r="C12" i="36"/>
  <c r="F12" i="36" s="1"/>
  <c r="B12" i="36"/>
  <c r="I182" i="35"/>
  <c r="H182" i="35"/>
  <c r="F182" i="35"/>
  <c r="H181" i="35"/>
  <c r="I181" i="35" s="1"/>
  <c r="F181" i="35"/>
  <c r="H180" i="35"/>
  <c r="I180" i="35" s="1"/>
  <c r="I179" i="35"/>
  <c r="H179" i="35"/>
  <c r="H178" i="35"/>
  <c r="I178" i="35" s="1"/>
  <c r="I184" i="35" s="1"/>
  <c r="H173" i="35"/>
  <c r="A173" i="35"/>
  <c r="I173" i="35" s="1"/>
  <c r="I172" i="35"/>
  <c r="H172" i="35"/>
  <c r="A172" i="35"/>
  <c r="H171" i="35"/>
  <c r="I171" i="35" s="1"/>
  <c r="F171" i="35"/>
  <c r="F170" i="35"/>
  <c r="H170" i="35" s="1"/>
  <c r="H169" i="35"/>
  <c r="A169" i="35"/>
  <c r="I169" i="35" s="1"/>
  <c r="F168" i="35"/>
  <c r="H168" i="35" s="1"/>
  <c r="I168" i="35" s="1"/>
  <c r="I167" i="35"/>
  <c r="H167" i="35"/>
  <c r="F164" i="35"/>
  <c r="H164" i="35" s="1"/>
  <c r="I164" i="35" s="1"/>
  <c r="H163" i="35"/>
  <c r="I163" i="35" s="1"/>
  <c r="H162" i="35"/>
  <c r="I162" i="35" s="1"/>
  <c r="H161" i="35"/>
  <c r="I161" i="35" s="1"/>
  <c r="H160" i="35"/>
  <c r="I160" i="35" s="1"/>
  <c r="H159" i="35"/>
  <c r="I159" i="35" s="1"/>
  <c r="H158" i="35"/>
  <c r="I158" i="35" s="1"/>
  <c r="H157" i="35"/>
  <c r="I157" i="35" s="1"/>
  <c r="I149" i="35"/>
  <c r="H149" i="35"/>
  <c r="H148" i="35"/>
  <c r="I148" i="35" s="1"/>
  <c r="F148" i="35"/>
  <c r="H140" i="35"/>
  <c r="F139" i="35"/>
  <c r="H139" i="35" s="1"/>
  <c r="H138" i="35"/>
  <c r="H137" i="35"/>
  <c r="H136" i="35"/>
  <c r="H135" i="35"/>
  <c r="H134" i="35"/>
  <c r="H133" i="35"/>
  <c r="H132" i="35"/>
  <c r="H131" i="35"/>
  <c r="H124" i="35"/>
  <c r="I124" i="35" s="1"/>
  <c r="H122" i="35"/>
  <c r="I122" i="35" s="1"/>
  <c r="H119" i="35"/>
  <c r="I119" i="35" s="1"/>
  <c r="H118" i="35"/>
  <c r="I118" i="35" s="1"/>
  <c r="H117" i="35"/>
  <c r="I117" i="35" s="1"/>
  <c r="H115" i="35"/>
  <c r="I115" i="35" s="1"/>
  <c r="H114" i="35"/>
  <c r="I114" i="35" s="1"/>
  <c r="H113" i="35"/>
  <c r="I113" i="35" s="1"/>
  <c r="H112" i="35"/>
  <c r="I112" i="35" s="1"/>
  <c r="H111" i="35"/>
  <c r="I111" i="35" s="1"/>
  <c r="H110" i="35"/>
  <c r="I110" i="35" s="1"/>
  <c r="H109" i="35"/>
  <c r="I109" i="35" s="1"/>
  <c r="H108" i="35"/>
  <c r="I108" i="35" s="1"/>
  <c r="H107" i="35"/>
  <c r="I107" i="35" s="1"/>
  <c r="H106" i="35"/>
  <c r="I106" i="35" s="1"/>
  <c r="H105" i="35"/>
  <c r="I105" i="35" s="1"/>
  <c r="H104" i="35"/>
  <c r="I104" i="35" s="1"/>
  <c r="H99" i="35"/>
  <c r="I99" i="35" s="1"/>
  <c r="H96" i="35"/>
  <c r="I96" i="35" s="1"/>
  <c r="H95" i="35"/>
  <c r="I95" i="35" s="1"/>
  <c r="H94" i="35"/>
  <c r="I94" i="35" s="1"/>
  <c r="H92" i="35"/>
  <c r="I92" i="35" s="1"/>
  <c r="H91" i="35"/>
  <c r="I91" i="35" s="1"/>
  <c r="H90" i="35"/>
  <c r="I90" i="35" s="1"/>
  <c r="H89" i="35"/>
  <c r="I89" i="35" s="1"/>
  <c r="H88" i="35"/>
  <c r="I88" i="35" s="1"/>
  <c r="H87" i="35"/>
  <c r="I87" i="35" s="1"/>
  <c r="H86" i="35"/>
  <c r="I86" i="35" s="1"/>
  <c r="H85" i="35"/>
  <c r="I85" i="35" s="1"/>
  <c r="H84" i="35"/>
  <c r="I84" i="35" s="1"/>
  <c r="H83" i="35"/>
  <c r="I83" i="35" s="1"/>
  <c r="H82" i="35"/>
  <c r="I82" i="35" s="1"/>
  <c r="G78" i="35"/>
  <c r="H103" i="35" s="1"/>
  <c r="I103" i="35" s="1"/>
  <c r="A68" i="35"/>
  <c r="I68" i="35" s="1"/>
  <c r="F67" i="35"/>
  <c r="H67" i="35" s="1"/>
  <c r="I66" i="35"/>
  <c r="H66" i="35"/>
  <c r="H62" i="35"/>
  <c r="I62" i="35" s="1"/>
  <c r="F62" i="35"/>
  <c r="A62" i="35"/>
  <c r="H61" i="35"/>
  <c r="I61" i="35" s="1"/>
  <c r="F61" i="35"/>
  <c r="F60" i="35"/>
  <c r="H60" i="35" s="1"/>
  <c r="I60" i="35" s="1"/>
  <c r="F59" i="35"/>
  <c r="H59" i="35" s="1"/>
  <c r="A59" i="35"/>
  <c r="I59" i="35" s="1"/>
  <c r="F58" i="35"/>
  <c r="H58" i="35" s="1"/>
  <c r="I58" i="35" s="1"/>
  <c r="F57" i="35"/>
  <c r="H57" i="35" s="1"/>
  <c r="I57" i="35" s="1"/>
  <c r="H56" i="35"/>
  <c r="I56" i="35" s="1"/>
  <c r="F56" i="35"/>
  <c r="F55" i="35"/>
  <c r="H55" i="35" s="1"/>
  <c r="I55" i="35" s="1"/>
  <c r="A55" i="35"/>
  <c r="F54" i="35"/>
  <c r="H54" i="35" s="1"/>
  <c r="I54" i="35" s="1"/>
  <c r="F53" i="35"/>
  <c r="H53" i="35" s="1"/>
  <c r="A53" i="35"/>
  <c r="F52" i="35"/>
  <c r="H52" i="35" s="1"/>
  <c r="A52" i="35"/>
  <c r="F51" i="35"/>
  <c r="H51" i="35" s="1"/>
  <c r="A51" i="35"/>
  <c r="F50" i="35"/>
  <c r="H50" i="35" s="1"/>
  <c r="A50" i="35"/>
  <c r="F49" i="35"/>
  <c r="H49" i="35" s="1"/>
  <c r="F48" i="35"/>
  <c r="H48" i="35" s="1"/>
  <c r="I48" i="35" s="1"/>
  <c r="F47" i="35"/>
  <c r="H47" i="35" s="1"/>
  <c r="F46" i="35"/>
  <c r="H46" i="35" s="1"/>
  <c r="I46" i="35" s="1"/>
  <c r="H45" i="35"/>
  <c r="I45" i="35" s="1"/>
  <c r="F45" i="35"/>
  <c r="A45" i="35"/>
  <c r="F37" i="35"/>
  <c r="H37" i="35" s="1"/>
  <c r="I37" i="35" s="1"/>
  <c r="S37" i="35" s="1"/>
  <c r="H36" i="35"/>
  <c r="I36" i="35" s="1"/>
  <c r="S36" i="35" s="1"/>
  <c r="H35" i="35"/>
  <c r="I35" i="35" s="1"/>
  <c r="S35" i="35" s="1"/>
  <c r="I34" i="35"/>
  <c r="S34" i="35" s="1"/>
  <c r="H34" i="35"/>
  <c r="H33" i="35"/>
  <c r="I33" i="35" s="1"/>
  <c r="S33" i="35" s="1"/>
  <c r="H32" i="35"/>
  <c r="I32" i="35" s="1"/>
  <c r="O32" i="35" s="1"/>
  <c r="H31" i="35"/>
  <c r="A31" i="35"/>
  <c r="I31" i="35" s="1"/>
  <c r="O31" i="35" s="1"/>
  <c r="H30" i="35"/>
  <c r="A30" i="35"/>
  <c r="I30" i="35" s="1"/>
  <c r="O30" i="35" s="1"/>
  <c r="H29" i="35"/>
  <c r="I29" i="35" s="1"/>
  <c r="O29" i="35" s="1"/>
  <c r="I28" i="35"/>
  <c r="O28" i="35" s="1"/>
  <c r="H28" i="35"/>
  <c r="M27" i="35"/>
  <c r="H27" i="35"/>
  <c r="I27" i="35" s="1"/>
  <c r="H26" i="35"/>
  <c r="I26" i="35" s="1"/>
  <c r="O26" i="35" s="1"/>
  <c r="H25" i="35"/>
  <c r="I25" i="35" s="1"/>
  <c r="R25" i="35" s="1"/>
  <c r="I24" i="35"/>
  <c r="R24" i="35" s="1"/>
  <c r="H24" i="35"/>
  <c r="H23" i="35"/>
  <c r="I23" i="35" s="1"/>
  <c r="N23" i="35" s="1"/>
  <c r="H22" i="35"/>
  <c r="I22" i="35" s="1"/>
  <c r="S22" i="35" s="1"/>
  <c r="H21" i="35"/>
  <c r="I21" i="35" s="1"/>
  <c r="S21" i="35" s="1"/>
  <c r="I20" i="35"/>
  <c r="S20" i="35" s="1"/>
  <c r="H20" i="35"/>
  <c r="H19" i="35"/>
  <c r="I19" i="35" s="1"/>
  <c r="N19" i="35" s="1"/>
  <c r="A19" i="35"/>
  <c r="H18" i="35"/>
  <c r="I18" i="35" s="1"/>
  <c r="N18" i="35" s="1"/>
  <c r="H17" i="35"/>
  <c r="I17" i="35" s="1"/>
  <c r="N17" i="35" s="1"/>
  <c r="H16" i="35"/>
  <c r="H15" i="35"/>
  <c r="A15" i="35"/>
  <c r="A16" i="35" s="1"/>
  <c r="I16" i="35" s="1"/>
  <c r="O16" i="35" s="1"/>
  <c r="H14" i="35"/>
  <c r="H13" i="35"/>
  <c r="A13" i="35"/>
  <c r="A14" i="35" s="1"/>
  <c r="I14" i="35" s="1"/>
  <c r="O14" i="35" s="1"/>
  <c r="H12" i="35"/>
  <c r="A12" i="35"/>
  <c r="I12" i="35" s="1"/>
  <c r="R12" i="35" s="1"/>
  <c r="H11" i="35"/>
  <c r="I11" i="35" s="1"/>
  <c r="R11" i="35" s="1"/>
  <c r="I10" i="35"/>
  <c r="R10" i="35" s="1"/>
  <c r="H10" i="35"/>
  <c r="H9" i="35"/>
  <c r="I9" i="35" s="1"/>
  <c r="R9" i="35" s="1"/>
  <c r="H8" i="35"/>
  <c r="I8" i="35" s="1"/>
  <c r="R8" i="35" s="1"/>
  <c r="H7" i="35"/>
  <c r="I7" i="35" s="1"/>
  <c r="R7" i="35" s="1"/>
  <c r="R39" i="35" s="1"/>
  <c r="R41" i="35" s="1"/>
  <c r="A6" i="35"/>
  <c r="A47" i="35" s="1"/>
  <c r="I47" i="35" s="1"/>
  <c r="H5" i="35"/>
  <c r="I5" i="35" s="1"/>
  <c r="H4" i="35"/>
  <c r="I4" i="35" s="1"/>
  <c r="I1" i="35"/>
  <c r="L1" i="35" s="1"/>
  <c r="F182" i="34"/>
  <c r="H182" i="34" s="1"/>
  <c r="I182" i="34" s="1"/>
  <c r="F181" i="34"/>
  <c r="H181" i="34" s="1"/>
  <c r="I181" i="34" s="1"/>
  <c r="I180" i="34"/>
  <c r="H180" i="34"/>
  <c r="H179" i="34"/>
  <c r="I179" i="34" s="1"/>
  <c r="I178" i="34"/>
  <c r="I184" i="34" s="1"/>
  <c r="H178" i="34"/>
  <c r="H173" i="34"/>
  <c r="H172" i="34"/>
  <c r="A172" i="34"/>
  <c r="I172" i="34" s="1"/>
  <c r="F171" i="34"/>
  <c r="H171" i="34" s="1"/>
  <c r="I171" i="34" s="1"/>
  <c r="F170" i="34"/>
  <c r="H170" i="34" s="1"/>
  <c r="I170" i="34" s="1"/>
  <c r="A170" i="34"/>
  <c r="I169" i="34"/>
  <c r="H169" i="34"/>
  <c r="A169" i="34"/>
  <c r="H168" i="34"/>
  <c r="I168" i="34" s="1"/>
  <c r="F168" i="34"/>
  <c r="H167" i="34"/>
  <c r="I167" i="34" s="1"/>
  <c r="F164" i="34"/>
  <c r="H164" i="34" s="1"/>
  <c r="I164" i="34" s="1"/>
  <c r="H163" i="34"/>
  <c r="I163" i="34" s="1"/>
  <c r="H162" i="34"/>
  <c r="I162" i="34" s="1"/>
  <c r="H161" i="34"/>
  <c r="I161" i="34" s="1"/>
  <c r="H160" i="34"/>
  <c r="I160" i="34" s="1"/>
  <c r="H159" i="34"/>
  <c r="I159" i="34" s="1"/>
  <c r="H158" i="34"/>
  <c r="I158" i="34" s="1"/>
  <c r="H157" i="34"/>
  <c r="I157" i="34" s="1"/>
  <c r="A149" i="34"/>
  <c r="H149" i="34" s="1"/>
  <c r="I149" i="34" s="1"/>
  <c r="F148" i="34"/>
  <c r="H148" i="34" s="1"/>
  <c r="I148" i="34" s="1"/>
  <c r="A148" i="34"/>
  <c r="H140" i="34"/>
  <c r="F139" i="34"/>
  <c r="H139" i="34" s="1"/>
  <c r="H138" i="34"/>
  <c r="H137" i="34"/>
  <c r="H136" i="34"/>
  <c r="H135" i="34"/>
  <c r="H134" i="34"/>
  <c r="H133" i="34"/>
  <c r="H132" i="34"/>
  <c r="H131" i="34"/>
  <c r="H124" i="34"/>
  <c r="I124" i="34" s="1"/>
  <c r="H122" i="34"/>
  <c r="I122" i="34" s="1"/>
  <c r="H119" i="34"/>
  <c r="I119" i="34" s="1"/>
  <c r="H118" i="34"/>
  <c r="I118" i="34" s="1"/>
  <c r="H117" i="34"/>
  <c r="I117" i="34" s="1"/>
  <c r="H115" i="34"/>
  <c r="I115" i="34" s="1"/>
  <c r="H114" i="34"/>
  <c r="I114" i="34" s="1"/>
  <c r="H113" i="34"/>
  <c r="I113" i="34" s="1"/>
  <c r="H112" i="34"/>
  <c r="I112" i="34" s="1"/>
  <c r="H111" i="34"/>
  <c r="I111" i="34" s="1"/>
  <c r="H110" i="34"/>
  <c r="I110" i="34" s="1"/>
  <c r="H109" i="34"/>
  <c r="I109" i="34" s="1"/>
  <c r="H108" i="34"/>
  <c r="I108" i="34" s="1"/>
  <c r="H107" i="34"/>
  <c r="I107" i="34" s="1"/>
  <c r="H106" i="34"/>
  <c r="I106" i="34" s="1"/>
  <c r="H105" i="34"/>
  <c r="I105" i="34" s="1"/>
  <c r="H104" i="34"/>
  <c r="I104" i="34" s="1"/>
  <c r="H99" i="34"/>
  <c r="I99" i="34" s="1"/>
  <c r="H96" i="34"/>
  <c r="I96" i="34" s="1"/>
  <c r="H95" i="34"/>
  <c r="I95" i="34" s="1"/>
  <c r="H94" i="34"/>
  <c r="I94" i="34" s="1"/>
  <c r="H92" i="34"/>
  <c r="I92" i="34" s="1"/>
  <c r="H91" i="34"/>
  <c r="I91" i="34" s="1"/>
  <c r="H90" i="34"/>
  <c r="I90" i="34" s="1"/>
  <c r="H89" i="34"/>
  <c r="I89" i="34" s="1"/>
  <c r="H88" i="34"/>
  <c r="I88" i="34" s="1"/>
  <c r="H87" i="34"/>
  <c r="I87" i="34" s="1"/>
  <c r="H86" i="34"/>
  <c r="I86" i="34" s="1"/>
  <c r="H85" i="34"/>
  <c r="I85" i="34" s="1"/>
  <c r="H84" i="34"/>
  <c r="I84" i="34" s="1"/>
  <c r="H83" i="34"/>
  <c r="I83" i="34" s="1"/>
  <c r="H82" i="34"/>
  <c r="I82" i="34" s="1"/>
  <c r="G78" i="34"/>
  <c r="H103" i="34" s="1"/>
  <c r="I103" i="34" s="1"/>
  <c r="I64" i="34"/>
  <c r="H63" i="34"/>
  <c r="F63" i="34"/>
  <c r="H62" i="34"/>
  <c r="I62" i="34" s="1"/>
  <c r="F58" i="34"/>
  <c r="H58" i="34" s="1"/>
  <c r="I58" i="34" s="1"/>
  <c r="F57" i="34"/>
  <c r="H57" i="34" s="1"/>
  <c r="I57" i="34" s="1"/>
  <c r="F56" i="34"/>
  <c r="H56" i="34" s="1"/>
  <c r="I56" i="34" s="1"/>
  <c r="H55" i="34"/>
  <c r="I55" i="34" s="1"/>
  <c r="F55" i="34"/>
  <c r="A55" i="34"/>
  <c r="H54" i="34"/>
  <c r="I54" i="34" s="1"/>
  <c r="F54" i="34"/>
  <c r="F53" i="34"/>
  <c r="H53" i="34" s="1"/>
  <c r="I53" i="34" s="1"/>
  <c r="F52" i="34"/>
  <c r="H52" i="34" s="1"/>
  <c r="I52" i="34" s="1"/>
  <c r="F51" i="34"/>
  <c r="H51" i="34" s="1"/>
  <c r="I51" i="34" s="1"/>
  <c r="H50" i="34"/>
  <c r="I50" i="34" s="1"/>
  <c r="F50" i="34"/>
  <c r="F49" i="34"/>
  <c r="H49" i="34" s="1"/>
  <c r="I49" i="34" s="1"/>
  <c r="F48" i="34"/>
  <c r="H48" i="34" s="1"/>
  <c r="I48" i="34" s="1"/>
  <c r="F47" i="34"/>
  <c r="H47" i="34" s="1"/>
  <c r="I47" i="34" s="1"/>
  <c r="H46" i="34"/>
  <c r="I46" i="34" s="1"/>
  <c r="F46" i="34"/>
  <c r="F45" i="34"/>
  <c r="H45" i="34" s="1"/>
  <c r="F44" i="34"/>
  <c r="H44" i="34" s="1"/>
  <c r="I44" i="34" s="1"/>
  <c r="F43" i="34"/>
  <c r="H43" i="34" s="1"/>
  <c r="A43" i="34"/>
  <c r="F42" i="34"/>
  <c r="H42" i="34" s="1"/>
  <c r="I42" i="34" s="1"/>
  <c r="H33" i="34"/>
  <c r="I33" i="34" s="1"/>
  <c r="S33" i="34" s="1"/>
  <c r="F33" i="34"/>
  <c r="H32" i="34"/>
  <c r="I32" i="34" s="1"/>
  <c r="S32" i="34" s="1"/>
  <c r="H31" i="34"/>
  <c r="I31" i="34" s="1"/>
  <c r="S31" i="34" s="1"/>
  <c r="H30" i="34"/>
  <c r="I30" i="34" s="1"/>
  <c r="S30" i="34" s="1"/>
  <c r="I29" i="34"/>
  <c r="S29" i="34" s="1"/>
  <c r="H29" i="34"/>
  <c r="H28" i="34"/>
  <c r="I28" i="34" s="1"/>
  <c r="O28" i="34" s="1"/>
  <c r="M27" i="34"/>
  <c r="H27" i="34"/>
  <c r="I27" i="34" s="1"/>
  <c r="O26" i="34"/>
  <c r="H26" i="34"/>
  <c r="I26" i="34" s="1"/>
  <c r="I25" i="34"/>
  <c r="R25" i="34" s="1"/>
  <c r="H25" i="34"/>
  <c r="H24" i="34"/>
  <c r="I24" i="34" s="1"/>
  <c r="R24" i="34" s="1"/>
  <c r="H23" i="34"/>
  <c r="I23" i="34" s="1"/>
  <c r="R23" i="34" s="1"/>
  <c r="H22" i="34"/>
  <c r="I22" i="34" s="1"/>
  <c r="N22" i="34" s="1"/>
  <c r="I21" i="34"/>
  <c r="N21" i="34" s="1"/>
  <c r="H21" i="34"/>
  <c r="H20" i="34"/>
  <c r="I20" i="34" s="1"/>
  <c r="N20" i="34" s="1"/>
  <c r="H19" i="34"/>
  <c r="I19" i="34" s="1"/>
  <c r="N19" i="34" s="1"/>
  <c r="O18" i="34"/>
  <c r="H18" i="34"/>
  <c r="I18" i="34" s="1"/>
  <c r="I17" i="34"/>
  <c r="O17" i="34" s="1"/>
  <c r="H17" i="34"/>
  <c r="A17" i="34"/>
  <c r="I16" i="34"/>
  <c r="O16" i="34" s="1"/>
  <c r="H16" i="34"/>
  <c r="H15" i="34"/>
  <c r="H14" i="34"/>
  <c r="I14" i="34" s="1"/>
  <c r="O14" i="34" s="1"/>
  <c r="A14" i="34"/>
  <c r="A15" i="34" s="1"/>
  <c r="H13" i="34"/>
  <c r="I13" i="34" s="1"/>
  <c r="R13" i="34" s="1"/>
  <c r="A13" i="34"/>
  <c r="H12" i="34"/>
  <c r="I12" i="34" s="1"/>
  <c r="R12" i="34" s="1"/>
  <c r="H11" i="34"/>
  <c r="I11" i="34" s="1"/>
  <c r="R11" i="34" s="1"/>
  <c r="R10" i="34"/>
  <c r="I10" i="34"/>
  <c r="H10" i="34"/>
  <c r="I9" i="34"/>
  <c r="R9" i="34" s="1"/>
  <c r="H9" i="34"/>
  <c r="H8" i="34"/>
  <c r="I8" i="34" s="1"/>
  <c r="R8" i="34" s="1"/>
  <c r="H7" i="34"/>
  <c r="I7" i="34" s="1"/>
  <c r="R7" i="34" s="1"/>
  <c r="R36" i="34" s="1"/>
  <c r="R38" i="34" s="1"/>
  <c r="F6" i="34"/>
  <c r="A6" i="34"/>
  <c r="H5" i="34"/>
  <c r="I5" i="34" s="1"/>
  <c r="H4" i="34"/>
  <c r="I4" i="34" s="1"/>
  <c r="M4" i="34" s="1"/>
  <c r="L1" i="34"/>
  <c r="I1" i="34"/>
  <c r="J4" i="34" s="1"/>
  <c r="H179" i="33"/>
  <c r="I179" i="33" s="1"/>
  <c r="F179" i="33"/>
  <c r="F178" i="33"/>
  <c r="H178" i="33" s="1"/>
  <c r="I178" i="33" s="1"/>
  <c r="I177" i="33"/>
  <c r="H177" i="33"/>
  <c r="H176" i="33"/>
  <c r="I176" i="33" s="1"/>
  <c r="I175" i="33"/>
  <c r="I181" i="33" s="1"/>
  <c r="H175" i="33"/>
  <c r="H170" i="33"/>
  <c r="H169" i="33"/>
  <c r="A169" i="33"/>
  <c r="A170" i="33" s="1"/>
  <c r="I170" i="33" s="1"/>
  <c r="F168" i="33"/>
  <c r="H168" i="33" s="1"/>
  <c r="I168" i="33" s="1"/>
  <c r="F167" i="33"/>
  <c r="H167" i="33" s="1"/>
  <c r="A167" i="33"/>
  <c r="I167" i="33" s="1"/>
  <c r="I166" i="33"/>
  <c r="H166" i="33"/>
  <c r="A166" i="33"/>
  <c r="I165" i="33"/>
  <c r="H165" i="33"/>
  <c r="F165" i="33"/>
  <c r="H164" i="33"/>
  <c r="I164" i="33" s="1"/>
  <c r="F161" i="33"/>
  <c r="H161" i="33" s="1"/>
  <c r="I161" i="33" s="1"/>
  <c r="I160" i="33"/>
  <c r="H160" i="33"/>
  <c r="H159" i="33"/>
  <c r="I159" i="33" s="1"/>
  <c r="I158" i="33"/>
  <c r="H158" i="33"/>
  <c r="H157" i="33"/>
  <c r="I157" i="33" s="1"/>
  <c r="I156" i="33"/>
  <c r="H156" i="33"/>
  <c r="H155" i="33"/>
  <c r="I155" i="33" s="1"/>
  <c r="I154" i="33"/>
  <c r="H154" i="33"/>
  <c r="I150" i="33"/>
  <c r="H140" i="33"/>
  <c r="H139" i="33"/>
  <c r="F139" i="33"/>
  <c r="H138" i="33"/>
  <c r="H137" i="33"/>
  <c r="H136" i="33"/>
  <c r="H135" i="33"/>
  <c r="H134" i="33"/>
  <c r="H133" i="33"/>
  <c r="H132" i="33"/>
  <c r="H131" i="33"/>
  <c r="I124" i="33"/>
  <c r="H124" i="33"/>
  <c r="H122" i="33"/>
  <c r="I122" i="33" s="1"/>
  <c r="I119" i="33"/>
  <c r="H119" i="33"/>
  <c r="H118" i="33"/>
  <c r="I118" i="33" s="1"/>
  <c r="I117" i="33"/>
  <c r="H117" i="33"/>
  <c r="H115" i="33"/>
  <c r="I115" i="33" s="1"/>
  <c r="I114" i="33"/>
  <c r="H114" i="33"/>
  <c r="H113" i="33"/>
  <c r="I113" i="33" s="1"/>
  <c r="I112" i="33"/>
  <c r="H112" i="33"/>
  <c r="H111" i="33"/>
  <c r="I111" i="33" s="1"/>
  <c r="I110" i="33"/>
  <c r="H110" i="33"/>
  <c r="H109" i="33"/>
  <c r="I109" i="33" s="1"/>
  <c r="I108" i="33"/>
  <c r="H108" i="33"/>
  <c r="H107" i="33"/>
  <c r="I107" i="33" s="1"/>
  <c r="I106" i="33"/>
  <c r="H106" i="33"/>
  <c r="H105" i="33"/>
  <c r="I105" i="33" s="1"/>
  <c r="I99" i="33"/>
  <c r="H99" i="33"/>
  <c r="H96" i="33"/>
  <c r="I96" i="33" s="1"/>
  <c r="I95" i="33"/>
  <c r="H95" i="33"/>
  <c r="H94" i="33"/>
  <c r="I94" i="33" s="1"/>
  <c r="I92" i="33"/>
  <c r="H92" i="33"/>
  <c r="H91" i="33"/>
  <c r="I91" i="33" s="1"/>
  <c r="I90" i="33"/>
  <c r="H90" i="33"/>
  <c r="H89" i="33"/>
  <c r="I89" i="33" s="1"/>
  <c r="I88" i="33"/>
  <c r="H88" i="33"/>
  <c r="H87" i="33"/>
  <c r="I87" i="33" s="1"/>
  <c r="I86" i="33"/>
  <c r="H86" i="33"/>
  <c r="H85" i="33"/>
  <c r="I85" i="33" s="1"/>
  <c r="I84" i="33"/>
  <c r="H84" i="33"/>
  <c r="H83" i="33"/>
  <c r="I83" i="33" s="1"/>
  <c r="I82" i="33"/>
  <c r="H82" i="33"/>
  <c r="G78" i="33"/>
  <c r="I64" i="33"/>
  <c r="H63" i="33"/>
  <c r="F63" i="33"/>
  <c r="I62" i="33"/>
  <c r="H62" i="33"/>
  <c r="H58" i="33"/>
  <c r="I58" i="33" s="1"/>
  <c r="F58" i="33"/>
  <c r="F57" i="33"/>
  <c r="H57" i="33" s="1"/>
  <c r="I57" i="33" s="1"/>
  <c r="F56" i="33"/>
  <c r="H56" i="33" s="1"/>
  <c r="I56" i="33" s="1"/>
  <c r="I55" i="33"/>
  <c r="H55" i="33"/>
  <c r="F55" i="33"/>
  <c r="A55" i="33"/>
  <c r="I54" i="33"/>
  <c r="H54" i="33"/>
  <c r="F54" i="33"/>
  <c r="H53" i="33"/>
  <c r="I53" i="33" s="1"/>
  <c r="F53" i="33"/>
  <c r="F52" i="33"/>
  <c r="H52" i="33" s="1"/>
  <c r="I52" i="33" s="1"/>
  <c r="F51" i="33"/>
  <c r="H51" i="33" s="1"/>
  <c r="I51" i="33" s="1"/>
  <c r="I50" i="33"/>
  <c r="H50" i="33"/>
  <c r="F50" i="33"/>
  <c r="H49" i="33"/>
  <c r="I49" i="33" s="1"/>
  <c r="F49" i="33"/>
  <c r="F48" i="33"/>
  <c r="H48" i="33" s="1"/>
  <c r="I48" i="33" s="1"/>
  <c r="F47" i="33"/>
  <c r="H47" i="33" s="1"/>
  <c r="I47" i="33" s="1"/>
  <c r="I46" i="33"/>
  <c r="H46" i="33"/>
  <c r="F46" i="33"/>
  <c r="H45" i="33"/>
  <c r="F45" i="33"/>
  <c r="H44" i="33"/>
  <c r="I44" i="33" s="1"/>
  <c r="F44" i="33"/>
  <c r="F43" i="33"/>
  <c r="H43" i="33" s="1"/>
  <c r="A43" i="33"/>
  <c r="A60" i="33" s="1"/>
  <c r="A63" i="33" s="1"/>
  <c r="I63" i="33" s="1"/>
  <c r="I67" i="33" s="1"/>
  <c r="P67" i="33" s="1"/>
  <c r="P38" i="33" s="1"/>
  <c r="F42" i="33"/>
  <c r="H42" i="33" s="1"/>
  <c r="I42" i="33" s="1"/>
  <c r="I33" i="33"/>
  <c r="S33" i="33" s="1"/>
  <c r="H33" i="33"/>
  <c r="F33" i="33"/>
  <c r="I32" i="33"/>
  <c r="S32" i="33" s="1"/>
  <c r="H32" i="33"/>
  <c r="H31" i="33"/>
  <c r="I31" i="33" s="1"/>
  <c r="S31" i="33" s="1"/>
  <c r="H30" i="33"/>
  <c r="I30" i="33" s="1"/>
  <c r="S30" i="33" s="1"/>
  <c r="S29" i="33"/>
  <c r="S36" i="33" s="1"/>
  <c r="S38" i="33" s="1"/>
  <c r="I29" i="33"/>
  <c r="H29" i="33"/>
  <c r="I28" i="33"/>
  <c r="O28" i="33" s="1"/>
  <c r="H28" i="33"/>
  <c r="M27" i="33"/>
  <c r="H27" i="33"/>
  <c r="I27" i="33" s="1"/>
  <c r="H26" i="33"/>
  <c r="I26" i="33" s="1"/>
  <c r="O26" i="33" s="1"/>
  <c r="R25" i="33"/>
  <c r="I25" i="33"/>
  <c r="H25" i="33"/>
  <c r="I24" i="33"/>
  <c r="R24" i="33" s="1"/>
  <c r="H24" i="33"/>
  <c r="H23" i="33"/>
  <c r="I23" i="33" s="1"/>
  <c r="R23" i="33" s="1"/>
  <c r="H22" i="33"/>
  <c r="I22" i="33" s="1"/>
  <c r="N22" i="33" s="1"/>
  <c r="N21" i="33"/>
  <c r="I21" i="33"/>
  <c r="H21" i="33"/>
  <c r="I20" i="33"/>
  <c r="N20" i="33" s="1"/>
  <c r="H20" i="33"/>
  <c r="H19" i="33"/>
  <c r="I19" i="33" s="1"/>
  <c r="N19" i="33" s="1"/>
  <c r="N36" i="33" s="1"/>
  <c r="N38" i="33" s="1"/>
  <c r="H18" i="33"/>
  <c r="I18" i="33" s="1"/>
  <c r="O18" i="33" s="1"/>
  <c r="O17" i="33"/>
  <c r="I17" i="33"/>
  <c r="H17" i="33"/>
  <c r="A17" i="33"/>
  <c r="O16" i="33"/>
  <c r="I16" i="33"/>
  <c r="H16" i="33"/>
  <c r="H15" i="33"/>
  <c r="I14" i="33"/>
  <c r="O14" i="33" s="1"/>
  <c r="H14" i="33"/>
  <c r="A14" i="33"/>
  <c r="A15" i="33" s="1"/>
  <c r="I15" i="33" s="1"/>
  <c r="O15" i="33" s="1"/>
  <c r="I13" i="33"/>
  <c r="R13" i="33" s="1"/>
  <c r="H13" i="33"/>
  <c r="A13" i="33"/>
  <c r="I12" i="33"/>
  <c r="R12" i="33" s="1"/>
  <c r="H12" i="33"/>
  <c r="H11" i="33"/>
  <c r="I11" i="33" s="1"/>
  <c r="R11" i="33" s="1"/>
  <c r="H10" i="33"/>
  <c r="I10" i="33" s="1"/>
  <c r="R10" i="33" s="1"/>
  <c r="R9" i="33"/>
  <c r="I9" i="33"/>
  <c r="H9" i="33"/>
  <c r="I8" i="33"/>
  <c r="R8" i="33" s="1"/>
  <c r="H8" i="33"/>
  <c r="H7" i="33"/>
  <c r="I7" i="33" s="1"/>
  <c r="R7" i="33" s="1"/>
  <c r="H6" i="33"/>
  <c r="I6" i="33" s="1"/>
  <c r="M6" i="33" s="1"/>
  <c r="F6" i="33"/>
  <c r="J6" i="33" s="1"/>
  <c r="A6" i="33"/>
  <c r="A45" i="33" s="1"/>
  <c r="I45" i="33" s="1"/>
  <c r="H5" i="33"/>
  <c r="I5" i="33" s="1"/>
  <c r="H4" i="33"/>
  <c r="I4" i="33" s="1"/>
  <c r="L1" i="33"/>
  <c r="I1" i="33"/>
  <c r="J4" i="33" s="1"/>
  <c r="H184" i="32"/>
  <c r="I184" i="32" s="1"/>
  <c r="F184" i="32"/>
  <c r="H183" i="32"/>
  <c r="I183" i="32" s="1"/>
  <c r="F183" i="32"/>
  <c r="I182" i="32"/>
  <c r="H182" i="32"/>
  <c r="H177" i="32"/>
  <c r="I176" i="32"/>
  <c r="H176" i="32"/>
  <c r="A176" i="32"/>
  <c r="A177" i="32" s="1"/>
  <c r="I177" i="32" s="1"/>
  <c r="F175" i="32"/>
  <c r="H175" i="32" s="1"/>
  <c r="I175" i="32" s="1"/>
  <c r="F174" i="32"/>
  <c r="H174" i="32" s="1"/>
  <c r="H173" i="32"/>
  <c r="A173" i="32"/>
  <c r="I173" i="32" s="1"/>
  <c r="I172" i="32"/>
  <c r="H172" i="32"/>
  <c r="F172" i="32"/>
  <c r="I171" i="32"/>
  <c r="H171" i="32"/>
  <c r="F168" i="32"/>
  <c r="H168" i="32" s="1"/>
  <c r="I168" i="32" s="1"/>
  <c r="I167" i="32"/>
  <c r="H167" i="32"/>
  <c r="H166" i="32"/>
  <c r="I166" i="32" s="1"/>
  <c r="I165" i="32"/>
  <c r="H165" i="32"/>
  <c r="H164" i="32"/>
  <c r="I164" i="32" s="1"/>
  <c r="I163" i="32"/>
  <c r="H163" i="32"/>
  <c r="H162" i="32"/>
  <c r="I162" i="32" s="1"/>
  <c r="I161" i="32"/>
  <c r="I179" i="32" s="1"/>
  <c r="H161" i="32"/>
  <c r="H160" i="32"/>
  <c r="I160" i="32" s="1"/>
  <c r="I156" i="32"/>
  <c r="H146" i="32"/>
  <c r="F145" i="32"/>
  <c r="H145" i="32" s="1"/>
  <c r="H144" i="32"/>
  <c r="H143" i="32"/>
  <c r="H142" i="32"/>
  <c r="H141" i="32"/>
  <c r="H140" i="32"/>
  <c r="H139" i="32"/>
  <c r="H138" i="32"/>
  <c r="H137" i="32"/>
  <c r="H130" i="32"/>
  <c r="I130" i="32" s="1"/>
  <c r="I128" i="32"/>
  <c r="H128" i="32"/>
  <c r="H125" i="32"/>
  <c r="I125" i="32" s="1"/>
  <c r="I124" i="32"/>
  <c r="H124" i="32"/>
  <c r="H123" i="32"/>
  <c r="I123" i="32" s="1"/>
  <c r="H121" i="32"/>
  <c r="I121" i="32" s="1"/>
  <c r="H120" i="32"/>
  <c r="I120" i="32" s="1"/>
  <c r="I119" i="32"/>
  <c r="H119" i="32"/>
  <c r="H118" i="32"/>
  <c r="I118" i="32" s="1"/>
  <c r="I117" i="32"/>
  <c r="H117" i="32"/>
  <c r="H116" i="32"/>
  <c r="I116" i="32" s="1"/>
  <c r="H115" i="32"/>
  <c r="I115" i="32" s="1"/>
  <c r="H114" i="32"/>
  <c r="I114" i="32" s="1"/>
  <c r="H113" i="32"/>
  <c r="I113" i="32" s="1"/>
  <c r="H112" i="32"/>
  <c r="I112" i="32" s="1"/>
  <c r="I111" i="32"/>
  <c r="H111" i="32"/>
  <c r="H110" i="32"/>
  <c r="I110" i="32" s="1"/>
  <c r="I109" i="32"/>
  <c r="H109" i="32"/>
  <c r="H105" i="32"/>
  <c r="I105" i="32" s="1"/>
  <c r="H102" i="32"/>
  <c r="I102" i="32" s="1"/>
  <c r="H101" i="32"/>
  <c r="I101" i="32" s="1"/>
  <c r="I100" i="32"/>
  <c r="H100" i="32"/>
  <c r="H98" i="32"/>
  <c r="I98" i="32" s="1"/>
  <c r="I97" i="32"/>
  <c r="H97" i="32"/>
  <c r="H96" i="32"/>
  <c r="I96" i="32" s="1"/>
  <c r="I95" i="32"/>
  <c r="H95" i="32"/>
  <c r="H94" i="32"/>
  <c r="I94" i="32" s="1"/>
  <c r="H93" i="32"/>
  <c r="I93" i="32" s="1"/>
  <c r="H92" i="32"/>
  <c r="I92" i="32" s="1"/>
  <c r="I91" i="32"/>
  <c r="H91" i="32"/>
  <c r="H90" i="32"/>
  <c r="I90" i="32" s="1"/>
  <c r="I89" i="32"/>
  <c r="H89" i="32"/>
  <c r="H88" i="32"/>
  <c r="I88" i="32" s="1"/>
  <c r="I87" i="32"/>
  <c r="H87" i="32"/>
  <c r="G84" i="32"/>
  <c r="I70" i="32"/>
  <c r="H69" i="32"/>
  <c r="F69" i="32"/>
  <c r="H68" i="32"/>
  <c r="I68" i="32" s="1"/>
  <c r="F64" i="32"/>
  <c r="H64" i="32" s="1"/>
  <c r="A64" i="32"/>
  <c r="I64" i="32" s="1"/>
  <c r="F63" i="32"/>
  <c r="H63" i="32" s="1"/>
  <c r="A63" i="32"/>
  <c r="I63" i="32" s="1"/>
  <c r="I62" i="32"/>
  <c r="F62" i="32"/>
  <c r="H62" i="32" s="1"/>
  <c r="A62" i="32"/>
  <c r="I61" i="32"/>
  <c r="F61" i="32"/>
  <c r="H61" i="32" s="1"/>
  <c r="A61" i="32"/>
  <c r="F60" i="32"/>
  <c r="H60" i="32" s="1"/>
  <c r="A60" i="32"/>
  <c r="I60" i="32" s="1"/>
  <c r="F59" i="32"/>
  <c r="H59" i="32" s="1"/>
  <c r="A59" i="32"/>
  <c r="I59" i="32" s="1"/>
  <c r="I58" i="32"/>
  <c r="F58" i="32"/>
  <c r="H58" i="32" s="1"/>
  <c r="A58" i="32"/>
  <c r="F57" i="32"/>
  <c r="H57" i="32" s="1"/>
  <c r="B57" i="32"/>
  <c r="A57" i="32" s="1"/>
  <c r="I57" i="32" s="1"/>
  <c r="H56" i="32"/>
  <c r="F56" i="32"/>
  <c r="A56" i="32"/>
  <c r="F55" i="32"/>
  <c r="H55" i="32" s="1"/>
  <c r="A55" i="32"/>
  <c r="H54" i="32"/>
  <c r="F54" i="32"/>
  <c r="B54" i="32"/>
  <c r="A54" i="32" s="1"/>
  <c r="I54" i="32" s="1"/>
  <c r="H53" i="32"/>
  <c r="F53" i="32"/>
  <c r="B53" i="32"/>
  <c r="A53" i="32"/>
  <c r="I53" i="32" s="1"/>
  <c r="H52" i="32"/>
  <c r="F52" i="32"/>
  <c r="B52" i="32"/>
  <c r="A52" i="32" s="1"/>
  <c r="I52" i="32" s="1"/>
  <c r="F51" i="32"/>
  <c r="H51" i="32" s="1"/>
  <c r="A51" i="32"/>
  <c r="I51" i="32" s="1"/>
  <c r="F50" i="32"/>
  <c r="H50" i="32" s="1"/>
  <c r="A50" i="32"/>
  <c r="I50" i="32" s="1"/>
  <c r="F49" i="32"/>
  <c r="H49" i="32" s="1"/>
  <c r="B49" i="32"/>
  <c r="A49" i="32"/>
  <c r="I49" i="32" s="1"/>
  <c r="H48" i="32"/>
  <c r="F48" i="32"/>
  <c r="I47" i="32"/>
  <c r="H47" i="32"/>
  <c r="F47" i="32"/>
  <c r="A47" i="32"/>
  <c r="I46" i="32"/>
  <c r="H46" i="32"/>
  <c r="F46" i="32"/>
  <c r="A46" i="32"/>
  <c r="H45" i="32"/>
  <c r="F45" i="32"/>
  <c r="C45" i="32"/>
  <c r="A45" i="32"/>
  <c r="I45" i="32" s="1"/>
  <c r="H44" i="32"/>
  <c r="F44" i="32"/>
  <c r="F43" i="32"/>
  <c r="H43" i="32" s="1"/>
  <c r="A43" i="32"/>
  <c r="I34" i="32"/>
  <c r="S34" i="32" s="1"/>
  <c r="H34" i="32"/>
  <c r="F34" i="32"/>
  <c r="I33" i="32"/>
  <c r="S33" i="32" s="1"/>
  <c r="H33" i="32"/>
  <c r="I32" i="32"/>
  <c r="S32" i="32" s="1"/>
  <c r="H32" i="32"/>
  <c r="S31" i="32"/>
  <c r="H31" i="32"/>
  <c r="I31" i="32" s="1"/>
  <c r="S30" i="32"/>
  <c r="I30" i="32"/>
  <c r="H30" i="32"/>
  <c r="O29" i="32"/>
  <c r="I29" i="32"/>
  <c r="H29" i="32"/>
  <c r="F29" i="32"/>
  <c r="M28" i="32"/>
  <c r="I28" i="32"/>
  <c r="H28" i="32"/>
  <c r="I27" i="32"/>
  <c r="O27" i="32" s="1"/>
  <c r="H27" i="32"/>
  <c r="R26" i="32"/>
  <c r="H26" i="32"/>
  <c r="I26" i="32" s="1"/>
  <c r="R25" i="32"/>
  <c r="I25" i="32"/>
  <c r="H25" i="32"/>
  <c r="I24" i="32"/>
  <c r="R24" i="32" s="1"/>
  <c r="H24" i="32"/>
  <c r="F24" i="32"/>
  <c r="I23" i="32"/>
  <c r="O23" i="32" s="1"/>
  <c r="H23" i="32"/>
  <c r="H22" i="32"/>
  <c r="A22" i="32"/>
  <c r="I22" i="32" s="1"/>
  <c r="O22" i="32" s="1"/>
  <c r="I21" i="32"/>
  <c r="O21" i="32" s="1"/>
  <c r="H21" i="32"/>
  <c r="H20" i="32"/>
  <c r="I20" i="32" s="1"/>
  <c r="O20" i="32" s="1"/>
  <c r="F19" i="32"/>
  <c r="H19" i="32" s="1"/>
  <c r="A19" i="32"/>
  <c r="I19" i="32" s="1"/>
  <c r="O19" i="32" s="1"/>
  <c r="H18" i="32"/>
  <c r="F18" i="32"/>
  <c r="A18" i="32"/>
  <c r="I18" i="32" s="1"/>
  <c r="O18" i="32" s="1"/>
  <c r="I17" i="32"/>
  <c r="R17" i="32" s="1"/>
  <c r="H17" i="32"/>
  <c r="A17" i="32"/>
  <c r="I16" i="32"/>
  <c r="R16" i="32" s="1"/>
  <c r="H16" i="32"/>
  <c r="R15" i="32"/>
  <c r="H15" i="32"/>
  <c r="I15" i="32" s="1"/>
  <c r="R14" i="32"/>
  <c r="I14" i="32"/>
  <c r="H14" i="32"/>
  <c r="I13" i="32"/>
  <c r="R13" i="32" s="1"/>
  <c r="H13" i="32"/>
  <c r="I12" i="32"/>
  <c r="R12" i="32" s="1"/>
  <c r="H12" i="32"/>
  <c r="R11" i="32"/>
  <c r="H11" i="32"/>
  <c r="I11" i="32" s="1"/>
  <c r="N10" i="32"/>
  <c r="I10" i="32"/>
  <c r="H10" i="32"/>
  <c r="N9" i="32"/>
  <c r="I9" i="32"/>
  <c r="H9" i="32"/>
  <c r="I8" i="32"/>
  <c r="N8" i="32" s="1"/>
  <c r="H8" i="32"/>
  <c r="N7" i="32"/>
  <c r="N37" i="32" s="1"/>
  <c r="N39" i="32" s="1"/>
  <c r="H7" i="32"/>
  <c r="I7" i="32" s="1"/>
  <c r="A6" i="32"/>
  <c r="H5" i="32"/>
  <c r="I5" i="32" s="1"/>
  <c r="H4" i="32"/>
  <c r="I4" i="32" s="1"/>
  <c r="F4" i="32"/>
  <c r="J4" i="32" s="1"/>
  <c r="L1" i="32"/>
  <c r="H184" i="31"/>
  <c r="I184" i="31" s="1"/>
  <c r="F184" i="31"/>
  <c r="H183" i="31"/>
  <c r="I183" i="31" s="1"/>
  <c r="F183" i="31"/>
  <c r="I182" i="31"/>
  <c r="H182" i="31"/>
  <c r="H177" i="31"/>
  <c r="I176" i="31"/>
  <c r="H176" i="31"/>
  <c r="A176" i="31"/>
  <c r="A177" i="31" s="1"/>
  <c r="I177" i="31" s="1"/>
  <c r="H175" i="31"/>
  <c r="I175" i="31" s="1"/>
  <c r="F175" i="31"/>
  <c r="F174" i="31"/>
  <c r="H174" i="31" s="1"/>
  <c r="H173" i="31"/>
  <c r="A173" i="31"/>
  <c r="I173" i="31" s="1"/>
  <c r="I172" i="31"/>
  <c r="H172" i="31"/>
  <c r="F172" i="31"/>
  <c r="I171" i="31"/>
  <c r="H171" i="31"/>
  <c r="F168" i="31"/>
  <c r="H168" i="31" s="1"/>
  <c r="I168" i="31" s="1"/>
  <c r="I167" i="31"/>
  <c r="H167" i="31"/>
  <c r="H166" i="31"/>
  <c r="I166" i="31" s="1"/>
  <c r="I165" i="31"/>
  <c r="H165" i="31"/>
  <c r="H164" i="31"/>
  <c r="I164" i="31" s="1"/>
  <c r="H163" i="31"/>
  <c r="I163" i="31" s="1"/>
  <c r="H162" i="31"/>
  <c r="I162" i="31" s="1"/>
  <c r="H161" i="31"/>
  <c r="I161" i="31" s="1"/>
  <c r="H160" i="31"/>
  <c r="I160" i="31" s="1"/>
  <c r="I156" i="31"/>
  <c r="H146" i="31"/>
  <c r="F145" i="31"/>
  <c r="H145" i="31" s="1"/>
  <c r="H144" i="31"/>
  <c r="H143" i="31"/>
  <c r="H142" i="31"/>
  <c r="H141" i="31"/>
  <c r="H140" i="31"/>
  <c r="H139" i="31"/>
  <c r="H138" i="31"/>
  <c r="H137" i="31"/>
  <c r="H130" i="31"/>
  <c r="I130" i="31" s="1"/>
  <c r="H128" i="31"/>
  <c r="I128" i="31" s="1"/>
  <c r="H125" i="31"/>
  <c r="I125" i="31" s="1"/>
  <c r="H124" i="31"/>
  <c r="I124" i="31" s="1"/>
  <c r="H123" i="31"/>
  <c r="I123" i="31" s="1"/>
  <c r="H121" i="31"/>
  <c r="I121" i="31" s="1"/>
  <c r="H120" i="31"/>
  <c r="I120" i="31" s="1"/>
  <c r="H119" i="31"/>
  <c r="I119" i="31" s="1"/>
  <c r="H118" i="31"/>
  <c r="I118" i="31" s="1"/>
  <c r="H117" i="31"/>
  <c r="I117" i="31" s="1"/>
  <c r="H116" i="31"/>
  <c r="I116" i="31" s="1"/>
  <c r="H115" i="31"/>
  <c r="I115" i="31" s="1"/>
  <c r="H114" i="31"/>
  <c r="I114" i="31" s="1"/>
  <c r="H113" i="31"/>
  <c r="I113" i="31" s="1"/>
  <c r="H112" i="31"/>
  <c r="I112" i="31" s="1"/>
  <c r="H111" i="31"/>
  <c r="I111" i="31" s="1"/>
  <c r="H110" i="31"/>
  <c r="I110" i="31" s="1"/>
  <c r="H109" i="31"/>
  <c r="I109" i="31" s="1"/>
  <c r="H105" i="31"/>
  <c r="I105" i="31" s="1"/>
  <c r="H102" i="31"/>
  <c r="I102" i="31" s="1"/>
  <c r="H101" i="31"/>
  <c r="I101" i="31" s="1"/>
  <c r="H100" i="31"/>
  <c r="I100" i="31" s="1"/>
  <c r="H98" i="31"/>
  <c r="I98" i="31" s="1"/>
  <c r="H97" i="31"/>
  <c r="I97" i="31" s="1"/>
  <c r="H96" i="31"/>
  <c r="I96" i="31" s="1"/>
  <c r="H95" i="31"/>
  <c r="I95" i="31" s="1"/>
  <c r="H94" i="31"/>
  <c r="I94" i="31" s="1"/>
  <c r="H93" i="31"/>
  <c r="I93" i="31" s="1"/>
  <c r="H92" i="31"/>
  <c r="I92" i="31" s="1"/>
  <c r="H91" i="31"/>
  <c r="I91" i="31" s="1"/>
  <c r="H90" i="31"/>
  <c r="I90" i="31" s="1"/>
  <c r="H89" i="31"/>
  <c r="I89" i="31" s="1"/>
  <c r="H88" i="31"/>
  <c r="I88" i="31" s="1"/>
  <c r="H87" i="31"/>
  <c r="I87" i="31" s="1"/>
  <c r="I132" i="31" s="1"/>
  <c r="Q132" i="31" s="1"/>
  <c r="Q39" i="31" s="1"/>
  <c r="G84" i="31"/>
  <c r="I70" i="31"/>
  <c r="H69" i="31"/>
  <c r="F69" i="31"/>
  <c r="H68" i="31"/>
  <c r="I68" i="31" s="1"/>
  <c r="F64" i="31"/>
  <c r="H64" i="31" s="1"/>
  <c r="I64" i="31" s="1"/>
  <c r="A64" i="31"/>
  <c r="F63" i="31"/>
  <c r="H63" i="31" s="1"/>
  <c r="I63" i="31" s="1"/>
  <c r="A63" i="31"/>
  <c r="F62" i="31"/>
  <c r="H62" i="31" s="1"/>
  <c r="I62" i="31" s="1"/>
  <c r="A62" i="31"/>
  <c r="F61" i="31"/>
  <c r="H61" i="31" s="1"/>
  <c r="I61" i="31" s="1"/>
  <c r="A61" i="31"/>
  <c r="F60" i="31"/>
  <c r="H60" i="31" s="1"/>
  <c r="I60" i="31" s="1"/>
  <c r="A60" i="31"/>
  <c r="F59" i="31"/>
  <c r="H59" i="31" s="1"/>
  <c r="I59" i="31" s="1"/>
  <c r="A59" i="31"/>
  <c r="F58" i="31"/>
  <c r="H58" i="31" s="1"/>
  <c r="I58" i="31" s="1"/>
  <c r="A58" i="31"/>
  <c r="F57" i="31"/>
  <c r="H57" i="31" s="1"/>
  <c r="B57" i="31"/>
  <c r="A57" i="31"/>
  <c r="H56" i="31"/>
  <c r="F56" i="31"/>
  <c r="A56" i="31"/>
  <c r="I56" i="31" s="1"/>
  <c r="H55" i="31"/>
  <c r="F55" i="31"/>
  <c r="A55" i="31"/>
  <c r="I55" i="31" s="1"/>
  <c r="H54" i="31"/>
  <c r="F54" i="31"/>
  <c r="B54" i="31"/>
  <c r="A54" i="31" s="1"/>
  <c r="I54" i="31" s="1"/>
  <c r="F53" i="31"/>
  <c r="H53" i="31" s="1"/>
  <c r="B53" i="31"/>
  <c r="A53" i="31"/>
  <c r="H52" i="31"/>
  <c r="F52" i="31"/>
  <c r="B52" i="31"/>
  <c r="A52" i="31" s="1"/>
  <c r="I52" i="31" s="1"/>
  <c r="F51" i="31"/>
  <c r="H51" i="31" s="1"/>
  <c r="I51" i="31" s="1"/>
  <c r="A51" i="31"/>
  <c r="F50" i="31"/>
  <c r="H50" i="31" s="1"/>
  <c r="I50" i="31" s="1"/>
  <c r="A50" i="31"/>
  <c r="F49" i="31"/>
  <c r="H49" i="31" s="1"/>
  <c r="B49" i="31"/>
  <c r="A49" i="31"/>
  <c r="I49" i="31" s="1"/>
  <c r="H48" i="31"/>
  <c r="F48" i="31"/>
  <c r="C48" i="31"/>
  <c r="A48" i="31" s="1"/>
  <c r="I48" i="31" s="1"/>
  <c r="F47" i="31"/>
  <c r="H47" i="31" s="1"/>
  <c r="I47" i="31" s="1"/>
  <c r="A47" i="31"/>
  <c r="F46" i="31"/>
  <c r="H46" i="31" s="1"/>
  <c r="I46" i="31" s="1"/>
  <c r="A46" i="31"/>
  <c r="F45" i="31"/>
  <c r="H45" i="31" s="1"/>
  <c r="C45" i="31"/>
  <c r="A45" i="31"/>
  <c r="H44" i="31"/>
  <c r="F44" i="31"/>
  <c r="C44" i="31"/>
  <c r="A44" i="31" s="1"/>
  <c r="I44" i="31" s="1"/>
  <c r="F43" i="31"/>
  <c r="H43" i="31" s="1"/>
  <c r="I43" i="31" s="1"/>
  <c r="A43" i="31"/>
  <c r="A66" i="31" s="1"/>
  <c r="A69" i="31" s="1"/>
  <c r="I69" i="31" s="1"/>
  <c r="I73" i="31" s="1"/>
  <c r="P73" i="31" s="1"/>
  <c r="P39" i="31" s="1"/>
  <c r="H34" i="31"/>
  <c r="I34" i="31" s="1"/>
  <c r="S34" i="31" s="1"/>
  <c r="F34" i="31"/>
  <c r="H33" i="31"/>
  <c r="I33" i="31" s="1"/>
  <c r="S33" i="31" s="1"/>
  <c r="I32" i="31"/>
  <c r="S32" i="31" s="1"/>
  <c r="H32" i="31"/>
  <c r="H31" i="31"/>
  <c r="I31" i="31" s="1"/>
  <c r="S31" i="31" s="1"/>
  <c r="I30" i="31"/>
  <c r="S30" i="31" s="1"/>
  <c r="H30" i="31"/>
  <c r="H29" i="31"/>
  <c r="I29" i="31" s="1"/>
  <c r="O29" i="31" s="1"/>
  <c r="F29" i="31"/>
  <c r="M28" i="31"/>
  <c r="H28" i="31"/>
  <c r="I28" i="31" s="1"/>
  <c r="I27" i="31"/>
  <c r="O27" i="31" s="1"/>
  <c r="H27" i="31"/>
  <c r="H26" i="31"/>
  <c r="I26" i="31" s="1"/>
  <c r="R26" i="31" s="1"/>
  <c r="I25" i="31"/>
  <c r="R25" i="31" s="1"/>
  <c r="H25" i="31"/>
  <c r="H24" i="31"/>
  <c r="I24" i="31" s="1"/>
  <c r="R24" i="31" s="1"/>
  <c r="F24" i="31"/>
  <c r="H23" i="31"/>
  <c r="I23" i="31" s="1"/>
  <c r="O23" i="31" s="1"/>
  <c r="J22" i="31"/>
  <c r="H22" i="31"/>
  <c r="A22" i="31"/>
  <c r="I22" i="31" s="1"/>
  <c r="O22" i="31" s="1"/>
  <c r="H21" i="31"/>
  <c r="I21" i="31" s="1"/>
  <c r="O21" i="31" s="1"/>
  <c r="I20" i="31"/>
  <c r="O20" i="31" s="1"/>
  <c r="H20" i="31"/>
  <c r="H19" i="31"/>
  <c r="I19" i="31" s="1"/>
  <c r="O19" i="31" s="1"/>
  <c r="F19" i="31"/>
  <c r="H18" i="31"/>
  <c r="I18" i="31" s="1"/>
  <c r="O18" i="31" s="1"/>
  <c r="O37" i="31" s="1"/>
  <c r="O39" i="31" s="1"/>
  <c r="F18" i="31"/>
  <c r="H17" i="31"/>
  <c r="I17" i="31" s="1"/>
  <c r="R17" i="31" s="1"/>
  <c r="A17" i="31"/>
  <c r="H16" i="31"/>
  <c r="I16" i="31" s="1"/>
  <c r="R16" i="31" s="1"/>
  <c r="I15" i="31"/>
  <c r="R15" i="31" s="1"/>
  <c r="H15" i="31"/>
  <c r="H14" i="31"/>
  <c r="I14" i="31" s="1"/>
  <c r="R14" i="31" s="1"/>
  <c r="I13" i="31"/>
  <c r="R13" i="31" s="1"/>
  <c r="H13" i="31"/>
  <c r="H12" i="31"/>
  <c r="I12" i="31" s="1"/>
  <c r="R12" i="31" s="1"/>
  <c r="I11" i="31"/>
  <c r="R11" i="31" s="1"/>
  <c r="H11" i="31"/>
  <c r="H10" i="31"/>
  <c r="I10" i="31" s="1"/>
  <c r="N10" i="31" s="1"/>
  <c r="I9" i="31"/>
  <c r="N9" i="31" s="1"/>
  <c r="H9" i="31"/>
  <c r="H8" i="31"/>
  <c r="I8" i="31" s="1"/>
  <c r="N8" i="31" s="1"/>
  <c r="I7" i="31"/>
  <c r="N7" i="31" s="1"/>
  <c r="H7" i="31"/>
  <c r="F6" i="31"/>
  <c r="H6" i="31" s="1"/>
  <c r="I6" i="31" s="1"/>
  <c r="M6" i="31" s="1"/>
  <c r="A6" i="31"/>
  <c r="I5" i="31"/>
  <c r="H5" i="31"/>
  <c r="M4" i="31"/>
  <c r="M37" i="31" s="1"/>
  <c r="M39" i="31" s="1"/>
  <c r="J4" i="31"/>
  <c r="I4" i="31"/>
  <c r="H4" i="31"/>
  <c r="L1" i="31"/>
  <c r="F177" i="30"/>
  <c r="H177" i="30" s="1"/>
  <c r="I177" i="30" s="1"/>
  <c r="H176" i="30"/>
  <c r="I176" i="30" s="1"/>
  <c r="F176" i="30"/>
  <c r="I175" i="30"/>
  <c r="H175" i="30"/>
  <c r="H170" i="30"/>
  <c r="H169" i="30"/>
  <c r="A169" i="30"/>
  <c r="I169" i="30" s="1"/>
  <c r="H168" i="30"/>
  <c r="I168" i="30" s="1"/>
  <c r="F168" i="30"/>
  <c r="F167" i="30"/>
  <c r="H167" i="30" s="1"/>
  <c r="I166" i="30"/>
  <c r="H166" i="30"/>
  <c r="A166" i="30"/>
  <c r="A167" i="30" s="1"/>
  <c r="H165" i="30"/>
  <c r="I165" i="30" s="1"/>
  <c r="F165" i="30"/>
  <c r="I164" i="30"/>
  <c r="H164" i="30"/>
  <c r="F161" i="30"/>
  <c r="H161" i="30" s="1"/>
  <c r="I161" i="30" s="1"/>
  <c r="H160" i="30"/>
  <c r="I160" i="30" s="1"/>
  <c r="H159" i="30"/>
  <c r="I159" i="30" s="1"/>
  <c r="H158" i="30"/>
  <c r="I158" i="30" s="1"/>
  <c r="H157" i="30"/>
  <c r="I157" i="30" s="1"/>
  <c r="H156" i="30"/>
  <c r="I156" i="30" s="1"/>
  <c r="H155" i="30"/>
  <c r="I155" i="30" s="1"/>
  <c r="H154" i="30"/>
  <c r="I154" i="30" s="1"/>
  <c r="I150" i="30"/>
  <c r="H140" i="30"/>
  <c r="F139" i="30"/>
  <c r="H139" i="30" s="1"/>
  <c r="H138" i="30"/>
  <c r="H137" i="30"/>
  <c r="H136" i="30"/>
  <c r="H135" i="30"/>
  <c r="H134" i="30"/>
  <c r="H133" i="30"/>
  <c r="H132" i="30"/>
  <c r="H131" i="30"/>
  <c r="H124" i="30"/>
  <c r="I124" i="30" s="1"/>
  <c r="H122" i="30"/>
  <c r="I122" i="30" s="1"/>
  <c r="H119" i="30"/>
  <c r="I119" i="30" s="1"/>
  <c r="H118" i="30"/>
  <c r="I118" i="30" s="1"/>
  <c r="H117" i="30"/>
  <c r="I117" i="30" s="1"/>
  <c r="H115" i="30"/>
  <c r="I115" i="30" s="1"/>
  <c r="H114" i="30"/>
  <c r="I114" i="30" s="1"/>
  <c r="H113" i="30"/>
  <c r="I113" i="30" s="1"/>
  <c r="H112" i="30"/>
  <c r="I112" i="30" s="1"/>
  <c r="H111" i="30"/>
  <c r="I111" i="30" s="1"/>
  <c r="H110" i="30"/>
  <c r="I110" i="30" s="1"/>
  <c r="H109" i="30"/>
  <c r="I109" i="30" s="1"/>
  <c r="H108" i="30"/>
  <c r="I108" i="30" s="1"/>
  <c r="H107" i="30"/>
  <c r="I107" i="30" s="1"/>
  <c r="H106" i="30"/>
  <c r="I106" i="30" s="1"/>
  <c r="H105" i="30"/>
  <c r="I105" i="30" s="1"/>
  <c r="H104" i="30"/>
  <c r="I104" i="30" s="1"/>
  <c r="H103" i="30"/>
  <c r="I103" i="30" s="1"/>
  <c r="H99" i="30"/>
  <c r="I99" i="30" s="1"/>
  <c r="H96" i="30"/>
  <c r="I96" i="30" s="1"/>
  <c r="H95" i="30"/>
  <c r="I95" i="30" s="1"/>
  <c r="H94" i="30"/>
  <c r="I94" i="30" s="1"/>
  <c r="H92" i="30"/>
  <c r="I92" i="30" s="1"/>
  <c r="H91" i="30"/>
  <c r="I91" i="30" s="1"/>
  <c r="H90" i="30"/>
  <c r="I90" i="30" s="1"/>
  <c r="H89" i="30"/>
  <c r="I89" i="30" s="1"/>
  <c r="H88" i="30"/>
  <c r="I88" i="30" s="1"/>
  <c r="H87" i="30"/>
  <c r="I87" i="30" s="1"/>
  <c r="H86" i="30"/>
  <c r="I86" i="30" s="1"/>
  <c r="H85" i="30"/>
  <c r="I85" i="30" s="1"/>
  <c r="H84" i="30"/>
  <c r="I84" i="30" s="1"/>
  <c r="H83" i="30"/>
  <c r="I83" i="30" s="1"/>
  <c r="H82" i="30"/>
  <c r="I82" i="30" s="1"/>
  <c r="H81" i="30"/>
  <c r="I81" i="30" s="1"/>
  <c r="I126" i="30" s="1"/>
  <c r="Q126" i="30" s="1"/>
  <c r="Q38" i="30" s="1"/>
  <c r="G78" i="30"/>
  <c r="I64" i="30"/>
  <c r="H63" i="30"/>
  <c r="F63" i="30"/>
  <c r="H62" i="30"/>
  <c r="I62" i="30" s="1"/>
  <c r="F58" i="30"/>
  <c r="H58" i="30" s="1"/>
  <c r="I58" i="30" s="1"/>
  <c r="H57" i="30"/>
  <c r="I57" i="30" s="1"/>
  <c r="F57" i="30"/>
  <c r="F56" i="30"/>
  <c r="H56" i="30" s="1"/>
  <c r="I56" i="30" s="1"/>
  <c r="H55" i="30"/>
  <c r="F55" i="30"/>
  <c r="A55" i="30"/>
  <c r="I55" i="30" s="1"/>
  <c r="H54" i="30"/>
  <c r="I54" i="30" s="1"/>
  <c r="F54" i="30"/>
  <c r="F53" i="30"/>
  <c r="H53" i="30" s="1"/>
  <c r="I53" i="30" s="1"/>
  <c r="H52" i="30"/>
  <c r="I52" i="30" s="1"/>
  <c r="F52" i="30"/>
  <c r="F51" i="30"/>
  <c r="H51" i="30" s="1"/>
  <c r="I51" i="30" s="1"/>
  <c r="H50" i="30"/>
  <c r="I50" i="30" s="1"/>
  <c r="F50" i="30"/>
  <c r="F49" i="30"/>
  <c r="H49" i="30" s="1"/>
  <c r="I49" i="30" s="1"/>
  <c r="H48" i="30"/>
  <c r="I48" i="30" s="1"/>
  <c r="F48" i="30"/>
  <c r="F47" i="30"/>
  <c r="H47" i="30" s="1"/>
  <c r="I47" i="30" s="1"/>
  <c r="H46" i="30"/>
  <c r="I46" i="30" s="1"/>
  <c r="F46" i="30"/>
  <c r="F45" i="30"/>
  <c r="H45" i="30" s="1"/>
  <c r="F44" i="30"/>
  <c r="H44" i="30" s="1"/>
  <c r="I44" i="30" s="1"/>
  <c r="H43" i="30"/>
  <c r="F43" i="30"/>
  <c r="A43" i="30"/>
  <c r="H42" i="30"/>
  <c r="I42" i="30" s="1"/>
  <c r="F42" i="30"/>
  <c r="H33" i="30"/>
  <c r="I33" i="30" s="1"/>
  <c r="S33" i="30" s="1"/>
  <c r="F33" i="30"/>
  <c r="H32" i="30"/>
  <c r="I32" i="30" s="1"/>
  <c r="S32" i="30" s="1"/>
  <c r="I31" i="30"/>
  <c r="S31" i="30" s="1"/>
  <c r="H31" i="30"/>
  <c r="H30" i="30"/>
  <c r="I30" i="30" s="1"/>
  <c r="S30" i="30" s="1"/>
  <c r="I29" i="30"/>
  <c r="S29" i="30" s="1"/>
  <c r="S36" i="30" s="1"/>
  <c r="S38" i="30" s="1"/>
  <c r="H29" i="30"/>
  <c r="H28" i="30"/>
  <c r="I28" i="30" s="1"/>
  <c r="O28" i="30" s="1"/>
  <c r="M27" i="30"/>
  <c r="I27" i="30"/>
  <c r="H27" i="30"/>
  <c r="H26" i="30"/>
  <c r="I26" i="30" s="1"/>
  <c r="O26" i="30" s="1"/>
  <c r="I25" i="30"/>
  <c r="R25" i="30" s="1"/>
  <c r="H25" i="30"/>
  <c r="H24" i="30"/>
  <c r="I24" i="30" s="1"/>
  <c r="R24" i="30" s="1"/>
  <c r="I23" i="30"/>
  <c r="R23" i="30" s="1"/>
  <c r="H23" i="30"/>
  <c r="H22" i="30"/>
  <c r="I22" i="30" s="1"/>
  <c r="N22" i="30" s="1"/>
  <c r="I21" i="30"/>
  <c r="N21" i="30" s="1"/>
  <c r="H21" i="30"/>
  <c r="H20" i="30"/>
  <c r="I20" i="30" s="1"/>
  <c r="N20" i="30" s="1"/>
  <c r="I19" i="30"/>
  <c r="N19" i="30" s="1"/>
  <c r="N36" i="30" s="1"/>
  <c r="N38" i="30" s="1"/>
  <c r="H19" i="30"/>
  <c r="H18" i="30"/>
  <c r="I18" i="30" s="1"/>
  <c r="O18" i="30" s="1"/>
  <c r="H17" i="30"/>
  <c r="I16" i="30"/>
  <c r="O16" i="30" s="1"/>
  <c r="H16" i="30"/>
  <c r="A16" i="30"/>
  <c r="A17" i="30" s="1"/>
  <c r="I17" i="30" s="1"/>
  <c r="O17" i="30" s="1"/>
  <c r="H15" i="30"/>
  <c r="I14" i="30"/>
  <c r="O14" i="30" s="1"/>
  <c r="O36" i="30" s="1"/>
  <c r="O38" i="30" s="1"/>
  <c r="H14" i="30"/>
  <c r="A14" i="30"/>
  <c r="A15" i="30" s="1"/>
  <c r="I15" i="30" s="1"/>
  <c r="O15" i="30" s="1"/>
  <c r="I13" i="30"/>
  <c r="R13" i="30" s="1"/>
  <c r="H13" i="30"/>
  <c r="A13" i="30"/>
  <c r="I12" i="30"/>
  <c r="R12" i="30" s="1"/>
  <c r="H12" i="30"/>
  <c r="H11" i="30"/>
  <c r="I11" i="30" s="1"/>
  <c r="R11" i="30" s="1"/>
  <c r="I10" i="30"/>
  <c r="R10" i="30" s="1"/>
  <c r="H10" i="30"/>
  <c r="H9" i="30"/>
  <c r="I9" i="30" s="1"/>
  <c r="R9" i="30" s="1"/>
  <c r="I8" i="30"/>
  <c r="R8" i="30" s="1"/>
  <c r="H8" i="30"/>
  <c r="H7" i="30"/>
  <c r="I7" i="30" s="1"/>
  <c r="R7" i="30" s="1"/>
  <c r="A6" i="30"/>
  <c r="H5" i="30"/>
  <c r="I5" i="30" s="1"/>
  <c r="H4" i="30"/>
  <c r="I4" i="30" s="1"/>
  <c r="I1" i="30"/>
  <c r="J4" i="30" s="1"/>
  <c r="F190" i="29"/>
  <c r="H190" i="29" s="1"/>
  <c r="I190" i="29" s="1"/>
  <c r="H189" i="29"/>
  <c r="I189" i="29" s="1"/>
  <c r="F189" i="29"/>
  <c r="I188" i="29"/>
  <c r="H188" i="29"/>
  <c r="I187" i="29"/>
  <c r="H187" i="29"/>
  <c r="I186" i="29"/>
  <c r="H186" i="29"/>
  <c r="I185" i="29"/>
  <c r="I192" i="29" s="1"/>
  <c r="H185" i="29"/>
  <c r="H180" i="29"/>
  <c r="I179" i="29"/>
  <c r="H179" i="29"/>
  <c r="A179" i="29"/>
  <c r="A180" i="29" s="1"/>
  <c r="I180" i="29" s="1"/>
  <c r="H178" i="29"/>
  <c r="I178" i="29" s="1"/>
  <c r="F178" i="29"/>
  <c r="F177" i="29"/>
  <c r="H177" i="29" s="1"/>
  <c r="H176" i="29"/>
  <c r="A176" i="29"/>
  <c r="A177" i="29" s="1"/>
  <c r="H175" i="29"/>
  <c r="I175" i="29" s="1"/>
  <c r="F175" i="29"/>
  <c r="I174" i="29"/>
  <c r="H174" i="29"/>
  <c r="F171" i="29"/>
  <c r="H171" i="29" s="1"/>
  <c r="I171" i="29" s="1"/>
  <c r="H170" i="29"/>
  <c r="I170" i="29" s="1"/>
  <c r="H169" i="29"/>
  <c r="I169" i="29" s="1"/>
  <c r="H168" i="29"/>
  <c r="I168" i="29" s="1"/>
  <c r="H167" i="29"/>
  <c r="I167" i="29" s="1"/>
  <c r="H166" i="29"/>
  <c r="I166" i="29" s="1"/>
  <c r="H165" i="29"/>
  <c r="I165" i="29" s="1"/>
  <c r="H164" i="29"/>
  <c r="I164" i="29" s="1"/>
  <c r="H157" i="29"/>
  <c r="F157" i="29"/>
  <c r="A157" i="29"/>
  <c r="I157" i="29" s="1"/>
  <c r="H148" i="29"/>
  <c r="F148" i="29"/>
  <c r="A148" i="29"/>
  <c r="I148" i="29" s="1"/>
  <c r="H140" i="29"/>
  <c r="H139" i="29"/>
  <c r="F139" i="29"/>
  <c r="H138" i="29"/>
  <c r="H137" i="29"/>
  <c r="H136" i="29"/>
  <c r="H135" i="29"/>
  <c r="H134" i="29"/>
  <c r="H133" i="29"/>
  <c r="H132" i="29"/>
  <c r="H131" i="29"/>
  <c r="I124" i="29"/>
  <c r="H124" i="29"/>
  <c r="I122" i="29"/>
  <c r="H122" i="29"/>
  <c r="I119" i="29"/>
  <c r="H119" i="29"/>
  <c r="I118" i="29"/>
  <c r="H118" i="29"/>
  <c r="I117" i="29"/>
  <c r="H117" i="29"/>
  <c r="I115" i="29"/>
  <c r="H115" i="29"/>
  <c r="I114" i="29"/>
  <c r="H114" i="29"/>
  <c r="I113" i="29"/>
  <c r="H113" i="29"/>
  <c r="I112" i="29"/>
  <c r="H112" i="29"/>
  <c r="I111" i="29"/>
  <c r="H111" i="29"/>
  <c r="I110" i="29"/>
  <c r="H110" i="29"/>
  <c r="I109" i="29"/>
  <c r="H109" i="29"/>
  <c r="I108" i="29"/>
  <c r="H108" i="29"/>
  <c r="I107" i="29"/>
  <c r="H107" i="29"/>
  <c r="I106" i="29"/>
  <c r="H106" i="29"/>
  <c r="I105" i="29"/>
  <c r="H105" i="29"/>
  <c r="I99" i="29"/>
  <c r="H99" i="29"/>
  <c r="I96" i="29"/>
  <c r="H96" i="29"/>
  <c r="I95" i="29"/>
  <c r="H95" i="29"/>
  <c r="I94" i="29"/>
  <c r="H94" i="29"/>
  <c r="I92" i="29"/>
  <c r="H92" i="29"/>
  <c r="I91" i="29"/>
  <c r="H91" i="29"/>
  <c r="I90" i="29"/>
  <c r="H90" i="29"/>
  <c r="I89" i="29"/>
  <c r="H89" i="29"/>
  <c r="I88" i="29"/>
  <c r="H88" i="29"/>
  <c r="I87" i="29"/>
  <c r="H87" i="29"/>
  <c r="I86" i="29"/>
  <c r="H86" i="29"/>
  <c r="I85" i="29"/>
  <c r="H85" i="29"/>
  <c r="I84" i="29"/>
  <c r="H84" i="29"/>
  <c r="I83" i="29"/>
  <c r="H83" i="29"/>
  <c r="I82" i="29"/>
  <c r="H82" i="29"/>
  <c r="G78" i="29"/>
  <c r="H104" i="29" s="1"/>
  <c r="I104" i="29" s="1"/>
  <c r="I63" i="29"/>
  <c r="F62" i="29"/>
  <c r="H62" i="29" s="1"/>
  <c r="I61" i="29"/>
  <c r="H61" i="29"/>
  <c r="H57" i="29"/>
  <c r="I57" i="29" s="1"/>
  <c r="F57" i="29"/>
  <c r="F56" i="29"/>
  <c r="H56" i="29" s="1"/>
  <c r="I56" i="29" s="1"/>
  <c r="H55" i="29"/>
  <c r="I55" i="29" s="1"/>
  <c r="F55" i="29"/>
  <c r="F54" i="29"/>
  <c r="H54" i="29" s="1"/>
  <c r="F53" i="29"/>
  <c r="H53" i="29" s="1"/>
  <c r="I53" i="29" s="1"/>
  <c r="A53" i="29"/>
  <c r="F52" i="29"/>
  <c r="H52" i="29" s="1"/>
  <c r="I52" i="29" s="1"/>
  <c r="H51" i="29"/>
  <c r="I51" i="29" s="1"/>
  <c r="F51" i="29"/>
  <c r="F50" i="29"/>
  <c r="H50" i="29" s="1"/>
  <c r="I50" i="29" s="1"/>
  <c r="A50" i="29"/>
  <c r="F49" i="29"/>
  <c r="H49" i="29" s="1"/>
  <c r="I49" i="29" s="1"/>
  <c r="H48" i="29"/>
  <c r="I48" i="29" s="1"/>
  <c r="F48" i="29"/>
  <c r="F47" i="29"/>
  <c r="H47" i="29" s="1"/>
  <c r="I47" i="29" s="1"/>
  <c r="H46" i="29"/>
  <c r="I46" i="29" s="1"/>
  <c r="F46" i="29"/>
  <c r="F45" i="29"/>
  <c r="H45" i="29" s="1"/>
  <c r="I45" i="29" s="1"/>
  <c r="H44" i="29"/>
  <c r="F44" i="29"/>
  <c r="A44" i="29"/>
  <c r="I44" i="29" s="1"/>
  <c r="H43" i="29"/>
  <c r="F43" i="29"/>
  <c r="A43" i="29"/>
  <c r="I43" i="29" s="1"/>
  <c r="H42" i="29"/>
  <c r="F42" i="29"/>
  <c r="A42" i="29"/>
  <c r="I42" i="29" s="1"/>
  <c r="H41" i="29"/>
  <c r="F41" i="29"/>
  <c r="A41" i="29"/>
  <c r="I41" i="29" s="1"/>
  <c r="F32" i="29"/>
  <c r="H32" i="29" s="1"/>
  <c r="I32" i="29" s="1"/>
  <c r="S32" i="29" s="1"/>
  <c r="I31" i="29"/>
  <c r="S31" i="29" s="1"/>
  <c r="H31" i="29"/>
  <c r="H30" i="29"/>
  <c r="I30" i="29" s="1"/>
  <c r="S30" i="29" s="1"/>
  <c r="I29" i="29"/>
  <c r="S29" i="29" s="1"/>
  <c r="H29" i="29"/>
  <c r="H28" i="29"/>
  <c r="I28" i="29" s="1"/>
  <c r="S28" i="29" s="1"/>
  <c r="I27" i="29"/>
  <c r="O27" i="29" s="1"/>
  <c r="H27" i="29"/>
  <c r="A27" i="29"/>
  <c r="I26" i="29"/>
  <c r="O26" i="29" s="1"/>
  <c r="H26" i="29"/>
  <c r="A26" i="29"/>
  <c r="F25" i="29"/>
  <c r="H25" i="29" s="1"/>
  <c r="I25" i="29" s="1"/>
  <c r="I24" i="29"/>
  <c r="O24" i="29" s="1"/>
  <c r="H24" i="29"/>
  <c r="H23" i="29"/>
  <c r="I23" i="29" s="1"/>
  <c r="R23" i="29" s="1"/>
  <c r="I22" i="29"/>
  <c r="R22" i="29" s="1"/>
  <c r="H22" i="29"/>
  <c r="H21" i="29"/>
  <c r="I21" i="29" s="1"/>
  <c r="R21" i="29" s="1"/>
  <c r="A21" i="29"/>
  <c r="H20" i="29"/>
  <c r="I20" i="29" s="1"/>
  <c r="N20" i="29" s="1"/>
  <c r="F19" i="29"/>
  <c r="H19" i="29" s="1"/>
  <c r="I19" i="29" s="1"/>
  <c r="N19" i="29" s="1"/>
  <c r="F18" i="29"/>
  <c r="H18" i="29" s="1"/>
  <c r="I18" i="29" s="1"/>
  <c r="N18" i="29" s="1"/>
  <c r="I17" i="29"/>
  <c r="O17" i="29" s="1"/>
  <c r="H17" i="29"/>
  <c r="H16" i="29"/>
  <c r="H15" i="29"/>
  <c r="A15" i="29"/>
  <c r="A16" i="29" s="1"/>
  <c r="I16" i="29" s="1"/>
  <c r="O16" i="29" s="1"/>
  <c r="H14" i="29"/>
  <c r="H13" i="29"/>
  <c r="A13" i="29"/>
  <c r="A14" i="29" s="1"/>
  <c r="I14" i="29" s="1"/>
  <c r="O14" i="29" s="1"/>
  <c r="H12" i="29"/>
  <c r="A12" i="29"/>
  <c r="I12" i="29" s="1"/>
  <c r="R12" i="29" s="1"/>
  <c r="H11" i="29"/>
  <c r="I11" i="29" s="1"/>
  <c r="R11" i="29" s="1"/>
  <c r="I10" i="29"/>
  <c r="R10" i="29" s="1"/>
  <c r="H10" i="29"/>
  <c r="H9" i="29"/>
  <c r="I9" i="29" s="1"/>
  <c r="R9" i="29" s="1"/>
  <c r="I8" i="29"/>
  <c r="R8" i="29" s="1"/>
  <c r="H8" i="29"/>
  <c r="H7" i="29"/>
  <c r="I7" i="29" s="1"/>
  <c r="R7" i="29" s="1"/>
  <c r="H6" i="29"/>
  <c r="F6" i="29"/>
  <c r="A6" i="29"/>
  <c r="I6" i="29" s="1"/>
  <c r="M6" i="29" s="1"/>
  <c r="H5" i="29"/>
  <c r="I5" i="29" s="1"/>
  <c r="H4" i="29"/>
  <c r="I4" i="29" s="1"/>
  <c r="I1" i="29"/>
  <c r="L1" i="29" s="1"/>
  <c r="F177" i="28"/>
  <c r="H177" i="28" s="1"/>
  <c r="I177" i="28" s="1"/>
  <c r="H176" i="28"/>
  <c r="I176" i="28" s="1"/>
  <c r="F176" i="28"/>
  <c r="I175" i="28"/>
  <c r="H175" i="28"/>
  <c r="H170" i="28"/>
  <c r="H169" i="28"/>
  <c r="A169" i="28"/>
  <c r="I169" i="28" s="1"/>
  <c r="H168" i="28"/>
  <c r="I168" i="28" s="1"/>
  <c r="F168" i="28"/>
  <c r="F167" i="28"/>
  <c r="H167" i="28" s="1"/>
  <c r="I166" i="28"/>
  <c r="H166" i="28"/>
  <c r="A166" i="28"/>
  <c r="A167" i="28" s="1"/>
  <c r="H165" i="28"/>
  <c r="I165" i="28" s="1"/>
  <c r="F165" i="28"/>
  <c r="I164" i="28"/>
  <c r="H164" i="28"/>
  <c r="F161" i="28"/>
  <c r="H161" i="28" s="1"/>
  <c r="I161" i="28" s="1"/>
  <c r="H160" i="28"/>
  <c r="I160" i="28" s="1"/>
  <c r="H159" i="28"/>
  <c r="I159" i="28" s="1"/>
  <c r="H158" i="28"/>
  <c r="I158" i="28" s="1"/>
  <c r="H157" i="28"/>
  <c r="I157" i="28" s="1"/>
  <c r="H156" i="28"/>
  <c r="I156" i="28" s="1"/>
  <c r="H155" i="28"/>
  <c r="I155" i="28" s="1"/>
  <c r="H154" i="28"/>
  <c r="I154" i="28" s="1"/>
  <c r="I150" i="28"/>
  <c r="H140" i="28"/>
  <c r="F139" i="28"/>
  <c r="H139" i="28" s="1"/>
  <c r="H138" i="28"/>
  <c r="H137" i="28"/>
  <c r="H136" i="28"/>
  <c r="H135" i="28"/>
  <c r="H134" i="28"/>
  <c r="H133" i="28"/>
  <c r="H132" i="28"/>
  <c r="H131" i="28"/>
  <c r="H124" i="28"/>
  <c r="I124" i="28" s="1"/>
  <c r="H122" i="28"/>
  <c r="I122" i="28" s="1"/>
  <c r="H119" i="28"/>
  <c r="I119" i="28" s="1"/>
  <c r="H118" i="28"/>
  <c r="I118" i="28" s="1"/>
  <c r="H117" i="28"/>
  <c r="I117" i="28" s="1"/>
  <c r="H115" i="28"/>
  <c r="I115" i="28" s="1"/>
  <c r="H114" i="28"/>
  <c r="I114" i="28" s="1"/>
  <c r="H113" i="28"/>
  <c r="I113" i="28" s="1"/>
  <c r="H112" i="28"/>
  <c r="I112" i="28" s="1"/>
  <c r="H111" i="28"/>
  <c r="I111" i="28" s="1"/>
  <c r="H110" i="28"/>
  <c r="I110" i="28" s="1"/>
  <c r="H109" i="28"/>
  <c r="I109" i="28" s="1"/>
  <c r="H108" i="28"/>
  <c r="I108" i="28" s="1"/>
  <c r="H107" i="28"/>
  <c r="I107" i="28" s="1"/>
  <c r="H106" i="28"/>
  <c r="I106" i="28" s="1"/>
  <c r="H105" i="28"/>
  <c r="I105" i="28" s="1"/>
  <c r="H104" i="28"/>
  <c r="I104" i="28" s="1"/>
  <c r="H103" i="28"/>
  <c r="I103" i="28" s="1"/>
  <c r="H99" i="28"/>
  <c r="I99" i="28" s="1"/>
  <c r="H96" i="28"/>
  <c r="I96" i="28" s="1"/>
  <c r="H95" i="28"/>
  <c r="I95" i="28" s="1"/>
  <c r="H94" i="28"/>
  <c r="I94" i="28" s="1"/>
  <c r="H92" i="28"/>
  <c r="I92" i="28" s="1"/>
  <c r="H91" i="28"/>
  <c r="I91" i="28" s="1"/>
  <c r="H90" i="28"/>
  <c r="I90" i="28" s="1"/>
  <c r="H89" i="28"/>
  <c r="I89" i="28" s="1"/>
  <c r="H88" i="28"/>
  <c r="I88" i="28" s="1"/>
  <c r="H87" i="28"/>
  <c r="I87" i="28" s="1"/>
  <c r="H86" i="28"/>
  <c r="I86" i="28" s="1"/>
  <c r="H85" i="28"/>
  <c r="I85" i="28" s="1"/>
  <c r="H84" i="28"/>
  <c r="I84" i="28" s="1"/>
  <c r="H83" i="28"/>
  <c r="I83" i="28" s="1"/>
  <c r="H82" i="28"/>
  <c r="I82" i="28" s="1"/>
  <c r="H81" i="28"/>
  <c r="I81" i="28" s="1"/>
  <c r="I126" i="28" s="1"/>
  <c r="Q126" i="28" s="1"/>
  <c r="Q38" i="28" s="1"/>
  <c r="G78" i="28"/>
  <c r="I64" i="28"/>
  <c r="H63" i="28"/>
  <c r="F63" i="28"/>
  <c r="H62" i="28"/>
  <c r="I62" i="28" s="1"/>
  <c r="F58" i="28"/>
  <c r="H58" i="28" s="1"/>
  <c r="I58" i="28" s="1"/>
  <c r="A58" i="28"/>
  <c r="F57" i="28"/>
  <c r="H57" i="28" s="1"/>
  <c r="I57" i="28" s="1"/>
  <c r="H56" i="28"/>
  <c r="I56" i="28" s="1"/>
  <c r="F56" i="28"/>
  <c r="F55" i="28"/>
  <c r="H55" i="28" s="1"/>
  <c r="I55" i="28" s="1"/>
  <c r="A55" i="28"/>
  <c r="F54" i="28"/>
  <c r="H54" i="28" s="1"/>
  <c r="I54" i="28" s="1"/>
  <c r="H53" i="28"/>
  <c r="I53" i="28" s="1"/>
  <c r="F53" i="28"/>
  <c r="F52" i="28"/>
  <c r="H52" i="28" s="1"/>
  <c r="I52" i="28" s="1"/>
  <c r="H51" i="28"/>
  <c r="I51" i="28" s="1"/>
  <c r="F51" i="28"/>
  <c r="F50" i="28"/>
  <c r="H50" i="28" s="1"/>
  <c r="I50" i="28" s="1"/>
  <c r="H49" i="28"/>
  <c r="I49" i="28" s="1"/>
  <c r="F49" i="28"/>
  <c r="F48" i="28"/>
  <c r="H48" i="28" s="1"/>
  <c r="I48" i="28" s="1"/>
  <c r="H47" i="28"/>
  <c r="I47" i="28" s="1"/>
  <c r="F47" i="28"/>
  <c r="F46" i="28"/>
  <c r="H46" i="28" s="1"/>
  <c r="I46" i="28" s="1"/>
  <c r="H45" i="28"/>
  <c r="F45" i="28"/>
  <c r="A45" i="28"/>
  <c r="I45" i="28" s="1"/>
  <c r="H44" i="28"/>
  <c r="I44" i="28" s="1"/>
  <c r="F44" i="28"/>
  <c r="F43" i="28"/>
  <c r="H43" i="28" s="1"/>
  <c r="I43" i="28" s="1"/>
  <c r="A43" i="28"/>
  <c r="A60" i="28" s="1"/>
  <c r="A63" i="28" s="1"/>
  <c r="I63" i="28" s="1"/>
  <c r="I67" i="28" s="1"/>
  <c r="P67" i="28" s="1"/>
  <c r="P38" i="28" s="1"/>
  <c r="F42" i="28"/>
  <c r="H42" i="28" s="1"/>
  <c r="I42" i="28" s="1"/>
  <c r="F33" i="28"/>
  <c r="H33" i="28" s="1"/>
  <c r="I33" i="28" s="1"/>
  <c r="S33" i="28" s="1"/>
  <c r="I32" i="28"/>
  <c r="S32" i="28" s="1"/>
  <c r="H32" i="28"/>
  <c r="H31" i="28"/>
  <c r="I31" i="28" s="1"/>
  <c r="S31" i="28" s="1"/>
  <c r="I30" i="28"/>
  <c r="S30" i="28" s="1"/>
  <c r="H30" i="28"/>
  <c r="H29" i="28"/>
  <c r="I29" i="28" s="1"/>
  <c r="S29" i="28" s="1"/>
  <c r="S36" i="28" s="1"/>
  <c r="S38" i="28" s="1"/>
  <c r="I28" i="28"/>
  <c r="O28" i="28" s="1"/>
  <c r="H28" i="28"/>
  <c r="M27" i="28"/>
  <c r="H27" i="28"/>
  <c r="I27" i="28" s="1"/>
  <c r="I26" i="28"/>
  <c r="O26" i="28" s="1"/>
  <c r="H26" i="28"/>
  <c r="H25" i="28"/>
  <c r="I25" i="28" s="1"/>
  <c r="R25" i="28" s="1"/>
  <c r="I24" i="28"/>
  <c r="R24" i="28" s="1"/>
  <c r="H24" i="28"/>
  <c r="H23" i="28"/>
  <c r="I23" i="28" s="1"/>
  <c r="R23" i="28" s="1"/>
  <c r="I22" i="28"/>
  <c r="N22" i="28" s="1"/>
  <c r="H22" i="28"/>
  <c r="H21" i="28"/>
  <c r="I21" i="28" s="1"/>
  <c r="N21" i="28" s="1"/>
  <c r="F20" i="28"/>
  <c r="H20" i="28" s="1"/>
  <c r="I20" i="28" s="1"/>
  <c r="N20" i="28" s="1"/>
  <c r="F19" i="28"/>
  <c r="H19" i="28" s="1"/>
  <c r="I19" i="28" s="1"/>
  <c r="N19" i="28" s="1"/>
  <c r="I18" i="28"/>
  <c r="O18" i="28" s="1"/>
  <c r="H18" i="28"/>
  <c r="H17" i="28"/>
  <c r="H16" i="28"/>
  <c r="A16" i="28"/>
  <c r="I16" i="28" s="1"/>
  <c r="O16" i="28" s="1"/>
  <c r="H15" i="28"/>
  <c r="A15" i="28"/>
  <c r="I15" i="28" s="1"/>
  <c r="O15" i="28" s="1"/>
  <c r="H14" i="28"/>
  <c r="I14" i="28" s="1"/>
  <c r="O14" i="28" s="1"/>
  <c r="H13" i="28"/>
  <c r="A13" i="28"/>
  <c r="I13" i="28" s="1"/>
  <c r="R13" i="28" s="1"/>
  <c r="I12" i="28"/>
  <c r="R12" i="28" s="1"/>
  <c r="H12" i="28"/>
  <c r="H11" i="28"/>
  <c r="I11" i="28" s="1"/>
  <c r="R11" i="28" s="1"/>
  <c r="I10" i="28"/>
  <c r="R10" i="28" s="1"/>
  <c r="H10" i="28"/>
  <c r="H9" i="28"/>
  <c r="I9" i="28" s="1"/>
  <c r="R9" i="28" s="1"/>
  <c r="I8" i="28"/>
  <c r="R8" i="28" s="1"/>
  <c r="H8" i="28"/>
  <c r="H7" i="28"/>
  <c r="I7" i="28" s="1"/>
  <c r="R7" i="28" s="1"/>
  <c r="J6" i="28"/>
  <c r="H6" i="28"/>
  <c r="I6" i="28" s="1"/>
  <c r="M6" i="28" s="1"/>
  <c r="F6" i="28"/>
  <c r="I5" i="28"/>
  <c r="H5" i="28"/>
  <c r="I4" i="28"/>
  <c r="H4" i="28"/>
  <c r="L1" i="28"/>
  <c r="I1" i="28"/>
  <c r="J4" i="28" s="1"/>
  <c r="H177" i="27"/>
  <c r="I177" i="27" s="1"/>
  <c r="F177" i="27"/>
  <c r="F176" i="27"/>
  <c r="H176" i="27" s="1"/>
  <c r="I176" i="27" s="1"/>
  <c r="H175" i="27"/>
  <c r="I175" i="27" s="1"/>
  <c r="H170" i="27"/>
  <c r="A170" i="27"/>
  <c r="I170" i="27" s="1"/>
  <c r="H169" i="27"/>
  <c r="A169" i="27"/>
  <c r="I169" i="27" s="1"/>
  <c r="F168" i="27"/>
  <c r="H168" i="27" s="1"/>
  <c r="I168" i="27" s="1"/>
  <c r="H167" i="27"/>
  <c r="F167" i="27"/>
  <c r="A167" i="27"/>
  <c r="I167" i="27" s="1"/>
  <c r="H166" i="27"/>
  <c r="I166" i="27" s="1"/>
  <c r="A166" i="27"/>
  <c r="F165" i="27"/>
  <c r="H165" i="27" s="1"/>
  <c r="I165" i="27" s="1"/>
  <c r="H164" i="27"/>
  <c r="I164" i="27" s="1"/>
  <c r="H161" i="27"/>
  <c r="I161" i="27" s="1"/>
  <c r="F161" i="27"/>
  <c r="I160" i="27"/>
  <c r="H160" i="27"/>
  <c r="I159" i="27"/>
  <c r="H159" i="27"/>
  <c r="I158" i="27"/>
  <c r="H158" i="27"/>
  <c r="I157" i="27"/>
  <c r="H157" i="27"/>
  <c r="I156" i="27"/>
  <c r="H156" i="27"/>
  <c r="I155" i="27"/>
  <c r="H155" i="27"/>
  <c r="I154" i="27"/>
  <c r="H154" i="27"/>
  <c r="I150" i="27"/>
  <c r="H140" i="27"/>
  <c r="H139" i="27"/>
  <c r="F139" i="27"/>
  <c r="H138" i="27"/>
  <c r="H137" i="27"/>
  <c r="H136" i="27"/>
  <c r="H135" i="27"/>
  <c r="H134" i="27"/>
  <c r="H133" i="27"/>
  <c r="H132" i="27"/>
  <c r="H131" i="27"/>
  <c r="I124" i="27"/>
  <c r="H124" i="27"/>
  <c r="I122" i="27"/>
  <c r="H122" i="27"/>
  <c r="I119" i="27"/>
  <c r="H119" i="27"/>
  <c r="I118" i="27"/>
  <c r="H118" i="27"/>
  <c r="I117" i="27"/>
  <c r="H117" i="27"/>
  <c r="I115" i="27"/>
  <c r="H115" i="27"/>
  <c r="I114" i="27"/>
  <c r="H114" i="27"/>
  <c r="I113" i="27"/>
  <c r="H113" i="27"/>
  <c r="I112" i="27"/>
  <c r="H112" i="27"/>
  <c r="I111" i="27"/>
  <c r="H111" i="27"/>
  <c r="I110" i="27"/>
  <c r="H110" i="27"/>
  <c r="I109" i="27"/>
  <c r="H109" i="27"/>
  <c r="I108" i="27"/>
  <c r="H108" i="27"/>
  <c r="I107" i="27"/>
  <c r="H107" i="27"/>
  <c r="I106" i="27"/>
  <c r="H106" i="27"/>
  <c r="I105" i="27"/>
  <c r="H105" i="27"/>
  <c r="I99" i="27"/>
  <c r="H99" i="27"/>
  <c r="I96" i="27"/>
  <c r="H96" i="27"/>
  <c r="I95" i="27"/>
  <c r="H95" i="27"/>
  <c r="I94" i="27"/>
  <c r="H94" i="27"/>
  <c r="I92" i="27"/>
  <c r="H92" i="27"/>
  <c r="I91" i="27"/>
  <c r="H91" i="27"/>
  <c r="I90" i="27"/>
  <c r="H90" i="27"/>
  <c r="I89" i="27"/>
  <c r="H89" i="27"/>
  <c r="I88" i="27"/>
  <c r="H88" i="27"/>
  <c r="I87" i="27"/>
  <c r="H87" i="27"/>
  <c r="I86" i="27"/>
  <c r="H86" i="27"/>
  <c r="I85" i="27"/>
  <c r="H85" i="27"/>
  <c r="I84" i="27"/>
  <c r="H84" i="27"/>
  <c r="I83" i="27"/>
  <c r="H83" i="27"/>
  <c r="I82" i="27"/>
  <c r="H82" i="27"/>
  <c r="G78" i="27"/>
  <c r="H104" i="27" s="1"/>
  <c r="I104" i="27" s="1"/>
  <c r="I64" i="27"/>
  <c r="F63" i="27"/>
  <c r="H63" i="27" s="1"/>
  <c r="I62" i="27"/>
  <c r="H62" i="27"/>
  <c r="H58" i="27"/>
  <c r="F58" i="27"/>
  <c r="A58" i="27"/>
  <c r="I58" i="27" s="1"/>
  <c r="H57" i="27"/>
  <c r="I57" i="27" s="1"/>
  <c r="F57" i="27"/>
  <c r="F56" i="27"/>
  <c r="H56" i="27" s="1"/>
  <c r="I56" i="27" s="1"/>
  <c r="H55" i="27"/>
  <c r="F55" i="27"/>
  <c r="A55" i="27"/>
  <c r="I55" i="27" s="1"/>
  <c r="H54" i="27"/>
  <c r="I54" i="27" s="1"/>
  <c r="F54" i="27"/>
  <c r="F53" i="27"/>
  <c r="H53" i="27" s="1"/>
  <c r="I53" i="27" s="1"/>
  <c r="H52" i="27"/>
  <c r="I52" i="27" s="1"/>
  <c r="F52" i="27"/>
  <c r="F51" i="27"/>
  <c r="H51" i="27" s="1"/>
  <c r="I51" i="27" s="1"/>
  <c r="H50" i="27"/>
  <c r="I50" i="27" s="1"/>
  <c r="F50" i="27"/>
  <c r="F49" i="27"/>
  <c r="H49" i="27" s="1"/>
  <c r="I49" i="27" s="1"/>
  <c r="H48" i="27"/>
  <c r="I48" i="27" s="1"/>
  <c r="F48" i="27"/>
  <c r="F47" i="27"/>
  <c r="H47" i="27" s="1"/>
  <c r="I47" i="27" s="1"/>
  <c r="H46" i="27"/>
  <c r="I46" i="27" s="1"/>
  <c r="F46" i="27"/>
  <c r="F45" i="27"/>
  <c r="H45" i="27" s="1"/>
  <c r="F44" i="27"/>
  <c r="H44" i="27" s="1"/>
  <c r="I44" i="27" s="1"/>
  <c r="H43" i="27"/>
  <c r="F43" i="27"/>
  <c r="H42" i="27"/>
  <c r="I42" i="27" s="1"/>
  <c r="F42" i="27"/>
  <c r="H33" i="27"/>
  <c r="I33" i="27" s="1"/>
  <c r="S33" i="27" s="1"/>
  <c r="F33" i="27"/>
  <c r="H32" i="27"/>
  <c r="I32" i="27" s="1"/>
  <c r="S32" i="27" s="1"/>
  <c r="I31" i="27"/>
  <c r="S31" i="27" s="1"/>
  <c r="H31" i="27"/>
  <c r="H30" i="27"/>
  <c r="I30" i="27" s="1"/>
  <c r="S30" i="27" s="1"/>
  <c r="I29" i="27"/>
  <c r="S29" i="27" s="1"/>
  <c r="H29" i="27"/>
  <c r="H28" i="27"/>
  <c r="I28" i="27" s="1"/>
  <c r="O28" i="27" s="1"/>
  <c r="M27" i="27"/>
  <c r="I27" i="27"/>
  <c r="H27" i="27"/>
  <c r="H26" i="27"/>
  <c r="I26" i="27" s="1"/>
  <c r="O26" i="27" s="1"/>
  <c r="I25" i="27"/>
  <c r="R25" i="27" s="1"/>
  <c r="H25" i="27"/>
  <c r="H24" i="27"/>
  <c r="I24" i="27" s="1"/>
  <c r="R24" i="27" s="1"/>
  <c r="I23" i="27"/>
  <c r="R23" i="27" s="1"/>
  <c r="H23" i="27"/>
  <c r="H22" i="27"/>
  <c r="I22" i="27" s="1"/>
  <c r="N22" i="27" s="1"/>
  <c r="I21" i="27"/>
  <c r="N21" i="27" s="1"/>
  <c r="H21" i="27"/>
  <c r="H20" i="27"/>
  <c r="I20" i="27" s="1"/>
  <c r="N20" i="27" s="1"/>
  <c r="I19" i="27"/>
  <c r="N19" i="27" s="1"/>
  <c r="N36" i="27" s="1"/>
  <c r="N38" i="27" s="1"/>
  <c r="H19" i="27"/>
  <c r="H18" i="27"/>
  <c r="I18" i="27" s="1"/>
  <c r="O18" i="27" s="1"/>
  <c r="H17" i="27"/>
  <c r="I16" i="27"/>
  <c r="O16" i="27" s="1"/>
  <c r="H16" i="27"/>
  <c r="A16" i="27"/>
  <c r="A17" i="27" s="1"/>
  <c r="I17" i="27" s="1"/>
  <c r="O17" i="27" s="1"/>
  <c r="H15" i="27"/>
  <c r="I14" i="27"/>
  <c r="O14" i="27" s="1"/>
  <c r="H14" i="27"/>
  <c r="H13" i="27"/>
  <c r="I13" i="27" s="1"/>
  <c r="R13" i="27" s="1"/>
  <c r="A13" i="27"/>
  <c r="H12" i="27"/>
  <c r="I12" i="27" s="1"/>
  <c r="R12" i="27" s="1"/>
  <c r="I11" i="27"/>
  <c r="R11" i="27" s="1"/>
  <c r="H11" i="27"/>
  <c r="H10" i="27"/>
  <c r="I10" i="27" s="1"/>
  <c r="R10" i="27" s="1"/>
  <c r="I9" i="27"/>
  <c r="R9" i="27" s="1"/>
  <c r="H9" i="27"/>
  <c r="H8" i="27"/>
  <c r="I8" i="27" s="1"/>
  <c r="R8" i="27" s="1"/>
  <c r="I7" i="27"/>
  <c r="R7" i="27" s="1"/>
  <c r="H7" i="27"/>
  <c r="F6" i="27"/>
  <c r="H6" i="27" s="1"/>
  <c r="I5" i="27"/>
  <c r="H5" i="27"/>
  <c r="H4" i="27"/>
  <c r="A4" i="27"/>
  <c r="A15" i="27" s="1"/>
  <c r="I15" i="27" s="1"/>
  <c r="O15" i="27" s="1"/>
  <c r="I1" i="27"/>
  <c r="J4" i="27" s="1"/>
  <c r="F172" i="26"/>
  <c r="H172" i="26" s="1"/>
  <c r="I172" i="26" s="1"/>
  <c r="H171" i="26"/>
  <c r="I171" i="26" s="1"/>
  <c r="F171" i="26"/>
  <c r="I170" i="26"/>
  <c r="H170" i="26"/>
  <c r="I169" i="26"/>
  <c r="H169" i="26"/>
  <c r="I168" i="26"/>
  <c r="I174" i="26" s="1"/>
  <c r="H168" i="26"/>
  <c r="H163" i="26"/>
  <c r="I163" i="26" s="1"/>
  <c r="H162" i="26"/>
  <c r="I162" i="26" s="1"/>
  <c r="H161" i="26"/>
  <c r="I161" i="26" s="1"/>
  <c r="H160" i="26"/>
  <c r="I160" i="26" s="1"/>
  <c r="H159" i="26"/>
  <c r="I159" i="26" s="1"/>
  <c r="H158" i="26"/>
  <c r="I158" i="26" s="1"/>
  <c r="H157" i="26"/>
  <c r="I157" i="26" s="1"/>
  <c r="I165" i="26" s="1"/>
  <c r="H148" i="26"/>
  <c r="I148" i="26" s="1"/>
  <c r="A148" i="26"/>
  <c r="H140" i="26"/>
  <c r="F139" i="26"/>
  <c r="H139" i="26" s="1"/>
  <c r="H138" i="26"/>
  <c r="H137" i="26"/>
  <c r="H136" i="26"/>
  <c r="H135" i="26"/>
  <c r="H134" i="26"/>
  <c r="H133" i="26"/>
  <c r="H132" i="26"/>
  <c r="H131" i="26"/>
  <c r="H124" i="26"/>
  <c r="I124" i="26" s="1"/>
  <c r="H122" i="26"/>
  <c r="I122" i="26" s="1"/>
  <c r="H119" i="26"/>
  <c r="I119" i="26" s="1"/>
  <c r="H118" i="26"/>
  <c r="I118" i="26" s="1"/>
  <c r="H117" i="26"/>
  <c r="I117" i="26" s="1"/>
  <c r="H115" i="26"/>
  <c r="I115" i="26" s="1"/>
  <c r="H114" i="26"/>
  <c r="I114" i="26" s="1"/>
  <c r="H113" i="26"/>
  <c r="I113" i="26" s="1"/>
  <c r="H112" i="26"/>
  <c r="I112" i="26" s="1"/>
  <c r="H111" i="26"/>
  <c r="I111" i="26" s="1"/>
  <c r="H110" i="26"/>
  <c r="I110" i="26" s="1"/>
  <c r="H109" i="26"/>
  <c r="I109" i="26" s="1"/>
  <c r="H108" i="26"/>
  <c r="I108" i="26" s="1"/>
  <c r="H107" i="26"/>
  <c r="I107" i="26" s="1"/>
  <c r="H106" i="26"/>
  <c r="I106" i="26" s="1"/>
  <c r="H105" i="26"/>
  <c r="I105" i="26" s="1"/>
  <c r="H104" i="26"/>
  <c r="I104" i="26" s="1"/>
  <c r="H103" i="26"/>
  <c r="I103" i="26" s="1"/>
  <c r="H99" i="26"/>
  <c r="I99" i="26" s="1"/>
  <c r="H96" i="26"/>
  <c r="I96" i="26" s="1"/>
  <c r="H95" i="26"/>
  <c r="I95" i="26" s="1"/>
  <c r="H94" i="26"/>
  <c r="I94" i="26" s="1"/>
  <c r="H92" i="26"/>
  <c r="I92" i="26" s="1"/>
  <c r="H91" i="26"/>
  <c r="I91" i="26" s="1"/>
  <c r="H90" i="26"/>
  <c r="I90" i="26" s="1"/>
  <c r="H89" i="26"/>
  <c r="I89" i="26" s="1"/>
  <c r="H88" i="26"/>
  <c r="I88" i="26" s="1"/>
  <c r="H87" i="26"/>
  <c r="I87" i="26" s="1"/>
  <c r="H86" i="26"/>
  <c r="I86" i="26" s="1"/>
  <c r="H85" i="26"/>
  <c r="I85" i="26" s="1"/>
  <c r="H84" i="26"/>
  <c r="I84" i="26" s="1"/>
  <c r="H83" i="26"/>
  <c r="I83" i="26" s="1"/>
  <c r="H82" i="26"/>
  <c r="I82" i="26" s="1"/>
  <c r="H81" i="26"/>
  <c r="I81" i="26" s="1"/>
  <c r="G78" i="26"/>
  <c r="I62" i="26"/>
  <c r="H62" i="26"/>
  <c r="F61" i="26"/>
  <c r="H61" i="26" s="1"/>
  <c r="I60" i="26"/>
  <c r="H60" i="26"/>
  <c r="H56" i="26"/>
  <c r="I56" i="26" s="1"/>
  <c r="F56" i="26"/>
  <c r="F55" i="26"/>
  <c r="H55" i="26" s="1"/>
  <c r="I55" i="26" s="1"/>
  <c r="H54" i="26"/>
  <c r="I54" i="26" s="1"/>
  <c r="F54" i="26"/>
  <c r="F53" i="26"/>
  <c r="H53" i="26" s="1"/>
  <c r="I53" i="26" s="1"/>
  <c r="H52" i="26"/>
  <c r="F52" i="26"/>
  <c r="A52" i="26"/>
  <c r="I52" i="26" s="1"/>
  <c r="H51" i="26"/>
  <c r="I51" i="26" s="1"/>
  <c r="F51" i="26"/>
  <c r="F50" i="26"/>
  <c r="H50" i="26" s="1"/>
  <c r="I50" i="26" s="1"/>
  <c r="H49" i="26"/>
  <c r="I49" i="26" s="1"/>
  <c r="F49" i="26"/>
  <c r="F48" i="26"/>
  <c r="H48" i="26" s="1"/>
  <c r="I48" i="26" s="1"/>
  <c r="H47" i="26"/>
  <c r="I47" i="26" s="1"/>
  <c r="F47" i="26"/>
  <c r="F46" i="26"/>
  <c r="H46" i="26" s="1"/>
  <c r="I46" i="26" s="1"/>
  <c r="H45" i="26"/>
  <c r="I45" i="26" s="1"/>
  <c r="F45" i="26"/>
  <c r="F44" i="26"/>
  <c r="H44" i="26" s="1"/>
  <c r="I44" i="26" s="1"/>
  <c r="H43" i="26"/>
  <c r="F43" i="26"/>
  <c r="H42" i="26"/>
  <c r="I42" i="26" s="1"/>
  <c r="F42" i="26"/>
  <c r="F41" i="26"/>
  <c r="H41" i="26" s="1"/>
  <c r="F40" i="26"/>
  <c r="H40" i="26" s="1"/>
  <c r="I40" i="26" s="1"/>
  <c r="F31" i="26"/>
  <c r="H31" i="26" s="1"/>
  <c r="I31" i="26" s="1"/>
  <c r="S31" i="26" s="1"/>
  <c r="I30" i="26"/>
  <c r="S30" i="26" s="1"/>
  <c r="H30" i="26"/>
  <c r="H29" i="26"/>
  <c r="I29" i="26" s="1"/>
  <c r="S29" i="26" s="1"/>
  <c r="I28" i="26"/>
  <c r="S28" i="26" s="1"/>
  <c r="H28" i="26"/>
  <c r="H27" i="26"/>
  <c r="I27" i="26" s="1"/>
  <c r="S27" i="26" s="1"/>
  <c r="I26" i="26"/>
  <c r="O26" i="26" s="1"/>
  <c r="H26" i="26"/>
  <c r="M25" i="26"/>
  <c r="H25" i="26"/>
  <c r="I25" i="26" s="1"/>
  <c r="I24" i="26"/>
  <c r="O24" i="26" s="1"/>
  <c r="H24" i="26"/>
  <c r="H23" i="26"/>
  <c r="I23" i="26" s="1"/>
  <c r="R23" i="26" s="1"/>
  <c r="I22" i="26"/>
  <c r="R22" i="26" s="1"/>
  <c r="H22" i="26"/>
  <c r="H21" i="26"/>
  <c r="I21" i="26" s="1"/>
  <c r="R21" i="26" s="1"/>
  <c r="I20" i="26"/>
  <c r="N20" i="26" s="1"/>
  <c r="H20" i="26"/>
  <c r="H19" i="26"/>
  <c r="I19" i="26" s="1"/>
  <c r="N19" i="26" s="1"/>
  <c r="I18" i="26"/>
  <c r="N18" i="26" s="1"/>
  <c r="H18" i="26"/>
  <c r="H17" i="26"/>
  <c r="I17" i="26" s="1"/>
  <c r="N17" i="26" s="1"/>
  <c r="H16" i="26"/>
  <c r="H15" i="26"/>
  <c r="A15" i="26"/>
  <c r="A16" i="26" s="1"/>
  <c r="I16" i="26" s="1"/>
  <c r="O16" i="26" s="1"/>
  <c r="F14" i="26"/>
  <c r="H14" i="26" s="1"/>
  <c r="H13" i="26"/>
  <c r="F13" i="26"/>
  <c r="A13" i="26"/>
  <c r="A14" i="26" s="1"/>
  <c r="I12" i="26"/>
  <c r="R12" i="26" s="1"/>
  <c r="H12" i="26"/>
  <c r="H11" i="26"/>
  <c r="I11" i="26" s="1"/>
  <c r="R11" i="26" s="1"/>
  <c r="I10" i="26"/>
  <c r="R10" i="26" s="1"/>
  <c r="H10" i="26"/>
  <c r="H9" i="26"/>
  <c r="I9" i="26" s="1"/>
  <c r="R9" i="26" s="1"/>
  <c r="I8" i="26"/>
  <c r="R8" i="26" s="1"/>
  <c r="H8" i="26"/>
  <c r="H7" i="26"/>
  <c r="I7" i="26" s="1"/>
  <c r="R7" i="26" s="1"/>
  <c r="A6" i="26"/>
  <c r="A41" i="26" s="1"/>
  <c r="H5" i="26"/>
  <c r="I5" i="26" s="1"/>
  <c r="J4" i="26"/>
  <c r="H4" i="26"/>
  <c r="I4" i="26" s="1"/>
  <c r="L1" i="26"/>
  <c r="H172" i="25"/>
  <c r="I172" i="25" s="1"/>
  <c r="F172" i="25"/>
  <c r="F171" i="25"/>
  <c r="H171" i="25" s="1"/>
  <c r="I171" i="25" s="1"/>
  <c r="H170" i="25"/>
  <c r="I170" i="25" s="1"/>
  <c r="H169" i="25"/>
  <c r="I169" i="25" s="1"/>
  <c r="H168" i="25"/>
  <c r="I168" i="25" s="1"/>
  <c r="I163" i="25"/>
  <c r="H163" i="25"/>
  <c r="I162" i="25"/>
  <c r="H162" i="25"/>
  <c r="I161" i="25"/>
  <c r="H161" i="25"/>
  <c r="I160" i="25"/>
  <c r="H160" i="25"/>
  <c r="I159" i="25"/>
  <c r="H159" i="25"/>
  <c r="I158" i="25"/>
  <c r="H158" i="25"/>
  <c r="I157" i="25"/>
  <c r="I165" i="25" s="1"/>
  <c r="H157" i="25"/>
  <c r="H148" i="25"/>
  <c r="I148" i="25" s="1"/>
  <c r="I153" i="25" s="1"/>
  <c r="H140" i="25"/>
  <c r="H139" i="25"/>
  <c r="F139" i="25"/>
  <c r="H138" i="25"/>
  <c r="H137" i="25"/>
  <c r="H136" i="25"/>
  <c r="H135" i="25"/>
  <c r="H134" i="25"/>
  <c r="H133" i="25"/>
  <c r="H132" i="25"/>
  <c r="H131" i="25"/>
  <c r="I124" i="25"/>
  <c r="H124" i="25"/>
  <c r="I122" i="25"/>
  <c r="H122" i="25"/>
  <c r="I119" i="25"/>
  <c r="H119" i="25"/>
  <c r="I118" i="25"/>
  <c r="H118" i="25"/>
  <c r="I117" i="25"/>
  <c r="H117" i="25"/>
  <c r="I115" i="25"/>
  <c r="H115" i="25"/>
  <c r="I114" i="25"/>
  <c r="H114" i="25"/>
  <c r="I113" i="25"/>
  <c r="H113" i="25"/>
  <c r="I112" i="25"/>
  <c r="H112" i="25"/>
  <c r="I111" i="25"/>
  <c r="H111" i="25"/>
  <c r="I110" i="25"/>
  <c r="H110" i="25"/>
  <c r="I109" i="25"/>
  <c r="H109" i="25"/>
  <c r="I108" i="25"/>
  <c r="H108" i="25"/>
  <c r="I107" i="25"/>
  <c r="H107" i="25"/>
  <c r="I106" i="25"/>
  <c r="H106" i="25"/>
  <c r="I105" i="25"/>
  <c r="H105" i="25"/>
  <c r="I99" i="25"/>
  <c r="H99" i="25"/>
  <c r="I96" i="25"/>
  <c r="H96" i="25"/>
  <c r="I95" i="25"/>
  <c r="H95" i="25"/>
  <c r="I94" i="25"/>
  <c r="H94" i="25"/>
  <c r="I92" i="25"/>
  <c r="H92" i="25"/>
  <c r="I91" i="25"/>
  <c r="H91" i="25"/>
  <c r="I90" i="25"/>
  <c r="H90" i="25"/>
  <c r="I89" i="25"/>
  <c r="H89" i="25"/>
  <c r="I88" i="25"/>
  <c r="H88" i="25"/>
  <c r="I87" i="25"/>
  <c r="H87" i="25"/>
  <c r="I86" i="25"/>
  <c r="H86" i="25"/>
  <c r="I85" i="25"/>
  <c r="H85" i="25"/>
  <c r="I84" i="25"/>
  <c r="H84" i="25"/>
  <c r="I83" i="25"/>
  <c r="H83" i="25"/>
  <c r="I82" i="25"/>
  <c r="H82" i="25"/>
  <c r="G78" i="25"/>
  <c r="H103" i="25" s="1"/>
  <c r="I103" i="25" s="1"/>
  <c r="H64" i="25"/>
  <c r="I64" i="25" s="1"/>
  <c r="H63" i="25"/>
  <c r="F63" i="25"/>
  <c r="H62" i="25"/>
  <c r="I62" i="25" s="1"/>
  <c r="F58" i="25"/>
  <c r="H58" i="25" s="1"/>
  <c r="I58" i="25" s="1"/>
  <c r="H57" i="25"/>
  <c r="I57" i="25" s="1"/>
  <c r="F57" i="25"/>
  <c r="F56" i="25"/>
  <c r="H56" i="25" s="1"/>
  <c r="I56" i="25" s="1"/>
  <c r="H55" i="25"/>
  <c r="I55" i="25" s="1"/>
  <c r="F55" i="25"/>
  <c r="F54" i="25"/>
  <c r="H54" i="25" s="1"/>
  <c r="I54" i="25" s="1"/>
  <c r="A54" i="25"/>
  <c r="F53" i="25"/>
  <c r="H53" i="25" s="1"/>
  <c r="I53" i="25" s="1"/>
  <c r="H52" i="25"/>
  <c r="I52" i="25" s="1"/>
  <c r="F52" i="25"/>
  <c r="F51" i="25"/>
  <c r="H51" i="25" s="1"/>
  <c r="I51" i="25" s="1"/>
  <c r="H50" i="25"/>
  <c r="I50" i="25" s="1"/>
  <c r="F50" i="25"/>
  <c r="F49" i="25"/>
  <c r="H49" i="25" s="1"/>
  <c r="I49" i="25" s="1"/>
  <c r="H48" i="25"/>
  <c r="I48" i="25" s="1"/>
  <c r="F48" i="25"/>
  <c r="F47" i="25"/>
  <c r="H47" i="25" s="1"/>
  <c r="I47" i="25" s="1"/>
  <c r="H46" i="25"/>
  <c r="I46" i="25" s="1"/>
  <c r="F46" i="25"/>
  <c r="F45" i="25"/>
  <c r="H45" i="25" s="1"/>
  <c r="F44" i="25"/>
  <c r="H44" i="25" s="1"/>
  <c r="I44" i="25" s="1"/>
  <c r="H43" i="25"/>
  <c r="F43" i="25"/>
  <c r="H42" i="25"/>
  <c r="I42" i="25" s="1"/>
  <c r="F42" i="25"/>
  <c r="H33" i="25"/>
  <c r="I33" i="25" s="1"/>
  <c r="S33" i="25" s="1"/>
  <c r="F33" i="25"/>
  <c r="H32" i="25"/>
  <c r="I32" i="25" s="1"/>
  <c r="S32" i="25" s="1"/>
  <c r="I31" i="25"/>
  <c r="S31" i="25" s="1"/>
  <c r="H31" i="25"/>
  <c r="H30" i="25"/>
  <c r="I30" i="25" s="1"/>
  <c r="S30" i="25" s="1"/>
  <c r="I29" i="25"/>
  <c r="S29" i="25" s="1"/>
  <c r="H29" i="25"/>
  <c r="H28" i="25"/>
  <c r="I28" i="25" s="1"/>
  <c r="O28" i="25" s="1"/>
  <c r="M27" i="25"/>
  <c r="I27" i="25"/>
  <c r="H27" i="25"/>
  <c r="H26" i="25"/>
  <c r="I26" i="25" s="1"/>
  <c r="O26" i="25" s="1"/>
  <c r="I25" i="25"/>
  <c r="R25" i="25" s="1"/>
  <c r="H25" i="25"/>
  <c r="H24" i="25"/>
  <c r="I24" i="25" s="1"/>
  <c r="R24" i="25" s="1"/>
  <c r="I23" i="25"/>
  <c r="N23" i="25" s="1"/>
  <c r="H23" i="25"/>
  <c r="N22" i="25"/>
  <c r="I22" i="25"/>
  <c r="H21" i="25"/>
  <c r="A21" i="25"/>
  <c r="I21" i="25" s="1"/>
  <c r="O21" i="25" s="1"/>
  <c r="H20" i="25"/>
  <c r="I20" i="25" s="1"/>
  <c r="O20" i="25" s="1"/>
  <c r="F19" i="25"/>
  <c r="H19" i="25" s="1"/>
  <c r="H18" i="25"/>
  <c r="F18" i="25"/>
  <c r="A18" i="25"/>
  <c r="A19" i="25" s="1"/>
  <c r="I17" i="25"/>
  <c r="R17" i="25" s="1"/>
  <c r="H17" i="25"/>
  <c r="H16" i="25"/>
  <c r="I16" i="25" s="1"/>
  <c r="R16" i="25" s="1"/>
  <c r="I15" i="25"/>
  <c r="R15" i="25" s="1"/>
  <c r="H15" i="25"/>
  <c r="H14" i="25"/>
  <c r="I14" i="25" s="1"/>
  <c r="R14" i="25" s="1"/>
  <c r="I13" i="25"/>
  <c r="R13" i="25" s="1"/>
  <c r="H13" i="25"/>
  <c r="H11" i="25"/>
  <c r="A11" i="25"/>
  <c r="I11" i="25" s="1"/>
  <c r="M11" i="25" s="1"/>
  <c r="H10" i="25"/>
  <c r="I10" i="25" s="1"/>
  <c r="M10" i="25" s="1"/>
  <c r="F10" i="25"/>
  <c r="I9" i="25"/>
  <c r="M9" i="25" s="1"/>
  <c r="H9" i="25"/>
  <c r="J8" i="25"/>
  <c r="I8" i="25"/>
  <c r="M8" i="25" s="1"/>
  <c r="H8" i="25"/>
  <c r="A8" i="25"/>
  <c r="J7" i="25"/>
  <c r="H7" i="25"/>
  <c r="I7" i="25" s="1"/>
  <c r="M7" i="25" s="1"/>
  <c r="A7" i="25"/>
  <c r="J6" i="25"/>
  <c r="H6" i="25"/>
  <c r="A6" i="25"/>
  <c r="A43" i="25" s="1"/>
  <c r="H5" i="25"/>
  <c r="I5" i="25" s="1"/>
  <c r="J4" i="25"/>
  <c r="H4" i="25"/>
  <c r="I4" i="25" s="1"/>
  <c r="F4" i="25"/>
  <c r="L1" i="25"/>
  <c r="F172" i="24"/>
  <c r="H172" i="24" s="1"/>
  <c r="I172" i="24" s="1"/>
  <c r="H171" i="24"/>
  <c r="I171" i="24" s="1"/>
  <c r="F171" i="24"/>
  <c r="I170" i="24"/>
  <c r="H170" i="24"/>
  <c r="I169" i="24"/>
  <c r="H169" i="24"/>
  <c r="I168" i="24"/>
  <c r="I174" i="24" s="1"/>
  <c r="H168" i="24"/>
  <c r="H163" i="24"/>
  <c r="I163" i="24" s="1"/>
  <c r="H162" i="24"/>
  <c r="I162" i="24" s="1"/>
  <c r="H161" i="24"/>
  <c r="I161" i="24" s="1"/>
  <c r="H160" i="24"/>
  <c r="I160" i="24" s="1"/>
  <c r="H159" i="24"/>
  <c r="I159" i="24" s="1"/>
  <c r="H158" i="24"/>
  <c r="I158" i="24" s="1"/>
  <c r="H157" i="24"/>
  <c r="I157" i="24" s="1"/>
  <c r="I165" i="24" s="1"/>
  <c r="I148" i="24"/>
  <c r="I153" i="24" s="1"/>
  <c r="H148" i="24"/>
  <c r="H140" i="24"/>
  <c r="F139" i="24"/>
  <c r="H139" i="24" s="1"/>
  <c r="H138" i="24"/>
  <c r="H137" i="24"/>
  <c r="H136" i="24"/>
  <c r="H135" i="24"/>
  <c r="H134" i="24"/>
  <c r="H133" i="24"/>
  <c r="H132" i="24"/>
  <c r="H131" i="24"/>
  <c r="H124" i="24"/>
  <c r="I124" i="24" s="1"/>
  <c r="H122" i="24"/>
  <c r="I122" i="24" s="1"/>
  <c r="H119" i="24"/>
  <c r="I119" i="24" s="1"/>
  <c r="H118" i="24"/>
  <c r="I118" i="24" s="1"/>
  <c r="H117" i="24"/>
  <c r="I117" i="24" s="1"/>
  <c r="H115" i="24"/>
  <c r="I115" i="24" s="1"/>
  <c r="H114" i="24"/>
  <c r="I114" i="24" s="1"/>
  <c r="H113" i="24"/>
  <c r="I113" i="24" s="1"/>
  <c r="H112" i="24"/>
  <c r="I112" i="24" s="1"/>
  <c r="H111" i="24"/>
  <c r="I111" i="24" s="1"/>
  <c r="H110" i="24"/>
  <c r="I110" i="24" s="1"/>
  <c r="H109" i="24"/>
  <c r="I109" i="24" s="1"/>
  <c r="H108" i="24"/>
  <c r="I108" i="24" s="1"/>
  <c r="H107" i="24"/>
  <c r="I107" i="24" s="1"/>
  <c r="H106" i="24"/>
  <c r="I106" i="24" s="1"/>
  <c r="H105" i="24"/>
  <c r="I105" i="24" s="1"/>
  <c r="H104" i="24"/>
  <c r="I104" i="24" s="1"/>
  <c r="H103" i="24"/>
  <c r="I103" i="24" s="1"/>
  <c r="H99" i="24"/>
  <c r="I99" i="24" s="1"/>
  <c r="H96" i="24"/>
  <c r="I96" i="24" s="1"/>
  <c r="H95" i="24"/>
  <c r="I95" i="24" s="1"/>
  <c r="H94" i="24"/>
  <c r="I94" i="24" s="1"/>
  <c r="H92" i="24"/>
  <c r="I92" i="24" s="1"/>
  <c r="H91" i="24"/>
  <c r="I91" i="24" s="1"/>
  <c r="H90" i="24"/>
  <c r="I90" i="24" s="1"/>
  <c r="H89" i="24"/>
  <c r="I89" i="24" s="1"/>
  <c r="H88" i="24"/>
  <c r="I88" i="24" s="1"/>
  <c r="H87" i="24"/>
  <c r="I87" i="24" s="1"/>
  <c r="H86" i="24"/>
  <c r="I86" i="24" s="1"/>
  <c r="H85" i="24"/>
  <c r="I85" i="24" s="1"/>
  <c r="H84" i="24"/>
  <c r="I84" i="24" s="1"/>
  <c r="H83" i="24"/>
  <c r="I83" i="24" s="1"/>
  <c r="H82" i="24"/>
  <c r="I82" i="24" s="1"/>
  <c r="H81" i="24"/>
  <c r="I81" i="24" s="1"/>
  <c r="G78" i="24"/>
  <c r="I64" i="24"/>
  <c r="H64" i="24"/>
  <c r="F63" i="24"/>
  <c r="H63" i="24" s="1"/>
  <c r="I62" i="24"/>
  <c r="H62" i="24"/>
  <c r="H58" i="24"/>
  <c r="I58" i="24" s="1"/>
  <c r="F58" i="24"/>
  <c r="F57" i="24"/>
  <c r="H57" i="24" s="1"/>
  <c r="I57" i="24" s="1"/>
  <c r="H56" i="24"/>
  <c r="I56" i="24" s="1"/>
  <c r="F56" i="24"/>
  <c r="F55" i="24"/>
  <c r="H55" i="24" s="1"/>
  <c r="I55" i="24" s="1"/>
  <c r="H54" i="24"/>
  <c r="F54" i="24"/>
  <c r="A54" i="24"/>
  <c r="I54" i="24" s="1"/>
  <c r="H53" i="24"/>
  <c r="I53" i="24" s="1"/>
  <c r="F53" i="24"/>
  <c r="F52" i="24"/>
  <c r="H52" i="24" s="1"/>
  <c r="I52" i="24" s="1"/>
  <c r="H51" i="24"/>
  <c r="I51" i="24" s="1"/>
  <c r="F51" i="24"/>
  <c r="F50" i="24"/>
  <c r="H50" i="24" s="1"/>
  <c r="I50" i="24" s="1"/>
  <c r="H49" i="24"/>
  <c r="I49" i="24" s="1"/>
  <c r="F49" i="24"/>
  <c r="F48" i="24"/>
  <c r="H48" i="24" s="1"/>
  <c r="I48" i="24" s="1"/>
  <c r="H47" i="24"/>
  <c r="I47" i="24" s="1"/>
  <c r="F47" i="24"/>
  <c r="F46" i="24"/>
  <c r="H46" i="24" s="1"/>
  <c r="I46" i="24" s="1"/>
  <c r="H45" i="24"/>
  <c r="F45" i="24"/>
  <c r="H44" i="24"/>
  <c r="I44" i="24" s="1"/>
  <c r="F44" i="24"/>
  <c r="F43" i="24"/>
  <c r="H43" i="24" s="1"/>
  <c r="F42" i="24"/>
  <c r="H42" i="24" s="1"/>
  <c r="I42" i="24" s="1"/>
  <c r="F33" i="24"/>
  <c r="H33" i="24" s="1"/>
  <c r="I33" i="24" s="1"/>
  <c r="S33" i="24" s="1"/>
  <c r="I32" i="24"/>
  <c r="S32" i="24" s="1"/>
  <c r="H32" i="24"/>
  <c r="H31" i="24"/>
  <c r="I31" i="24" s="1"/>
  <c r="S31" i="24" s="1"/>
  <c r="I30" i="24"/>
  <c r="S30" i="24" s="1"/>
  <c r="H30" i="24"/>
  <c r="H29" i="24"/>
  <c r="I29" i="24" s="1"/>
  <c r="S29" i="24" s="1"/>
  <c r="I28" i="24"/>
  <c r="O28" i="24" s="1"/>
  <c r="H28" i="24"/>
  <c r="M27" i="24"/>
  <c r="H27" i="24"/>
  <c r="I27" i="24" s="1"/>
  <c r="I26" i="24"/>
  <c r="O26" i="24" s="1"/>
  <c r="H26" i="24"/>
  <c r="H25" i="24"/>
  <c r="I25" i="24" s="1"/>
  <c r="R25" i="24" s="1"/>
  <c r="I24" i="24"/>
  <c r="R24" i="24" s="1"/>
  <c r="H24" i="24"/>
  <c r="H23" i="24"/>
  <c r="I23" i="24" s="1"/>
  <c r="R23" i="24" s="1"/>
  <c r="I22" i="24"/>
  <c r="N22" i="24" s="1"/>
  <c r="N36" i="24" s="1"/>
  <c r="N38" i="24" s="1"/>
  <c r="H21" i="24"/>
  <c r="A21" i="24"/>
  <c r="I21" i="24" s="1"/>
  <c r="O21" i="24" s="1"/>
  <c r="I20" i="24"/>
  <c r="O20" i="24" s="1"/>
  <c r="H20" i="24"/>
  <c r="H19" i="24"/>
  <c r="F19" i="24"/>
  <c r="A19" i="24"/>
  <c r="I19" i="24" s="1"/>
  <c r="O19" i="24" s="1"/>
  <c r="F18" i="24"/>
  <c r="H18" i="24" s="1"/>
  <c r="I18" i="24" s="1"/>
  <c r="O18" i="24" s="1"/>
  <c r="A18" i="24"/>
  <c r="H17" i="24"/>
  <c r="I17" i="24" s="1"/>
  <c r="R17" i="24" s="1"/>
  <c r="I16" i="24"/>
  <c r="R16" i="24" s="1"/>
  <c r="H16" i="24"/>
  <c r="H15" i="24"/>
  <c r="I15" i="24" s="1"/>
  <c r="R15" i="24" s="1"/>
  <c r="I14" i="24"/>
  <c r="R14" i="24" s="1"/>
  <c r="H14" i="24"/>
  <c r="H13" i="24"/>
  <c r="I13" i="24" s="1"/>
  <c r="R13" i="24" s="1"/>
  <c r="H11" i="24"/>
  <c r="A11" i="24"/>
  <c r="I11" i="24" s="1"/>
  <c r="M11" i="24" s="1"/>
  <c r="F10" i="24"/>
  <c r="H10" i="24" s="1"/>
  <c r="I10" i="24" s="1"/>
  <c r="M10" i="24" s="1"/>
  <c r="H9" i="24"/>
  <c r="I9" i="24" s="1"/>
  <c r="J8" i="24"/>
  <c r="H8" i="24"/>
  <c r="J7" i="24"/>
  <c r="I7" i="24"/>
  <c r="M7" i="24" s="1"/>
  <c r="H7" i="24"/>
  <c r="A7" i="24"/>
  <c r="A8" i="24" s="1"/>
  <c r="I8" i="24" s="1"/>
  <c r="M8" i="24" s="1"/>
  <c r="J6" i="24"/>
  <c r="H6" i="24"/>
  <c r="A6" i="24"/>
  <c r="I6" i="24" s="1"/>
  <c r="M6" i="24" s="1"/>
  <c r="I5" i="24"/>
  <c r="H5" i="24"/>
  <c r="F4" i="24"/>
  <c r="H4" i="24" s="1"/>
  <c r="I4" i="24" s="1"/>
  <c r="L1" i="24"/>
  <c r="H172" i="23"/>
  <c r="I172" i="23" s="1"/>
  <c r="F172" i="23"/>
  <c r="F171" i="23"/>
  <c r="H171" i="23" s="1"/>
  <c r="I171" i="23" s="1"/>
  <c r="H170" i="23"/>
  <c r="I170" i="23" s="1"/>
  <c r="H169" i="23"/>
  <c r="I169" i="23" s="1"/>
  <c r="H168" i="23"/>
  <c r="I168" i="23" s="1"/>
  <c r="I174" i="23" s="1"/>
  <c r="I163" i="23"/>
  <c r="H163" i="23"/>
  <c r="I162" i="23"/>
  <c r="H162" i="23"/>
  <c r="I161" i="23"/>
  <c r="H161" i="23"/>
  <c r="I160" i="23"/>
  <c r="H160" i="23"/>
  <c r="I159" i="23"/>
  <c r="H159" i="23"/>
  <c r="I158" i="23"/>
  <c r="H158" i="23"/>
  <c r="I157" i="23"/>
  <c r="I165" i="23" s="1"/>
  <c r="H157" i="23"/>
  <c r="A148" i="23"/>
  <c r="H148" i="23" s="1"/>
  <c r="I148" i="23" s="1"/>
  <c r="H140" i="23"/>
  <c r="H139" i="23"/>
  <c r="F139" i="23"/>
  <c r="H138" i="23"/>
  <c r="H137" i="23"/>
  <c r="H136" i="23"/>
  <c r="H135" i="23"/>
  <c r="H134" i="23"/>
  <c r="H133" i="23"/>
  <c r="H132" i="23"/>
  <c r="H131" i="23"/>
  <c r="Q126" i="23"/>
  <c r="I125" i="23"/>
  <c r="H125" i="23"/>
  <c r="I123" i="23"/>
  <c r="H123" i="23"/>
  <c r="I120" i="23"/>
  <c r="H120" i="23"/>
  <c r="I119" i="23"/>
  <c r="H119" i="23"/>
  <c r="I118" i="23"/>
  <c r="H118" i="23"/>
  <c r="I116" i="23"/>
  <c r="H116" i="23"/>
  <c r="I115" i="23"/>
  <c r="H115" i="23"/>
  <c r="I114" i="23"/>
  <c r="H114" i="23"/>
  <c r="I113" i="23"/>
  <c r="H113" i="23"/>
  <c r="I112" i="23"/>
  <c r="H112" i="23"/>
  <c r="I111" i="23"/>
  <c r="H111" i="23"/>
  <c r="I110" i="23"/>
  <c r="H110" i="23"/>
  <c r="I109" i="23"/>
  <c r="H109" i="23"/>
  <c r="I108" i="23"/>
  <c r="H108" i="23"/>
  <c r="I107" i="23"/>
  <c r="H107" i="23"/>
  <c r="I106" i="23"/>
  <c r="H106" i="23"/>
  <c r="I100" i="23"/>
  <c r="H100" i="23"/>
  <c r="I97" i="23"/>
  <c r="H97" i="23"/>
  <c r="I96" i="23"/>
  <c r="H96" i="23"/>
  <c r="I95" i="23"/>
  <c r="H95" i="23"/>
  <c r="I93" i="23"/>
  <c r="H93" i="23"/>
  <c r="I92" i="23"/>
  <c r="H92" i="23"/>
  <c r="I91" i="23"/>
  <c r="H91" i="23"/>
  <c r="I90" i="23"/>
  <c r="H90" i="23"/>
  <c r="I89" i="23"/>
  <c r="H89" i="23"/>
  <c r="I88" i="23"/>
  <c r="H88" i="23"/>
  <c r="I87" i="23"/>
  <c r="H87" i="23"/>
  <c r="I86" i="23"/>
  <c r="H86" i="23"/>
  <c r="I85" i="23"/>
  <c r="H85" i="23"/>
  <c r="I84" i="23"/>
  <c r="H84" i="23"/>
  <c r="I83" i="23"/>
  <c r="H83" i="23"/>
  <c r="I82" i="23"/>
  <c r="H82" i="23"/>
  <c r="G79" i="23"/>
  <c r="H104" i="23" s="1"/>
  <c r="I104" i="23" s="1"/>
  <c r="H62" i="23"/>
  <c r="I62" i="23" s="1"/>
  <c r="H61" i="23"/>
  <c r="F61" i="23"/>
  <c r="H60" i="23"/>
  <c r="I60" i="23" s="1"/>
  <c r="F56" i="23"/>
  <c r="H56" i="23" s="1"/>
  <c r="I56" i="23" s="1"/>
  <c r="H55" i="23"/>
  <c r="I55" i="23" s="1"/>
  <c r="F55" i="23"/>
  <c r="F54" i="23"/>
  <c r="H54" i="23" s="1"/>
  <c r="I54" i="23" s="1"/>
  <c r="H53" i="23"/>
  <c r="I53" i="23" s="1"/>
  <c r="F53" i="23"/>
  <c r="F52" i="23"/>
  <c r="H52" i="23" s="1"/>
  <c r="I52" i="23" s="1"/>
  <c r="A52" i="23"/>
  <c r="F51" i="23"/>
  <c r="H51" i="23" s="1"/>
  <c r="I51" i="23" s="1"/>
  <c r="H50" i="23"/>
  <c r="I50" i="23" s="1"/>
  <c r="F50" i="23"/>
  <c r="F49" i="23"/>
  <c r="H49" i="23" s="1"/>
  <c r="I49" i="23" s="1"/>
  <c r="H48" i="23"/>
  <c r="I48" i="23" s="1"/>
  <c r="F48" i="23"/>
  <c r="F47" i="23"/>
  <c r="H47" i="23" s="1"/>
  <c r="I47" i="23" s="1"/>
  <c r="H46" i="23"/>
  <c r="I46" i="23" s="1"/>
  <c r="F46" i="23"/>
  <c r="F45" i="23"/>
  <c r="H45" i="23" s="1"/>
  <c r="I45" i="23" s="1"/>
  <c r="H44" i="23"/>
  <c r="I44" i="23" s="1"/>
  <c r="F44" i="23"/>
  <c r="F43" i="23"/>
  <c r="H43" i="23" s="1"/>
  <c r="F42" i="23"/>
  <c r="H42" i="23" s="1"/>
  <c r="I42" i="23" s="1"/>
  <c r="H41" i="23"/>
  <c r="F41" i="23"/>
  <c r="H40" i="23"/>
  <c r="I40" i="23" s="1"/>
  <c r="F40" i="23"/>
  <c r="Q36" i="23"/>
  <c r="H31" i="23"/>
  <c r="I31" i="23" s="1"/>
  <c r="S31" i="23" s="1"/>
  <c r="F31" i="23"/>
  <c r="H30" i="23"/>
  <c r="I30" i="23" s="1"/>
  <c r="S30" i="23" s="1"/>
  <c r="I29" i="23"/>
  <c r="S29" i="23" s="1"/>
  <c r="H29" i="23"/>
  <c r="H28" i="23"/>
  <c r="I28" i="23" s="1"/>
  <c r="S28" i="23" s="1"/>
  <c r="I27" i="23"/>
  <c r="S27" i="23" s="1"/>
  <c r="H27" i="23"/>
  <c r="H26" i="23"/>
  <c r="I26" i="23" s="1"/>
  <c r="O26" i="23" s="1"/>
  <c r="M25" i="23"/>
  <c r="I25" i="23"/>
  <c r="H25" i="23"/>
  <c r="H24" i="23"/>
  <c r="I24" i="23" s="1"/>
  <c r="O24" i="23" s="1"/>
  <c r="I23" i="23"/>
  <c r="R23" i="23" s="1"/>
  <c r="H23" i="23"/>
  <c r="H22" i="23"/>
  <c r="I22" i="23" s="1"/>
  <c r="R22" i="23" s="1"/>
  <c r="I21" i="23"/>
  <c r="R21" i="23" s="1"/>
  <c r="H21" i="23"/>
  <c r="H20" i="23"/>
  <c r="I20" i="23" s="1"/>
  <c r="N20" i="23" s="1"/>
  <c r="I19" i="23"/>
  <c r="N19" i="23" s="1"/>
  <c r="H19" i="23"/>
  <c r="H18" i="23"/>
  <c r="I18" i="23" s="1"/>
  <c r="N18" i="23" s="1"/>
  <c r="I17" i="23"/>
  <c r="N17" i="23" s="1"/>
  <c r="N34" i="23" s="1"/>
  <c r="N36" i="23" s="1"/>
  <c r="H16" i="23"/>
  <c r="I15" i="23"/>
  <c r="O15" i="23" s="1"/>
  <c r="H15" i="23"/>
  <c r="A15" i="23"/>
  <c r="A16" i="23" s="1"/>
  <c r="I16" i="23" s="1"/>
  <c r="O16" i="23" s="1"/>
  <c r="F14" i="23"/>
  <c r="H14" i="23" s="1"/>
  <c r="H13" i="23"/>
  <c r="F13" i="23"/>
  <c r="A13" i="23"/>
  <c r="I13" i="23" s="1"/>
  <c r="O13" i="23" s="1"/>
  <c r="I12" i="23"/>
  <c r="R12" i="23" s="1"/>
  <c r="H12" i="23"/>
  <c r="H11" i="23"/>
  <c r="I11" i="23" s="1"/>
  <c r="R11" i="23" s="1"/>
  <c r="I10" i="23"/>
  <c r="R10" i="23" s="1"/>
  <c r="H10" i="23"/>
  <c r="H9" i="23"/>
  <c r="I9" i="23" s="1"/>
  <c r="R9" i="23" s="1"/>
  <c r="I8" i="23"/>
  <c r="R8" i="23" s="1"/>
  <c r="H8" i="23"/>
  <c r="H7" i="23"/>
  <c r="I7" i="23" s="1"/>
  <c r="R7" i="23" s="1"/>
  <c r="A6" i="23"/>
  <c r="A41" i="23" s="1"/>
  <c r="H5" i="23"/>
  <c r="I5" i="23" s="1"/>
  <c r="J4" i="23"/>
  <c r="H4" i="23"/>
  <c r="I4" i="23" s="1"/>
  <c r="L1" i="23"/>
  <c r="H177" i="22"/>
  <c r="I177" i="22" s="1"/>
  <c r="F177" i="22"/>
  <c r="F176" i="22"/>
  <c r="H176" i="22" s="1"/>
  <c r="I176" i="22" s="1"/>
  <c r="H175" i="22"/>
  <c r="I175" i="22" s="1"/>
  <c r="I179" i="22" s="1"/>
  <c r="H170" i="22"/>
  <c r="H169" i="22"/>
  <c r="F168" i="22"/>
  <c r="H168" i="22" s="1"/>
  <c r="I168" i="22" s="1"/>
  <c r="A168" i="22"/>
  <c r="A169" i="22" s="1"/>
  <c r="F167" i="22"/>
  <c r="H167" i="22" s="1"/>
  <c r="H166" i="22"/>
  <c r="H165" i="22"/>
  <c r="F165" i="22"/>
  <c r="A165" i="22"/>
  <c r="A166" i="22" s="1"/>
  <c r="H164" i="22"/>
  <c r="I164" i="22" s="1"/>
  <c r="A164" i="22"/>
  <c r="F161" i="22"/>
  <c r="H161" i="22" s="1"/>
  <c r="I161" i="22" s="1"/>
  <c r="H160" i="22"/>
  <c r="I160" i="22" s="1"/>
  <c r="H159" i="22"/>
  <c r="I159" i="22" s="1"/>
  <c r="H158" i="22"/>
  <c r="I158" i="22" s="1"/>
  <c r="H157" i="22"/>
  <c r="I157" i="22" s="1"/>
  <c r="H156" i="22"/>
  <c r="I156" i="22" s="1"/>
  <c r="H155" i="22"/>
  <c r="I155" i="22" s="1"/>
  <c r="H154" i="22"/>
  <c r="I154" i="22" s="1"/>
  <c r="I150" i="22"/>
  <c r="H140" i="22"/>
  <c r="F139" i="22"/>
  <c r="H139" i="22" s="1"/>
  <c r="H138" i="22"/>
  <c r="H137" i="22"/>
  <c r="H136" i="22"/>
  <c r="H135" i="22"/>
  <c r="H134" i="22"/>
  <c r="H133" i="22"/>
  <c r="H132" i="22"/>
  <c r="H131" i="22"/>
  <c r="H124" i="22"/>
  <c r="I124" i="22" s="1"/>
  <c r="H122" i="22"/>
  <c r="I122" i="22" s="1"/>
  <c r="H119" i="22"/>
  <c r="I119" i="22" s="1"/>
  <c r="H118" i="22"/>
  <c r="I118" i="22" s="1"/>
  <c r="H117" i="22"/>
  <c r="I117" i="22" s="1"/>
  <c r="H115" i="22"/>
  <c r="I115" i="22" s="1"/>
  <c r="H114" i="22"/>
  <c r="I114" i="22" s="1"/>
  <c r="H113" i="22"/>
  <c r="I113" i="22" s="1"/>
  <c r="H112" i="22"/>
  <c r="I112" i="22" s="1"/>
  <c r="H111" i="22"/>
  <c r="I111" i="22" s="1"/>
  <c r="H110" i="22"/>
  <c r="I110" i="22" s="1"/>
  <c r="H109" i="22"/>
  <c r="I109" i="22" s="1"/>
  <c r="H108" i="22"/>
  <c r="I108" i="22" s="1"/>
  <c r="H107" i="22"/>
  <c r="I107" i="22" s="1"/>
  <c r="H106" i="22"/>
  <c r="I106" i="22" s="1"/>
  <c r="H105" i="22"/>
  <c r="I105" i="22" s="1"/>
  <c r="H104" i="22"/>
  <c r="I104" i="22" s="1"/>
  <c r="H103" i="22"/>
  <c r="I103" i="22" s="1"/>
  <c r="H99" i="22"/>
  <c r="I99" i="22" s="1"/>
  <c r="H96" i="22"/>
  <c r="I96" i="22" s="1"/>
  <c r="H95" i="22"/>
  <c r="I95" i="22" s="1"/>
  <c r="H94" i="22"/>
  <c r="I94" i="22" s="1"/>
  <c r="H92" i="22"/>
  <c r="I92" i="22" s="1"/>
  <c r="H91" i="22"/>
  <c r="I91" i="22" s="1"/>
  <c r="H90" i="22"/>
  <c r="I90" i="22" s="1"/>
  <c r="H89" i="22"/>
  <c r="I89" i="22" s="1"/>
  <c r="H88" i="22"/>
  <c r="I88" i="22" s="1"/>
  <c r="H87" i="22"/>
  <c r="I87" i="22" s="1"/>
  <c r="H86" i="22"/>
  <c r="I86" i="22" s="1"/>
  <c r="H85" i="22"/>
  <c r="I85" i="22" s="1"/>
  <c r="H84" i="22"/>
  <c r="I84" i="22" s="1"/>
  <c r="H83" i="22"/>
  <c r="I83" i="22" s="1"/>
  <c r="H82" i="22"/>
  <c r="I82" i="22" s="1"/>
  <c r="H81" i="22"/>
  <c r="I81" i="22" s="1"/>
  <c r="I126" i="22" s="1"/>
  <c r="Q126" i="22" s="1"/>
  <c r="Q37" i="22" s="1"/>
  <c r="G78" i="22"/>
  <c r="I63" i="22"/>
  <c r="H62" i="22"/>
  <c r="F62" i="22"/>
  <c r="H61" i="22"/>
  <c r="I61" i="22" s="1"/>
  <c r="I57" i="22"/>
  <c r="F57" i="22"/>
  <c r="H57" i="22" s="1"/>
  <c r="A57" i="22"/>
  <c r="F56" i="22"/>
  <c r="H56" i="22" s="1"/>
  <c r="I56" i="22" s="1"/>
  <c r="H55" i="22"/>
  <c r="I55" i="22" s="1"/>
  <c r="F55" i="22"/>
  <c r="F54" i="22"/>
  <c r="H54" i="22" s="1"/>
  <c r="I54" i="22" s="1"/>
  <c r="A54" i="22"/>
  <c r="I53" i="22"/>
  <c r="F53" i="22"/>
  <c r="H53" i="22" s="1"/>
  <c r="A53" i="22"/>
  <c r="F52" i="22"/>
  <c r="H52" i="22" s="1"/>
  <c r="I52" i="22" s="1"/>
  <c r="H51" i="22"/>
  <c r="I51" i="22" s="1"/>
  <c r="F51" i="22"/>
  <c r="F50" i="22"/>
  <c r="H50" i="22" s="1"/>
  <c r="I50" i="22" s="1"/>
  <c r="H49" i="22"/>
  <c r="I49" i="22" s="1"/>
  <c r="F49" i="22"/>
  <c r="F48" i="22"/>
  <c r="H48" i="22" s="1"/>
  <c r="I48" i="22" s="1"/>
  <c r="H47" i="22"/>
  <c r="I47" i="22" s="1"/>
  <c r="F47" i="22"/>
  <c r="F46" i="22"/>
  <c r="H46" i="22" s="1"/>
  <c r="I46" i="22" s="1"/>
  <c r="H45" i="22"/>
  <c r="I45" i="22" s="1"/>
  <c r="F45" i="22"/>
  <c r="F44" i="22"/>
  <c r="H44" i="22" s="1"/>
  <c r="F43" i="22"/>
  <c r="H43" i="22" s="1"/>
  <c r="I43" i="22" s="1"/>
  <c r="H42" i="22"/>
  <c r="F42" i="22"/>
  <c r="A42" i="22"/>
  <c r="H41" i="22"/>
  <c r="I41" i="22" s="1"/>
  <c r="F41" i="22"/>
  <c r="H32" i="22"/>
  <c r="I32" i="22" s="1"/>
  <c r="S32" i="22" s="1"/>
  <c r="F32" i="22"/>
  <c r="S31" i="22"/>
  <c r="H31" i="22"/>
  <c r="I31" i="22" s="1"/>
  <c r="I30" i="22"/>
  <c r="S30" i="22" s="1"/>
  <c r="H30" i="22"/>
  <c r="S29" i="22"/>
  <c r="H29" i="22"/>
  <c r="I29" i="22" s="1"/>
  <c r="I28" i="22"/>
  <c r="S28" i="22" s="1"/>
  <c r="S35" i="22" s="1"/>
  <c r="S37" i="22" s="1"/>
  <c r="H28" i="22"/>
  <c r="O27" i="22"/>
  <c r="H27" i="22"/>
  <c r="I27" i="22" s="1"/>
  <c r="M26" i="22"/>
  <c r="I26" i="22"/>
  <c r="H26" i="22"/>
  <c r="H25" i="22"/>
  <c r="I25" i="22" s="1"/>
  <c r="O25" i="22" s="1"/>
  <c r="I24" i="22"/>
  <c r="R24" i="22" s="1"/>
  <c r="H24" i="22"/>
  <c r="H23" i="22"/>
  <c r="I23" i="22" s="1"/>
  <c r="R23" i="22" s="1"/>
  <c r="I22" i="22"/>
  <c r="R22" i="22" s="1"/>
  <c r="H22" i="22"/>
  <c r="H21" i="22"/>
  <c r="I21" i="22" s="1"/>
  <c r="N21" i="22" s="1"/>
  <c r="I20" i="22"/>
  <c r="N20" i="22" s="1"/>
  <c r="H20" i="22"/>
  <c r="H19" i="22"/>
  <c r="I19" i="22" s="1"/>
  <c r="N19" i="22" s="1"/>
  <c r="I18" i="22"/>
  <c r="N18" i="22" s="1"/>
  <c r="H18" i="22"/>
  <c r="H17" i="22"/>
  <c r="I17" i="22" s="1"/>
  <c r="O17" i="22" s="1"/>
  <c r="H16" i="22"/>
  <c r="H15" i="22"/>
  <c r="A15" i="22"/>
  <c r="A16" i="22" s="1"/>
  <c r="I16" i="22" s="1"/>
  <c r="O16" i="22" s="1"/>
  <c r="I14" i="22"/>
  <c r="O14" i="22" s="1"/>
  <c r="H14" i="22"/>
  <c r="H13" i="22"/>
  <c r="I13" i="22" s="1"/>
  <c r="O13" i="22" s="1"/>
  <c r="I12" i="22"/>
  <c r="R12" i="22" s="1"/>
  <c r="H12" i="22"/>
  <c r="A12" i="22"/>
  <c r="I11" i="22"/>
  <c r="R11" i="22" s="1"/>
  <c r="H11" i="22"/>
  <c r="R10" i="22"/>
  <c r="H10" i="22"/>
  <c r="I10" i="22" s="1"/>
  <c r="I9" i="22"/>
  <c r="R9" i="22" s="1"/>
  <c r="H9" i="22"/>
  <c r="R8" i="22"/>
  <c r="H8" i="22"/>
  <c r="I8" i="22" s="1"/>
  <c r="I7" i="22"/>
  <c r="R7" i="22" s="1"/>
  <c r="H7" i="22"/>
  <c r="F6" i="22"/>
  <c r="A6" i="22"/>
  <c r="A44" i="22" s="1"/>
  <c r="I44" i="22" s="1"/>
  <c r="I5" i="22"/>
  <c r="H5" i="22"/>
  <c r="F4" i="22"/>
  <c r="F193" i="21"/>
  <c r="H193" i="21" s="1"/>
  <c r="I193" i="21" s="1"/>
  <c r="H192" i="21"/>
  <c r="I192" i="21" s="1"/>
  <c r="F192" i="21"/>
  <c r="I191" i="21"/>
  <c r="H191" i="21"/>
  <c r="H186" i="21"/>
  <c r="H185" i="21"/>
  <c r="H184" i="21"/>
  <c r="F184" i="21"/>
  <c r="A184" i="21"/>
  <c r="I184" i="21" s="1"/>
  <c r="H183" i="21"/>
  <c r="F183" i="21"/>
  <c r="H182" i="21"/>
  <c r="F181" i="21"/>
  <c r="H181" i="21" s="1"/>
  <c r="I181" i="21" s="1"/>
  <c r="A181" i="21"/>
  <c r="A182" i="21" s="1"/>
  <c r="I180" i="21"/>
  <c r="H180" i="21"/>
  <c r="A180" i="21"/>
  <c r="H177" i="21"/>
  <c r="I177" i="21" s="1"/>
  <c r="F177" i="21"/>
  <c r="I176" i="21"/>
  <c r="H176" i="21"/>
  <c r="I175" i="21"/>
  <c r="H175" i="21"/>
  <c r="I174" i="21"/>
  <c r="H174" i="21"/>
  <c r="I173" i="21"/>
  <c r="H173" i="21"/>
  <c r="I172" i="21"/>
  <c r="H172" i="21"/>
  <c r="I171" i="21"/>
  <c r="H171" i="21"/>
  <c r="I170" i="21"/>
  <c r="H170" i="21"/>
  <c r="I166" i="21"/>
  <c r="H156" i="21"/>
  <c r="H155" i="21"/>
  <c r="F155" i="21"/>
  <c r="H154" i="21"/>
  <c r="H153" i="21"/>
  <c r="H152" i="21"/>
  <c r="H151" i="21"/>
  <c r="H150" i="21"/>
  <c r="H149" i="21"/>
  <c r="H148" i="21"/>
  <c r="H147" i="21"/>
  <c r="I140" i="21"/>
  <c r="H140" i="21"/>
  <c r="I138" i="21"/>
  <c r="H138" i="21"/>
  <c r="I135" i="21"/>
  <c r="H135" i="21"/>
  <c r="I134" i="21"/>
  <c r="H134" i="21"/>
  <c r="I133" i="21"/>
  <c r="H133" i="21"/>
  <c r="I131" i="21"/>
  <c r="H131" i="21"/>
  <c r="I130" i="21"/>
  <c r="H130" i="21"/>
  <c r="I129" i="21"/>
  <c r="H129" i="21"/>
  <c r="I128" i="21"/>
  <c r="H128" i="21"/>
  <c r="I127" i="21"/>
  <c r="H127" i="21"/>
  <c r="I126" i="21"/>
  <c r="H126" i="21"/>
  <c r="I125" i="21"/>
  <c r="H125" i="21"/>
  <c r="I124" i="21"/>
  <c r="H124" i="21"/>
  <c r="I123" i="21"/>
  <c r="H123" i="21"/>
  <c r="I122" i="21"/>
  <c r="H122" i="21"/>
  <c r="I121" i="21"/>
  <c r="H121" i="21"/>
  <c r="I115" i="21"/>
  <c r="H115" i="21"/>
  <c r="I112" i="21"/>
  <c r="H112" i="21"/>
  <c r="I111" i="21"/>
  <c r="H111" i="21"/>
  <c r="I110" i="21"/>
  <c r="H110" i="21"/>
  <c r="I108" i="21"/>
  <c r="H108" i="21"/>
  <c r="I107" i="21"/>
  <c r="H107" i="21"/>
  <c r="I106" i="21"/>
  <c r="H106" i="21"/>
  <c r="I105" i="21"/>
  <c r="H105" i="21"/>
  <c r="I104" i="21"/>
  <c r="H104" i="21"/>
  <c r="I103" i="21"/>
  <c r="H103" i="21"/>
  <c r="I102" i="21"/>
  <c r="H102" i="21"/>
  <c r="I101" i="21"/>
  <c r="H101" i="21"/>
  <c r="I100" i="21"/>
  <c r="H100" i="21"/>
  <c r="I99" i="21"/>
  <c r="H99" i="21"/>
  <c r="I98" i="21"/>
  <c r="H98" i="21"/>
  <c r="G94" i="21"/>
  <c r="I79" i="21"/>
  <c r="F78" i="21"/>
  <c r="H78" i="21" s="1"/>
  <c r="I77" i="21"/>
  <c r="H77" i="21"/>
  <c r="H73" i="21"/>
  <c r="F73" i="21"/>
  <c r="A73" i="21"/>
  <c r="H72" i="21"/>
  <c r="F72" i="21"/>
  <c r="A72" i="21"/>
  <c r="H71" i="21"/>
  <c r="F71" i="21"/>
  <c r="A71" i="21"/>
  <c r="I71" i="21" s="1"/>
  <c r="H70" i="21"/>
  <c r="F70" i="21"/>
  <c r="A70" i="21"/>
  <c r="I70" i="21" s="1"/>
  <c r="H69" i="21"/>
  <c r="F69" i="21"/>
  <c r="A69" i="21"/>
  <c r="H68" i="21"/>
  <c r="F68" i="21"/>
  <c r="A68" i="21"/>
  <c r="H67" i="21"/>
  <c r="F67" i="21"/>
  <c r="A67" i="21"/>
  <c r="I67" i="21" s="1"/>
  <c r="H66" i="21"/>
  <c r="F66" i="21"/>
  <c r="B66" i="21"/>
  <c r="A66" i="21" s="1"/>
  <c r="I66" i="21" s="1"/>
  <c r="F65" i="21"/>
  <c r="H65" i="21" s="1"/>
  <c r="I65" i="21" s="1"/>
  <c r="A65" i="21"/>
  <c r="A64" i="21"/>
  <c r="H63" i="21"/>
  <c r="F63" i="21"/>
  <c r="B63" i="21"/>
  <c r="A63" i="21" s="1"/>
  <c r="I62" i="21"/>
  <c r="F62" i="21"/>
  <c r="H62" i="21" s="1"/>
  <c r="B62" i="21"/>
  <c r="A62" i="21"/>
  <c r="H61" i="21"/>
  <c r="F61" i="21"/>
  <c r="B61" i="21"/>
  <c r="A61" i="21" s="1"/>
  <c r="A60" i="21"/>
  <c r="A59" i="21"/>
  <c r="C58" i="21"/>
  <c r="A58" i="21" s="1"/>
  <c r="B58" i="21"/>
  <c r="A56" i="21"/>
  <c r="A55" i="21"/>
  <c r="H54" i="21"/>
  <c r="F54" i="21"/>
  <c r="F53" i="21"/>
  <c r="H53" i="21" s="1"/>
  <c r="H52" i="21"/>
  <c r="F52" i="21"/>
  <c r="A52" i="21"/>
  <c r="F40" i="21"/>
  <c r="H40" i="21" s="1"/>
  <c r="I40" i="21" s="1"/>
  <c r="S40" i="21" s="1"/>
  <c r="I39" i="21"/>
  <c r="S39" i="21" s="1"/>
  <c r="H39" i="21"/>
  <c r="H38" i="21"/>
  <c r="I38" i="21" s="1"/>
  <c r="S38" i="21" s="1"/>
  <c r="I37" i="21"/>
  <c r="S37" i="21" s="1"/>
  <c r="H37" i="21"/>
  <c r="H36" i="21"/>
  <c r="I36" i="21" s="1"/>
  <c r="S36" i="21" s="1"/>
  <c r="S43" i="21" s="1"/>
  <c r="S45" i="21" s="1"/>
  <c r="F35" i="21"/>
  <c r="H35" i="21" s="1"/>
  <c r="I35" i="21" s="1"/>
  <c r="O35" i="21" s="1"/>
  <c r="M34" i="21"/>
  <c r="I34" i="21"/>
  <c r="H34" i="21"/>
  <c r="O33" i="21"/>
  <c r="H33" i="21"/>
  <c r="I33" i="21" s="1"/>
  <c r="I32" i="21"/>
  <c r="O32" i="21" s="1"/>
  <c r="H32" i="21"/>
  <c r="R30" i="21"/>
  <c r="H30" i="21"/>
  <c r="I30" i="21" s="1"/>
  <c r="I29" i="21"/>
  <c r="R29" i="21" s="1"/>
  <c r="H29" i="21"/>
  <c r="R28" i="21"/>
  <c r="H28" i="21"/>
  <c r="I28" i="21" s="1"/>
  <c r="I27" i="21"/>
  <c r="R27" i="21" s="1"/>
  <c r="H27" i="21"/>
  <c r="R26" i="21"/>
  <c r="H26" i="21"/>
  <c r="I26" i="21" s="1"/>
  <c r="I25" i="21"/>
  <c r="R25" i="21" s="1"/>
  <c r="H25" i="21"/>
  <c r="O24" i="21"/>
  <c r="H24" i="21"/>
  <c r="I24" i="21" s="1"/>
  <c r="I23" i="21"/>
  <c r="O23" i="21" s="1"/>
  <c r="H23" i="21"/>
  <c r="A23" i="21"/>
  <c r="I22" i="21"/>
  <c r="O22" i="21" s="1"/>
  <c r="H22" i="21"/>
  <c r="H21" i="21"/>
  <c r="A21" i="21"/>
  <c r="O20" i="21"/>
  <c r="H20" i="21"/>
  <c r="I20" i="21" s="1"/>
  <c r="F20" i="21"/>
  <c r="H19" i="21"/>
  <c r="I19" i="21" s="1"/>
  <c r="O19" i="21" s="1"/>
  <c r="F19" i="21"/>
  <c r="H18" i="21"/>
  <c r="A18" i="21"/>
  <c r="I18" i="21" s="1"/>
  <c r="R18" i="21" s="1"/>
  <c r="H17" i="21"/>
  <c r="I17" i="21" s="1"/>
  <c r="R17" i="21" s="1"/>
  <c r="I16" i="21"/>
  <c r="R16" i="21" s="1"/>
  <c r="H16" i="21"/>
  <c r="H15" i="21"/>
  <c r="I15" i="21" s="1"/>
  <c r="R15" i="21" s="1"/>
  <c r="I14" i="21"/>
  <c r="R14" i="21" s="1"/>
  <c r="H14" i="21"/>
  <c r="H13" i="21"/>
  <c r="I13" i="21" s="1"/>
  <c r="R13" i="21" s="1"/>
  <c r="I12" i="21"/>
  <c r="R12" i="21" s="1"/>
  <c r="H12" i="21"/>
  <c r="H11" i="21"/>
  <c r="I11" i="21" s="1"/>
  <c r="R11" i="21" s="1"/>
  <c r="I10" i="21"/>
  <c r="N10" i="21" s="1"/>
  <c r="H10" i="21"/>
  <c r="H9" i="21"/>
  <c r="I9" i="21" s="1"/>
  <c r="N9" i="21" s="1"/>
  <c r="I8" i="21"/>
  <c r="N8" i="21" s="1"/>
  <c r="H8" i="21"/>
  <c r="N7" i="21"/>
  <c r="N43" i="21" s="1"/>
  <c r="N45" i="21" s="1"/>
  <c r="A6" i="21"/>
  <c r="F5" i="21"/>
  <c r="H5" i="21" s="1"/>
  <c r="I5" i="21" s="1"/>
  <c r="M5" i="21" s="1"/>
  <c r="J4" i="21"/>
  <c r="H4" i="21"/>
  <c r="I4" i="21" s="1"/>
  <c r="M4" i="21" s="1"/>
  <c r="L1" i="21"/>
  <c r="H176" i="20"/>
  <c r="I176" i="20" s="1"/>
  <c r="F176" i="20"/>
  <c r="F175" i="20"/>
  <c r="H175" i="20" s="1"/>
  <c r="I175" i="20" s="1"/>
  <c r="I178" i="20" s="1"/>
  <c r="H174" i="20"/>
  <c r="I174" i="20" s="1"/>
  <c r="H169" i="20"/>
  <c r="H168" i="20"/>
  <c r="I167" i="20"/>
  <c r="F167" i="20"/>
  <c r="H167" i="20" s="1"/>
  <c r="A167" i="20"/>
  <c r="A168" i="20" s="1"/>
  <c r="I168" i="20" s="1"/>
  <c r="F166" i="20"/>
  <c r="H166" i="20" s="1"/>
  <c r="H165" i="20"/>
  <c r="H164" i="20"/>
  <c r="F164" i="20"/>
  <c r="A164" i="20"/>
  <c r="A165" i="20" s="1"/>
  <c r="H163" i="20"/>
  <c r="I163" i="20" s="1"/>
  <c r="A163" i="20"/>
  <c r="F160" i="20"/>
  <c r="H160" i="20" s="1"/>
  <c r="I160" i="20" s="1"/>
  <c r="H159" i="20"/>
  <c r="I159" i="20" s="1"/>
  <c r="H158" i="20"/>
  <c r="I158" i="20" s="1"/>
  <c r="H157" i="20"/>
  <c r="I157" i="20" s="1"/>
  <c r="H156" i="20"/>
  <c r="I156" i="20" s="1"/>
  <c r="H155" i="20"/>
  <c r="I155" i="20" s="1"/>
  <c r="H154" i="20"/>
  <c r="I154" i="20" s="1"/>
  <c r="H153" i="20"/>
  <c r="I153" i="20" s="1"/>
  <c r="I149" i="20"/>
  <c r="H139" i="20"/>
  <c r="F138" i="20"/>
  <c r="H138" i="20" s="1"/>
  <c r="H137" i="20"/>
  <c r="H136" i="20"/>
  <c r="H135" i="20"/>
  <c r="H134" i="20"/>
  <c r="H133" i="20"/>
  <c r="H132" i="20"/>
  <c r="H131" i="20"/>
  <c r="H130" i="20"/>
  <c r="H123" i="20"/>
  <c r="I123" i="20" s="1"/>
  <c r="H121" i="20"/>
  <c r="I121" i="20" s="1"/>
  <c r="H118" i="20"/>
  <c r="I118" i="20" s="1"/>
  <c r="H117" i="20"/>
  <c r="I117" i="20" s="1"/>
  <c r="H116" i="20"/>
  <c r="I116" i="20" s="1"/>
  <c r="H114" i="20"/>
  <c r="I114" i="20" s="1"/>
  <c r="H113" i="20"/>
  <c r="I113" i="20" s="1"/>
  <c r="H112" i="20"/>
  <c r="I112" i="20" s="1"/>
  <c r="H111" i="20"/>
  <c r="I111" i="20" s="1"/>
  <c r="H110" i="20"/>
  <c r="I110" i="20" s="1"/>
  <c r="H109" i="20"/>
  <c r="I109" i="20" s="1"/>
  <c r="H108" i="20"/>
  <c r="I108" i="20" s="1"/>
  <c r="H107" i="20"/>
  <c r="I107" i="20" s="1"/>
  <c r="H106" i="20"/>
  <c r="I106" i="20" s="1"/>
  <c r="H105" i="20"/>
  <c r="I105" i="20" s="1"/>
  <c r="H104" i="20"/>
  <c r="I104" i="20" s="1"/>
  <c r="H103" i="20"/>
  <c r="I103" i="20" s="1"/>
  <c r="H102" i="20"/>
  <c r="I102" i="20" s="1"/>
  <c r="H98" i="20"/>
  <c r="I98" i="20" s="1"/>
  <c r="H95" i="20"/>
  <c r="I95" i="20" s="1"/>
  <c r="H94" i="20"/>
  <c r="I94" i="20" s="1"/>
  <c r="H93" i="20"/>
  <c r="I93" i="20" s="1"/>
  <c r="H91" i="20"/>
  <c r="I91" i="20" s="1"/>
  <c r="H90" i="20"/>
  <c r="I90" i="20" s="1"/>
  <c r="H89" i="20"/>
  <c r="I89" i="20" s="1"/>
  <c r="H88" i="20"/>
  <c r="I88" i="20" s="1"/>
  <c r="H87" i="20"/>
  <c r="I87" i="20" s="1"/>
  <c r="H86" i="20"/>
  <c r="I86" i="20" s="1"/>
  <c r="H85" i="20"/>
  <c r="I85" i="20" s="1"/>
  <c r="H84" i="20"/>
  <c r="I84" i="20" s="1"/>
  <c r="H83" i="20"/>
  <c r="I83" i="20" s="1"/>
  <c r="H82" i="20"/>
  <c r="I82" i="20" s="1"/>
  <c r="H81" i="20"/>
  <c r="I81" i="20" s="1"/>
  <c r="H80" i="20"/>
  <c r="I80" i="20" s="1"/>
  <c r="I125" i="20" s="1"/>
  <c r="Q125" i="20" s="1"/>
  <c r="Q36" i="20" s="1"/>
  <c r="G77" i="20"/>
  <c r="I62" i="20"/>
  <c r="H61" i="20"/>
  <c r="F61" i="20"/>
  <c r="H60" i="20"/>
  <c r="I60" i="20" s="1"/>
  <c r="F56" i="20"/>
  <c r="H56" i="20" s="1"/>
  <c r="I56" i="20" s="1"/>
  <c r="A56" i="20"/>
  <c r="F55" i="20"/>
  <c r="H55" i="20" s="1"/>
  <c r="I55" i="20" s="1"/>
  <c r="H54" i="20"/>
  <c r="I54" i="20" s="1"/>
  <c r="F54" i="20"/>
  <c r="F53" i="20"/>
  <c r="H53" i="20" s="1"/>
  <c r="I53" i="20" s="1"/>
  <c r="A53" i="20"/>
  <c r="F52" i="20"/>
  <c r="H52" i="20" s="1"/>
  <c r="I52" i="20" s="1"/>
  <c r="A52" i="20"/>
  <c r="I51" i="20"/>
  <c r="F51" i="20"/>
  <c r="H51" i="20" s="1"/>
  <c r="H50" i="20"/>
  <c r="I50" i="20" s="1"/>
  <c r="F50" i="20"/>
  <c r="I49" i="20"/>
  <c r="F49" i="20"/>
  <c r="H49" i="20" s="1"/>
  <c r="H48" i="20"/>
  <c r="I48" i="20" s="1"/>
  <c r="F48" i="20"/>
  <c r="I47" i="20"/>
  <c r="F47" i="20"/>
  <c r="H47" i="20" s="1"/>
  <c r="A47" i="20"/>
  <c r="F46" i="20"/>
  <c r="H46" i="20" s="1"/>
  <c r="I46" i="20" s="1"/>
  <c r="A46" i="20"/>
  <c r="F45" i="20"/>
  <c r="H45" i="20" s="1"/>
  <c r="I45" i="20" s="1"/>
  <c r="H44" i="20"/>
  <c r="I44" i="20" s="1"/>
  <c r="F44" i="20"/>
  <c r="F43" i="20"/>
  <c r="H43" i="20" s="1"/>
  <c r="I42" i="20"/>
  <c r="F42" i="20"/>
  <c r="H42" i="20" s="1"/>
  <c r="A42" i="20"/>
  <c r="F41" i="20"/>
  <c r="H41" i="20" s="1"/>
  <c r="F40" i="20"/>
  <c r="H40" i="20" s="1"/>
  <c r="I40" i="20" s="1"/>
  <c r="F31" i="20"/>
  <c r="H31" i="20" s="1"/>
  <c r="I31" i="20" s="1"/>
  <c r="S31" i="20" s="1"/>
  <c r="I30" i="20"/>
  <c r="S30" i="20" s="1"/>
  <c r="H30" i="20"/>
  <c r="H29" i="20"/>
  <c r="I29" i="20" s="1"/>
  <c r="S29" i="20" s="1"/>
  <c r="I28" i="20"/>
  <c r="S28" i="20" s="1"/>
  <c r="H28" i="20"/>
  <c r="H27" i="20"/>
  <c r="I27" i="20" s="1"/>
  <c r="S27" i="20" s="1"/>
  <c r="I26" i="20"/>
  <c r="O26" i="20" s="1"/>
  <c r="H26" i="20"/>
  <c r="M25" i="20"/>
  <c r="H25" i="20"/>
  <c r="I25" i="20" s="1"/>
  <c r="I24" i="20"/>
  <c r="O24" i="20" s="1"/>
  <c r="H24" i="20"/>
  <c r="H23" i="20"/>
  <c r="I23" i="20" s="1"/>
  <c r="R23" i="20" s="1"/>
  <c r="I22" i="20"/>
  <c r="R22" i="20" s="1"/>
  <c r="H22" i="20"/>
  <c r="H21" i="20"/>
  <c r="I21" i="20" s="1"/>
  <c r="R21" i="20" s="1"/>
  <c r="I20" i="20"/>
  <c r="O20" i="20" s="1"/>
  <c r="H20" i="20"/>
  <c r="H19" i="20"/>
  <c r="A19" i="20"/>
  <c r="I19" i="20" s="1"/>
  <c r="O19" i="20" s="1"/>
  <c r="H18" i="20"/>
  <c r="I18" i="20" s="1"/>
  <c r="O18" i="20" s="1"/>
  <c r="F17" i="20"/>
  <c r="H17" i="20" s="1"/>
  <c r="I17" i="20" s="1"/>
  <c r="O17" i="20" s="1"/>
  <c r="F16" i="20"/>
  <c r="H16" i="20" s="1"/>
  <c r="I16" i="20" s="1"/>
  <c r="O16" i="20" s="1"/>
  <c r="I15" i="20"/>
  <c r="R15" i="20" s="1"/>
  <c r="H15" i="20"/>
  <c r="A15" i="20"/>
  <c r="I14" i="20"/>
  <c r="R14" i="20" s="1"/>
  <c r="H14" i="20"/>
  <c r="R13" i="20"/>
  <c r="H13" i="20"/>
  <c r="I13" i="20" s="1"/>
  <c r="I12" i="20"/>
  <c r="R12" i="20" s="1"/>
  <c r="H12" i="20"/>
  <c r="R11" i="20"/>
  <c r="H11" i="20"/>
  <c r="I11" i="20" s="1"/>
  <c r="I10" i="20"/>
  <c r="R10" i="20" s="1"/>
  <c r="H10" i="20"/>
  <c r="N7" i="20"/>
  <c r="N34" i="20" s="1"/>
  <c r="N36" i="20" s="1"/>
  <c r="H7" i="20"/>
  <c r="I7" i="20" s="1"/>
  <c r="A6" i="20"/>
  <c r="I5" i="20"/>
  <c r="M5" i="20" s="1"/>
  <c r="H5" i="20"/>
  <c r="F4" i="20"/>
  <c r="L1" i="20"/>
  <c r="H166" i="19"/>
  <c r="I166" i="19" s="1"/>
  <c r="F166" i="19"/>
  <c r="F165" i="19"/>
  <c r="H165" i="19" s="1"/>
  <c r="I165" i="19" s="1"/>
  <c r="H164" i="19"/>
  <c r="I164" i="19" s="1"/>
  <c r="I168" i="19" s="1"/>
  <c r="I159" i="19"/>
  <c r="H159" i="19"/>
  <c r="I158" i="19"/>
  <c r="H158" i="19"/>
  <c r="I157" i="19"/>
  <c r="H157" i="19"/>
  <c r="I156" i="19"/>
  <c r="H156" i="19"/>
  <c r="I155" i="19"/>
  <c r="H155" i="19"/>
  <c r="I154" i="19"/>
  <c r="I161" i="19" s="1"/>
  <c r="H154" i="19"/>
  <c r="I150" i="19"/>
  <c r="H140" i="19"/>
  <c r="H139" i="19"/>
  <c r="F139" i="19"/>
  <c r="H138" i="19"/>
  <c r="H137" i="19"/>
  <c r="H136" i="19"/>
  <c r="H135" i="19"/>
  <c r="H134" i="19"/>
  <c r="H133" i="19"/>
  <c r="H132" i="19"/>
  <c r="H131" i="19"/>
  <c r="I124" i="19"/>
  <c r="H124" i="19"/>
  <c r="I122" i="19"/>
  <c r="H122" i="19"/>
  <c r="I119" i="19"/>
  <c r="H119" i="19"/>
  <c r="I118" i="19"/>
  <c r="H118" i="19"/>
  <c r="I117" i="19"/>
  <c r="H117" i="19"/>
  <c r="I115" i="19"/>
  <c r="H115" i="19"/>
  <c r="I114" i="19"/>
  <c r="H114" i="19"/>
  <c r="I113" i="19"/>
  <c r="H113" i="19"/>
  <c r="I112" i="19"/>
  <c r="H112" i="19"/>
  <c r="I111" i="19"/>
  <c r="H111" i="19"/>
  <c r="I110" i="19"/>
  <c r="H110" i="19"/>
  <c r="I109" i="19"/>
  <c r="H109" i="19"/>
  <c r="I108" i="19"/>
  <c r="H108" i="19"/>
  <c r="I107" i="19"/>
  <c r="H107" i="19"/>
  <c r="I106" i="19"/>
  <c r="H106" i="19"/>
  <c r="I105" i="19"/>
  <c r="H105" i="19"/>
  <c r="I99" i="19"/>
  <c r="H99" i="19"/>
  <c r="I96" i="19"/>
  <c r="H96" i="19"/>
  <c r="I95" i="19"/>
  <c r="H95" i="19"/>
  <c r="I94" i="19"/>
  <c r="H94" i="19"/>
  <c r="I92" i="19"/>
  <c r="H92" i="19"/>
  <c r="I91" i="19"/>
  <c r="H91" i="19"/>
  <c r="I90" i="19"/>
  <c r="H90" i="19"/>
  <c r="I89" i="19"/>
  <c r="H89" i="19"/>
  <c r="I88" i="19"/>
  <c r="H88" i="19"/>
  <c r="I87" i="19"/>
  <c r="H87" i="19"/>
  <c r="I86" i="19"/>
  <c r="H86" i="19"/>
  <c r="I85" i="19"/>
  <c r="H85" i="19"/>
  <c r="I84" i="19"/>
  <c r="H84" i="19"/>
  <c r="I83" i="19"/>
  <c r="H83" i="19"/>
  <c r="I82" i="19"/>
  <c r="H82" i="19"/>
  <c r="G78" i="19"/>
  <c r="I62" i="19"/>
  <c r="F61" i="19"/>
  <c r="H61" i="19" s="1"/>
  <c r="I60" i="19"/>
  <c r="H60" i="19"/>
  <c r="H56" i="19"/>
  <c r="F56" i="19"/>
  <c r="A56" i="19"/>
  <c r="H55" i="19"/>
  <c r="I55" i="19" s="1"/>
  <c r="F55" i="19"/>
  <c r="I54" i="19"/>
  <c r="F54" i="19"/>
  <c r="H54" i="19" s="1"/>
  <c r="H53" i="19"/>
  <c r="F53" i="19"/>
  <c r="A53" i="19"/>
  <c r="I53" i="19" s="1"/>
  <c r="H52" i="19"/>
  <c r="F52" i="19"/>
  <c r="A52" i="19"/>
  <c r="I52" i="19" s="1"/>
  <c r="H51" i="19"/>
  <c r="I51" i="19" s="1"/>
  <c r="F51" i="19"/>
  <c r="F50" i="19"/>
  <c r="H50" i="19" s="1"/>
  <c r="I50" i="19" s="1"/>
  <c r="H49" i="19"/>
  <c r="I49" i="19" s="1"/>
  <c r="F49" i="19"/>
  <c r="F48" i="19"/>
  <c r="H48" i="19" s="1"/>
  <c r="I48" i="19" s="1"/>
  <c r="H47" i="19"/>
  <c r="I47" i="19" s="1"/>
  <c r="F47" i="19"/>
  <c r="F46" i="19"/>
  <c r="H46" i="19" s="1"/>
  <c r="I46" i="19" s="1"/>
  <c r="H45" i="19"/>
  <c r="I45" i="19" s="1"/>
  <c r="F45" i="19"/>
  <c r="F44" i="19"/>
  <c r="H44" i="19" s="1"/>
  <c r="I44" i="19" s="1"/>
  <c r="H43" i="19"/>
  <c r="F43" i="19"/>
  <c r="H42" i="19"/>
  <c r="I42" i="19" s="1"/>
  <c r="F42" i="19"/>
  <c r="F41" i="19"/>
  <c r="H41" i="19" s="1"/>
  <c r="F40" i="19"/>
  <c r="H40" i="19" s="1"/>
  <c r="I40" i="19" s="1"/>
  <c r="F31" i="19"/>
  <c r="H31" i="19" s="1"/>
  <c r="I31" i="19" s="1"/>
  <c r="S31" i="19" s="1"/>
  <c r="I30" i="19"/>
  <c r="S30" i="19" s="1"/>
  <c r="H30" i="19"/>
  <c r="H29" i="19"/>
  <c r="I29" i="19" s="1"/>
  <c r="S29" i="19" s="1"/>
  <c r="I28" i="19"/>
  <c r="S28" i="19" s="1"/>
  <c r="H28" i="19"/>
  <c r="H27" i="19"/>
  <c r="I27" i="19" s="1"/>
  <c r="S27" i="19" s="1"/>
  <c r="I26" i="19"/>
  <c r="O26" i="19" s="1"/>
  <c r="H26" i="19"/>
  <c r="M25" i="19"/>
  <c r="H25" i="19"/>
  <c r="I25" i="19" s="1"/>
  <c r="I24" i="19"/>
  <c r="O24" i="19" s="1"/>
  <c r="H24" i="19"/>
  <c r="H23" i="19"/>
  <c r="I23" i="19" s="1"/>
  <c r="R23" i="19" s="1"/>
  <c r="I22" i="19"/>
  <c r="R22" i="19" s="1"/>
  <c r="H22" i="19"/>
  <c r="H21" i="19"/>
  <c r="I21" i="19" s="1"/>
  <c r="R21" i="19" s="1"/>
  <c r="I20" i="19"/>
  <c r="N20" i="19" s="1"/>
  <c r="H20" i="19"/>
  <c r="H19" i="19"/>
  <c r="I19" i="19" s="1"/>
  <c r="N19" i="19" s="1"/>
  <c r="I18" i="19"/>
  <c r="N18" i="19" s="1"/>
  <c r="H18" i="19"/>
  <c r="H17" i="19"/>
  <c r="I17" i="19" s="1"/>
  <c r="N17" i="19" s="1"/>
  <c r="H16" i="19"/>
  <c r="A16" i="19"/>
  <c r="I16" i="19" s="1"/>
  <c r="O16" i="19" s="1"/>
  <c r="I15" i="19"/>
  <c r="O15" i="19" s="1"/>
  <c r="H15" i="19"/>
  <c r="H14" i="19"/>
  <c r="I14" i="19" s="1"/>
  <c r="O14" i="19" s="1"/>
  <c r="F14" i="19"/>
  <c r="F13" i="19"/>
  <c r="H13" i="19" s="1"/>
  <c r="I13" i="19" s="1"/>
  <c r="O13" i="19" s="1"/>
  <c r="H12" i="19"/>
  <c r="I11" i="19"/>
  <c r="R11" i="19" s="1"/>
  <c r="H11" i="19"/>
  <c r="A11" i="19"/>
  <c r="A12" i="19" s="1"/>
  <c r="I12" i="19" s="1"/>
  <c r="R12" i="19" s="1"/>
  <c r="I10" i="19"/>
  <c r="R10" i="19" s="1"/>
  <c r="H10" i="19"/>
  <c r="H9" i="19"/>
  <c r="I9" i="19" s="1"/>
  <c r="R9" i="19" s="1"/>
  <c r="H8" i="19"/>
  <c r="I8" i="19" s="1"/>
  <c r="R8" i="19" s="1"/>
  <c r="H7" i="19"/>
  <c r="I7" i="19" s="1"/>
  <c r="R7" i="19" s="1"/>
  <c r="A6" i="19"/>
  <c r="A41" i="19" s="1"/>
  <c r="I41" i="19" s="1"/>
  <c r="H5" i="19"/>
  <c r="I5" i="19" s="1"/>
  <c r="H4" i="19"/>
  <c r="I4" i="19" s="1"/>
  <c r="I1" i="19"/>
  <c r="J4" i="19" s="1"/>
  <c r="F177" i="18"/>
  <c r="H177" i="18" s="1"/>
  <c r="I177" i="18" s="1"/>
  <c r="F176" i="18"/>
  <c r="H176" i="18" s="1"/>
  <c r="I176" i="18" s="1"/>
  <c r="I175" i="18"/>
  <c r="H175" i="18"/>
  <c r="H170" i="18"/>
  <c r="H169" i="18"/>
  <c r="H168" i="18"/>
  <c r="F168" i="18"/>
  <c r="A168" i="18"/>
  <c r="A169" i="18" s="1"/>
  <c r="H167" i="18"/>
  <c r="F167" i="18"/>
  <c r="H166" i="18"/>
  <c r="I165" i="18"/>
  <c r="H165" i="18"/>
  <c r="F165" i="18"/>
  <c r="A165" i="18"/>
  <c r="A166" i="18" s="1"/>
  <c r="I164" i="18"/>
  <c r="H164" i="18"/>
  <c r="A164" i="18"/>
  <c r="H161" i="18"/>
  <c r="I161" i="18" s="1"/>
  <c r="F161" i="18"/>
  <c r="H160" i="18"/>
  <c r="I160" i="18" s="1"/>
  <c r="I159" i="18"/>
  <c r="H159" i="18"/>
  <c r="H158" i="18"/>
  <c r="I158" i="18" s="1"/>
  <c r="I157" i="18"/>
  <c r="H157" i="18"/>
  <c r="H156" i="18"/>
  <c r="I156" i="18" s="1"/>
  <c r="I155" i="18"/>
  <c r="H155" i="18"/>
  <c r="H154" i="18"/>
  <c r="I154" i="18" s="1"/>
  <c r="I150" i="18"/>
  <c r="H140" i="18"/>
  <c r="F139" i="18"/>
  <c r="H139" i="18" s="1"/>
  <c r="H138" i="18"/>
  <c r="H137" i="18"/>
  <c r="H136" i="18"/>
  <c r="H135" i="18"/>
  <c r="H134" i="18"/>
  <c r="H133" i="18"/>
  <c r="H132" i="18"/>
  <c r="H131" i="18"/>
  <c r="H124" i="18"/>
  <c r="I124" i="18" s="1"/>
  <c r="I122" i="18"/>
  <c r="H122" i="18"/>
  <c r="H119" i="18"/>
  <c r="I119" i="18" s="1"/>
  <c r="I118" i="18"/>
  <c r="H118" i="18"/>
  <c r="H117" i="18"/>
  <c r="I117" i="18" s="1"/>
  <c r="I115" i="18"/>
  <c r="H115" i="18"/>
  <c r="H114" i="18"/>
  <c r="I114" i="18" s="1"/>
  <c r="I113" i="18"/>
  <c r="H113" i="18"/>
  <c r="H112" i="18"/>
  <c r="I112" i="18" s="1"/>
  <c r="I111" i="18"/>
  <c r="H111" i="18"/>
  <c r="H110" i="18"/>
  <c r="I110" i="18" s="1"/>
  <c r="I109" i="18"/>
  <c r="H109" i="18"/>
  <c r="H108" i="18"/>
  <c r="I108" i="18" s="1"/>
  <c r="I107" i="18"/>
  <c r="H107" i="18"/>
  <c r="H106" i="18"/>
  <c r="I106" i="18" s="1"/>
  <c r="I105" i="18"/>
  <c r="H105" i="18"/>
  <c r="I103" i="18"/>
  <c r="H103" i="18"/>
  <c r="H99" i="18"/>
  <c r="I99" i="18" s="1"/>
  <c r="I96" i="18"/>
  <c r="H96" i="18"/>
  <c r="H95" i="18"/>
  <c r="I95" i="18" s="1"/>
  <c r="I94" i="18"/>
  <c r="H94" i="18"/>
  <c r="H92" i="18"/>
  <c r="I92" i="18" s="1"/>
  <c r="I91" i="18"/>
  <c r="H91" i="18"/>
  <c r="H90" i="18"/>
  <c r="I90" i="18" s="1"/>
  <c r="I89" i="18"/>
  <c r="H89" i="18"/>
  <c r="H88" i="18"/>
  <c r="I88" i="18" s="1"/>
  <c r="I87" i="18"/>
  <c r="H87" i="18"/>
  <c r="H86" i="18"/>
  <c r="I86" i="18" s="1"/>
  <c r="I85" i="18"/>
  <c r="H85" i="18"/>
  <c r="H84" i="18"/>
  <c r="I84" i="18" s="1"/>
  <c r="I83" i="18"/>
  <c r="H83" i="18"/>
  <c r="H82" i="18"/>
  <c r="I82" i="18" s="1"/>
  <c r="I81" i="18"/>
  <c r="H81" i="18"/>
  <c r="G78" i="18"/>
  <c r="H104" i="18" s="1"/>
  <c r="I104" i="18" s="1"/>
  <c r="I63" i="18"/>
  <c r="F62" i="18"/>
  <c r="H62" i="18" s="1"/>
  <c r="H61" i="18"/>
  <c r="I61" i="18" s="1"/>
  <c r="F57" i="18"/>
  <c r="H57" i="18" s="1"/>
  <c r="A57" i="18"/>
  <c r="F56" i="18"/>
  <c r="H56" i="18" s="1"/>
  <c r="I56" i="18" s="1"/>
  <c r="I55" i="18"/>
  <c r="H55" i="18"/>
  <c r="F55" i="18"/>
  <c r="H54" i="18"/>
  <c r="I54" i="18" s="1"/>
  <c r="F54" i="18"/>
  <c r="A54" i="18"/>
  <c r="H53" i="18"/>
  <c r="I53" i="18" s="1"/>
  <c r="F53" i="18"/>
  <c r="A53" i="18"/>
  <c r="H52" i="18"/>
  <c r="I52" i="18" s="1"/>
  <c r="F52" i="18"/>
  <c r="F51" i="18"/>
  <c r="H51" i="18" s="1"/>
  <c r="I51" i="18" s="1"/>
  <c r="F50" i="18"/>
  <c r="H50" i="18" s="1"/>
  <c r="I50" i="18" s="1"/>
  <c r="I49" i="18"/>
  <c r="H49" i="18"/>
  <c r="F49" i="18"/>
  <c r="H48" i="18"/>
  <c r="I48" i="18" s="1"/>
  <c r="F48" i="18"/>
  <c r="F47" i="18"/>
  <c r="H47" i="18" s="1"/>
  <c r="I47" i="18" s="1"/>
  <c r="F46" i="18"/>
  <c r="H46" i="18" s="1"/>
  <c r="I46" i="18" s="1"/>
  <c r="I45" i="18"/>
  <c r="H45" i="18"/>
  <c r="F45" i="18"/>
  <c r="H44" i="18"/>
  <c r="F44" i="18"/>
  <c r="H43" i="18"/>
  <c r="I43" i="18" s="1"/>
  <c r="F43" i="18"/>
  <c r="F42" i="18"/>
  <c r="H42" i="18" s="1"/>
  <c r="A42" i="18"/>
  <c r="F41" i="18"/>
  <c r="H41" i="18" s="1"/>
  <c r="I41" i="18" s="1"/>
  <c r="F32" i="18"/>
  <c r="H32" i="18" s="1"/>
  <c r="I32" i="18" s="1"/>
  <c r="S32" i="18" s="1"/>
  <c r="H31" i="18"/>
  <c r="I31" i="18" s="1"/>
  <c r="S31" i="18" s="1"/>
  <c r="S30" i="18"/>
  <c r="I30" i="18"/>
  <c r="H30" i="18"/>
  <c r="I29" i="18"/>
  <c r="S29" i="18" s="1"/>
  <c r="H29" i="18"/>
  <c r="H28" i="18"/>
  <c r="I28" i="18" s="1"/>
  <c r="S28" i="18" s="1"/>
  <c r="S35" i="18" s="1"/>
  <c r="S37" i="18" s="1"/>
  <c r="H27" i="18"/>
  <c r="I27" i="18" s="1"/>
  <c r="O27" i="18" s="1"/>
  <c r="M26" i="18"/>
  <c r="I26" i="18"/>
  <c r="H26" i="18"/>
  <c r="I25" i="18"/>
  <c r="O25" i="18" s="1"/>
  <c r="H25" i="18"/>
  <c r="H24" i="18"/>
  <c r="I24" i="18" s="1"/>
  <c r="R24" i="18" s="1"/>
  <c r="H23" i="18"/>
  <c r="I23" i="18" s="1"/>
  <c r="R23" i="18" s="1"/>
  <c r="R22" i="18"/>
  <c r="I22" i="18"/>
  <c r="H22" i="18"/>
  <c r="I21" i="18"/>
  <c r="N21" i="18" s="1"/>
  <c r="H21" i="18"/>
  <c r="H20" i="18"/>
  <c r="I20" i="18" s="1"/>
  <c r="N20" i="18" s="1"/>
  <c r="H19" i="18"/>
  <c r="I19" i="18" s="1"/>
  <c r="N19" i="18" s="1"/>
  <c r="N18" i="18"/>
  <c r="N35" i="18" s="1"/>
  <c r="N37" i="18" s="1"/>
  <c r="I18" i="18"/>
  <c r="H18" i="18"/>
  <c r="I17" i="18"/>
  <c r="O17" i="18" s="1"/>
  <c r="H17" i="18"/>
  <c r="H16" i="18"/>
  <c r="A16" i="18"/>
  <c r="I16" i="18" s="1"/>
  <c r="O16" i="18" s="1"/>
  <c r="H15" i="18"/>
  <c r="I15" i="18" s="1"/>
  <c r="O15" i="18" s="1"/>
  <c r="F14" i="18"/>
  <c r="H14" i="18" s="1"/>
  <c r="I14" i="18" s="1"/>
  <c r="O14" i="18" s="1"/>
  <c r="F13" i="18"/>
  <c r="H13" i="18" s="1"/>
  <c r="I13" i="18" s="1"/>
  <c r="O13" i="18" s="1"/>
  <c r="H12" i="18"/>
  <c r="H11" i="18"/>
  <c r="A11" i="18"/>
  <c r="I11" i="18" s="1"/>
  <c r="R11" i="18" s="1"/>
  <c r="H10" i="18"/>
  <c r="I10" i="18" s="1"/>
  <c r="R10" i="18" s="1"/>
  <c r="R9" i="18"/>
  <c r="I9" i="18"/>
  <c r="H9" i="18"/>
  <c r="I8" i="18"/>
  <c r="R8" i="18" s="1"/>
  <c r="H8" i="18"/>
  <c r="H7" i="18"/>
  <c r="I7" i="18" s="1"/>
  <c r="R7" i="18" s="1"/>
  <c r="H6" i="18"/>
  <c r="F6" i="18"/>
  <c r="J6" i="18" s="1"/>
  <c r="A6" i="18"/>
  <c r="A44" i="18" s="1"/>
  <c r="H5" i="18"/>
  <c r="I5" i="18" s="1"/>
  <c r="H4" i="18"/>
  <c r="I4" i="18" s="1"/>
  <c r="I1" i="18"/>
  <c r="J4" i="18" s="1"/>
  <c r="H152" i="17"/>
  <c r="I152" i="17" s="1"/>
  <c r="F152" i="17"/>
  <c r="F151" i="17"/>
  <c r="H151" i="17" s="1"/>
  <c r="I151" i="17" s="1"/>
  <c r="I150" i="17"/>
  <c r="H150" i="17"/>
  <c r="H149" i="17"/>
  <c r="I149" i="17" s="1"/>
  <c r="I148" i="17"/>
  <c r="I154" i="17" s="1"/>
  <c r="H148" i="17"/>
  <c r="I143" i="17"/>
  <c r="H143" i="17"/>
  <c r="H142" i="17"/>
  <c r="I142" i="17" s="1"/>
  <c r="I141" i="17"/>
  <c r="H141" i="17"/>
  <c r="H140" i="17"/>
  <c r="I140" i="17" s="1"/>
  <c r="I139" i="17"/>
  <c r="H139" i="17"/>
  <c r="H138" i="17"/>
  <c r="I138" i="17" s="1"/>
  <c r="I131" i="17"/>
  <c r="H131" i="17"/>
  <c r="H130" i="17"/>
  <c r="I130" i="17" s="1"/>
  <c r="I133" i="17" s="1"/>
  <c r="H124" i="17"/>
  <c r="I124" i="17" s="1"/>
  <c r="I122" i="17"/>
  <c r="H122" i="17"/>
  <c r="H119" i="17"/>
  <c r="I119" i="17" s="1"/>
  <c r="I118" i="17"/>
  <c r="H118" i="17"/>
  <c r="H117" i="17"/>
  <c r="I117" i="17" s="1"/>
  <c r="I115" i="17"/>
  <c r="H115" i="17"/>
  <c r="H114" i="17"/>
  <c r="I114" i="17" s="1"/>
  <c r="I113" i="17"/>
  <c r="H113" i="17"/>
  <c r="H112" i="17"/>
  <c r="I112" i="17" s="1"/>
  <c r="I111" i="17"/>
  <c r="H111" i="17"/>
  <c r="H110" i="17"/>
  <c r="I110" i="17" s="1"/>
  <c r="I109" i="17"/>
  <c r="H109" i="17"/>
  <c r="H108" i="17"/>
  <c r="I108" i="17" s="1"/>
  <c r="I107" i="17"/>
  <c r="H107" i="17"/>
  <c r="H106" i="17"/>
  <c r="I106" i="17" s="1"/>
  <c r="I105" i="17"/>
  <c r="H105" i="17"/>
  <c r="H104" i="17"/>
  <c r="I104" i="17" s="1"/>
  <c r="H99" i="17"/>
  <c r="I99" i="17" s="1"/>
  <c r="I96" i="17"/>
  <c r="H96" i="17"/>
  <c r="H95" i="17"/>
  <c r="I95" i="17" s="1"/>
  <c r="I94" i="17"/>
  <c r="H94" i="17"/>
  <c r="H92" i="17"/>
  <c r="I92" i="17" s="1"/>
  <c r="I91" i="17"/>
  <c r="H91" i="17"/>
  <c r="H90" i="17"/>
  <c r="I90" i="17" s="1"/>
  <c r="I89" i="17"/>
  <c r="H89" i="17"/>
  <c r="H88" i="17"/>
  <c r="I88" i="17" s="1"/>
  <c r="I87" i="17"/>
  <c r="H87" i="17"/>
  <c r="H86" i="17"/>
  <c r="I86" i="17" s="1"/>
  <c r="I85" i="17"/>
  <c r="H85" i="17"/>
  <c r="H84" i="17"/>
  <c r="I84" i="17" s="1"/>
  <c r="I83" i="17"/>
  <c r="H83" i="17"/>
  <c r="H82" i="17"/>
  <c r="I82" i="17" s="1"/>
  <c r="I81" i="17"/>
  <c r="H81" i="17"/>
  <c r="G78" i="17"/>
  <c r="H103" i="17" s="1"/>
  <c r="I103" i="17" s="1"/>
  <c r="I58" i="17"/>
  <c r="H58" i="17"/>
  <c r="H57" i="17"/>
  <c r="F57" i="17"/>
  <c r="I56" i="17"/>
  <c r="H56" i="17"/>
  <c r="H52" i="17"/>
  <c r="I52" i="17" s="1"/>
  <c r="F52" i="17"/>
  <c r="F51" i="17"/>
  <c r="H51" i="17" s="1"/>
  <c r="I51" i="17" s="1"/>
  <c r="I50" i="17"/>
  <c r="H50" i="17"/>
  <c r="F50" i="17"/>
  <c r="I49" i="17"/>
  <c r="H49" i="17"/>
  <c r="F49" i="17"/>
  <c r="A49" i="17"/>
  <c r="I48" i="17"/>
  <c r="H48" i="17"/>
  <c r="F48" i="17"/>
  <c r="H47" i="17"/>
  <c r="I47" i="17" s="1"/>
  <c r="F47" i="17"/>
  <c r="F46" i="17"/>
  <c r="H46" i="17" s="1"/>
  <c r="I46" i="17" s="1"/>
  <c r="I45" i="17"/>
  <c r="H45" i="17"/>
  <c r="F45" i="17"/>
  <c r="I44" i="17"/>
  <c r="H44" i="17"/>
  <c r="F44" i="17"/>
  <c r="H43" i="17"/>
  <c r="I43" i="17" s="1"/>
  <c r="F43" i="17"/>
  <c r="F42" i="17"/>
  <c r="H42" i="17" s="1"/>
  <c r="I42" i="17" s="1"/>
  <c r="I41" i="17"/>
  <c r="H41" i="17"/>
  <c r="F41" i="17"/>
  <c r="H40" i="17"/>
  <c r="F40" i="17"/>
  <c r="I39" i="17"/>
  <c r="H39" i="17"/>
  <c r="F39" i="17"/>
  <c r="H38" i="17"/>
  <c r="F38" i="17"/>
  <c r="H37" i="17"/>
  <c r="I37" i="17" s="1"/>
  <c r="F37" i="17"/>
  <c r="S28" i="17"/>
  <c r="I28" i="17"/>
  <c r="H28" i="17"/>
  <c r="F28" i="17"/>
  <c r="S27" i="17"/>
  <c r="I27" i="17"/>
  <c r="H27" i="17"/>
  <c r="I26" i="17"/>
  <c r="S26" i="17" s="1"/>
  <c r="H26" i="17"/>
  <c r="H25" i="17"/>
  <c r="I25" i="17" s="1"/>
  <c r="S25" i="17" s="1"/>
  <c r="S24" i="17"/>
  <c r="I24" i="17"/>
  <c r="H24" i="17"/>
  <c r="O23" i="17"/>
  <c r="I23" i="17"/>
  <c r="H23" i="17"/>
  <c r="A23" i="17"/>
  <c r="M22" i="17"/>
  <c r="I22" i="17"/>
  <c r="H22" i="17"/>
  <c r="I21" i="17"/>
  <c r="O21" i="17" s="1"/>
  <c r="H21" i="17"/>
  <c r="H20" i="17"/>
  <c r="I20" i="17" s="1"/>
  <c r="R20" i="17" s="1"/>
  <c r="R19" i="17"/>
  <c r="I19" i="17"/>
  <c r="H19" i="17"/>
  <c r="R18" i="17"/>
  <c r="I18" i="17"/>
  <c r="H18" i="17"/>
  <c r="I17" i="17"/>
  <c r="N17" i="17" s="1"/>
  <c r="H17" i="17"/>
  <c r="H16" i="17"/>
  <c r="I16" i="17" s="1"/>
  <c r="N16" i="17" s="1"/>
  <c r="N15" i="17"/>
  <c r="I15" i="17"/>
  <c r="H15" i="17"/>
  <c r="O14" i="17"/>
  <c r="I14" i="17"/>
  <c r="H14" i="17"/>
  <c r="A14" i="17"/>
  <c r="O13" i="17"/>
  <c r="I13" i="17"/>
  <c r="H13" i="17"/>
  <c r="H12" i="17"/>
  <c r="F12" i="17"/>
  <c r="H11" i="17"/>
  <c r="F11" i="17"/>
  <c r="A11" i="17"/>
  <c r="A12" i="17" s="1"/>
  <c r="I12" i="17" s="1"/>
  <c r="O12" i="17" s="1"/>
  <c r="O10" i="17"/>
  <c r="I10" i="17"/>
  <c r="H10" i="17"/>
  <c r="O9" i="17"/>
  <c r="I9" i="17"/>
  <c r="H9" i="17"/>
  <c r="I8" i="17"/>
  <c r="R8" i="17" s="1"/>
  <c r="H8" i="17"/>
  <c r="H7" i="17"/>
  <c r="I7" i="17" s="1"/>
  <c r="R7" i="17" s="1"/>
  <c r="R6" i="17"/>
  <c r="I6" i="17"/>
  <c r="H6" i="17"/>
  <c r="A5" i="17"/>
  <c r="A38" i="17" s="1"/>
  <c r="H4" i="17"/>
  <c r="I4" i="17" s="1"/>
  <c r="I1" i="17"/>
  <c r="J4" i="17" s="1"/>
  <c r="F93" i="16"/>
  <c r="H93" i="16" s="1"/>
  <c r="I93" i="16" s="1"/>
  <c r="F92" i="16"/>
  <c r="H92" i="16" s="1"/>
  <c r="I92" i="16" s="1"/>
  <c r="I91" i="16"/>
  <c r="H91" i="16"/>
  <c r="F91" i="16"/>
  <c r="H90" i="16"/>
  <c r="I90" i="16" s="1"/>
  <c r="I89" i="16"/>
  <c r="H89" i="16"/>
  <c r="H88" i="16"/>
  <c r="I88" i="16" s="1"/>
  <c r="I94" i="16" s="1"/>
  <c r="H83" i="16"/>
  <c r="I83" i="16" s="1"/>
  <c r="I82" i="16"/>
  <c r="H82" i="16"/>
  <c r="H81" i="16"/>
  <c r="I81" i="16" s="1"/>
  <c r="I80" i="16"/>
  <c r="H80" i="16"/>
  <c r="H79" i="16"/>
  <c r="I79" i="16" s="1"/>
  <c r="I78" i="16"/>
  <c r="I85" i="16" s="1"/>
  <c r="H78" i="16"/>
  <c r="I67" i="16"/>
  <c r="H67" i="16"/>
  <c r="H66" i="16"/>
  <c r="I66" i="16" s="1"/>
  <c r="I65" i="16"/>
  <c r="H65" i="16"/>
  <c r="F65" i="16"/>
  <c r="I60" i="16"/>
  <c r="H60" i="16"/>
  <c r="H59" i="16"/>
  <c r="I59" i="16" s="1"/>
  <c r="I58" i="16"/>
  <c r="H58" i="16"/>
  <c r="H57" i="16"/>
  <c r="F57" i="16"/>
  <c r="H56" i="16"/>
  <c r="I56" i="16" s="1"/>
  <c r="F52" i="16"/>
  <c r="H52" i="16" s="1"/>
  <c r="I52" i="16" s="1"/>
  <c r="F51" i="16"/>
  <c r="H51" i="16" s="1"/>
  <c r="A51" i="16"/>
  <c r="F50" i="16"/>
  <c r="H50" i="16" s="1"/>
  <c r="I50" i="16" s="1"/>
  <c r="I49" i="16"/>
  <c r="H49" i="16"/>
  <c r="F49" i="16"/>
  <c r="H48" i="16"/>
  <c r="I48" i="16" s="1"/>
  <c r="F48" i="16"/>
  <c r="F47" i="16"/>
  <c r="H47" i="16" s="1"/>
  <c r="I47" i="16" s="1"/>
  <c r="F46" i="16"/>
  <c r="H46" i="16" s="1"/>
  <c r="I46" i="16" s="1"/>
  <c r="I45" i="16"/>
  <c r="H45" i="16"/>
  <c r="F45" i="16"/>
  <c r="H44" i="16"/>
  <c r="I44" i="16" s="1"/>
  <c r="F44" i="16"/>
  <c r="F43" i="16"/>
  <c r="H43" i="16" s="1"/>
  <c r="I43" i="16" s="1"/>
  <c r="F42" i="16"/>
  <c r="H42" i="16" s="1"/>
  <c r="I42" i="16" s="1"/>
  <c r="I41" i="16"/>
  <c r="H41" i="16"/>
  <c r="F41" i="16"/>
  <c r="A41" i="16"/>
  <c r="I40" i="16"/>
  <c r="H40" i="16"/>
  <c r="F40" i="16"/>
  <c r="A40" i="16"/>
  <c r="I39" i="16"/>
  <c r="H39" i="16"/>
  <c r="F39" i="16"/>
  <c r="H38" i="16"/>
  <c r="I38" i="16" s="1"/>
  <c r="F38" i="16"/>
  <c r="A38" i="16"/>
  <c r="A54" i="16" s="1"/>
  <c r="A57" i="16" s="1"/>
  <c r="I57" i="16" s="1"/>
  <c r="I61" i="16" s="1"/>
  <c r="P61" i="16" s="1"/>
  <c r="H28" i="16"/>
  <c r="I28" i="16" s="1"/>
  <c r="S28" i="16" s="1"/>
  <c r="F28" i="16"/>
  <c r="H27" i="16"/>
  <c r="I27" i="16" s="1"/>
  <c r="S27" i="16" s="1"/>
  <c r="H26" i="16"/>
  <c r="I26" i="16" s="1"/>
  <c r="S26" i="16" s="1"/>
  <c r="H25" i="16"/>
  <c r="I25" i="16" s="1"/>
  <c r="S25" i="16" s="1"/>
  <c r="F24" i="16"/>
  <c r="H24" i="16" s="1"/>
  <c r="I24" i="16" s="1"/>
  <c r="O24" i="16" s="1"/>
  <c r="I23" i="16"/>
  <c r="O23" i="16" s="1"/>
  <c r="H23" i="16"/>
  <c r="F23" i="16"/>
  <c r="I22" i="16"/>
  <c r="O22" i="16" s="1"/>
  <c r="H22" i="16"/>
  <c r="F22" i="16"/>
  <c r="M21" i="16"/>
  <c r="I21" i="16"/>
  <c r="H21" i="16"/>
  <c r="H20" i="16"/>
  <c r="I20" i="16" s="1"/>
  <c r="O20" i="16" s="1"/>
  <c r="H19" i="16"/>
  <c r="I19" i="16" s="1"/>
  <c r="R19" i="16" s="1"/>
  <c r="R18" i="16"/>
  <c r="I18" i="16"/>
  <c r="H18" i="16"/>
  <c r="I17" i="16"/>
  <c r="N17" i="16" s="1"/>
  <c r="H17" i="16"/>
  <c r="H16" i="16"/>
  <c r="I16" i="16" s="1"/>
  <c r="N16" i="16" s="1"/>
  <c r="H15" i="16"/>
  <c r="I15" i="16" s="1"/>
  <c r="N15" i="16" s="1"/>
  <c r="H14" i="16"/>
  <c r="I14" i="16" s="1"/>
  <c r="O14" i="16" s="1"/>
  <c r="I13" i="16"/>
  <c r="O13" i="16" s="1"/>
  <c r="H13" i="16"/>
  <c r="H12" i="16"/>
  <c r="I12" i="16" s="1"/>
  <c r="O12" i="16" s="1"/>
  <c r="F12" i="16"/>
  <c r="H11" i="16"/>
  <c r="I11" i="16" s="1"/>
  <c r="O11" i="16" s="1"/>
  <c r="F11" i="16"/>
  <c r="H10" i="16"/>
  <c r="I10" i="16" s="1"/>
  <c r="R10" i="16" s="1"/>
  <c r="H9" i="16"/>
  <c r="I9" i="16" s="1"/>
  <c r="N9" i="16" s="1"/>
  <c r="H8" i="16"/>
  <c r="I8" i="16" s="1"/>
  <c r="R8" i="16" s="1"/>
  <c r="I7" i="16"/>
  <c r="R7" i="16" s="1"/>
  <c r="H7" i="16"/>
  <c r="H6" i="16"/>
  <c r="I6" i="16" s="1"/>
  <c r="R6" i="16" s="1"/>
  <c r="F5" i="16"/>
  <c r="H5" i="16" s="1"/>
  <c r="I5" i="16" s="1"/>
  <c r="M5" i="16" s="1"/>
  <c r="H4" i="16"/>
  <c r="I4" i="16" s="1"/>
  <c r="F179" i="15"/>
  <c r="H179" i="15" s="1"/>
  <c r="I179" i="15" s="1"/>
  <c r="F178" i="15"/>
  <c r="H178" i="15" s="1"/>
  <c r="I178" i="15" s="1"/>
  <c r="H177" i="15"/>
  <c r="I177" i="15" s="1"/>
  <c r="H176" i="15"/>
  <c r="I176" i="15" s="1"/>
  <c r="H175" i="15"/>
  <c r="I175" i="15" s="1"/>
  <c r="I181" i="15" s="1"/>
  <c r="H170" i="15"/>
  <c r="A170" i="15"/>
  <c r="I170" i="15" s="1"/>
  <c r="H169" i="15"/>
  <c r="A169" i="15"/>
  <c r="I169" i="15" s="1"/>
  <c r="F168" i="15"/>
  <c r="H168" i="15" s="1"/>
  <c r="I168" i="15" s="1"/>
  <c r="H167" i="15"/>
  <c r="F167" i="15"/>
  <c r="H166" i="15"/>
  <c r="I166" i="15" s="1"/>
  <c r="A166" i="15"/>
  <c r="A167" i="15" s="1"/>
  <c r="I167" i="15" s="1"/>
  <c r="F165" i="15"/>
  <c r="H165" i="15" s="1"/>
  <c r="I165" i="15" s="1"/>
  <c r="H164" i="15"/>
  <c r="I164" i="15" s="1"/>
  <c r="H161" i="15"/>
  <c r="I161" i="15" s="1"/>
  <c r="F161" i="15"/>
  <c r="H160" i="15"/>
  <c r="I160" i="15" s="1"/>
  <c r="I159" i="15"/>
  <c r="H159" i="15"/>
  <c r="H158" i="15"/>
  <c r="I158" i="15" s="1"/>
  <c r="I157" i="15"/>
  <c r="H157" i="15"/>
  <c r="H156" i="15"/>
  <c r="I156" i="15" s="1"/>
  <c r="I155" i="15"/>
  <c r="H155" i="15"/>
  <c r="H154" i="15"/>
  <c r="I154" i="15" s="1"/>
  <c r="I150" i="15"/>
  <c r="H140" i="15"/>
  <c r="F139" i="15"/>
  <c r="H139" i="15" s="1"/>
  <c r="H138" i="15"/>
  <c r="H137" i="15"/>
  <c r="H136" i="15"/>
  <c r="H135" i="15"/>
  <c r="H134" i="15"/>
  <c r="H133" i="15"/>
  <c r="H132" i="15"/>
  <c r="H131" i="15"/>
  <c r="H124" i="15"/>
  <c r="I124" i="15" s="1"/>
  <c r="I122" i="15"/>
  <c r="H122" i="15"/>
  <c r="H119" i="15"/>
  <c r="I119" i="15" s="1"/>
  <c r="I118" i="15"/>
  <c r="H118" i="15"/>
  <c r="H117" i="15"/>
  <c r="I117" i="15" s="1"/>
  <c r="I115" i="15"/>
  <c r="H115" i="15"/>
  <c r="H114" i="15"/>
  <c r="I114" i="15" s="1"/>
  <c r="I113" i="15"/>
  <c r="H113" i="15"/>
  <c r="H112" i="15"/>
  <c r="I112" i="15" s="1"/>
  <c r="I111" i="15"/>
  <c r="H111" i="15"/>
  <c r="H110" i="15"/>
  <c r="I110" i="15" s="1"/>
  <c r="I109" i="15"/>
  <c r="H109" i="15"/>
  <c r="H108" i="15"/>
  <c r="I108" i="15" s="1"/>
  <c r="I107" i="15"/>
  <c r="H107" i="15"/>
  <c r="H106" i="15"/>
  <c r="I106" i="15" s="1"/>
  <c r="I105" i="15"/>
  <c r="H105" i="15"/>
  <c r="H104" i="15"/>
  <c r="I104" i="15" s="1"/>
  <c r="H99" i="15"/>
  <c r="I99" i="15" s="1"/>
  <c r="I96" i="15"/>
  <c r="H96" i="15"/>
  <c r="H95" i="15"/>
  <c r="I95" i="15" s="1"/>
  <c r="I94" i="15"/>
  <c r="H94" i="15"/>
  <c r="H92" i="15"/>
  <c r="I92" i="15" s="1"/>
  <c r="I91" i="15"/>
  <c r="H91" i="15"/>
  <c r="H90" i="15"/>
  <c r="I90" i="15" s="1"/>
  <c r="I89" i="15"/>
  <c r="H89" i="15"/>
  <c r="H88" i="15"/>
  <c r="I88" i="15" s="1"/>
  <c r="I87" i="15"/>
  <c r="H87" i="15"/>
  <c r="H86" i="15"/>
  <c r="I86" i="15" s="1"/>
  <c r="I85" i="15"/>
  <c r="H85" i="15"/>
  <c r="H84" i="15"/>
  <c r="I84" i="15" s="1"/>
  <c r="I83" i="15"/>
  <c r="H83" i="15"/>
  <c r="H82" i="15"/>
  <c r="I82" i="15" s="1"/>
  <c r="I81" i="15"/>
  <c r="H81" i="15"/>
  <c r="G78" i="15"/>
  <c r="H103" i="15" s="1"/>
  <c r="I103" i="15" s="1"/>
  <c r="I64" i="15"/>
  <c r="H64" i="15"/>
  <c r="H63" i="15"/>
  <c r="F63" i="15"/>
  <c r="H62" i="15"/>
  <c r="I62" i="15" s="1"/>
  <c r="F58" i="15"/>
  <c r="H58" i="15" s="1"/>
  <c r="A58" i="15"/>
  <c r="F57" i="15"/>
  <c r="H57" i="15" s="1"/>
  <c r="I57" i="15" s="1"/>
  <c r="F56" i="15"/>
  <c r="H56" i="15" s="1"/>
  <c r="I56" i="15" s="1"/>
  <c r="I55" i="15"/>
  <c r="H55" i="15"/>
  <c r="F55" i="15"/>
  <c r="A55" i="15"/>
  <c r="I54" i="15"/>
  <c r="H54" i="15"/>
  <c r="F54" i="15"/>
  <c r="H53" i="15"/>
  <c r="I53" i="15" s="1"/>
  <c r="F53" i="15"/>
  <c r="F52" i="15"/>
  <c r="H52" i="15" s="1"/>
  <c r="I52" i="15" s="1"/>
  <c r="F51" i="15"/>
  <c r="H51" i="15" s="1"/>
  <c r="I51" i="15" s="1"/>
  <c r="I50" i="15"/>
  <c r="H50" i="15"/>
  <c r="F50" i="15"/>
  <c r="H49" i="15"/>
  <c r="I49" i="15" s="1"/>
  <c r="F49" i="15"/>
  <c r="A49" i="15"/>
  <c r="H48" i="15"/>
  <c r="I48" i="15" s="1"/>
  <c r="F48" i="15"/>
  <c r="F47" i="15"/>
  <c r="H47" i="15" s="1"/>
  <c r="I47" i="15" s="1"/>
  <c r="F46" i="15"/>
  <c r="H46" i="15" s="1"/>
  <c r="I46" i="15" s="1"/>
  <c r="H45" i="15"/>
  <c r="F45" i="15"/>
  <c r="I44" i="15"/>
  <c r="H44" i="15"/>
  <c r="F44" i="15"/>
  <c r="A44" i="15"/>
  <c r="H43" i="15"/>
  <c r="F43" i="15"/>
  <c r="I42" i="15"/>
  <c r="H42" i="15"/>
  <c r="F42" i="15"/>
  <c r="F33" i="15"/>
  <c r="H33" i="15" s="1"/>
  <c r="I33" i="15" s="1"/>
  <c r="S33" i="15" s="1"/>
  <c r="H32" i="15"/>
  <c r="I32" i="15" s="1"/>
  <c r="S32" i="15" s="1"/>
  <c r="S31" i="15"/>
  <c r="I31" i="15"/>
  <c r="H31" i="15"/>
  <c r="I30" i="15"/>
  <c r="S30" i="15" s="1"/>
  <c r="H30" i="15"/>
  <c r="H29" i="15"/>
  <c r="I29" i="15" s="1"/>
  <c r="S29" i="15" s="1"/>
  <c r="S36" i="15" s="1"/>
  <c r="S38" i="15" s="1"/>
  <c r="H28" i="15"/>
  <c r="I28" i="15" s="1"/>
  <c r="O28" i="15" s="1"/>
  <c r="M27" i="15"/>
  <c r="I27" i="15"/>
  <c r="H27" i="15"/>
  <c r="I26" i="15"/>
  <c r="O26" i="15" s="1"/>
  <c r="H26" i="15"/>
  <c r="H25" i="15"/>
  <c r="I25" i="15" s="1"/>
  <c r="R25" i="15" s="1"/>
  <c r="H24" i="15"/>
  <c r="I24" i="15" s="1"/>
  <c r="R24" i="15" s="1"/>
  <c r="R23" i="15"/>
  <c r="I23" i="15"/>
  <c r="H23" i="15"/>
  <c r="I22" i="15"/>
  <c r="N22" i="15" s="1"/>
  <c r="H22" i="15"/>
  <c r="H21" i="15"/>
  <c r="I21" i="15" s="1"/>
  <c r="N21" i="15" s="1"/>
  <c r="H20" i="15"/>
  <c r="I20" i="15" s="1"/>
  <c r="N20" i="15" s="1"/>
  <c r="N19" i="15"/>
  <c r="N36" i="15" s="1"/>
  <c r="N38" i="15" s="1"/>
  <c r="I19" i="15"/>
  <c r="H19" i="15"/>
  <c r="I18" i="15"/>
  <c r="O18" i="15" s="1"/>
  <c r="H18" i="15"/>
  <c r="H17" i="15"/>
  <c r="I17" i="15" s="1"/>
  <c r="O17" i="15" s="1"/>
  <c r="A17" i="15"/>
  <c r="H16" i="15"/>
  <c r="I16" i="15" s="1"/>
  <c r="O16" i="15" s="1"/>
  <c r="H15" i="15"/>
  <c r="H14" i="15"/>
  <c r="A14" i="15"/>
  <c r="I14" i="15" s="1"/>
  <c r="O14" i="15" s="1"/>
  <c r="H13" i="15"/>
  <c r="A13" i="15"/>
  <c r="I13" i="15" s="1"/>
  <c r="R13" i="15" s="1"/>
  <c r="H12" i="15"/>
  <c r="I12" i="15" s="1"/>
  <c r="R12" i="15" s="1"/>
  <c r="R11" i="15"/>
  <c r="I11" i="15"/>
  <c r="H11" i="15"/>
  <c r="I10" i="15"/>
  <c r="R10" i="15" s="1"/>
  <c r="H10" i="15"/>
  <c r="H9" i="15"/>
  <c r="I9" i="15" s="1"/>
  <c r="R9" i="15" s="1"/>
  <c r="H8" i="15"/>
  <c r="I8" i="15" s="1"/>
  <c r="R8" i="15" s="1"/>
  <c r="R7" i="15"/>
  <c r="I7" i="15"/>
  <c r="H7" i="15"/>
  <c r="A6" i="15"/>
  <c r="I5" i="15"/>
  <c r="H5" i="15"/>
  <c r="J4" i="15"/>
  <c r="H4" i="15"/>
  <c r="A4" i="15"/>
  <c r="I4" i="15" s="1"/>
  <c r="F179" i="14"/>
  <c r="H179" i="14" s="1"/>
  <c r="I179" i="14" s="1"/>
  <c r="F178" i="14"/>
  <c r="H178" i="14" s="1"/>
  <c r="I178" i="14" s="1"/>
  <c r="H177" i="14"/>
  <c r="I177" i="14" s="1"/>
  <c r="H176" i="14"/>
  <c r="I176" i="14" s="1"/>
  <c r="H175" i="14"/>
  <c r="I175" i="14" s="1"/>
  <c r="H170" i="14"/>
  <c r="A170" i="14"/>
  <c r="I170" i="14" s="1"/>
  <c r="H169" i="14"/>
  <c r="A169" i="14"/>
  <c r="I169" i="14" s="1"/>
  <c r="F168" i="14"/>
  <c r="H168" i="14" s="1"/>
  <c r="I168" i="14" s="1"/>
  <c r="H167" i="14"/>
  <c r="F167" i="14"/>
  <c r="H166" i="14"/>
  <c r="I166" i="14" s="1"/>
  <c r="A166" i="14"/>
  <c r="A167" i="14" s="1"/>
  <c r="I167" i="14" s="1"/>
  <c r="F165" i="14"/>
  <c r="H165" i="14" s="1"/>
  <c r="I165" i="14" s="1"/>
  <c r="H164" i="14"/>
  <c r="I164" i="14" s="1"/>
  <c r="H161" i="14"/>
  <c r="I161" i="14" s="1"/>
  <c r="F161" i="14"/>
  <c r="H160" i="14"/>
  <c r="I160" i="14" s="1"/>
  <c r="I159" i="14"/>
  <c r="H159" i="14"/>
  <c r="H158" i="14"/>
  <c r="I158" i="14" s="1"/>
  <c r="I157" i="14"/>
  <c r="H157" i="14"/>
  <c r="H156" i="14"/>
  <c r="I156" i="14" s="1"/>
  <c r="I155" i="14"/>
  <c r="H155" i="14"/>
  <c r="H154" i="14"/>
  <c r="I154" i="14" s="1"/>
  <c r="I150" i="14"/>
  <c r="H140" i="14"/>
  <c r="F139" i="14"/>
  <c r="H139" i="14" s="1"/>
  <c r="H138" i="14"/>
  <c r="H137" i="14"/>
  <c r="H136" i="14"/>
  <c r="H135" i="14"/>
  <c r="H134" i="14"/>
  <c r="H133" i="14"/>
  <c r="H132" i="14"/>
  <c r="H131" i="14"/>
  <c r="H124" i="14"/>
  <c r="I124" i="14" s="1"/>
  <c r="I122" i="14"/>
  <c r="H122" i="14"/>
  <c r="H119" i="14"/>
  <c r="I119" i="14" s="1"/>
  <c r="I118" i="14"/>
  <c r="H118" i="14"/>
  <c r="H117" i="14"/>
  <c r="I117" i="14" s="1"/>
  <c r="I115" i="14"/>
  <c r="H115" i="14"/>
  <c r="H114" i="14"/>
  <c r="I114" i="14" s="1"/>
  <c r="I113" i="14"/>
  <c r="H113" i="14"/>
  <c r="H112" i="14"/>
  <c r="I112" i="14" s="1"/>
  <c r="I111" i="14"/>
  <c r="H111" i="14"/>
  <c r="H110" i="14"/>
  <c r="I110" i="14" s="1"/>
  <c r="I109" i="14"/>
  <c r="H109" i="14"/>
  <c r="H108" i="14"/>
  <c r="I108" i="14" s="1"/>
  <c r="I107" i="14"/>
  <c r="H107" i="14"/>
  <c r="H106" i="14"/>
  <c r="I106" i="14" s="1"/>
  <c r="I105" i="14"/>
  <c r="H105" i="14"/>
  <c r="H104" i="14"/>
  <c r="I104" i="14" s="1"/>
  <c r="H99" i="14"/>
  <c r="I99" i="14" s="1"/>
  <c r="I96" i="14"/>
  <c r="H96" i="14"/>
  <c r="H95" i="14"/>
  <c r="I95" i="14" s="1"/>
  <c r="I94" i="14"/>
  <c r="H94" i="14"/>
  <c r="H92" i="14"/>
  <c r="I92" i="14" s="1"/>
  <c r="I91" i="14"/>
  <c r="H91" i="14"/>
  <c r="H90" i="14"/>
  <c r="I90" i="14" s="1"/>
  <c r="I89" i="14"/>
  <c r="H89" i="14"/>
  <c r="H88" i="14"/>
  <c r="I88" i="14" s="1"/>
  <c r="I87" i="14"/>
  <c r="H87" i="14"/>
  <c r="H86" i="14"/>
  <c r="I86" i="14" s="1"/>
  <c r="I85" i="14"/>
  <c r="H85" i="14"/>
  <c r="H84" i="14"/>
  <c r="I84" i="14" s="1"/>
  <c r="I83" i="14"/>
  <c r="H83" i="14"/>
  <c r="H82" i="14"/>
  <c r="I82" i="14" s="1"/>
  <c r="I81" i="14"/>
  <c r="I126" i="14" s="1"/>
  <c r="Q126" i="14" s="1"/>
  <c r="Q38" i="14" s="1"/>
  <c r="H81" i="14"/>
  <c r="G78" i="14"/>
  <c r="H103" i="14" s="1"/>
  <c r="I103" i="14" s="1"/>
  <c r="I64" i="14"/>
  <c r="F63" i="14"/>
  <c r="H63" i="14" s="1"/>
  <c r="H62" i="14"/>
  <c r="I62" i="14" s="1"/>
  <c r="F58" i="14"/>
  <c r="H58" i="14" s="1"/>
  <c r="I58" i="14" s="1"/>
  <c r="I57" i="14"/>
  <c r="H57" i="14"/>
  <c r="F57" i="14"/>
  <c r="H56" i="14"/>
  <c r="I56" i="14" s="1"/>
  <c r="F56" i="14"/>
  <c r="F55" i="14"/>
  <c r="H55" i="14" s="1"/>
  <c r="A55" i="14"/>
  <c r="F54" i="14"/>
  <c r="H54" i="14" s="1"/>
  <c r="I54" i="14" s="1"/>
  <c r="F53" i="14"/>
  <c r="H53" i="14" s="1"/>
  <c r="I53" i="14" s="1"/>
  <c r="I52" i="14"/>
  <c r="H52" i="14"/>
  <c r="F52" i="14"/>
  <c r="H51" i="14"/>
  <c r="I51" i="14" s="1"/>
  <c r="F51" i="14"/>
  <c r="F50" i="14"/>
  <c r="H50" i="14" s="1"/>
  <c r="I50" i="14" s="1"/>
  <c r="F49" i="14"/>
  <c r="H49" i="14" s="1"/>
  <c r="A49" i="14"/>
  <c r="F48" i="14"/>
  <c r="H48" i="14" s="1"/>
  <c r="I48" i="14" s="1"/>
  <c r="I47" i="14"/>
  <c r="H47" i="14"/>
  <c r="F47" i="14"/>
  <c r="H46" i="14"/>
  <c r="I46" i="14" s="1"/>
  <c r="F46" i="14"/>
  <c r="F45" i="14"/>
  <c r="H45" i="14" s="1"/>
  <c r="F44" i="14"/>
  <c r="H44" i="14" s="1"/>
  <c r="A44" i="14"/>
  <c r="I44" i="14" s="1"/>
  <c r="F43" i="14"/>
  <c r="H43" i="14" s="1"/>
  <c r="F42" i="14"/>
  <c r="H42" i="14" s="1"/>
  <c r="I42" i="14" s="1"/>
  <c r="I33" i="14"/>
  <c r="S33" i="14" s="1"/>
  <c r="H33" i="14"/>
  <c r="F33" i="14"/>
  <c r="I32" i="14"/>
  <c r="S32" i="14" s="1"/>
  <c r="H32" i="14"/>
  <c r="H31" i="14"/>
  <c r="I31" i="14" s="1"/>
  <c r="S31" i="14" s="1"/>
  <c r="H30" i="14"/>
  <c r="I30" i="14" s="1"/>
  <c r="S30" i="14" s="1"/>
  <c r="H29" i="14"/>
  <c r="I29" i="14" s="1"/>
  <c r="S29" i="14" s="1"/>
  <c r="I28" i="14"/>
  <c r="O28" i="14" s="1"/>
  <c r="H28" i="14"/>
  <c r="M27" i="14"/>
  <c r="H27" i="14"/>
  <c r="I27" i="14" s="1"/>
  <c r="H26" i="14"/>
  <c r="I26" i="14" s="1"/>
  <c r="O26" i="14" s="1"/>
  <c r="H25" i="14"/>
  <c r="I25" i="14" s="1"/>
  <c r="R25" i="14" s="1"/>
  <c r="I24" i="14"/>
  <c r="R24" i="14" s="1"/>
  <c r="H24" i="14"/>
  <c r="H23" i="14"/>
  <c r="I23" i="14" s="1"/>
  <c r="R23" i="14" s="1"/>
  <c r="H22" i="14"/>
  <c r="I22" i="14" s="1"/>
  <c r="N22" i="14" s="1"/>
  <c r="H21" i="14"/>
  <c r="I21" i="14" s="1"/>
  <c r="N21" i="14" s="1"/>
  <c r="I20" i="14"/>
  <c r="N20" i="14" s="1"/>
  <c r="H20" i="14"/>
  <c r="A20" i="14"/>
  <c r="I19" i="14"/>
  <c r="N19" i="14" s="1"/>
  <c r="H19" i="14"/>
  <c r="H18" i="14"/>
  <c r="I18" i="14" s="1"/>
  <c r="O18" i="14" s="1"/>
  <c r="H17" i="14"/>
  <c r="A17" i="14"/>
  <c r="I17" i="14" s="1"/>
  <c r="O17" i="14" s="1"/>
  <c r="H16" i="14"/>
  <c r="I16" i="14" s="1"/>
  <c r="O16" i="14" s="1"/>
  <c r="H15" i="14"/>
  <c r="H14" i="14"/>
  <c r="A14" i="14"/>
  <c r="I14" i="14" s="1"/>
  <c r="O14" i="14" s="1"/>
  <c r="H13" i="14"/>
  <c r="A13" i="14"/>
  <c r="I13" i="14" s="1"/>
  <c r="R13" i="14" s="1"/>
  <c r="H12" i="14"/>
  <c r="I12" i="14" s="1"/>
  <c r="R12" i="14" s="1"/>
  <c r="I11" i="14"/>
  <c r="R11" i="14" s="1"/>
  <c r="H11" i="14"/>
  <c r="H10" i="14"/>
  <c r="I10" i="14" s="1"/>
  <c r="R10" i="14" s="1"/>
  <c r="H9" i="14"/>
  <c r="I9" i="14" s="1"/>
  <c r="R9" i="14" s="1"/>
  <c r="H8" i="14"/>
  <c r="I8" i="14" s="1"/>
  <c r="R8" i="14" s="1"/>
  <c r="I7" i="14"/>
  <c r="R7" i="14" s="1"/>
  <c r="H7" i="14"/>
  <c r="J6" i="14"/>
  <c r="F6" i="14"/>
  <c r="H6" i="14" s="1"/>
  <c r="I6" i="14" s="1"/>
  <c r="M6" i="14" s="1"/>
  <c r="A6" i="14"/>
  <c r="A45" i="14" s="1"/>
  <c r="I45" i="14" s="1"/>
  <c r="I5" i="14"/>
  <c r="H5" i="14"/>
  <c r="J4" i="14"/>
  <c r="I4" i="14"/>
  <c r="H4" i="14"/>
  <c r="AA922" i="13"/>
  <c r="Z922" i="13"/>
  <c r="Y922" i="13"/>
  <c r="X922" i="13"/>
  <c r="W922" i="13"/>
  <c r="V922" i="13"/>
  <c r="U922" i="13"/>
  <c r="T922" i="13"/>
  <c r="S922" i="13"/>
  <c r="R922" i="13"/>
  <c r="Q922" i="13"/>
  <c r="P922" i="13"/>
  <c r="O922" i="13"/>
  <c r="N922" i="13"/>
  <c r="K922" i="13"/>
  <c r="A922" i="13"/>
  <c r="AA467" i="13"/>
  <c r="Z467" i="13"/>
  <c r="Y467" i="13"/>
  <c r="X467" i="13"/>
  <c r="W467" i="13"/>
  <c r="V467" i="13"/>
  <c r="U467" i="13"/>
  <c r="T467" i="13"/>
  <c r="S467" i="13"/>
  <c r="R467" i="13"/>
  <c r="Q467" i="13"/>
  <c r="P467" i="13"/>
  <c r="O467" i="13"/>
  <c r="N467" i="13"/>
  <c r="K467" i="13"/>
  <c r="I467" i="13"/>
  <c r="AA466" i="13"/>
  <c r="Z466" i="13"/>
  <c r="Y466" i="13"/>
  <c r="X466" i="13"/>
  <c r="W466" i="13"/>
  <c r="V466" i="13"/>
  <c r="U466" i="13"/>
  <c r="T466" i="13"/>
  <c r="S466" i="13"/>
  <c r="R466" i="13"/>
  <c r="Q466" i="13"/>
  <c r="P466" i="13"/>
  <c r="O466" i="13"/>
  <c r="N466" i="13"/>
  <c r="G466" i="13"/>
  <c r="I466" i="13" s="1"/>
  <c r="AA465" i="13"/>
  <c r="Z465" i="13"/>
  <c r="Y465" i="13"/>
  <c r="X465" i="13"/>
  <c r="W465" i="13"/>
  <c r="V465" i="13"/>
  <c r="U465" i="13"/>
  <c r="T465" i="13"/>
  <c r="S465" i="13"/>
  <c r="R465" i="13"/>
  <c r="Q465" i="13"/>
  <c r="P465" i="13"/>
  <c r="O465" i="13"/>
  <c r="N465" i="13"/>
  <c r="I465" i="13"/>
  <c r="G465" i="13"/>
  <c r="AA464" i="13"/>
  <c r="Z464" i="13"/>
  <c r="Y464" i="13"/>
  <c r="X464" i="13"/>
  <c r="W464" i="13"/>
  <c r="V464" i="13"/>
  <c r="U464" i="13"/>
  <c r="T464" i="13"/>
  <c r="S464" i="13"/>
  <c r="R464" i="13"/>
  <c r="Q464" i="13"/>
  <c r="P464" i="13"/>
  <c r="O464" i="13"/>
  <c r="N464" i="13"/>
  <c r="I464" i="13"/>
  <c r="AA463" i="13"/>
  <c r="Z463" i="13"/>
  <c r="Y463" i="13"/>
  <c r="W463" i="13"/>
  <c r="V463" i="13"/>
  <c r="U463" i="13"/>
  <c r="T463" i="13"/>
  <c r="S463" i="13"/>
  <c r="R463" i="13"/>
  <c r="Q463" i="13"/>
  <c r="P463" i="13"/>
  <c r="O463" i="13"/>
  <c r="N463" i="13"/>
  <c r="K463" i="13"/>
  <c r="I463" i="13"/>
  <c r="AA462" i="13"/>
  <c r="Z462" i="13"/>
  <c r="Y462" i="13"/>
  <c r="W462" i="13"/>
  <c r="V462" i="13"/>
  <c r="U462" i="13"/>
  <c r="T462" i="13"/>
  <c r="S462" i="13"/>
  <c r="R462" i="13"/>
  <c r="Q462" i="13"/>
  <c r="P462" i="13"/>
  <c r="O462" i="13"/>
  <c r="N462" i="13"/>
  <c r="K462" i="13"/>
  <c r="I462" i="13"/>
  <c r="AA461" i="13"/>
  <c r="Z461" i="13"/>
  <c r="Y461" i="13"/>
  <c r="W461" i="13"/>
  <c r="V461" i="13"/>
  <c r="U461" i="13"/>
  <c r="T461" i="13"/>
  <c r="S461" i="13"/>
  <c r="R461" i="13"/>
  <c r="Q461" i="13"/>
  <c r="P461" i="13"/>
  <c r="O461" i="13"/>
  <c r="N461" i="13"/>
  <c r="K461" i="13"/>
  <c r="I461" i="13"/>
  <c r="AA460" i="13"/>
  <c r="Z460" i="13"/>
  <c r="Y460" i="13"/>
  <c r="X460" i="13"/>
  <c r="W460" i="13"/>
  <c r="V460" i="13"/>
  <c r="U460" i="13"/>
  <c r="T460" i="13"/>
  <c r="S460" i="13"/>
  <c r="R460" i="13"/>
  <c r="Q460" i="13"/>
  <c r="P460" i="13"/>
  <c r="O460" i="13"/>
  <c r="N460" i="13"/>
  <c r="I460" i="13"/>
  <c r="AA459" i="13"/>
  <c r="Z459" i="13"/>
  <c r="Y459" i="13"/>
  <c r="X459" i="13"/>
  <c r="W459" i="13"/>
  <c r="V459" i="13"/>
  <c r="U459" i="13"/>
  <c r="T459" i="13"/>
  <c r="S459" i="13"/>
  <c r="R459" i="13"/>
  <c r="Q459" i="13"/>
  <c r="P459" i="13"/>
  <c r="O459" i="13"/>
  <c r="N459" i="13"/>
  <c r="I459" i="13"/>
  <c r="AA458" i="13"/>
  <c r="Z458" i="13"/>
  <c r="Y458" i="13"/>
  <c r="X458" i="13"/>
  <c r="W458" i="13"/>
  <c r="V458" i="13"/>
  <c r="U458" i="13"/>
  <c r="T458" i="13"/>
  <c r="S458" i="13"/>
  <c r="R458" i="13"/>
  <c r="Q458" i="13"/>
  <c r="P458" i="13"/>
  <c r="O458" i="13"/>
  <c r="N458" i="13"/>
  <c r="K458" i="13"/>
  <c r="I458" i="13"/>
  <c r="AA457" i="13"/>
  <c r="Z457" i="13"/>
  <c r="Y457" i="13"/>
  <c r="X457" i="13"/>
  <c r="W457" i="13"/>
  <c r="V457" i="13"/>
  <c r="U457" i="13"/>
  <c r="T457" i="13"/>
  <c r="S457" i="13"/>
  <c r="R457" i="13"/>
  <c r="Q457" i="13"/>
  <c r="P457" i="13"/>
  <c r="O457" i="13"/>
  <c r="N457" i="13"/>
  <c r="I457" i="13"/>
  <c r="AA456" i="13"/>
  <c r="Z456" i="13"/>
  <c r="Y456" i="13"/>
  <c r="X456" i="13"/>
  <c r="W456" i="13"/>
  <c r="V456" i="13"/>
  <c r="U456" i="13"/>
  <c r="T456" i="13"/>
  <c r="S456" i="13"/>
  <c r="R456" i="13"/>
  <c r="Q456" i="13"/>
  <c r="P456" i="13"/>
  <c r="O456" i="13"/>
  <c r="N456" i="13"/>
  <c r="I456" i="13"/>
  <c r="AA455" i="13"/>
  <c r="Z455" i="13"/>
  <c r="Y455" i="13"/>
  <c r="X455" i="13"/>
  <c r="W455" i="13"/>
  <c r="V455" i="13"/>
  <c r="U455" i="13"/>
  <c r="T455" i="13"/>
  <c r="S455" i="13"/>
  <c r="R455" i="13"/>
  <c r="Q455" i="13"/>
  <c r="P455" i="13"/>
  <c r="O455" i="13"/>
  <c r="N455" i="13"/>
  <c r="I455" i="13"/>
  <c r="AA454" i="13"/>
  <c r="Z454" i="13"/>
  <c r="Y454" i="13"/>
  <c r="X454" i="13"/>
  <c r="W454" i="13"/>
  <c r="V454" i="13"/>
  <c r="U454" i="13"/>
  <c r="T454" i="13"/>
  <c r="S454" i="13"/>
  <c r="R454" i="13"/>
  <c r="Q454" i="13"/>
  <c r="P454" i="13"/>
  <c r="O454" i="13"/>
  <c r="N454" i="13"/>
  <c r="I454" i="13"/>
  <c r="AA453" i="13"/>
  <c r="Z453" i="13"/>
  <c r="Y453" i="13"/>
  <c r="X453" i="13"/>
  <c r="W453" i="13"/>
  <c r="V453" i="13"/>
  <c r="U453" i="13"/>
  <c r="T453" i="13"/>
  <c r="S453" i="13"/>
  <c r="R453" i="13"/>
  <c r="Q453" i="13"/>
  <c r="P453" i="13"/>
  <c r="O453" i="13"/>
  <c r="N453" i="13"/>
  <c r="I453" i="13"/>
  <c r="AA452" i="13"/>
  <c r="Z452" i="13"/>
  <c r="Y452" i="13"/>
  <c r="X452" i="13"/>
  <c r="W452" i="13"/>
  <c r="V452" i="13"/>
  <c r="U452" i="13"/>
  <c r="T452" i="13"/>
  <c r="S452" i="13"/>
  <c r="R452" i="13"/>
  <c r="Q452" i="13"/>
  <c r="P452" i="13"/>
  <c r="O452" i="13"/>
  <c r="N452" i="13"/>
  <c r="I452" i="13"/>
  <c r="AA451" i="13"/>
  <c r="Z451" i="13"/>
  <c r="Y451" i="13"/>
  <c r="X451" i="13"/>
  <c r="W451" i="13"/>
  <c r="V451" i="13"/>
  <c r="U451" i="13"/>
  <c r="T451" i="13"/>
  <c r="S451" i="13"/>
  <c r="R451" i="13"/>
  <c r="Q451" i="13"/>
  <c r="P451" i="13"/>
  <c r="O451" i="13"/>
  <c r="N451" i="13"/>
  <c r="I451" i="13"/>
  <c r="AA450" i="13"/>
  <c r="Z450" i="13"/>
  <c r="Y450" i="13"/>
  <c r="X450" i="13"/>
  <c r="W450" i="13"/>
  <c r="V450" i="13"/>
  <c r="U450" i="13"/>
  <c r="T450" i="13"/>
  <c r="S450" i="13"/>
  <c r="R450" i="13"/>
  <c r="Q450" i="13"/>
  <c r="P450" i="13"/>
  <c r="O450" i="13"/>
  <c r="N450" i="13"/>
  <c r="I450" i="13"/>
  <c r="AA449" i="13"/>
  <c r="Z449" i="13"/>
  <c r="Y449" i="13"/>
  <c r="X449" i="13"/>
  <c r="W449" i="13"/>
  <c r="V449" i="13"/>
  <c r="U449" i="13"/>
  <c r="T449" i="13"/>
  <c r="S449" i="13"/>
  <c r="R449" i="13"/>
  <c r="Q449" i="13"/>
  <c r="P449" i="13"/>
  <c r="O449" i="13"/>
  <c r="N449" i="13"/>
  <c r="I449" i="13"/>
  <c r="AA448" i="13"/>
  <c r="Z448" i="13"/>
  <c r="Y448" i="13"/>
  <c r="X448" i="13"/>
  <c r="W448" i="13"/>
  <c r="V448" i="13"/>
  <c r="U448" i="13"/>
  <c r="T448" i="13"/>
  <c r="S448" i="13"/>
  <c r="R448" i="13"/>
  <c r="Q448" i="13"/>
  <c r="P448" i="13"/>
  <c r="O448" i="13"/>
  <c r="N448" i="13"/>
  <c r="I448" i="13"/>
  <c r="AA447" i="13"/>
  <c r="Z447" i="13"/>
  <c r="Y447" i="13"/>
  <c r="X447" i="13"/>
  <c r="W447" i="13"/>
  <c r="V447" i="13"/>
  <c r="U447" i="13"/>
  <c r="T447" i="13"/>
  <c r="S447" i="13"/>
  <c r="R447" i="13"/>
  <c r="Q447" i="13"/>
  <c r="P447" i="13"/>
  <c r="O447" i="13"/>
  <c r="N447" i="13"/>
  <c r="K447" i="13"/>
  <c r="I447" i="13"/>
  <c r="AA446" i="13"/>
  <c r="Z446" i="13"/>
  <c r="Y446" i="13"/>
  <c r="X446" i="13"/>
  <c r="W446" i="13"/>
  <c r="V446" i="13"/>
  <c r="U446" i="13"/>
  <c r="T446" i="13"/>
  <c r="S446" i="13"/>
  <c r="R446" i="13"/>
  <c r="Q446" i="13"/>
  <c r="P446" i="13"/>
  <c r="O446" i="13"/>
  <c r="N446" i="13"/>
  <c r="I446" i="13"/>
  <c r="AA445" i="13"/>
  <c r="Z445" i="13"/>
  <c r="Y445" i="13"/>
  <c r="X445" i="13"/>
  <c r="W445" i="13"/>
  <c r="V445" i="13"/>
  <c r="U445" i="13"/>
  <c r="T445" i="13"/>
  <c r="S445" i="13"/>
  <c r="R445" i="13"/>
  <c r="Q445" i="13"/>
  <c r="P445" i="13"/>
  <c r="O445" i="13"/>
  <c r="N445" i="13"/>
  <c r="I445" i="13"/>
  <c r="AA444" i="13"/>
  <c r="Z444" i="13"/>
  <c r="Y444" i="13"/>
  <c r="X444" i="13"/>
  <c r="W444" i="13"/>
  <c r="V444" i="13"/>
  <c r="U444" i="13"/>
  <c r="T444" i="13"/>
  <c r="S444" i="13"/>
  <c r="R444" i="13"/>
  <c r="Q444" i="13"/>
  <c r="P444" i="13"/>
  <c r="O444" i="13"/>
  <c r="N444" i="13"/>
  <c r="I444" i="13"/>
  <c r="AA443" i="13"/>
  <c r="Z443" i="13"/>
  <c r="Y443" i="13"/>
  <c r="X443" i="13"/>
  <c r="W443" i="13"/>
  <c r="V443" i="13"/>
  <c r="U443" i="13"/>
  <c r="T443" i="13"/>
  <c r="S443" i="13"/>
  <c r="R443" i="13"/>
  <c r="Q443" i="13"/>
  <c r="P443" i="13"/>
  <c r="O443" i="13"/>
  <c r="N443" i="13"/>
  <c r="I443" i="13"/>
  <c r="AA442" i="13"/>
  <c r="Z442" i="13"/>
  <c r="Y442" i="13"/>
  <c r="X442" i="13"/>
  <c r="W442" i="13"/>
  <c r="V442" i="13"/>
  <c r="U442" i="13"/>
  <c r="T442" i="13"/>
  <c r="S442" i="13"/>
  <c r="R442" i="13"/>
  <c r="Q442" i="13"/>
  <c r="P442" i="13"/>
  <c r="O442" i="13"/>
  <c r="N442" i="13"/>
  <c r="I442" i="13"/>
  <c r="AA441" i="13"/>
  <c r="Z441" i="13"/>
  <c r="Y441" i="13"/>
  <c r="X441" i="13"/>
  <c r="W441" i="13"/>
  <c r="V441" i="13"/>
  <c r="U441" i="13"/>
  <c r="T441" i="13"/>
  <c r="S441" i="13"/>
  <c r="R441" i="13"/>
  <c r="Q441" i="13"/>
  <c r="P441" i="13"/>
  <c r="O441" i="13"/>
  <c r="N441" i="13"/>
  <c r="I441" i="13"/>
  <c r="AA440" i="13"/>
  <c r="Z440" i="13"/>
  <c r="Y440" i="13"/>
  <c r="X440" i="13"/>
  <c r="W440" i="13"/>
  <c r="V440" i="13"/>
  <c r="U440" i="13"/>
  <c r="T440" i="13"/>
  <c r="S440" i="13"/>
  <c r="R440" i="13"/>
  <c r="Q440" i="13"/>
  <c r="P440" i="13"/>
  <c r="O440" i="13"/>
  <c r="N440" i="13"/>
  <c r="I440" i="13"/>
  <c r="AA439" i="13"/>
  <c r="Z439" i="13"/>
  <c r="Y439" i="13"/>
  <c r="X439" i="13"/>
  <c r="W439" i="13"/>
  <c r="V439" i="13"/>
  <c r="U439" i="13"/>
  <c r="T439" i="13"/>
  <c r="S439" i="13"/>
  <c r="R439" i="13"/>
  <c r="Q439" i="13"/>
  <c r="P439" i="13"/>
  <c r="O439" i="13"/>
  <c r="N439" i="13"/>
  <c r="K439" i="13"/>
  <c r="I439" i="13"/>
  <c r="AA438" i="13"/>
  <c r="Z438" i="13"/>
  <c r="Y438" i="13"/>
  <c r="X438" i="13"/>
  <c r="W438" i="13"/>
  <c r="V438" i="13"/>
  <c r="U438" i="13"/>
  <c r="T438" i="13"/>
  <c r="S438" i="13"/>
  <c r="R438" i="13"/>
  <c r="Q438" i="13"/>
  <c r="P438" i="13"/>
  <c r="O438" i="13"/>
  <c r="N438" i="13"/>
  <c r="K438" i="13"/>
  <c r="I438" i="13"/>
  <c r="AA437" i="13"/>
  <c r="Z437" i="13"/>
  <c r="Y437" i="13"/>
  <c r="X437" i="13"/>
  <c r="W437" i="13"/>
  <c r="V437" i="13"/>
  <c r="U437" i="13"/>
  <c r="T437" i="13"/>
  <c r="S437" i="13"/>
  <c r="R437" i="13"/>
  <c r="Q437" i="13"/>
  <c r="P437" i="13"/>
  <c r="O437" i="13"/>
  <c r="N437" i="13"/>
  <c r="I437" i="13"/>
  <c r="AA436" i="13"/>
  <c r="Z436" i="13"/>
  <c r="Y436" i="13"/>
  <c r="X436" i="13"/>
  <c r="W436" i="13"/>
  <c r="V436" i="13"/>
  <c r="U436" i="13"/>
  <c r="T436" i="13"/>
  <c r="S436" i="13"/>
  <c r="R436" i="13"/>
  <c r="Q436" i="13"/>
  <c r="P436" i="13"/>
  <c r="O436" i="13"/>
  <c r="N436" i="13"/>
  <c r="I436" i="13"/>
  <c r="AA435" i="13"/>
  <c r="Z435" i="13"/>
  <c r="Y435" i="13"/>
  <c r="X435" i="13"/>
  <c r="W435" i="13"/>
  <c r="V435" i="13"/>
  <c r="U435" i="13"/>
  <c r="T435" i="13"/>
  <c r="S435" i="13"/>
  <c r="R435" i="13"/>
  <c r="Q435" i="13"/>
  <c r="P435" i="13"/>
  <c r="O435" i="13"/>
  <c r="N435" i="13"/>
  <c r="I435" i="13"/>
  <c r="AA434" i="13"/>
  <c r="Z434" i="13"/>
  <c r="Y434" i="13"/>
  <c r="X434" i="13"/>
  <c r="W434" i="13"/>
  <c r="V434" i="13"/>
  <c r="U434" i="13"/>
  <c r="T434" i="13"/>
  <c r="S434" i="13"/>
  <c r="R434" i="13"/>
  <c r="Q434" i="13"/>
  <c r="P434" i="13"/>
  <c r="O434" i="13"/>
  <c r="N434" i="13"/>
  <c r="I434" i="13"/>
  <c r="AA433" i="13"/>
  <c r="Z433" i="13"/>
  <c r="Y433" i="13"/>
  <c r="X433" i="13"/>
  <c r="W433" i="13"/>
  <c r="V433" i="13"/>
  <c r="U433" i="13"/>
  <c r="T433" i="13"/>
  <c r="S433" i="13"/>
  <c r="R433" i="13"/>
  <c r="Q433" i="13"/>
  <c r="P433" i="13"/>
  <c r="O433" i="13"/>
  <c r="N433" i="13"/>
  <c r="K433" i="13"/>
  <c r="I433" i="13"/>
  <c r="AA432" i="13"/>
  <c r="Z432" i="13"/>
  <c r="Y432" i="13"/>
  <c r="X432" i="13"/>
  <c r="W432" i="13"/>
  <c r="V432" i="13"/>
  <c r="U432" i="13"/>
  <c r="T432" i="13"/>
  <c r="S432" i="13"/>
  <c r="R432" i="13"/>
  <c r="Q432" i="13"/>
  <c r="P432" i="13"/>
  <c r="O432" i="13"/>
  <c r="N432" i="13"/>
  <c r="I432" i="13"/>
  <c r="AA431" i="13"/>
  <c r="Z431" i="13"/>
  <c r="Y431" i="13"/>
  <c r="X431" i="13"/>
  <c r="W431" i="13"/>
  <c r="V431" i="13"/>
  <c r="U431" i="13"/>
  <c r="T431" i="13"/>
  <c r="S431" i="13"/>
  <c r="R431" i="13"/>
  <c r="Q431" i="13"/>
  <c r="P431" i="13"/>
  <c r="O431" i="13"/>
  <c r="N431" i="13"/>
  <c r="K431" i="13"/>
  <c r="I431" i="13"/>
  <c r="AA430" i="13"/>
  <c r="Z430" i="13"/>
  <c r="Y430" i="13"/>
  <c r="W430" i="13"/>
  <c r="V430" i="13"/>
  <c r="U430" i="13"/>
  <c r="T430" i="13"/>
  <c r="S430" i="13"/>
  <c r="R430" i="13"/>
  <c r="Q430" i="13"/>
  <c r="P430" i="13"/>
  <c r="O430" i="13"/>
  <c r="N430" i="13"/>
  <c r="K430" i="13"/>
  <c r="I430" i="13"/>
  <c r="AA429" i="13"/>
  <c r="Z429" i="13"/>
  <c r="Y429" i="13"/>
  <c r="W429" i="13"/>
  <c r="V429" i="13"/>
  <c r="U429" i="13"/>
  <c r="T429" i="13"/>
  <c r="S429" i="13"/>
  <c r="R429" i="13"/>
  <c r="Q429" i="13"/>
  <c r="P429" i="13"/>
  <c r="O429" i="13"/>
  <c r="N429" i="13"/>
  <c r="K429" i="13"/>
  <c r="I429" i="13"/>
  <c r="AA428" i="13"/>
  <c r="Z428" i="13"/>
  <c r="Y428" i="13"/>
  <c r="X428" i="13"/>
  <c r="W428" i="13"/>
  <c r="V428" i="13"/>
  <c r="U428" i="13"/>
  <c r="T428" i="13"/>
  <c r="S428" i="13"/>
  <c r="R428" i="13"/>
  <c r="Q428" i="13"/>
  <c r="P428" i="13"/>
  <c r="O428" i="13"/>
  <c r="N428" i="13"/>
  <c r="I428" i="13"/>
  <c r="AA427" i="13"/>
  <c r="Z427" i="13"/>
  <c r="Y427" i="13"/>
  <c r="X427" i="13"/>
  <c r="W427" i="13"/>
  <c r="V427" i="13"/>
  <c r="U427" i="13"/>
  <c r="T427" i="13"/>
  <c r="S427" i="13"/>
  <c r="R427" i="13"/>
  <c r="Q427" i="13"/>
  <c r="P427" i="13"/>
  <c r="O427" i="13"/>
  <c r="N427" i="13"/>
  <c r="I427" i="13"/>
  <c r="AA426" i="13"/>
  <c r="Z426" i="13"/>
  <c r="Y426" i="13"/>
  <c r="X426" i="13"/>
  <c r="W426" i="13"/>
  <c r="V426" i="13"/>
  <c r="U426" i="13"/>
  <c r="T426" i="13"/>
  <c r="S426" i="13"/>
  <c r="R426" i="13"/>
  <c r="Q426" i="13"/>
  <c r="P426" i="13"/>
  <c r="O426" i="13"/>
  <c r="N426" i="13"/>
  <c r="G426" i="13"/>
  <c r="I426" i="13" s="1"/>
  <c r="AA425" i="13"/>
  <c r="Z425" i="13"/>
  <c r="Y425" i="13"/>
  <c r="X425" i="13"/>
  <c r="W425" i="13"/>
  <c r="V425" i="13"/>
  <c r="U425" i="13"/>
  <c r="T425" i="13"/>
  <c r="S425" i="13"/>
  <c r="R425" i="13"/>
  <c r="Q425" i="13"/>
  <c r="P425" i="13"/>
  <c r="O425" i="13"/>
  <c r="N425" i="13"/>
  <c r="I425" i="13"/>
  <c r="G425" i="13"/>
  <c r="AA424" i="13"/>
  <c r="Z424" i="13"/>
  <c r="Y424" i="13"/>
  <c r="X424" i="13"/>
  <c r="W424" i="13"/>
  <c r="V424" i="13"/>
  <c r="U424" i="13"/>
  <c r="T424" i="13"/>
  <c r="S424" i="13"/>
  <c r="R424" i="13"/>
  <c r="Q424" i="13"/>
  <c r="P424" i="13"/>
  <c r="O424" i="13"/>
  <c r="N424" i="13"/>
  <c r="K424" i="13"/>
  <c r="I424" i="13"/>
  <c r="AA423" i="13"/>
  <c r="Z423" i="13"/>
  <c r="Y423" i="13"/>
  <c r="X423" i="13"/>
  <c r="W423" i="13"/>
  <c r="V423" i="13"/>
  <c r="U423" i="13"/>
  <c r="T423" i="13"/>
  <c r="S423" i="13"/>
  <c r="R423" i="13"/>
  <c r="Q423" i="13"/>
  <c r="P423" i="13"/>
  <c r="O423" i="13"/>
  <c r="N423" i="13"/>
  <c r="K423" i="13"/>
  <c r="I423" i="13"/>
  <c r="AA422" i="13"/>
  <c r="Z422" i="13"/>
  <c r="Y422" i="13"/>
  <c r="X422" i="13"/>
  <c r="W422" i="13"/>
  <c r="V422" i="13"/>
  <c r="U422" i="13"/>
  <c r="T422" i="13"/>
  <c r="S422" i="13"/>
  <c r="R422" i="13"/>
  <c r="Q422" i="13"/>
  <c r="P422" i="13"/>
  <c r="O422" i="13"/>
  <c r="N422" i="13"/>
  <c r="K422" i="13"/>
  <c r="I422" i="13"/>
  <c r="AA421" i="13"/>
  <c r="Z421" i="13"/>
  <c r="Y421" i="13"/>
  <c r="X421" i="13"/>
  <c r="W421" i="13"/>
  <c r="V421" i="13"/>
  <c r="U421" i="13"/>
  <c r="T421" i="13"/>
  <c r="S421" i="13"/>
  <c r="R421" i="13"/>
  <c r="Q421" i="13"/>
  <c r="P421" i="13"/>
  <c r="O421" i="13"/>
  <c r="N421" i="13"/>
  <c r="K421" i="13"/>
  <c r="I421" i="13"/>
  <c r="AA420" i="13"/>
  <c r="Z420" i="13"/>
  <c r="Y420" i="13"/>
  <c r="X420" i="13"/>
  <c r="W420" i="13"/>
  <c r="V420" i="13"/>
  <c r="U420" i="13"/>
  <c r="T420" i="13"/>
  <c r="S420" i="13"/>
  <c r="R420" i="13"/>
  <c r="Q420" i="13"/>
  <c r="P420" i="13"/>
  <c r="O420" i="13"/>
  <c r="N420" i="13"/>
  <c r="K420" i="13"/>
  <c r="I420" i="13"/>
  <c r="AA419" i="13"/>
  <c r="Z419" i="13"/>
  <c r="Y419" i="13"/>
  <c r="X419" i="13"/>
  <c r="W419" i="13"/>
  <c r="V419" i="13"/>
  <c r="U419" i="13"/>
  <c r="T419" i="13"/>
  <c r="S419" i="13"/>
  <c r="R419" i="13"/>
  <c r="Q419" i="13"/>
  <c r="P419" i="13"/>
  <c r="O419" i="13"/>
  <c r="N419" i="13"/>
  <c r="K419" i="13"/>
  <c r="I419" i="13"/>
  <c r="AA418" i="13"/>
  <c r="Z418" i="13"/>
  <c r="Y418" i="13"/>
  <c r="W418" i="13"/>
  <c r="V418" i="13"/>
  <c r="U418" i="13"/>
  <c r="T418" i="13"/>
  <c r="S418" i="13"/>
  <c r="R418" i="13"/>
  <c r="Q418" i="13"/>
  <c r="P418" i="13"/>
  <c r="O418" i="13"/>
  <c r="N418" i="13"/>
  <c r="K418" i="13"/>
  <c r="I418" i="13"/>
  <c r="AA417" i="13"/>
  <c r="Z417" i="13"/>
  <c r="Y417" i="13"/>
  <c r="X417" i="13"/>
  <c r="W417" i="13"/>
  <c r="V417" i="13"/>
  <c r="U417" i="13"/>
  <c r="T417" i="13"/>
  <c r="S417" i="13"/>
  <c r="R417" i="13"/>
  <c r="Q417" i="13"/>
  <c r="P417" i="13"/>
  <c r="O417" i="13"/>
  <c r="N417" i="13"/>
  <c r="I417" i="13"/>
  <c r="AA416" i="13"/>
  <c r="Z416" i="13"/>
  <c r="Y416" i="13"/>
  <c r="X416" i="13"/>
  <c r="W416" i="13"/>
  <c r="V416" i="13"/>
  <c r="U416" i="13"/>
  <c r="T416" i="13"/>
  <c r="S416" i="13"/>
  <c r="R416" i="13"/>
  <c r="Q416" i="13"/>
  <c r="P416" i="13"/>
  <c r="O416" i="13"/>
  <c r="N416" i="13"/>
  <c r="G416" i="13"/>
  <c r="I416" i="13" s="1"/>
  <c r="AA415" i="13"/>
  <c r="Z415" i="13"/>
  <c r="Y415" i="13"/>
  <c r="X415" i="13"/>
  <c r="W415" i="13"/>
  <c r="V415" i="13"/>
  <c r="U415" i="13"/>
  <c r="T415" i="13"/>
  <c r="S415" i="13"/>
  <c r="R415" i="13"/>
  <c r="Q415" i="13"/>
  <c r="P415" i="13"/>
  <c r="O415" i="13"/>
  <c r="N415" i="13"/>
  <c r="I415" i="13"/>
  <c r="G415" i="13"/>
  <c r="AA414" i="13"/>
  <c r="Z414" i="13"/>
  <c r="Y414" i="13"/>
  <c r="X414" i="13"/>
  <c r="W414" i="13"/>
  <c r="V414" i="13"/>
  <c r="U414" i="13"/>
  <c r="T414" i="13"/>
  <c r="S414" i="13"/>
  <c r="R414" i="13"/>
  <c r="Q414" i="13"/>
  <c r="P414" i="13"/>
  <c r="O414" i="13"/>
  <c r="N414" i="13"/>
  <c r="I414" i="13"/>
  <c r="AA413" i="13"/>
  <c r="Z413" i="13"/>
  <c r="Y413" i="13"/>
  <c r="X413" i="13"/>
  <c r="W413" i="13"/>
  <c r="V413" i="13"/>
  <c r="U413" i="13"/>
  <c r="T413" i="13"/>
  <c r="S413" i="13"/>
  <c r="R413" i="13"/>
  <c r="Q413" i="13"/>
  <c r="P413" i="13"/>
  <c r="O413" i="13"/>
  <c r="N413" i="13"/>
  <c r="I413" i="13"/>
  <c r="AA412" i="13"/>
  <c r="Z412" i="13"/>
  <c r="Y412" i="13"/>
  <c r="X412" i="13"/>
  <c r="W412" i="13"/>
  <c r="V412" i="13"/>
  <c r="U412" i="13"/>
  <c r="T412" i="13"/>
  <c r="S412" i="13"/>
  <c r="R412" i="13"/>
  <c r="Q412" i="13"/>
  <c r="P412" i="13"/>
  <c r="O412" i="13"/>
  <c r="N412" i="13"/>
  <c r="I412" i="13"/>
  <c r="AA411" i="13"/>
  <c r="Z411" i="13"/>
  <c r="Y411" i="13"/>
  <c r="X411" i="13"/>
  <c r="W411" i="13"/>
  <c r="V411" i="13"/>
  <c r="U411" i="13"/>
  <c r="T411" i="13"/>
  <c r="S411" i="13"/>
  <c r="R411" i="13"/>
  <c r="Q411" i="13"/>
  <c r="P411" i="13"/>
  <c r="O411" i="13"/>
  <c r="N411" i="13"/>
  <c r="I411" i="13"/>
  <c r="AA410" i="13"/>
  <c r="Z410" i="13"/>
  <c r="Y410" i="13"/>
  <c r="X410" i="13"/>
  <c r="W410" i="13"/>
  <c r="V410" i="13"/>
  <c r="U410" i="13"/>
  <c r="T410" i="13"/>
  <c r="S410" i="13"/>
  <c r="R410" i="13"/>
  <c r="Q410" i="13"/>
  <c r="P410" i="13"/>
  <c r="O410" i="13"/>
  <c r="N410" i="13"/>
  <c r="G410" i="13"/>
  <c r="I410" i="13" s="1"/>
  <c r="AA409" i="13"/>
  <c r="Z409" i="13"/>
  <c r="Y409" i="13"/>
  <c r="X409" i="13"/>
  <c r="W409" i="13"/>
  <c r="V409" i="13"/>
  <c r="U409" i="13"/>
  <c r="T409" i="13"/>
  <c r="S409" i="13"/>
  <c r="R409" i="13"/>
  <c r="Q409" i="13"/>
  <c r="P409" i="13"/>
  <c r="O409" i="13"/>
  <c r="N409" i="13"/>
  <c r="G409" i="13"/>
  <c r="I409" i="13" s="1"/>
  <c r="AA408" i="13"/>
  <c r="Z408" i="13"/>
  <c r="Y408" i="13"/>
  <c r="X408" i="13"/>
  <c r="W408" i="13"/>
  <c r="V408" i="13"/>
  <c r="U408" i="13"/>
  <c r="T408" i="13"/>
  <c r="S408" i="13"/>
  <c r="R408" i="13"/>
  <c r="Q408" i="13"/>
  <c r="P408" i="13"/>
  <c r="O408" i="13"/>
  <c r="N408" i="13"/>
  <c r="G408" i="13"/>
  <c r="I408" i="13" s="1"/>
  <c r="AA407" i="13"/>
  <c r="Z407" i="13"/>
  <c r="Y407" i="13"/>
  <c r="X407" i="13"/>
  <c r="W407" i="13"/>
  <c r="V407" i="13"/>
  <c r="U407" i="13"/>
  <c r="T407" i="13"/>
  <c r="S407" i="13"/>
  <c r="R407" i="13"/>
  <c r="Q407" i="13"/>
  <c r="P407" i="13"/>
  <c r="O407" i="13"/>
  <c r="N407" i="13"/>
  <c r="I407" i="13"/>
  <c r="G407" i="13"/>
  <c r="AA406" i="13"/>
  <c r="Z406" i="13"/>
  <c r="Y406" i="13"/>
  <c r="X406" i="13"/>
  <c r="W406" i="13"/>
  <c r="V406" i="13"/>
  <c r="U406" i="13"/>
  <c r="T406" i="13"/>
  <c r="S406" i="13"/>
  <c r="R406" i="13"/>
  <c r="Q406" i="13"/>
  <c r="P406" i="13"/>
  <c r="O406" i="13"/>
  <c r="N406" i="13"/>
  <c r="G406" i="13"/>
  <c r="I406" i="13" s="1"/>
  <c r="AA405" i="13"/>
  <c r="Z405" i="13"/>
  <c r="Y405" i="13"/>
  <c r="X405" i="13"/>
  <c r="W405" i="13"/>
  <c r="V405" i="13"/>
  <c r="U405" i="13"/>
  <c r="T405" i="13"/>
  <c r="S405" i="13"/>
  <c r="R405" i="13"/>
  <c r="Q405" i="13"/>
  <c r="P405" i="13"/>
  <c r="O405" i="13"/>
  <c r="N405" i="13"/>
  <c r="G405" i="13"/>
  <c r="I405" i="13" s="1"/>
  <c r="AA404" i="13"/>
  <c r="Z404" i="13"/>
  <c r="Y404" i="13"/>
  <c r="X404" i="13"/>
  <c r="W404" i="13"/>
  <c r="V404" i="13"/>
  <c r="U404" i="13"/>
  <c r="T404" i="13"/>
  <c r="S404" i="13"/>
  <c r="R404" i="13"/>
  <c r="Q404" i="13"/>
  <c r="P404" i="13"/>
  <c r="O404" i="13"/>
  <c r="N404" i="13"/>
  <c r="G404" i="13"/>
  <c r="I404" i="13" s="1"/>
  <c r="AA403" i="13"/>
  <c r="Z403" i="13"/>
  <c r="Y403" i="13"/>
  <c r="X403" i="13"/>
  <c r="W403" i="13"/>
  <c r="V403" i="13"/>
  <c r="U403" i="13"/>
  <c r="T403" i="13"/>
  <c r="S403" i="13"/>
  <c r="R403" i="13"/>
  <c r="Q403" i="13"/>
  <c r="P403" i="13"/>
  <c r="O403" i="13"/>
  <c r="N403" i="13"/>
  <c r="I403" i="13"/>
  <c r="G403" i="13"/>
  <c r="AA402" i="13"/>
  <c r="Z402" i="13"/>
  <c r="Y402" i="13"/>
  <c r="X402" i="13"/>
  <c r="W402" i="13"/>
  <c r="V402" i="13"/>
  <c r="U402" i="13"/>
  <c r="T402" i="13"/>
  <c r="S402" i="13"/>
  <c r="R402" i="13"/>
  <c r="Q402" i="13"/>
  <c r="P402" i="13"/>
  <c r="O402" i="13"/>
  <c r="N402" i="13"/>
  <c r="G402" i="13"/>
  <c r="I402" i="13" s="1"/>
  <c r="AA401" i="13"/>
  <c r="Z401" i="13"/>
  <c r="Y401" i="13"/>
  <c r="X401" i="13"/>
  <c r="W401" i="13"/>
  <c r="V401" i="13"/>
  <c r="U401" i="13"/>
  <c r="T401" i="13"/>
  <c r="S401" i="13"/>
  <c r="R401" i="13"/>
  <c r="Q401" i="13"/>
  <c r="P401" i="13"/>
  <c r="O401" i="13"/>
  <c r="N401" i="13"/>
  <c r="G401" i="13"/>
  <c r="I401" i="13" s="1"/>
  <c r="AA400" i="13"/>
  <c r="Z400" i="13"/>
  <c r="Y400" i="13"/>
  <c r="X400" i="13"/>
  <c r="W400" i="13"/>
  <c r="V400" i="13"/>
  <c r="U400" i="13"/>
  <c r="T400" i="13"/>
  <c r="S400" i="13"/>
  <c r="R400" i="13"/>
  <c r="Q400" i="13"/>
  <c r="P400" i="13"/>
  <c r="O400" i="13"/>
  <c r="N400" i="13"/>
  <c r="G400" i="13"/>
  <c r="I400" i="13" s="1"/>
  <c r="AA399" i="13"/>
  <c r="Z399" i="13"/>
  <c r="Y399" i="13"/>
  <c r="X399" i="13"/>
  <c r="W399" i="13"/>
  <c r="V399" i="13"/>
  <c r="U399" i="13"/>
  <c r="T399" i="13"/>
  <c r="S399" i="13"/>
  <c r="R399" i="13"/>
  <c r="Q399" i="13"/>
  <c r="P399" i="13"/>
  <c r="O399" i="13"/>
  <c r="N399" i="13"/>
  <c r="I399" i="13"/>
  <c r="AA398" i="13"/>
  <c r="Z398" i="13"/>
  <c r="Y398" i="13"/>
  <c r="X398" i="13"/>
  <c r="W398" i="13"/>
  <c r="V398" i="13"/>
  <c r="U398" i="13"/>
  <c r="T398" i="13"/>
  <c r="S398" i="13"/>
  <c r="R398" i="13"/>
  <c r="Q398" i="13"/>
  <c r="P398" i="13"/>
  <c r="O398" i="13"/>
  <c r="N398" i="13"/>
  <c r="I398" i="13"/>
  <c r="G398" i="13"/>
  <c r="AA397" i="13"/>
  <c r="Z397" i="13"/>
  <c r="Y397" i="13"/>
  <c r="X397" i="13"/>
  <c r="W397" i="13"/>
  <c r="V397" i="13"/>
  <c r="U397" i="13"/>
  <c r="T397" i="13"/>
  <c r="S397" i="13"/>
  <c r="R397" i="13"/>
  <c r="Q397" i="13"/>
  <c r="P397" i="13"/>
  <c r="O397" i="13"/>
  <c r="N397" i="13"/>
  <c r="I397" i="13"/>
  <c r="AA396" i="13"/>
  <c r="Z396" i="13"/>
  <c r="Y396" i="13"/>
  <c r="X396" i="13"/>
  <c r="W396" i="13"/>
  <c r="V396" i="13"/>
  <c r="U396" i="13"/>
  <c r="T396" i="13"/>
  <c r="S396" i="13"/>
  <c r="R396" i="13"/>
  <c r="Q396" i="13"/>
  <c r="P396" i="13"/>
  <c r="O396" i="13"/>
  <c r="N396" i="13"/>
  <c r="I396" i="13"/>
  <c r="AA395" i="13"/>
  <c r="Z395" i="13"/>
  <c r="Y395" i="13"/>
  <c r="X395" i="13"/>
  <c r="W395" i="13"/>
  <c r="V395" i="13"/>
  <c r="U395" i="13"/>
  <c r="T395" i="13"/>
  <c r="S395" i="13"/>
  <c r="R395" i="13"/>
  <c r="Q395" i="13"/>
  <c r="P395" i="13"/>
  <c r="O395" i="13"/>
  <c r="N395" i="13"/>
  <c r="I395" i="13"/>
  <c r="AA394" i="13"/>
  <c r="Z394" i="13"/>
  <c r="Y394" i="13"/>
  <c r="X394" i="13"/>
  <c r="W394" i="13"/>
  <c r="V394" i="13"/>
  <c r="U394" i="13"/>
  <c r="T394" i="13"/>
  <c r="S394" i="13"/>
  <c r="R394" i="13"/>
  <c r="Q394" i="13"/>
  <c r="P394" i="13"/>
  <c r="O394" i="13"/>
  <c r="N394" i="13"/>
  <c r="I394" i="13"/>
  <c r="AA393" i="13"/>
  <c r="Z393" i="13"/>
  <c r="Y393" i="13"/>
  <c r="X393" i="13"/>
  <c r="W393" i="13"/>
  <c r="V393" i="13"/>
  <c r="U393" i="13"/>
  <c r="T393" i="13"/>
  <c r="S393" i="13"/>
  <c r="R393" i="13"/>
  <c r="Q393" i="13"/>
  <c r="P393" i="13"/>
  <c r="O393" i="13"/>
  <c r="N393" i="13"/>
  <c r="I393" i="13"/>
  <c r="AA392" i="13"/>
  <c r="Z392" i="13"/>
  <c r="Y392" i="13"/>
  <c r="X392" i="13"/>
  <c r="W392" i="13"/>
  <c r="V392" i="13"/>
  <c r="U392" i="13"/>
  <c r="T392" i="13"/>
  <c r="S392" i="13"/>
  <c r="R392" i="13"/>
  <c r="Q392" i="13"/>
  <c r="P392" i="13"/>
  <c r="O392" i="13"/>
  <c r="N392" i="13"/>
  <c r="G392" i="13"/>
  <c r="I392" i="13" s="1"/>
  <c r="AA391" i="13"/>
  <c r="Z391" i="13"/>
  <c r="Y391" i="13"/>
  <c r="X391" i="13"/>
  <c r="W391" i="13"/>
  <c r="V391" i="13"/>
  <c r="U391" i="13"/>
  <c r="T391" i="13"/>
  <c r="S391" i="13"/>
  <c r="R391" i="13"/>
  <c r="Q391" i="13"/>
  <c r="P391" i="13"/>
  <c r="O391" i="13"/>
  <c r="N391" i="13"/>
  <c r="I391" i="13"/>
  <c r="AA390" i="13"/>
  <c r="Z390" i="13"/>
  <c r="Y390" i="13"/>
  <c r="X390" i="13"/>
  <c r="W390" i="13"/>
  <c r="V390" i="13"/>
  <c r="U390" i="13"/>
  <c r="T390" i="13"/>
  <c r="S390" i="13"/>
  <c r="R390" i="13"/>
  <c r="Q390" i="13"/>
  <c r="P390" i="13"/>
  <c r="O390" i="13"/>
  <c r="N390" i="13"/>
  <c r="G390" i="13"/>
  <c r="I390" i="13" s="1"/>
  <c r="AA389" i="13"/>
  <c r="Z389" i="13"/>
  <c r="Y389" i="13"/>
  <c r="X389" i="13"/>
  <c r="W389" i="13"/>
  <c r="V389" i="13"/>
  <c r="U389" i="13"/>
  <c r="T389" i="13"/>
  <c r="S389" i="13"/>
  <c r="R389" i="13"/>
  <c r="Q389" i="13"/>
  <c r="P389" i="13"/>
  <c r="O389" i="13"/>
  <c r="N389" i="13"/>
  <c r="I389" i="13"/>
  <c r="AA388" i="13"/>
  <c r="Z388" i="13"/>
  <c r="Y388" i="13"/>
  <c r="X388" i="13"/>
  <c r="W388" i="13"/>
  <c r="V388" i="13"/>
  <c r="U388" i="13"/>
  <c r="T388" i="13"/>
  <c r="S388" i="13"/>
  <c r="R388" i="13"/>
  <c r="Q388" i="13"/>
  <c r="P388" i="13"/>
  <c r="O388" i="13"/>
  <c r="N388" i="13"/>
  <c r="K388" i="13"/>
  <c r="G388" i="13"/>
  <c r="I388" i="13" s="1"/>
  <c r="AA387" i="13"/>
  <c r="Z387" i="13"/>
  <c r="Y387" i="13"/>
  <c r="X387" i="13"/>
  <c r="W387" i="13"/>
  <c r="V387" i="13"/>
  <c r="U387" i="13"/>
  <c r="T387" i="13"/>
  <c r="S387" i="13"/>
  <c r="R387" i="13"/>
  <c r="Q387" i="13"/>
  <c r="P387" i="13"/>
  <c r="O387" i="13"/>
  <c r="N387" i="13"/>
  <c r="G387" i="13"/>
  <c r="I387" i="13" s="1"/>
  <c r="AA386" i="13"/>
  <c r="Z386" i="13"/>
  <c r="Y386" i="13"/>
  <c r="X386" i="13"/>
  <c r="W386" i="13"/>
  <c r="V386" i="13"/>
  <c r="U386" i="13"/>
  <c r="T386" i="13"/>
  <c r="S386" i="13"/>
  <c r="R386" i="13"/>
  <c r="Q386" i="13"/>
  <c r="P386" i="13"/>
  <c r="O386" i="13"/>
  <c r="N386" i="13"/>
  <c r="K386" i="13"/>
  <c r="G386" i="13"/>
  <c r="I386" i="13" s="1"/>
  <c r="AA385" i="13"/>
  <c r="Z385" i="13"/>
  <c r="Y385" i="13"/>
  <c r="X385" i="13"/>
  <c r="W385" i="13"/>
  <c r="V385" i="13"/>
  <c r="U385" i="13"/>
  <c r="T385" i="13"/>
  <c r="S385" i="13"/>
  <c r="R385" i="13"/>
  <c r="Q385" i="13"/>
  <c r="P385" i="13"/>
  <c r="O385" i="13"/>
  <c r="N385" i="13"/>
  <c r="G385" i="13"/>
  <c r="I385" i="13" s="1"/>
  <c r="AA384" i="13"/>
  <c r="Z384" i="13"/>
  <c r="Y384" i="13"/>
  <c r="X384" i="13"/>
  <c r="W384" i="13"/>
  <c r="V384" i="13"/>
  <c r="U384" i="13"/>
  <c r="T384" i="13"/>
  <c r="S384" i="13"/>
  <c r="R384" i="13"/>
  <c r="Q384" i="13"/>
  <c r="P384" i="13"/>
  <c r="O384" i="13"/>
  <c r="N384" i="13"/>
  <c r="I384" i="13"/>
  <c r="AA383" i="13"/>
  <c r="Z383" i="13"/>
  <c r="Y383" i="13"/>
  <c r="X383" i="13"/>
  <c r="W383" i="13"/>
  <c r="V383" i="13"/>
  <c r="U383" i="13"/>
  <c r="T383" i="13"/>
  <c r="S383" i="13"/>
  <c r="R383" i="13"/>
  <c r="Q383" i="13"/>
  <c r="P383" i="13"/>
  <c r="O383" i="13"/>
  <c r="N383" i="13"/>
  <c r="I383" i="13"/>
  <c r="AA382" i="13"/>
  <c r="Z382" i="13"/>
  <c r="Y382" i="13"/>
  <c r="X382" i="13"/>
  <c r="W382" i="13"/>
  <c r="V382" i="13"/>
  <c r="U382" i="13"/>
  <c r="T382" i="13"/>
  <c r="S382" i="13"/>
  <c r="R382" i="13"/>
  <c r="Q382" i="13"/>
  <c r="P382" i="13"/>
  <c r="O382" i="13"/>
  <c r="N382" i="13"/>
  <c r="K382" i="13"/>
  <c r="I382" i="13"/>
  <c r="AA381" i="13"/>
  <c r="Z381" i="13"/>
  <c r="Y381" i="13"/>
  <c r="X381" i="13"/>
  <c r="W381" i="13"/>
  <c r="V381" i="13"/>
  <c r="U381" i="13"/>
  <c r="T381" i="13"/>
  <c r="S381" i="13"/>
  <c r="R381" i="13"/>
  <c r="Q381" i="13"/>
  <c r="P381" i="13"/>
  <c r="O381" i="13"/>
  <c r="N381" i="13"/>
  <c r="G381" i="13"/>
  <c r="K381" i="13" s="1"/>
  <c r="AA380" i="13"/>
  <c r="Z380" i="13"/>
  <c r="Y380" i="13"/>
  <c r="X380" i="13"/>
  <c r="W380" i="13"/>
  <c r="V380" i="13"/>
  <c r="U380" i="13"/>
  <c r="T380" i="13"/>
  <c r="S380" i="13"/>
  <c r="R380" i="13"/>
  <c r="Q380" i="13"/>
  <c r="P380" i="13"/>
  <c r="O380" i="13"/>
  <c r="N380" i="13"/>
  <c r="K380" i="13"/>
  <c r="I380" i="13"/>
  <c r="G380" i="13"/>
  <c r="AA379" i="13"/>
  <c r="Z379" i="13"/>
  <c r="Y379" i="13"/>
  <c r="X379" i="13"/>
  <c r="W379" i="13"/>
  <c r="V379" i="13"/>
  <c r="U379" i="13"/>
  <c r="T379" i="13"/>
  <c r="S379" i="13"/>
  <c r="R379" i="13"/>
  <c r="Q379" i="13"/>
  <c r="P379" i="13"/>
  <c r="O379" i="13"/>
  <c r="N379" i="13"/>
  <c r="G379" i="13"/>
  <c r="K379" i="13" s="1"/>
  <c r="AA378" i="13"/>
  <c r="Z378" i="13"/>
  <c r="Y378" i="13"/>
  <c r="X378" i="13"/>
  <c r="W378" i="13"/>
  <c r="V378" i="13"/>
  <c r="U378" i="13"/>
  <c r="T378" i="13"/>
  <c r="S378" i="13"/>
  <c r="R378" i="13"/>
  <c r="Q378" i="13"/>
  <c r="P378" i="13"/>
  <c r="O378" i="13"/>
  <c r="N378" i="13"/>
  <c r="K378" i="13"/>
  <c r="I378" i="13"/>
  <c r="G378" i="13"/>
  <c r="AA377" i="13"/>
  <c r="Z377" i="13"/>
  <c r="Y377" i="13"/>
  <c r="X377" i="13"/>
  <c r="W377" i="13"/>
  <c r="V377" i="13"/>
  <c r="U377" i="13"/>
  <c r="T377" i="13"/>
  <c r="S377" i="13"/>
  <c r="R377" i="13"/>
  <c r="Q377" i="13"/>
  <c r="P377" i="13"/>
  <c r="O377" i="13"/>
  <c r="N377" i="13"/>
  <c r="K377" i="13"/>
  <c r="I377" i="13"/>
  <c r="AA376" i="13"/>
  <c r="Z376" i="13"/>
  <c r="Y376" i="13"/>
  <c r="X376" i="13"/>
  <c r="W376" i="13"/>
  <c r="V376" i="13"/>
  <c r="U376" i="13"/>
  <c r="T376" i="13"/>
  <c r="S376" i="13"/>
  <c r="R376" i="13"/>
  <c r="Q376" i="13"/>
  <c r="P376" i="13"/>
  <c r="O376" i="13"/>
  <c r="N376" i="13"/>
  <c r="I376" i="13"/>
  <c r="AA375" i="13"/>
  <c r="Z375" i="13"/>
  <c r="Y375" i="13"/>
  <c r="X375" i="13"/>
  <c r="W375" i="13"/>
  <c r="V375" i="13"/>
  <c r="U375" i="13"/>
  <c r="T375" i="13"/>
  <c r="S375" i="13"/>
  <c r="R375" i="13"/>
  <c r="Q375" i="13"/>
  <c r="P375" i="13"/>
  <c r="O375" i="13"/>
  <c r="N375" i="13"/>
  <c r="I375" i="13"/>
  <c r="AA374" i="13"/>
  <c r="Z374" i="13"/>
  <c r="Y374" i="13"/>
  <c r="X374" i="13"/>
  <c r="W374" i="13"/>
  <c r="V374" i="13"/>
  <c r="U374" i="13"/>
  <c r="T374" i="13"/>
  <c r="S374" i="13"/>
  <c r="R374" i="13"/>
  <c r="Q374" i="13"/>
  <c r="P374" i="13"/>
  <c r="O374" i="13"/>
  <c r="N374" i="13"/>
  <c r="I374" i="13"/>
  <c r="AA373" i="13"/>
  <c r="Z373" i="13"/>
  <c r="Y373" i="13"/>
  <c r="X373" i="13"/>
  <c r="W373" i="13"/>
  <c r="V373" i="13"/>
  <c r="U373" i="13"/>
  <c r="T373" i="13"/>
  <c r="S373" i="13"/>
  <c r="R373" i="13"/>
  <c r="Q373" i="13"/>
  <c r="P373" i="13"/>
  <c r="O373" i="13"/>
  <c r="N373" i="13"/>
  <c r="I373" i="13"/>
  <c r="AA372" i="13"/>
  <c r="Z372" i="13"/>
  <c r="Y372" i="13"/>
  <c r="X372" i="13"/>
  <c r="W372" i="13"/>
  <c r="V372" i="13"/>
  <c r="U372" i="13"/>
  <c r="T372" i="13"/>
  <c r="S372" i="13"/>
  <c r="R372" i="13"/>
  <c r="Q372" i="13"/>
  <c r="P372" i="13"/>
  <c r="O372" i="13"/>
  <c r="N372" i="13"/>
  <c r="I372" i="13"/>
  <c r="AA371" i="13"/>
  <c r="Z371" i="13"/>
  <c r="Y371" i="13"/>
  <c r="X371" i="13"/>
  <c r="W371" i="13"/>
  <c r="V371" i="13"/>
  <c r="U371" i="13"/>
  <c r="T371" i="13"/>
  <c r="S371" i="13"/>
  <c r="R371" i="13"/>
  <c r="Q371" i="13"/>
  <c r="P371" i="13"/>
  <c r="O371" i="13"/>
  <c r="N371" i="13"/>
  <c r="I371" i="13"/>
  <c r="G371" i="13"/>
  <c r="AA370" i="13"/>
  <c r="Z370" i="13"/>
  <c r="Y370" i="13"/>
  <c r="X370" i="13"/>
  <c r="W370" i="13"/>
  <c r="V370" i="13"/>
  <c r="U370" i="13"/>
  <c r="T370" i="13"/>
  <c r="S370" i="13"/>
  <c r="R370" i="13"/>
  <c r="Q370" i="13"/>
  <c r="P370" i="13"/>
  <c r="O370" i="13"/>
  <c r="N370" i="13"/>
  <c r="I370" i="13"/>
  <c r="AA369" i="13"/>
  <c r="Z369" i="13"/>
  <c r="Y369" i="13"/>
  <c r="X369" i="13"/>
  <c r="W369" i="13"/>
  <c r="V369" i="13"/>
  <c r="U369" i="13"/>
  <c r="T369" i="13"/>
  <c r="S369" i="13"/>
  <c r="R369" i="13"/>
  <c r="Q369" i="13"/>
  <c r="P369" i="13"/>
  <c r="O369" i="13"/>
  <c r="N369" i="13"/>
  <c r="I369" i="13"/>
  <c r="AA368" i="13"/>
  <c r="Z368" i="13"/>
  <c r="Y368" i="13"/>
  <c r="X368" i="13"/>
  <c r="W368" i="13"/>
  <c r="V368" i="13"/>
  <c r="U368" i="13"/>
  <c r="T368" i="13"/>
  <c r="S368" i="13"/>
  <c r="R368" i="13"/>
  <c r="Q368" i="13"/>
  <c r="P368" i="13"/>
  <c r="O368" i="13"/>
  <c r="N368" i="13"/>
  <c r="G368" i="13"/>
  <c r="I368" i="13" s="1"/>
  <c r="AA367" i="13"/>
  <c r="Z367" i="13"/>
  <c r="Y367" i="13"/>
  <c r="X367" i="13"/>
  <c r="W367" i="13"/>
  <c r="V367" i="13"/>
  <c r="U367" i="13"/>
  <c r="T367" i="13"/>
  <c r="S367" i="13"/>
  <c r="R367" i="13"/>
  <c r="Q367" i="13"/>
  <c r="P367" i="13"/>
  <c r="O367" i="13"/>
  <c r="N367" i="13"/>
  <c r="K367" i="13"/>
  <c r="I367" i="13"/>
  <c r="AA366" i="13"/>
  <c r="Z366" i="13"/>
  <c r="Y366" i="13"/>
  <c r="X366" i="13"/>
  <c r="W366" i="13"/>
  <c r="V366" i="13"/>
  <c r="U366" i="13"/>
  <c r="T366" i="13"/>
  <c r="S366" i="13"/>
  <c r="R366" i="13"/>
  <c r="Q366" i="13"/>
  <c r="P366" i="13"/>
  <c r="O366" i="13"/>
  <c r="N366" i="13"/>
  <c r="K366" i="13"/>
  <c r="I366" i="13"/>
  <c r="AA365" i="13"/>
  <c r="Z365" i="13"/>
  <c r="Y365" i="13"/>
  <c r="X365" i="13"/>
  <c r="W365" i="13"/>
  <c r="V365" i="13"/>
  <c r="U365" i="13"/>
  <c r="T365" i="13"/>
  <c r="S365" i="13"/>
  <c r="R365" i="13"/>
  <c r="Q365" i="13"/>
  <c r="P365" i="13"/>
  <c r="O365" i="13"/>
  <c r="N365" i="13"/>
  <c r="K365" i="13"/>
  <c r="I365" i="13"/>
  <c r="AA364" i="13"/>
  <c r="Z364" i="13"/>
  <c r="Y364" i="13"/>
  <c r="X364" i="13"/>
  <c r="W364" i="13"/>
  <c r="V364" i="13"/>
  <c r="U364" i="13"/>
  <c r="T364" i="13"/>
  <c r="S364" i="13"/>
  <c r="R364" i="13"/>
  <c r="Q364" i="13"/>
  <c r="P364" i="13"/>
  <c r="O364" i="13"/>
  <c r="N364" i="13"/>
  <c r="G364" i="13"/>
  <c r="I364" i="13" s="1"/>
  <c r="AA363" i="13"/>
  <c r="Z363" i="13"/>
  <c r="Y363" i="13"/>
  <c r="X363" i="13"/>
  <c r="W363" i="13"/>
  <c r="V363" i="13"/>
  <c r="U363" i="13"/>
  <c r="T363" i="13"/>
  <c r="S363" i="13"/>
  <c r="R363" i="13"/>
  <c r="Q363" i="13"/>
  <c r="P363" i="13"/>
  <c r="O363" i="13"/>
  <c r="N363" i="13"/>
  <c r="K363" i="13"/>
  <c r="J363" i="13"/>
  <c r="G363" i="13"/>
  <c r="I363" i="13" s="1"/>
  <c r="AA362" i="13"/>
  <c r="Z362" i="13"/>
  <c r="Y362" i="13"/>
  <c r="X362" i="13"/>
  <c r="W362" i="13"/>
  <c r="V362" i="13"/>
  <c r="U362" i="13"/>
  <c r="T362" i="13"/>
  <c r="S362" i="13"/>
  <c r="R362" i="13"/>
  <c r="Q362" i="13"/>
  <c r="P362" i="13"/>
  <c r="O362" i="13"/>
  <c r="N362" i="13"/>
  <c r="I362" i="13"/>
  <c r="G362" i="13"/>
  <c r="K362" i="13" s="1"/>
  <c r="AA361" i="13"/>
  <c r="Z361" i="13"/>
  <c r="Y361" i="13"/>
  <c r="X361" i="13"/>
  <c r="W361" i="13"/>
  <c r="V361" i="13"/>
  <c r="U361" i="13"/>
  <c r="T361" i="13"/>
  <c r="S361" i="13"/>
  <c r="R361" i="13"/>
  <c r="Q361" i="13"/>
  <c r="P361" i="13"/>
  <c r="O361" i="13"/>
  <c r="N361" i="13"/>
  <c r="I361" i="13"/>
  <c r="AA360" i="13"/>
  <c r="Z360" i="13"/>
  <c r="Y360" i="13"/>
  <c r="X360" i="13"/>
  <c r="W360" i="13"/>
  <c r="V360" i="13"/>
  <c r="U360" i="13"/>
  <c r="T360" i="13"/>
  <c r="S360" i="13"/>
  <c r="R360" i="13"/>
  <c r="Q360" i="13"/>
  <c r="P360" i="13"/>
  <c r="O360" i="13"/>
  <c r="N360" i="13"/>
  <c r="K360" i="13"/>
  <c r="I360" i="13"/>
  <c r="AA359" i="13"/>
  <c r="Z359" i="13"/>
  <c r="Y359" i="13"/>
  <c r="X359" i="13"/>
  <c r="W359" i="13"/>
  <c r="V359" i="13"/>
  <c r="U359" i="13"/>
  <c r="T359" i="13"/>
  <c r="S359" i="13"/>
  <c r="R359" i="13"/>
  <c r="Q359" i="13"/>
  <c r="P359" i="13"/>
  <c r="O359" i="13"/>
  <c r="N359" i="13"/>
  <c r="K359" i="13"/>
  <c r="I359" i="13"/>
  <c r="AA358" i="13"/>
  <c r="Z358" i="13"/>
  <c r="Y358" i="13"/>
  <c r="X358" i="13"/>
  <c r="W358" i="13"/>
  <c r="V358" i="13"/>
  <c r="U358" i="13"/>
  <c r="T358" i="13"/>
  <c r="S358" i="13"/>
  <c r="R358" i="13"/>
  <c r="Q358" i="13"/>
  <c r="P358" i="13"/>
  <c r="O358" i="13"/>
  <c r="N358" i="13"/>
  <c r="K358" i="13"/>
  <c r="I358" i="13"/>
  <c r="AA357" i="13"/>
  <c r="Z357" i="13"/>
  <c r="Y357" i="13"/>
  <c r="X357" i="13"/>
  <c r="W357" i="13"/>
  <c r="V357" i="13"/>
  <c r="U357" i="13"/>
  <c r="T357" i="13"/>
  <c r="S357" i="13"/>
  <c r="R357" i="13"/>
  <c r="Q357" i="13"/>
  <c r="P357" i="13"/>
  <c r="O357" i="13"/>
  <c r="N357" i="13"/>
  <c r="K357" i="13"/>
  <c r="I357" i="13"/>
  <c r="AA356" i="13"/>
  <c r="Z356" i="13"/>
  <c r="Y356" i="13"/>
  <c r="X356" i="13"/>
  <c r="W356" i="13"/>
  <c r="V356" i="13"/>
  <c r="U356" i="13"/>
  <c r="T356" i="13"/>
  <c r="S356" i="13"/>
  <c r="R356" i="13"/>
  <c r="Q356" i="13"/>
  <c r="P356" i="13"/>
  <c r="O356" i="13"/>
  <c r="N356" i="13"/>
  <c r="J356" i="13"/>
  <c r="K356" i="13" s="1"/>
  <c r="I356" i="13"/>
  <c r="AA355" i="13"/>
  <c r="Z355" i="13"/>
  <c r="Y355" i="13"/>
  <c r="X355" i="13"/>
  <c r="W355" i="13"/>
  <c r="V355" i="13"/>
  <c r="U355" i="13"/>
  <c r="T355" i="13"/>
  <c r="S355" i="13"/>
  <c r="R355" i="13"/>
  <c r="Q355" i="13"/>
  <c r="P355" i="13"/>
  <c r="O355" i="13"/>
  <c r="N355" i="13"/>
  <c r="J355" i="13"/>
  <c r="K355" i="13" s="1"/>
  <c r="I355" i="13"/>
  <c r="AA354" i="13"/>
  <c r="Z354" i="13"/>
  <c r="Y354" i="13"/>
  <c r="X354" i="13"/>
  <c r="W354" i="13"/>
  <c r="V354" i="13"/>
  <c r="U354" i="13"/>
  <c r="T354" i="13"/>
  <c r="S354" i="13"/>
  <c r="R354" i="13"/>
  <c r="Q354" i="13"/>
  <c r="P354" i="13"/>
  <c r="O354" i="13"/>
  <c r="N354" i="13"/>
  <c r="J354" i="13"/>
  <c r="K354" i="13" s="1"/>
  <c r="I354" i="13"/>
  <c r="AA353" i="13"/>
  <c r="Z353" i="13"/>
  <c r="Y353" i="13"/>
  <c r="X353" i="13"/>
  <c r="W353" i="13"/>
  <c r="V353" i="13"/>
  <c r="U353" i="13"/>
  <c r="T353" i="13"/>
  <c r="S353" i="13"/>
  <c r="R353" i="13"/>
  <c r="Q353" i="13"/>
  <c r="P353" i="13"/>
  <c r="O353" i="13"/>
  <c r="N353" i="13"/>
  <c r="G353" i="13"/>
  <c r="K353" i="13" s="1"/>
  <c r="AA352" i="13"/>
  <c r="Z352" i="13"/>
  <c r="Y352" i="13"/>
  <c r="X352" i="13"/>
  <c r="W352" i="13"/>
  <c r="V352" i="13"/>
  <c r="U352" i="13"/>
  <c r="T352" i="13"/>
  <c r="S352" i="13"/>
  <c r="R352" i="13"/>
  <c r="Q352" i="13"/>
  <c r="P352" i="13"/>
  <c r="O352" i="13"/>
  <c r="N352" i="13"/>
  <c r="K352" i="13"/>
  <c r="I352" i="13"/>
  <c r="G352" i="13"/>
  <c r="AA351" i="13"/>
  <c r="Z351" i="13"/>
  <c r="Y351" i="13"/>
  <c r="X351" i="13"/>
  <c r="W351" i="13"/>
  <c r="V351" i="13"/>
  <c r="U351" i="13"/>
  <c r="T351" i="13"/>
  <c r="S351" i="13"/>
  <c r="R351" i="13"/>
  <c r="Q351" i="13"/>
  <c r="P351" i="13"/>
  <c r="O351" i="13"/>
  <c r="N351" i="13"/>
  <c r="G351" i="13"/>
  <c r="K351" i="13" s="1"/>
  <c r="AA350" i="13"/>
  <c r="Z350" i="13"/>
  <c r="Y350" i="13"/>
  <c r="X350" i="13"/>
  <c r="W350" i="13"/>
  <c r="V350" i="13"/>
  <c r="U350" i="13"/>
  <c r="T350" i="13"/>
  <c r="S350" i="13"/>
  <c r="R350" i="13"/>
  <c r="Q350" i="13"/>
  <c r="P350" i="13"/>
  <c r="O350" i="13"/>
  <c r="N350" i="13"/>
  <c r="K350" i="13"/>
  <c r="I350" i="13"/>
  <c r="G350" i="13"/>
  <c r="AA349" i="13"/>
  <c r="Z349" i="13"/>
  <c r="Y349" i="13"/>
  <c r="X349" i="13"/>
  <c r="W349" i="13"/>
  <c r="V349" i="13"/>
  <c r="U349" i="13"/>
  <c r="T349" i="13"/>
  <c r="S349" i="13"/>
  <c r="R349" i="13"/>
  <c r="Q349" i="13"/>
  <c r="P349" i="13"/>
  <c r="O349" i="13"/>
  <c r="N349" i="13"/>
  <c r="K349" i="13"/>
  <c r="I349" i="13"/>
  <c r="AA348" i="13"/>
  <c r="Z348" i="13"/>
  <c r="Y348" i="13"/>
  <c r="X348" i="13"/>
  <c r="W348" i="13"/>
  <c r="V348" i="13"/>
  <c r="U348" i="13"/>
  <c r="T348" i="13"/>
  <c r="S348" i="13"/>
  <c r="R348" i="13"/>
  <c r="Q348" i="13"/>
  <c r="P348" i="13"/>
  <c r="O348" i="13"/>
  <c r="N348" i="13"/>
  <c r="AA347" i="13"/>
  <c r="Z347" i="13"/>
  <c r="Y347" i="13"/>
  <c r="X347" i="13"/>
  <c r="W347" i="13"/>
  <c r="V347" i="13"/>
  <c r="U347" i="13"/>
  <c r="T347" i="13"/>
  <c r="S347" i="13"/>
  <c r="R347" i="13"/>
  <c r="Q347" i="13"/>
  <c r="P347" i="13"/>
  <c r="O347" i="13"/>
  <c r="N347" i="13"/>
  <c r="K347" i="13"/>
  <c r="J347" i="13"/>
  <c r="I347" i="13"/>
  <c r="AA346" i="13"/>
  <c r="Z346" i="13"/>
  <c r="Y346" i="13"/>
  <c r="X346" i="13"/>
  <c r="W346" i="13"/>
  <c r="V346" i="13"/>
  <c r="U346" i="13"/>
  <c r="T346" i="13"/>
  <c r="S346" i="13"/>
  <c r="R346" i="13"/>
  <c r="Q346" i="13"/>
  <c r="P346" i="13"/>
  <c r="O346" i="13"/>
  <c r="N346" i="13"/>
  <c r="J346" i="13"/>
  <c r="K346" i="13" s="1"/>
  <c r="I346" i="13"/>
  <c r="AA345" i="13"/>
  <c r="Z345" i="13"/>
  <c r="Y345" i="13"/>
  <c r="X345" i="13"/>
  <c r="W345" i="13"/>
  <c r="V345" i="13"/>
  <c r="U345" i="13"/>
  <c r="T345" i="13"/>
  <c r="S345" i="13"/>
  <c r="R345" i="13"/>
  <c r="Q345" i="13"/>
  <c r="P345" i="13"/>
  <c r="O345" i="13"/>
  <c r="N345" i="13"/>
  <c r="I345" i="13"/>
  <c r="AA344" i="13"/>
  <c r="Z344" i="13"/>
  <c r="Y344" i="13"/>
  <c r="X344" i="13"/>
  <c r="W344" i="13"/>
  <c r="V344" i="13"/>
  <c r="U344" i="13"/>
  <c r="T344" i="13"/>
  <c r="S344" i="13"/>
  <c r="R344" i="13"/>
  <c r="Q344" i="13"/>
  <c r="P344" i="13"/>
  <c r="O344" i="13"/>
  <c r="N344" i="13"/>
  <c r="G344" i="13"/>
  <c r="K344" i="13" s="1"/>
  <c r="AA343" i="13"/>
  <c r="Z343" i="13"/>
  <c r="Y343" i="13"/>
  <c r="X343" i="13"/>
  <c r="W343" i="13"/>
  <c r="V343" i="13"/>
  <c r="U343" i="13"/>
  <c r="T343" i="13"/>
  <c r="S343" i="13"/>
  <c r="R343" i="13"/>
  <c r="Q343" i="13"/>
  <c r="P343" i="13"/>
  <c r="O343" i="13"/>
  <c r="N343" i="13"/>
  <c r="I343" i="13"/>
  <c r="AA342" i="13"/>
  <c r="Z342" i="13"/>
  <c r="Y342" i="13"/>
  <c r="X342" i="13"/>
  <c r="W342" i="13"/>
  <c r="V342" i="13"/>
  <c r="U342" i="13"/>
  <c r="T342" i="13"/>
  <c r="S342" i="13"/>
  <c r="R342" i="13"/>
  <c r="Q342" i="13"/>
  <c r="P342" i="13"/>
  <c r="O342" i="13"/>
  <c r="N342" i="13"/>
  <c r="I342" i="13"/>
  <c r="AA341" i="13"/>
  <c r="Z341" i="13"/>
  <c r="Y341" i="13"/>
  <c r="X341" i="13"/>
  <c r="W341" i="13"/>
  <c r="V341" i="13"/>
  <c r="U341" i="13"/>
  <c r="T341" i="13"/>
  <c r="S341" i="13"/>
  <c r="R341" i="13"/>
  <c r="Q341" i="13"/>
  <c r="P341" i="13"/>
  <c r="O341" i="13"/>
  <c r="N341" i="13"/>
  <c r="I341" i="13"/>
  <c r="AA340" i="13"/>
  <c r="Z340" i="13"/>
  <c r="Y340" i="13"/>
  <c r="X340" i="13"/>
  <c r="W340" i="13"/>
  <c r="V340" i="13"/>
  <c r="U340" i="13"/>
  <c r="T340" i="13"/>
  <c r="S340" i="13"/>
  <c r="R340" i="13"/>
  <c r="Q340" i="13"/>
  <c r="P340" i="13"/>
  <c r="O340" i="13"/>
  <c r="N340" i="13"/>
  <c r="I340" i="13"/>
  <c r="AA339" i="13"/>
  <c r="Z339" i="13"/>
  <c r="Y339" i="13"/>
  <c r="X339" i="13"/>
  <c r="W339" i="13"/>
  <c r="V339" i="13"/>
  <c r="U339" i="13"/>
  <c r="T339" i="13"/>
  <c r="S339" i="13"/>
  <c r="R339" i="13"/>
  <c r="Q339" i="13"/>
  <c r="P339" i="13"/>
  <c r="O339" i="13"/>
  <c r="N339" i="13"/>
  <c r="I339" i="13"/>
  <c r="AA338" i="13"/>
  <c r="Z338" i="13"/>
  <c r="Y338" i="13"/>
  <c r="X338" i="13"/>
  <c r="W338" i="13"/>
  <c r="V338" i="13"/>
  <c r="U338" i="13"/>
  <c r="T338" i="13"/>
  <c r="S338" i="13"/>
  <c r="R338" i="13"/>
  <c r="Q338" i="13"/>
  <c r="P338" i="13"/>
  <c r="O338" i="13"/>
  <c r="N338" i="13"/>
  <c r="K338" i="13"/>
  <c r="I338" i="13"/>
  <c r="AA337" i="13"/>
  <c r="Z337" i="13"/>
  <c r="Y337" i="13"/>
  <c r="X337" i="13"/>
  <c r="W337" i="13"/>
  <c r="V337" i="13"/>
  <c r="U337" i="13"/>
  <c r="T337" i="13"/>
  <c r="S337" i="13"/>
  <c r="R337" i="13"/>
  <c r="Q337" i="13"/>
  <c r="P337" i="13"/>
  <c r="O337" i="13"/>
  <c r="N337" i="13"/>
  <c r="K337" i="13"/>
  <c r="I337" i="13"/>
  <c r="AA336" i="13"/>
  <c r="Z336" i="13"/>
  <c r="Y336" i="13"/>
  <c r="X336" i="13"/>
  <c r="W336" i="13"/>
  <c r="V336" i="13"/>
  <c r="U336" i="13"/>
  <c r="T336" i="13"/>
  <c r="S336" i="13"/>
  <c r="R336" i="13"/>
  <c r="Q336" i="13"/>
  <c r="P336" i="13"/>
  <c r="O336" i="13"/>
  <c r="N336" i="13"/>
  <c r="I336" i="13"/>
  <c r="AA335" i="13"/>
  <c r="Z335" i="13"/>
  <c r="Y335" i="13"/>
  <c r="X335" i="13"/>
  <c r="W335" i="13"/>
  <c r="V335" i="13"/>
  <c r="U335" i="13"/>
  <c r="T335" i="13"/>
  <c r="S335" i="13"/>
  <c r="R335" i="13"/>
  <c r="Q335" i="13"/>
  <c r="P335" i="13"/>
  <c r="O335" i="13"/>
  <c r="N335" i="13"/>
  <c r="I335" i="13"/>
  <c r="AA334" i="13"/>
  <c r="Z334" i="13"/>
  <c r="Y334" i="13"/>
  <c r="X334" i="13"/>
  <c r="W334" i="13"/>
  <c r="V334" i="13"/>
  <c r="U334" i="13"/>
  <c r="T334" i="13"/>
  <c r="S334" i="13"/>
  <c r="R334" i="13"/>
  <c r="Q334" i="13"/>
  <c r="P334" i="13"/>
  <c r="O334" i="13"/>
  <c r="N334" i="13"/>
  <c r="I334" i="13"/>
  <c r="AA333" i="13"/>
  <c r="Z333" i="13"/>
  <c r="Y333" i="13"/>
  <c r="X333" i="13"/>
  <c r="W333" i="13"/>
  <c r="V333" i="13"/>
  <c r="U333" i="13"/>
  <c r="T333" i="13"/>
  <c r="S333" i="13"/>
  <c r="R333" i="13"/>
  <c r="Q333" i="13"/>
  <c r="P333" i="13"/>
  <c r="O333" i="13"/>
  <c r="N333" i="13"/>
  <c r="I333" i="13"/>
  <c r="AA332" i="13"/>
  <c r="Z332" i="13"/>
  <c r="Y332" i="13"/>
  <c r="X332" i="13"/>
  <c r="W332" i="13"/>
  <c r="V332" i="13"/>
  <c r="U332" i="13"/>
  <c r="T332" i="13"/>
  <c r="S332" i="13"/>
  <c r="R332" i="13"/>
  <c r="Q332" i="13"/>
  <c r="P332" i="13"/>
  <c r="O332" i="13"/>
  <c r="N332" i="13"/>
  <c r="I332" i="13"/>
  <c r="AA331" i="13"/>
  <c r="Z331" i="13"/>
  <c r="Y331" i="13"/>
  <c r="X331" i="13"/>
  <c r="W331" i="13"/>
  <c r="V331" i="13"/>
  <c r="U331" i="13"/>
  <c r="T331" i="13"/>
  <c r="S331" i="13"/>
  <c r="R331" i="13"/>
  <c r="Q331" i="13"/>
  <c r="P331" i="13"/>
  <c r="O331" i="13"/>
  <c r="N331" i="13"/>
  <c r="I331" i="13"/>
  <c r="AA330" i="13"/>
  <c r="Z330" i="13"/>
  <c r="Y330" i="13"/>
  <c r="X330" i="13"/>
  <c r="W330" i="13"/>
  <c r="V330" i="13"/>
  <c r="U330" i="13"/>
  <c r="T330" i="13"/>
  <c r="S330" i="13"/>
  <c r="R330" i="13"/>
  <c r="Q330" i="13"/>
  <c r="P330" i="13"/>
  <c r="O330" i="13"/>
  <c r="N330" i="13"/>
  <c r="I330" i="13"/>
  <c r="AA329" i="13"/>
  <c r="Z329" i="13"/>
  <c r="Y329" i="13"/>
  <c r="X329" i="13"/>
  <c r="W329" i="13"/>
  <c r="V329" i="13"/>
  <c r="U329" i="13"/>
  <c r="T329" i="13"/>
  <c r="S329" i="13"/>
  <c r="R329" i="13"/>
  <c r="Q329" i="13"/>
  <c r="P329" i="13"/>
  <c r="O329" i="13"/>
  <c r="N329" i="13"/>
  <c r="I329" i="13"/>
  <c r="AA328" i="13"/>
  <c r="Z328" i="13"/>
  <c r="Y328" i="13"/>
  <c r="X328" i="13"/>
  <c r="W328" i="13"/>
  <c r="V328" i="13"/>
  <c r="U328" i="13"/>
  <c r="T328" i="13"/>
  <c r="S328" i="13"/>
  <c r="R328" i="13"/>
  <c r="Q328" i="13"/>
  <c r="P328" i="13"/>
  <c r="O328" i="13"/>
  <c r="N328" i="13"/>
  <c r="I328" i="13"/>
  <c r="AA327" i="13"/>
  <c r="Z327" i="13"/>
  <c r="Y327" i="13"/>
  <c r="X327" i="13"/>
  <c r="W327" i="13"/>
  <c r="V327" i="13"/>
  <c r="U327" i="13"/>
  <c r="T327" i="13"/>
  <c r="S327" i="13"/>
  <c r="R327" i="13"/>
  <c r="Q327" i="13"/>
  <c r="P327" i="13"/>
  <c r="O327" i="13"/>
  <c r="N327" i="13"/>
  <c r="I327" i="13"/>
  <c r="AA326" i="13"/>
  <c r="Z326" i="13"/>
  <c r="Y326" i="13"/>
  <c r="X326" i="13"/>
  <c r="W326" i="13"/>
  <c r="V326" i="13"/>
  <c r="U326" i="13"/>
  <c r="T326" i="13"/>
  <c r="S326" i="13"/>
  <c r="R326" i="13"/>
  <c r="Q326" i="13"/>
  <c r="P326" i="13"/>
  <c r="O326" i="13"/>
  <c r="N326" i="13"/>
  <c r="K326" i="13"/>
  <c r="I326" i="13"/>
  <c r="G326" i="13"/>
  <c r="AA325" i="13"/>
  <c r="Z325" i="13"/>
  <c r="Y325" i="13"/>
  <c r="X325" i="13"/>
  <c r="W325" i="13"/>
  <c r="V325" i="13"/>
  <c r="U325" i="13"/>
  <c r="T325" i="13"/>
  <c r="S325" i="13"/>
  <c r="R325" i="13"/>
  <c r="Q325" i="13"/>
  <c r="P325" i="13"/>
  <c r="O325" i="13"/>
  <c r="N325" i="13"/>
  <c r="J325" i="13"/>
  <c r="I325" i="13"/>
  <c r="AA324" i="13"/>
  <c r="Z324" i="13"/>
  <c r="Y324" i="13"/>
  <c r="X324" i="13"/>
  <c r="W324" i="13"/>
  <c r="V324" i="13"/>
  <c r="U324" i="13"/>
  <c r="T324" i="13"/>
  <c r="S324" i="13"/>
  <c r="R324" i="13"/>
  <c r="Q324" i="13"/>
  <c r="P324" i="13"/>
  <c r="O324" i="13"/>
  <c r="N324" i="13"/>
  <c r="I324" i="13"/>
  <c r="AA323" i="13"/>
  <c r="Z323" i="13"/>
  <c r="Y323" i="13"/>
  <c r="X323" i="13"/>
  <c r="W323" i="13"/>
  <c r="V323" i="13"/>
  <c r="U323" i="13"/>
  <c r="T323" i="13"/>
  <c r="S323" i="13"/>
  <c r="R323" i="13"/>
  <c r="Q323" i="13"/>
  <c r="P323" i="13"/>
  <c r="O323" i="13"/>
  <c r="N323" i="13"/>
  <c r="G323" i="13"/>
  <c r="I323" i="13" s="1"/>
  <c r="AA322" i="13"/>
  <c r="Z322" i="13"/>
  <c r="Y322" i="13"/>
  <c r="X322" i="13"/>
  <c r="W322" i="13"/>
  <c r="V322" i="13"/>
  <c r="U322" i="13"/>
  <c r="T322" i="13"/>
  <c r="S322" i="13"/>
  <c r="R322" i="13"/>
  <c r="Q322" i="13"/>
  <c r="P322" i="13"/>
  <c r="O322" i="13"/>
  <c r="N322" i="13"/>
  <c r="I322" i="13"/>
  <c r="G322" i="13"/>
  <c r="AA321" i="13"/>
  <c r="Z321" i="13"/>
  <c r="Y321" i="13"/>
  <c r="X321" i="13"/>
  <c r="W321" i="13"/>
  <c r="V321" i="13"/>
  <c r="U321" i="13"/>
  <c r="T321" i="13"/>
  <c r="S321" i="13"/>
  <c r="R321" i="13"/>
  <c r="Q321" i="13"/>
  <c r="P321" i="13"/>
  <c r="O321" i="13"/>
  <c r="N321" i="13"/>
  <c r="I321" i="13"/>
  <c r="AA320" i="13"/>
  <c r="Z320" i="13"/>
  <c r="Y320" i="13"/>
  <c r="X320" i="13"/>
  <c r="W320" i="13"/>
  <c r="V320" i="13"/>
  <c r="U320" i="13"/>
  <c r="T320" i="13"/>
  <c r="S320" i="13"/>
  <c r="R320" i="13"/>
  <c r="Q320" i="13"/>
  <c r="P320" i="13"/>
  <c r="O320" i="13"/>
  <c r="N320" i="13"/>
  <c r="K320" i="13"/>
  <c r="G320" i="13"/>
  <c r="I320" i="13" s="1"/>
  <c r="AA319" i="13"/>
  <c r="Z319" i="13"/>
  <c r="Y319" i="13"/>
  <c r="X319" i="13"/>
  <c r="W319" i="13"/>
  <c r="V319" i="13"/>
  <c r="U319" i="13"/>
  <c r="T319" i="13"/>
  <c r="S319" i="13"/>
  <c r="R319" i="13"/>
  <c r="Q319" i="13"/>
  <c r="P319" i="13"/>
  <c r="O319" i="13"/>
  <c r="N319" i="13"/>
  <c r="G319" i="13"/>
  <c r="K319" i="13" s="1"/>
  <c r="AA318" i="13"/>
  <c r="Z318" i="13"/>
  <c r="Y318" i="13"/>
  <c r="X318" i="13"/>
  <c r="W318" i="13"/>
  <c r="V318" i="13"/>
  <c r="U318" i="13"/>
  <c r="T318" i="13"/>
  <c r="S318" i="13"/>
  <c r="R318" i="13"/>
  <c r="Q318" i="13"/>
  <c r="P318" i="13"/>
  <c r="O318" i="13"/>
  <c r="N318" i="13"/>
  <c r="K318" i="13"/>
  <c r="G318" i="13"/>
  <c r="I318" i="13" s="1"/>
  <c r="AA317" i="13"/>
  <c r="Z317" i="13"/>
  <c r="Y317" i="13"/>
  <c r="X317" i="13"/>
  <c r="W317" i="13"/>
  <c r="V317" i="13"/>
  <c r="U317" i="13"/>
  <c r="T317" i="13"/>
  <c r="S317" i="13"/>
  <c r="R317" i="13"/>
  <c r="Q317" i="13"/>
  <c r="P317" i="13"/>
  <c r="O317" i="13"/>
  <c r="N317" i="13"/>
  <c r="K317" i="13"/>
  <c r="I317" i="13"/>
  <c r="AA316" i="13"/>
  <c r="Z316" i="13"/>
  <c r="Y316" i="13"/>
  <c r="X316" i="13"/>
  <c r="W316" i="13"/>
  <c r="V316" i="13"/>
  <c r="U316" i="13"/>
  <c r="T316" i="13"/>
  <c r="S316" i="13"/>
  <c r="R316" i="13"/>
  <c r="Q316" i="13"/>
  <c r="P316" i="13"/>
  <c r="O316" i="13"/>
  <c r="N316" i="13"/>
  <c r="K316" i="13"/>
  <c r="I316" i="13"/>
  <c r="AA315" i="13"/>
  <c r="Z315" i="13"/>
  <c r="Y315" i="13"/>
  <c r="X315" i="13"/>
  <c r="W315" i="13"/>
  <c r="V315" i="13"/>
  <c r="U315" i="13"/>
  <c r="T315" i="13"/>
  <c r="S315" i="13"/>
  <c r="R315" i="13"/>
  <c r="Q315" i="13"/>
  <c r="P315" i="13"/>
  <c r="O315" i="13"/>
  <c r="N315" i="13"/>
  <c r="K315" i="13"/>
  <c r="I315" i="13"/>
  <c r="AA314" i="13"/>
  <c r="Z314" i="13"/>
  <c r="Y314" i="13"/>
  <c r="X314" i="13"/>
  <c r="W314" i="13"/>
  <c r="V314" i="13"/>
  <c r="U314" i="13"/>
  <c r="T314" i="13"/>
  <c r="S314" i="13"/>
  <c r="R314" i="13"/>
  <c r="Q314" i="13"/>
  <c r="P314" i="13"/>
  <c r="O314" i="13"/>
  <c r="N314" i="13"/>
  <c r="K314" i="13"/>
  <c r="I314" i="13"/>
  <c r="AA313" i="13"/>
  <c r="Z313" i="13"/>
  <c r="Y313" i="13"/>
  <c r="X313" i="13"/>
  <c r="W313" i="13"/>
  <c r="V313" i="13"/>
  <c r="U313" i="13"/>
  <c r="T313" i="13"/>
  <c r="S313" i="13"/>
  <c r="R313" i="13"/>
  <c r="Q313" i="13"/>
  <c r="P313" i="13"/>
  <c r="O313" i="13"/>
  <c r="N313" i="13"/>
  <c r="K313" i="13"/>
  <c r="I313" i="13"/>
  <c r="AA312" i="13"/>
  <c r="Z312" i="13"/>
  <c r="Y312" i="13"/>
  <c r="X312" i="13"/>
  <c r="W312" i="13"/>
  <c r="V312" i="13"/>
  <c r="U312" i="13"/>
  <c r="T312" i="13"/>
  <c r="S312" i="13"/>
  <c r="R312" i="13"/>
  <c r="Q312" i="13"/>
  <c r="P312" i="13"/>
  <c r="O312" i="13"/>
  <c r="N312" i="13"/>
  <c r="K312" i="13"/>
  <c r="I312" i="13"/>
  <c r="AA311" i="13"/>
  <c r="Z311" i="13"/>
  <c r="Y311" i="13"/>
  <c r="X311" i="13"/>
  <c r="W311" i="13"/>
  <c r="V311" i="13"/>
  <c r="U311" i="13"/>
  <c r="T311" i="13"/>
  <c r="S311" i="13"/>
  <c r="R311" i="13"/>
  <c r="Q311" i="13"/>
  <c r="P311" i="13"/>
  <c r="O311" i="13"/>
  <c r="N311" i="13"/>
  <c r="K311" i="13"/>
  <c r="I311" i="13"/>
  <c r="AA310" i="13"/>
  <c r="Z310" i="13"/>
  <c r="Y310" i="13"/>
  <c r="X310" i="13"/>
  <c r="W310" i="13"/>
  <c r="V310" i="13"/>
  <c r="U310" i="13"/>
  <c r="T310" i="13"/>
  <c r="S310" i="13"/>
  <c r="R310" i="13"/>
  <c r="Q310" i="13"/>
  <c r="P310" i="13"/>
  <c r="O310" i="13"/>
  <c r="N310" i="13"/>
  <c r="K310" i="13"/>
  <c r="I310" i="13"/>
  <c r="AA309" i="13"/>
  <c r="Z309" i="13"/>
  <c r="Y309" i="13"/>
  <c r="X309" i="13"/>
  <c r="W309" i="13"/>
  <c r="V309" i="13"/>
  <c r="U309" i="13"/>
  <c r="T309" i="13"/>
  <c r="S309" i="13"/>
  <c r="R309" i="13"/>
  <c r="Q309" i="13"/>
  <c r="P309" i="13"/>
  <c r="O309" i="13"/>
  <c r="N309" i="13"/>
  <c r="K309" i="13"/>
  <c r="I309" i="13"/>
  <c r="AA308" i="13"/>
  <c r="Z308" i="13"/>
  <c r="Y308" i="13"/>
  <c r="X308" i="13"/>
  <c r="W308" i="13"/>
  <c r="V308" i="13"/>
  <c r="U308" i="13"/>
  <c r="T308" i="13"/>
  <c r="S308" i="13"/>
  <c r="R308" i="13"/>
  <c r="Q308" i="13"/>
  <c r="P308" i="13"/>
  <c r="O308" i="13"/>
  <c r="N308" i="13"/>
  <c r="K308" i="13"/>
  <c r="I308" i="13"/>
  <c r="AA307" i="13"/>
  <c r="Z307" i="13"/>
  <c r="Y307" i="13"/>
  <c r="X307" i="13"/>
  <c r="W307" i="13"/>
  <c r="V307" i="13"/>
  <c r="U307" i="13"/>
  <c r="T307" i="13"/>
  <c r="S307" i="13"/>
  <c r="R307" i="13"/>
  <c r="Q307" i="13"/>
  <c r="P307" i="13"/>
  <c r="O307" i="13"/>
  <c r="N307" i="13"/>
  <c r="K307" i="13"/>
  <c r="I307" i="13"/>
  <c r="AA306" i="13"/>
  <c r="Z306" i="13"/>
  <c r="Y306" i="13"/>
  <c r="X306" i="13"/>
  <c r="W306" i="13"/>
  <c r="V306" i="13"/>
  <c r="U306" i="13"/>
  <c r="T306" i="13"/>
  <c r="S306" i="13"/>
  <c r="R306" i="13"/>
  <c r="Q306" i="13"/>
  <c r="P306" i="13"/>
  <c r="O306" i="13"/>
  <c r="N306" i="13"/>
  <c r="K306" i="13"/>
  <c r="I306" i="13"/>
  <c r="AA305" i="13"/>
  <c r="Z305" i="13"/>
  <c r="Y305" i="13"/>
  <c r="X305" i="13"/>
  <c r="W305" i="13"/>
  <c r="V305" i="13"/>
  <c r="U305" i="13"/>
  <c r="T305" i="13"/>
  <c r="S305" i="13"/>
  <c r="R305" i="13"/>
  <c r="Q305" i="13"/>
  <c r="P305" i="13"/>
  <c r="O305" i="13"/>
  <c r="N305" i="13"/>
  <c r="K305" i="13"/>
  <c r="I305" i="13"/>
  <c r="AA304" i="13"/>
  <c r="Z304" i="13"/>
  <c r="Y304" i="13"/>
  <c r="X304" i="13"/>
  <c r="W304" i="13"/>
  <c r="V304" i="13"/>
  <c r="U304" i="13"/>
  <c r="T304" i="13"/>
  <c r="S304" i="13"/>
  <c r="R304" i="13"/>
  <c r="Q304" i="13"/>
  <c r="P304" i="13"/>
  <c r="O304" i="13"/>
  <c r="N304" i="13"/>
  <c r="K304" i="13"/>
  <c r="I304" i="13"/>
  <c r="AA303" i="13"/>
  <c r="Z303" i="13"/>
  <c r="Y303" i="13"/>
  <c r="X303" i="13"/>
  <c r="W303" i="13"/>
  <c r="V303" i="13"/>
  <c r="U303" i="13"/>
  <c r="T303" i="13"/>
  <c r="S303" i="13"/>
  <c r="R303" i="13"/>
  <c r="Q303" i="13"/>
  <c r="P303" i="13"/>
  <c r="O303" i="13"/>
  <c r="N303" i="13"/>
  <c r="K303" i="13"/>
  <c r="I303" i="13"/>
  <c r="AA302" i="13"/>
  <c r="Z302" i="13"/>
  <c r="Y302" i="13"/>
  <c r="X302" i="13"/>
  <c r="W302" i="13"/>
  <c r="V302" i="13"/>
  <c r="U302" i="13"/>
  <c r="T302" i="13"/>
  <c r="S302" i="13"/>
  <c r="R302" i="13"/>
  <c r="Q302" i="13"/>
  <c r="P302" i="13"/>
  <c r="O302" i="13"/>
  <c r="N302" i="13"/>
  <c r="K302" i="13"/>
  <c r="I302" i="13"/>
  <c r="AA301" i="13"/>
  <c r="Z301" i="13"/>
  <c r="Y301" i="13"/>
  <c r="X301" i="13"/>
  <c r="W301" i="13"/>
  <c r="V301" i="13"/>
  <c r="U301" i="13"/>
  <c r="T301" i="13"/>
  <c r="S301" i="13"/>
  <c r="R301" i="13"/>
  <c r="Q301" i="13"/>
  <c r="P301" i="13"/>
  <c r="O301" i="13"/>
  <c r="N301" i="13"/>
  <c r="K301" i="13"/>
  <c r="I301" i="13"/>
  <c r="AA300" i="13"/>
  <c r="Z300" i="13"/>
  <c r="Y300" i="13"/>
  <c r="X300" i="13"/>
  <c r="W300" i="13"/>
  <c r="V300" i="13"/>
  <c r="U300" i="13"/>
  <c r="T300" i="13"/>
  <c r="S300" i="13"/>
  <c r="R300" i="13"/>
  <c r="Q300" i="13"/>
  <c r="P300" i="13"/>
  <c r="O300" i="13"/>
  <c r="N300" i="13"/>
  <c r="K300" i="13"/>
  <c r="I300" i="13"/>
  <c r="AA299" i="13"/>
  <c r="Z299" i="13"/>
  <c r="Y299" i="13"/>
  <c r="X299" i="13"/>
  <c r="W299" i="13"/>
  <c r="V299" i="13"/>
  <c r="U299" i="13"/>
  <c r="T299" i="13"/>
  <c r="S299" i="13"/>
  <c r="R299" i="13"/>
  <c r="Q299" i="13"/>
  <c r="P299" i="13"/>
  <c r="O299" i="13"/>
  <c r="N299" i="13"/>
  <c r="K299" i="13"/>
  <c r="I299" i="13"/>
  <c r="AA298" i="13"/>
  <c r="Z298" i="13"/>
  <c r="Y298" i="13"/>
  <c r="X298" i="13"/>
  <c r="W298" i="13"/>
  <c r="V298" i="13"/>
  <c r="U298" i="13"/>
  <c r="T298" i="13"/>
  <c r="S298" i="13"/>
  <c r="R298" i="13"/>
  <c r="Q298" i="13"/>
  <c r="P298" i="13"/>
  <c r="O298" i="13"/>
  <c r="N298" i="13"/>
  <c r="K298" i="13"/>
  <c r="I298" i="13"/>
  <c r="AA297" i="13"/>
  <c r="Z297" i="13"/>
  <c r="Y297" i="13"/>
  <c r="X297" i="13"/>
  <c r="W297" i="13"/>
  <c r="V297" i="13"/>
  <c r="U297" i="13"/>
  <c r="T297" i="13"/>
  <c r="S297" i="13"/>
  <c r="R297" i="13"/>
  <c r="Q297" i="13"/>
  <c r="P297" i="13"/>
  <c r="O297" i="13"/>
  <c r="N297" i="13"/>
  <c r="K297" i="13"/>
  <c r="I297" i="13"/>
  <c r="AA296" i="13"/>
  <c r="Z296" i="13"/>
  <c r="Y296" i="13"/>
  <c r="X296" i="13"/>
  <c r="W296" i="13"/>
  <c r="V296" i="13"/>
  <c r="U296" i="13"/>
  <c r="T296" i="13"/>
  <c r="S296" i="13"/>
  <c r="R296" i="13"/>
  <c r="Q296" i="13"/>
  <c r="P296" i="13"/>
  <c r="O296" i="13"/>
  <c r="N296" i="13"/>
  <c r="K296" i="13"/>
  <c r="I296" i="13"/>
  <c r="AA295" i="13"/>
  <c r="Z295" i="13"/>
  <c r="Y295" i="13"/>
  <c r="X295" i="13"/>
  <c r="W295" i="13"/>
  <c r="V295" i="13"/>
  <c r="U295" i="13"/>
  <c r="T295" i="13"/>
  <c r="S295" i="13"/>
  <c r="R295" i="13"/>
  <c r="Q295" i="13"/>
  <c r="P295" i="13"/>
  <c r="O295" i="13"/>
  <c r="N295" i="13"/>
  <c r="K295" i="13"/>
  <c r="I295" i="13"/>
  <c r="AA294" i="13"/>
  <c r="Z294" i="13"/>
  <c r="Y294" i="13"/>
  <c r="X294" i="13"/>
  <c r="W294" i="13"/>
  <c r="V294" i="13"/>
  <c r="U294" i="13"/>
  <c r="T294" i="13"/>
  <c r="S294" i="13"/>
  <c r="R294" i="13"/>
  <c r="Q294" i="13"/>
  <c r="P294" i="13"/>
  <c r="O294" i="13"/>
  <c r="N294" i="13"/>
  <c r="K294" i="13"/>
  <c r="I294" i="13"/>
  <c r="AA293" i="13"/>
  <c r="Z293" i="13"/>
  <c r="Y293" i="13"/>
  <c r="X293" i="13"/>
  <c r="W293" i="13"/>
  <c r="V293" i="13"/>
  <c r="U293" i="13"/>
  <c r="T293" i="13"/>
  <c r="S293" i="13"/>
  <c r="R293" i="13"/>
  <c r="Q293" i="13"/>
  <c r="P293" i="13"/>
  <c r="O293" i="13"/>
  <c r="N293" i="13"/>
  <c r="K293" i="13"/>
  <c r="I293" i="13"/>
  <c r="AA292" i="13"/>
  <c r="Z292" i="13"/>
  <c r="Y292" i="13"/>
  <c r="X292" i="13"/>
  <c r="W292" i="13"/>
  <c r="V292" i="13"/>
  <c r="U292" i="13"/>
  <c r="T292" i="13"/>
  <c r="S292" i="13"/>
  <c r="R292" i="13"/>
  <c r="Q292" i="13"/>
  <c r="P292" i="13"/>
  <c r="O292" i="13"/>
  <c r="N292" i="13"/>
  <c r="I292" i="13"/>
  <c r="AA291" i="13"/>
  <c r="Z291" i="13"/>
  <c r="Y291" i="13"/>
  <c r="X291" i="13"/>
  <c r="W291" i="13"/>
  <c r="V291" i="13"/>
  <c r="U291" i="13"/>
  <c r="T291" i="13"/>
  <c r="S291" i="13"/>
  <c r="R291" i="13"/>
  <c r="Q291" i="13"/>
  <c r="P291" i="13"/>
  <c r="O291" i="13"/>
  <c r="N291" i="13"/>
  <c r="I291" i="13"/>
  <c r="AA290" i="13"/>
  <c r="Z290" i="13"/>
  <c r="Y290" i="13"/>
  <c r="X290" i="13"/>
  <c r="W290" i="13"/>
  <c r="V290" i="13"/>
  <c r="U290" i="13"/>
  <c r="T290" i="13"/>
  <c r="S290" i="13"/>
  <c r="R290" i="13"/>
  <c r="Q290" i="13"/>
  <c r="P290" i="13"/>
  <c r="O290" i="13"/>
  <c r="N290" i="13"/>
  <c r="G290" i="13"/>
  <c r="I290" i="13" s="1"/>
  <c r="AA289" i="13"/>
  <c r="Z289" i="13"/>
  <c r="Y289" i="13"/>
  <c r="X289" i="13"/>
  <c r="W289" i="13"/>
  <c r="V289" i="13"/>
  <c r="U289" i="13"/>
  <c r="T289" i="13"/>
  <c r="S289" i="13"/>
  <c r="R289" i="13"/>
  <c r="Q289" i="13"/>
  <c r="P289" i="13"/>
  <c r="O289" i="13"/>
  <c r="N289" i="13"/>
  <c r="K289" i="13"/>
  <c r="G289" i="13"/>
  <c r="I289" i="13" s="1"/>
  <c r="AA288" i="13"/>
  <c r="Z288" i="13"/>
  <c r="Y288" i="13"/>
  <c r="X288" i="13"/>
  <c r="W288" i="13"/>
  <c r="V288" i="13"/>
  <c r="U288" i="13"/>
  <c r="T288" i="13"/>
  <c r="S288" i="13"/>
  <c r="R288" i="13"/>
  <c r="Q288" i="13"/>
  <c r="P288" i="13"/>
  <c r="O288" i="13"/>
  <c r="N288" i="13"/>
  <c r="K288" i="13"/>
  <c r="I288" i="13"/>
  <c r="AA287" i="13"/>
  <c r="Z287" i="13"/>
  <c r="Y287" i="13"/>
  <c r="X287" i="13"/>
  <c r="W287" i="13"/>
  <c r="V287" i="13"/>
  <c r="U287" i="13"/>
  <c r="T287" i="13"/>
  <c r="S287" i="13"/>
  <c r="R287" i="13"/>
  <c r="Q287" i="13"/>
  <c r="P287" i="13"/>
  <c r="O287" i="13"/>
  <c r="N287" i="13"/>
  <c r="I287" i="13"/>
  <c r="AA286" i="13"/>
  <c r="Z286" i="13"/>
  <c r="Y286" i="13"/>
  <c r="X286" i="13"/>
  <c r="W286" i="13"/>
  <c r="V286" i="13"/>
  <c r="U286" i="13"/>
  <c r="T286" i="13"/>
  <c r="S286" i="13"/>
  <c r="R286" i="13"/>
  <c r="Q286" i="13"/>
  <c r="P286" i="13"/>
  <c r="O286" i="13"/>
  <c r="N286" i="13"/>
  <c r="I286" i="13"/>
  <c r="AA285" i="13"/>
  <c r="Z285" i="13"/>
  <c r="Y285" i="13"/>
  <c r="X285" i="13"/>
  <c r="W285" i="13"/>
  <c r="V285" i="13"/>
  <c r="U285" i="13"/>
  <c r="T285" i="13"/>
  <c r="S285" i="13"/>
  <c r="R285" i="13"/>
  <c r="Q285" i="13"/>
  <c r="P285" i="13"/>
  <c r="O285" i="13"/>
  <c r="N285" i="13"/>
  <c r="K285" i="13"/>
  <c r="I285" i="13"/>
  <c r="AA284" i="13"/>
  <c r="Z284" i="13"/>
  <c r="Y284" i="13"/>
  <c r="X284" i="13"/>
  <c r="W284" i="13"/>
  <c r="V284" i="13"/>
  <c r="U284" i="13"/>
  <c r="T284" i="13"/>
  <c r="S284" i="13"/>
  <c r="R284" i="13"/>
  <c r="Q284" i="13"/>
  <c r="P284" i="13"/>
  <c r="O284" i="13"/>
  <c r="N284" i="13"/>
  <c r="AA283" i="13"/>
  <c r="Z283" i="13"/>
  <c r="Y283" i="13"/>
  <c r="X283" i="13"/>
  <c r="W283" i="13"/>
  <c r="V283" i="13"/>
  <c r="U283" i="13"/>
  <c r="T283" i="13"/>
  <c r="S283" i="13"/>
  <c r="R283" i="13"/>
  <c r="Q283" i="13"/>
  <c r="P283" i="13"/>
  <c r="O283" i="13"/>
  <c r="N283" i="13"/>
  <c r="AA282" i="13"/>
  <c r="Z282" i="13"/>
  <c r="Y282" i="13"/>
  <c r="X282" i="13"/>
  <c r="W282" i="13"/>
  <c r="V282" i="13"/>
  <c r="U282" i="13"/>
  <c r="T282" i="13"/>
  <c r="S282" i="13"/>
  <c r="R282" i="13"/>
  <c r="Q282" i="13"/>
  <c r="P282" i="13"/>
  <c r="O282" i="13"/>
  <c r="N282" i="13"/>
  <c r="AA281" i="13"/>
  <c r="Z281" i="13"/>
  <c r="Y281" i="13"/>
  <c r="X281" i="13"/>
  <c r="W281" i="13"/>
  <c r="V281" i="13"/>
  <c r="U281" i="13"/>
  <c r="T281" i="13"/>
  <c r="S281" i="13"/>
  <c r="R281" i="13"/>
  <c r="Q281" i="13"/>
  <c r="P281" i="13"/>
  <c r="O281" i="13"/>
  <c r="N281" i="13"/>
  <c r="AA280" i="13"/>
  <c r="Z280" i="13"/>
  <c r="Y280" i="13"/>
  <c r="X280" i="13"/>
  <c r="W280" i="13"/>
  <c r="V280" i="13"/>
  <c r="U280" i="13"/>
  <c r="T280" i="13"/>
  <c r="S280" i="13"/>
  <c r="R280" i="13"/>
  <c r="Q280" i="13"/>
  <c r="P280" i="13"/>
  <c r="O280" i="13"/>
  <c r="N280" i="13"/>
  <c r="J280" i="13"/>
  <c r="I280" i="13"/>
  <c r="AA279" i="13"/>
  <c r="Z279" i="13"/>
  <c r="Y279" i="13"/>
  <c r="X279" i="13"/>
  <c r="W279" i="13"/>
  <c r="V279" i="13"/>
  <c r="U279" i="13"/>
  <c r="T279" i="13"/>
  <c r="S279" i="13"/>
  <c r="R279" i="13"/>
  <c r="Q279" i="13"/>
  <c r="P279" i="13"/>
  <c r="O279" i="13"/>
  <c r="N279" i="13"/>
  <c r="I279" i="13"/>
  <c r="AA278" i="13"/>
  <c r="Z278" i="13"/>
  <c r="Y278" i="13"/>
  <c r="X278" i="13"/>
  <c r="W278" i="13"/>
  <c r="V278" i="13"/>
  <c r="U278" i="13"/>
  <c r="T278" i="13"/>
  <c r="S278" i="13"/>
  <c r="R278" i="13"/>
  <c r="Q278" i="13"/>
  <c r="P278" i="13"/>
  <c r="O278" i="13"/>
  <c r="N278" i="13"/>
  <c r="I278" i="13"/>
  <c r="AA277" i="13"/>
  <c r="Z277" i="13"/>
  <c r="Y277" i="13"/>
  <c r="X277" i="13"/>
  <c r="W277" i="13"/>
  <c r="V277" i="13"/>
  <c r="U277" i="13"/>
  <c r="T277" i="13"/>
  <c r="S277" i="13"/>
  <c r="R277" i="13"/>
  <c r="Q277" i="13"/>
  <c r="P277" i="13"/>
  <c r="O277" i="13"/>
  <c r="N277" i="13"/>
  <c r="I277" i="13"/>
  <c r="AA276" i="13"/>
  <c r="Z276" i="13"/>
  <c r="Y276" i="13"/>
  <c r="X276" i="13"/>
  <c r="W276" i="13"/>
  <c r="V276" i="13"/>
  <c r="U276" i="13"/>
  <c r="T276" i="13"/>
  <c r="S276" i="13"/>
  <c r="R276" i="13"/>
  <c r="Q276" i="13"/>
  <c r="P276" i="13"/>
  <c r="O276" i="13"/>
  <c r="N276" i="13"/>
  <c r="I276" i="13"/>
  <c r="AA275" i="13"/>
  <c r="Z275" i="13"/>
  <c r="Y275" i="13"/>
  <c r="X275" i="13"/>
  <c r="W275" i="13"/>
  <c r="V275" i="13"/>
  <c r="U275" i="13"/>
  <c r="T275" i="13"/>
  <c r="S275" i="13"/>
  <c r="R275" i="13"/>
  <c r="Q275" i="13"/>
  <c r="P275" i="13"/>
  <c r="O275" i="13"/>
  <c r="N275" i="13"/>
  <c r="I275" i="13"/>
  <c r="AA274" i="13"/>
  <c r="Z274" i="13"/>
  <c r="Y274" i="13"/>
  <c r="X274" i="13"/>
  <c r="W274" i="13"/>
  <c r="V274" i="13"/>
  <c r="U274" i="13"/>
  <c r="T274" i="13"/>
  <c r="S274" i="13"/>
  <c r="R274" i="13"/>
  <c r="Q274" i="13"/>
  <c r="P274" i="13"/>
  <c r="O274" i="13"/>
  <c r="N274" i="13"/>
  <c r="I274" i="13"/>
  <c r="AA273" i="13"/>
  <c r="Z273" i="13"/>
  <c r="Y273" i="13"/>
  <c r="X273" i="13"/>
  <c r="W273" i="13"/>
  <c r="V273" i="13"/>
  <c r="U273" i="13"/>
  <c r="T273" i="13"/>
  <c r="S273" i="13"/>
  <c r="R273" i="13"/>
  <c r="Q273" i="13"/>
  <c r="P273" i="13"/>
  <c r="O273" i="13"/>
  <c r="N273" i="13"/>
  <c r="I273" i="13"/>
  <c r="AA272" i="13"/>
  <c r="Z272" i="13"/>
  <c r="Y272" i="13"/>
  <c r="X272" i="13"/>
  <c r="W272" i="13"/>
  <c r="V272" i="13"/>
  <c r="U272" i="13"/>
  <c r="T272" i="13"/>
  <c r="S272" i="13"/>
  <c r="R272" i="13"/>
  <c r="Q272" i="13"/>
  <c r="P272" i="13"/>
  <c r="O272" i="13"/>
  <c r="N272" i="13"/>
  <c r="I272" i="13"/>
  <c r="AA271" i="13"/>
  <c r="Z271" i="13"/>
  <c r="Y271" i="13"/>
  <c r="X271" i="13"/>
  <c r="W271" i="13"/>
  <c r="V271" i="13"/>
  <c r="U271" i="13"/>
  <c r="T271" i="13"/>
  <c r="S271" i="13"/>
  <c r="R271" i="13"/>
  <c r="Q271" i="13"/>
  <c r="P271" i="13"/>
  <c r="O271" i="13"/>
  <c r="N271" i="13"/>
  <c r="I271" i="13"/>
  <c r="AA270" i="13"/>
  <c r="Z270" i="13"/>
  <c r="Y270" i="13"/>
  <c r="X270" i="13"/>
  <c r="W270" i="13"/>
  <c r="V270" i="13"/>
  <c r="U270" i="13"/>
  <c r="T270" i="13"/>
  <c r="S270" i="13"/>
  <c r="R270" i="13"/>
  <c r="Q270" i="13"/>
  <c r="P270" i="13"/>
  <c r="O270" i="13"/>
  <c r="N270" i="13"/>
  <c r="G270" i="13"/>
  <c r="I270" i="13" s="1"/>
  <c r="AA269" i="13"/>
  <c r="Z269" i="13"/>
  <c r="Y269" i="13"/>
  <c r="X269" i="13"/>
  <c r="W269" i="13"/>
  <c r="V269" i="13"/>
  <c r="U269" i="13"/>
  <c r="T269" i="13"/>
  <c r="S269" i="13"/>
  <c r="R269" i="13"/>
  <c r="Q269" i="13"/>
  <c r="P269" i="13"/>
  <c r="O269" i="13"/>
  <c r="N269" i="13"/>
  <c r="K269" i="13"/>
  <c r="I269" i="13"/>
  <c r="G269" i="13"/>
  <c r="AA268" i="13"/>
  <c r="Z268" i="13"/>
  <c r="Y268" i="13"/>
  <c r="X268" i="13"/>
  <c r="W268" i="13"/>
  <c r="V268" i="13"/>
  <c r="U268" i="13"/>
  <c r="T268" i="13"/>
  <c r="S268" i="13"/>
  <c r="R268" i="13"/>
  <c r="Q268" i="13"/>
  <c r="P268" i="13"/>
  <c r="O268" i="13"/>
  <c r="N268" i="13"/>
  <c r="G268" i="13"/>
  <c r="I268" i="13" s="1"/>
  <c r="AA267" i="13"/>
  <c r="Z267" i="13"/>
  <c r="Y267" i="13"/>
  <c r="X267" i="13"/>
  <c r="W267" i="13"/>
  <c r="V267" i="13"/>
  <c r="U267" i="13"/>
  <c r="T267" i="13"/>
  <c r="S267" i="13"/>
  <c r="R267" i="13"/>
  <c r="Q267" i="13"/>
  <c r="P267" i="13"/>
  <c r="O267" i="13"/>
  <c r="N267" i="13"/>
  <c r="K267" i="13"/>
  <c r="I267" i="13"/>
  <c r="G267" i="13"/>
  <c r="AA266" i="13"/>
  <c r="Z266" i="13"/>
  <c r="Y266" i="13"/>
  <c r="X266" i="13"/>
  <c r="W266" i="13"/>
  <c r="V266" i="13"/>
  <c r="U266" i="13"/>
  <c r="T266" i="13"/>
  <c r="S266" i="13"/>
  <c r="R266" i="13"/>
  <c r="Q266" i="13"/>
  <c r="P266" i="13"/>
  <c r="O266" i="13"/>
  <c r="N266" i="13"/>
  <c r="G266" i="13"/>
  <c r="I266" i="13" s="1"/>
  <c r="AA265" i="13"/>
  <c r="Z265" i="13"/>
  <c r="Y265" i="13"/>
  <c r="X265" i="13"/>
  <c r="W265" i="13"/>
  <c r="V265" i="13"/>
  <c r="U265" i="13"/>
  <c r="T265" i="13"/>
  <c r="S265" i="13"/>
  <c r="R265" i="13"/>
  <c r="Q265" i="13"/>
  <c r="P265" i="13"/>
  <c r="O265" i="13"/>
  <c r="N265" i="13"/>
  <c r="K265" i="13"/>
  <c r="I265" i="13"/>
  <c r="G265" i="13"/>
  <c r="AA264" i="13"/>
  <c r="Z264" i="13"/>
  <c r="Y264" i="13"/>
  <c r="X264" i="13"/>
  <c r="W264" i="13"/>
  <c r="V264" i="13"/>
  <c r="U264" i="13"/>
  <c r="T264" i="13"/>
  <c r="S264" i="13"/>
  <c r="R264" i="13"/>
  <c r="Q264" i="13"/>
  <c r="P264" i="13"/>
  <c r="O264" i="13"/>
  <c r="N264" i="13"/>
  <c r="G264" i="13"/>
  <c r="I264" i="13" s="1"/>
  <c r="AA263" i="13"/>
  <c r="Z263" i="13"/>
  <c r="Y263" i="13"/>
  <c r="X263" i="13"/>
  <c r="W263" i="13"/>
  <c r="V263" i="13"/>
  <c r="U263" i="13"/>
  <c r="T263" i="13"/>
  <c r="S263" i="13"/>
  <c r="R263" i="13"/>
  <c r="Q263" i="13"/>
  <c r="P263" i="13"/>
  <c r="O263" i="13"/>
  <c r="N263" i="13"/>
  <c r="I263" i="13"/>
  <c r="AA262" i="13"/>
  <c r="Z262" i="13"/>
  <c r="Y262" i="13"/>
  <c r="X262" i="13"/>
  <c r="W262" i="13"/>
  <c r="V262" i="13"/>
  <c r="U262" i="13"/>
  <c r="T262" i="13"/>
  <c r="S262" i="13"/>
  <c r="R262" i="13"/>
  <c r="Q262" i="13"/>
  <c r="P262" i="13"/>
  <c r="O262" i="13"/>
  <c r="N262" i="13"/>
  <c r="I262" i="13"/>
  <c r="AA261" i="13"/>
  <c r="Z261" i="13"/>
  <c r="Y261" i="13"/>
  <c r="X261" i="13"/>
  <c r="W261" i="13"/>
  <c r="V261" i="13"/>
  <c r="U261" i="13"/>
  <c r="T261" i="13"/>
  <c r="S261" i="13"/>
  <c r="R261" i="13"/>
  <c r="Q261" i="13"/>
  <c r="P261" i="13"/>
  <c r="O261" i="13"/>
  <c r="N261" i="13"/>
  <c r="I261" i="13"/>
  <c r="AA260" i="13"/>
  <c r="Z260" i="13"/>
  <c r="Y260" i="13"/>
  <c r="X260" i="13"/>
  <c r="W260" i="13"/>
  <c r="V260" i="13"/>
  <c r="U260" i="13"/>
  <c r="T260" i="13"/>
  <c r="S260" i="13"/>
  <c r="R260" i="13"/>
  <c r="Q260" i="13"/>
  <c r="P260" i="13"/>
  <c r="O260" i="13"/>
  <c r="N260" i="13"/>
  <c r="I260" i="13"/>
  <c r="AA259" i="13"/>
  <c r="Z259" i="13"/>
  <c r="Y259" i="13"/>
  <c r="X259" i="13"/>
  <c r="W259" i="13"/>
  <c r="V259" i="13"/>
  <c r="U259" i="13"/>
  <c r="T259" i="13"/>
  <c r="S259" i="13"/>
  <c r="R259" i="13"/>
  <c r="Q259" i="13"/>
  <c r="P259" i="13"/>
  <c r="O259" i="13"/>
  <c r="N259" i="13"/>
  <c r="I259" i="13"/>
  <c r="AA258" i="13"/>
  <c r="Z258" i="13"/>
  <c r="Y258" i="13"/>
  <c r="X258" i="13"/>
  <c r="W258" i="13"/>
  <c r="V258" i="13"/>
  <c r="U258" i="13"/>
  <c r="T258" i="13"/>
  <c r="S258" i="13"/>
  <c r="R258" i="13"/>
  <c r="Q258" i="13"/>
  <c r="P258" i="13"/>
  <c r="O258" i="13"/>
  <c r="N258" i="13"/>
  <c r="K258" i="13"/>
  <c r="I258" i="13"/>
  <c r="AA257" i="13"/>
  <c r="Z257" i="13"/>
  <c r="Y257" i="13"/>
  <c r="X257" i="13"/>
  <c r="W257" i="13"/>
  <c r="V257" i="13"/>
  <c r="U257" i="13"/>
  <c r="T257" i="13"/>
  <c r="S257" i="13"/>
  <c r="R257" i="13"/>
  <c r="Q257" i="13"/>
  <c r="P257" i="13"/>
  <c r="O257" i="13"/>
  <c r="N257" i="13"/>
  <c r="K257" i="13"/>
  <c r="I257" i="13"/>
  <c r="AA256" i="13"/>
  <c r="Z256" i="13"/>
  <c r="Y256" i="13"/>
  <c r="X256" i="13"/>
  <c r="W256" i="13"/>
  <c r="V256" i="13"/>
  <c r="U256" i="13"/>
  <c r="T256" i="13"/>
  <c r="S256" i="13"/>
  <c r="R256" i="13"/>
  <c r="Q256" i="13"/>
  <c r="P256" i="13"/>
  <c r="O256" i="13"/>
  <c r="N256" i="13"/>
  <c r="I256" i="13"/>
  <c r="AA255" i="13"/>
  <c r="Z255" i="13"/>
  <c r="Y255" i="13"/>
  <c r="X255" i="13"/>
  <c r="W255" i="13"/>
  <c r="V255" i="13"/>
  <c r="U255" i="13"/>
  <c r="T255" i="13"/>
  <c r="S255" i="13"/>
  <c r="R255" i="13"/>
  <c r="Q255" i="13"/>
  <c r="P255" i="13"/>
  <c r="O255" i="13"/>
  <c r="N255" i="13"/>
  <c r="K255" i="13"/>
  <c r="I255" i="13"/>
  <c r="AA254" i="13"/>
  <c r="Z254" i="13"/>
  <c r="Y254" i="13"/>
  <c r="X254" i="13"/>
  <c r="W254" i="13"/>
  <c r="V254" i="13"/>
  <c r="U254" i="13"/>
  <c r="T254" i="13"/>
  <c r="S254" i="13"/>
  <c r="R254" i="13"/>
  <c r="Q254" i="13"/>
  <c r="P254" i="13"/>
  <c r="O254" i="13"/>
  <c r="N254" i="13"/>
  <c r="K254" i="13"/>
  <c r="I254" i="13"/>
  <c r="AA253" i="13"/>
  <c r="Z253" i="13"/>
  <c r="Y253" i="13"/>
  <c r="X253" i="13"/>
  <c r="W253" i="13"/>
  <c r="V253" i="13"/>
  <c r="U253" i="13"/>
  <c r="T253" i="13"/>
  <c r="S253" i="13"/>
  <c r="R253" i="13"/>
  <c r="Q253" i="13"/>
  <c r="P253" i="13"/>
  <c r="O253" i="13"/>
  <c r="N253" i="13"/>
  <c r="K253" i="13"/>
  <c r="I253" i="13"/>
  <c r="AA252" i="13"/>
  <c r="Z252" i="13"/>
  <c r="Y252" i="13"/>
  <c r="X252" i="13"/>
  <c r="W252" i="13"/>
  <c r="V252" i="13"/>
  <c r="U252" i="13"/>
  <c r="T252" i="13"/>
  <c r="S252" i="13"/>
  <c r="R252" i="13"/>
  <c r="Q252" i="13"/>
  <c r="P252" i="13"/>
  <c r="O252" i="13"/>
  <c r="N252" i="13"/>
  <c r="K252" i="13"/>
  <c r="I252" i="13"/>
  <c r="AA251" i="13"/>
  <c r="Z251" i="13"/>
  <c r="Y251" i="13"/>
  <c r="X251" i="13"/>
  <c r="W251" i="13"/>
  <c r="V251" i="13"/>
  <c r="U251" i="13"/>
  <c r="T251" i="13"/>
  <c r="S251" i="13"/>
  <c r="R251" i="13"/>
  <c r="Q251" i="13"/>
  <c r="P251" i="13"/>
  <c r="O251" i="13"/>
  <c r="N251" i="13"/>
  <c r="K251" i="13"/>
  <c r="I251" i="13"/>
  <c r="AA250" i="13"/>
  <c r="Z250" i="13"/>
  <c r="Y250" i="13"/>
  <c r="X250" i="13"/>
  <c r="W250" i="13"/>
  <c r="V250" i="13"/>
  <c r="U250" i="13"/>
  <c r="T250" i="13"/>
  <c r="S250" i="13"/>
  <c r="R250" i="13"/>
  <c r="Q250" i="13"/>
  <c r="P250" i="13"/>
  <c r="O250" i="13"/>
  <c r="N250" i="13"/>
  <c r="K250" i="13"/>
  <c r="I250" i="13"/>
  <c r="AA249" i="13"/>
  <c r="Z249" i="13"/>
  <c r="Y249" i="13"/>
  <c r="X249" i="13"/>
  <c r="W249" i="13"/>
  <c r="V249" i="13"/>
  <c r="U249" i="13"/>
  <c r="T249" i="13"/>
  <c r="S249" i="13"/>
  <c r="R249" i="13"/>
  <c r="Q249" i="13"/>
  <c r="P249" i="13"/>
  <c r="O249" i="13"/>
  <c r="N249" i="13"/>
  <c r="I249" i="13"/>
  <c r="AA248" i="13"/>
  <c r="Z248" i="13"/>
  <c r="Y248" i="13"/>
  <c r="X248" i="13"/>
  <c r="W248" i="13"/>
  <c r="V248" i="13"/>
  <c r="U248" i="13"/>
  <c r="T248" i="13"/>
  <c r="S248" i="13"/>
  <c r="R248" i="13"/>
  <c r="Q248" i="13"/>
  <c r="P248" i="13"/>
  <c r="O248" i="13"/>
  <c r="N248" i="13"/>
  <c r="I248" i="13"/>
  <c r="AA247" i="13"/>
  <c r="Z247" i="13"/>
  <c r="Y247" i="13"/>
  <c r="X247" i="13"/>
  <c r="W247" i="13"/>
  <c r="V247" i="13"/>
  <c r="U247" i="13"/>
  <c r="T247" i="13"/>
  <c r="S247" i="13"/>
  <c r="R247" i="13"/>
  <c r="Q247" i="13"/>
  <c r="P247" i="13"/>
  <c r="O247" i="13"/>
  <c r="N247" i="13"/>
  <c r="G247" i="13"/>
  <c r="I247" i="13" s="1"/>
  <c r="AA246" i="13"/>
  <c r="Z246" i="13"/>
  <c r="Y246" i="13"/>
  <c r="X246" i="13"/>
  <c r="W246" i="13"/>
  <c r="V246" i="13"/>
  <c r="U246" i="13"/>
  <c r="T246" i="13"/>
  <c r="S246" i="13"/>
  <c r="R246" i="13"/>
  <c r="Q246" i="13"/>
  <c r="P246" i="13"/>
  <c r="O246" i="13"/>
  <c r="N246" i="13"/>
  <c r="I246" i="13"/>
  <c r="G246" i="13"/>
  <c r="AA245" i="13"/>
  <c r="Z245" i="13"/>
  <c r="Y245" i="13"/>
  <c r="X245" i="13"/>
  <c r="W245" i="13"/>
  <c r="V245" i="13"/>
  <c r="U245" i="13"/>
  <c r="T245" i="13"/>
  <c r="S245" i="13"/>
  <c r="R245" i="13"/>
  <c r="Q245" i="13"/>
  <c r="P245" i="13"/>
  <c r="O245" i="13"/>
  <c r="N245" i="13"/>
  <c r="K245" i="13"/>
  <c r="I245" i="13"/>
  <c r="AA244" i="13"/>
  <c r="Z244" i="13"/>
  <c r="Y244" i="13"/>
  <c r="X244" i="13"/>
  <c r="W244" i="13"/>
  <c r="V244" i="13"/>
  <c r="U244" i="13"/>
  <c r="T244" i="13"/>
  <c r="S244" i="13"/>
  <c r="R244" i="13"/>
  <c r="Q244" i="13"/>
  <c r="P244" i="13"/>
  <c r="O244" i="13"/>
  <c r="N244" i="13"/>
  <c r="K244" i="13"/>
  <c r="I244" i="13"/>
  <c r="AA243" i="13"/>
  <c r="Z243" i="13"/>
  <c r="Y243" i="13"/>
  <c r="X243" i="13"/>
  <c r="W243" i="13"/>
  <c r="V243" i="13"/>
  <c r="U243" i="13"/>
  <c r="T243" i="13"/>
  <c r="S243" i="13"/>
  <c r="R243" i="13"/>
  <c r="Q243" i="13"/>
  <c r="P243" i="13"/>
  <c r="O243" i="13"/>
  <c r="N243" i="13"/>
  <c r="J243" i="13"/>
  <c r="K243" i="13" s="1"/>
  <c r="I243" i="13"/>
  <c r="AA242" i="13"/>
  <c r="Z242" i="13"/>
  <c r="Y242" i="13"/>
  <c r="X242" i="13"/>
  <c r="W242" i="13"/>
  <c r="V242" i="13"/>
  <c r="U242" i="13"/>
  <c r="T242" i="13"/>
  <c r="S242" i="13"/>
  <c r="R242" i="13"/>
  <c r="Q242" i="13"/>
  <c r="P242" i="13"/>
  <c r="O242" i="13"/>
  <c r="N242" i="13"/>
  <c r="K242" i="13"/>
  <c r="I242" i="13"/>
  <c r="AA241" i="13"/>
  <c r="Z241" i="13"/>
  <c r="Y241" i="13"/>
  <c r="X241" i="13"/>
  <c r="W241" i="13"/>
  <c r="V241" i="13"/>
  <c r="U241" i="13"/>
  <c r="T241" i="13"/>
  <c r="S241" i="13"/>
  <c r="R241" i="13"/>
  <c r="Q241" i="13"/>
  <c r="P241" i="13"/>
  <c r="O241" i="13"/>
  <c r="N241" i="13"/>
  <c r="J241" i="13"/>
  <c r="I241" i="13"/>
  <c r="G241" i="13"/>
  <c r="K241" i="13" s="1"/>
  <c r="AA240" i="13"/>
  <c r="Z240" i="13"/>
  <c r="Y240" i="13"/>
  <c r="X240" i="13"/>
  <c r="W240" i="13"/>
  <c r="V240" i="13"/>
  <c r="U240" i="13"/>
  <c r="T240" i="13"/>
  <c r="S240" i="13"/>
  <c r="R240" i="13"/>
  <c r="Q240" i="13"/>
  <c r="P240" i="13"/>
  <c r="O240" i="13"/>
  <c r="N240" i="13"/>
  <c r="K240" i="13"/>
  <c r="I240" i="13"/>
  <c r="AA239" i="13"/>
  <c r="Z239" i="13"/>
  <c r="Y239" i="13"/>
  <c r="X239" i="13"/>
  <c r="W239" i="13"/>
  <c r="V239" i="13"/>
  <c r="U239" i="13"/>
  <c r="T239" i="13"/>
  <c r="S239" i="13"/>
  <c r="R239" i="13"/>
  <c r="Q239" i="13"/>
  <c r="P239" i="13"/>
  <c r="O239" i="13"/>
  <c r="N239" i="13"/>
  <c r="I239" i="13"/>
  <c r="AA238" i="13"/>
  <c r="Z238" i="13"/>
  <c r="Y238" i="13"/>
  <c r="X238" i="13"/>
  <c r="W238" i="13"/>
  <c r="V238" i="13"/>
  <c r="U238" i="13"/>
  <c r="T238" i="13"/>
  <c r="S238" i="13"/>
  <c r="R238" i="13"/>
  <c r="Q238" i="13"/>
  <c r="P238" i="13"/>
  <c r="O238" i="13"/>
  <c r="N238" i="13"/>
  <c r="K238" i="13"/>
  <c r="I238" i="13"/>
  <c r="AA237" i="13"/>
  <c r="Z237" i="13"/>
  <c r="Y237" i="13"/>
  <c r="X237" i="13"/>
  <c r="W237" i="13"/>
  <c r="V237" i="13"/>
  <c r="U237" i="13"/>
  <c r="T237" i="13"/>
  <c r="S237" i="13"/>
  <c r="R237" i="13"/>
  <c r="Q237" i="13"/>
  <c r="P237" i="13"/>
  <c r="O237" i="13"/>
  <c r="N237" i="13"/>
  <c r="K237" i="13"/>
  <c r="I237" i="13"/>
  <c r="AA236" i="13"/>
  <c r="Z236" i="13"/>
  <c r="Y236" i="13"/>
  <c r="X236" i="13"/>
  <c r="W236" i="13"/>
  <c r="V236" i="13"/>
  <c r="U236" i="13"/>
  <c r="T236" i="13"/>
  <c r="S236" i="13"/>
  <c r="R236" i="13"/>
  <c r="Q236" i="13"/>
  <c r="P236" i="13"/>
  <c r="O236" i="13"/>
  <c r="N236" i="13"/>
  <c r="K236" i="13"/>
  <c r="I236" i="13"/>
  <c r="AA235" i="13"/>
  <c r="Z235" i="13"/>
  <c r="Y235" i="13"/>
  <c r="X235" i="13"/>
  <c r="W235" i="13"/>
  <c r="V235" i="13"/>
  <c r="U235" i="13"/>
  <c r="T235" i="13"/>
  <c r="S235" i="13"/>
  <c r="R235" i="13"/>
  <c r="Q235" i="13"/>
  <c r="P235" i="13"/>
  <c r="O235" i="13"/>
  <c r="N235" i="13"/>
  <c r="K235" i="13"/>
  <c r="I235" i="13"/>
  <c r="AA234" i="13"/>
  <c r="Z234" i="13"/>
  <c r="Y234" i="13"/>
  <c r="X234" i="13"/>
  <c r="W234" i="13"/>
  <c r="V234" i="13"/>
  <c r="U234" i="13"/>
  <c r="T234" i="13"/>
  <c r="S234" i="13"/>
  <c r="R234" i="13"/>
  <c r="Q234" i="13"/>
  <c r="P234" i="13"/>
  <c r="O234" i="13"/>
  <c r="N234" i="13"/>
  <c r="K234" i="13"/>
  <c r="I234" i="13"/>
  <c r="AA233" i="13"/>
  <c r="Z233" i="13"/>
  <c r="Y233" i="13"/>
  <c r="X233" i="13"/>
  <c r="W233" i="13"/>
  <c r="V233" i="13"/>
  <c r="U233" i="13"/>
  <c r="T233" i="13"/>
  <c r="S233" i="13"/>
  <c r="R233" i="13"/>
  <c r="Q233" i="13"/>
  <c r="P233" i="13"/>
  <c r="O233" i="13"/>
  <c r="N233" i="13"/>
  <c r="K233" i="13"/>
  <c r="I233" i="13"/>
  <c r="AA232" i="13"/>
  <c r="Z232" i="13"/>
  <c r="Y232" i="13"/>
  <c r="X232" i="13"/>
  <c r="W232" i="13"/>
  <c r="V232" i="13"/>
  <c r="U232" i="13"/>
  <c r="T232" i="13"/>
  <c r="S232" i="13"/>
  <c r="R232" i="13"/>
  <c r="Q232" i="13"/>
  <c r="P232" i="13"/>
  <c r="O232" i="13"/>
  <c r="N232" i="13"/>
  <c r="K232" i="13"/>
  <c r="I232" i="13"/>
  <c r="AA231" i="13"/>
  <c r="Z231" i="13"/>
  <c r="Y231" i="13"/>
  <c r="X231" i="13"/>
  <c r="W231" i="13"/>
  <c r="V231" i="13"/>
  <c r="U231" i="13"/>
  <c r="T231" i="13"/>
  <c r="S231" i="13"/>
  <c r="R231" i="13"/>
  <c r="Q231" i="13"/>
  <c r="P231" i="13"/>
  <c r="O231" i="13"/>
  <c r="N231" i="13"/>
  <c r="K231" i="13"/>
  <c r="I231" i="13"/>
  <c r="AA230" i="13"/>
  <c r="Z230" i="13"/>
  <c r="Y230" i="13"/>
  <c r="X230" i="13"/>
  <c r="W230" i="13"/>
  <c r="V230" i="13"/>
  <c r="U230" i="13"/>
  <c r="T230" i="13"/>
  <c r="S230" i="13"/>
  <c r="R230" i="13"/>
  <c r="Q230" i="13"/>
  <c r="P230" i="13"/>
  <c r="O230" i="13"/>
  <c r="N230" i="13"/>
  <c r="K230" i="13"/>
  <c r="I230" i="13"/>
  <c r="AA229" i="13"/>
  <c r="Z229" i="13"/>
  <c r="Y229" i="13"/>
  <c r="X229" i="13"/>
  <c r="W229" i="13"/>
  <c r="V229" i="13"/>
  <c r="U229" i="13"/>
  <c r="T229" i="13"/>
  <c r="S229" i="13"/>
  <c r="R229" i="13"/>
  <c r="Q229" i="13"/>
  <c r="P229" i="13"/>
  <c r="O229" i="13"/>
  <c r="N229" i="13"/>
  <c r="J229" i="13"/>
  <c r="K229" i="13" s="1"/>
  <c r="I229" i="13"/>
  <c r="AA228" i="13"/>
  <c r="Z228" i="13"/>
  <c r="Y228" i="13"/>
  <c r="X228" i="13"/>
  <c r="W228" i="13"/>
  <c r="V228" i="13"/>
  <c r="U228" i="13"/>
  <c r="T228" i="13"/>
  <c r="S228" i="13"/>
  <c r="R228" i="13"/>
  <c r="Q228" i="13"/>
  <c r="P228" i="13"/>
  <c r="O228" i="13"/>
  <c r="N228" i="13"/>
  <c r="K228" i="13"/>
  <c r="I228" i="13"/>
  <c r="AA227" i="13"/>
  <c r="Z227" i="13"/>
  <c r="Y227" i="13"/>
  <c r="X227" i="13"/>
  <c r="W227" i="13"/>
  <c r="V227" i="13"/>
  <c r="U227" i="13"/>
  <c r="T227" i="13"/>
  <c r="S227" i="13"/>
  <c r="R227" i="13"/>
  <c r="Q227" i="13"/>
  <c r="P227" i="13"/>
  <c r="O227" i="13"/>
  <c r="N227" i="13"/>
  <c r="K227" i="13"/>
  <c r="I227" i="13"/>
  <c r="AA226" i="13"/>
  <c r="Z226" i="13"/>
  <c r="Y226" i="13"/>
  <c r="X226" i="13"/>
  <c r="W226" i="13"/>
  <c r="V226" i="13"/>
  <c r="U226" i="13"/>
  <c r="T226" i="13"/>
  <c r="S226" i="13"/>
  <c r="R226" i="13"/>
  <c r="Q226" i="13"/>
  <c r="P226" i="13"/>
  <c r="O226" i="13"/>
  <c r="N226" i="13"/>
  <c r="K226" i="13"/>
  <c r="I226" i="13"/>
  <c r="AA225" i="13"/>
  <c r="Z225" i="13"/>
  <c r="Y225" i="13"/>
  <c r="X225" i="13"/>
  <c r="W225" i="13"/>
  <c r="V225" i="13"/>
  <c r="U225" i="13"/>
  <c r="T225" i="13"/>
  <c r="S225" i="13"/>
  <c r="R225" i="13"/>
  <c r="Q225" i="13"/>
  <c r="P225" i="13"/>
  <c r="O225" i="13"/>
  <c r="N225" i="13"/>
  <c r="K225" i="13"/>
  <c r="I225" i="13"/>
  <c r="AA224" i="13"/>
  <c r="Z224" i="13"/>
  <c r="Y224" i="13"/>
  <c r="X224" i="13"/>
  <c r="W224" i="13"/>
  <c r="V224" i="13"/>
  <c r="U224" i="13"/>
  <c r="T224" i="13"/>
  <c r="S224" i="13"/>
  <c r="R224" i="13"/>
  <c r="Q224" i="13"/>
  <c r="P224" i="13"/>
  <c r="O224" i="13"/>
  <c r="N224" i="13"/>
  <c r="K224" i="13"/>
  <c r="I224" i="13"/>
  <c r="AA223" i="13"/>
  <c r="Z223" i="13"/>
  <c r="Y223" i="13"/>
  <c r="X223" i="13"/>
  <c r="W223" i="13"/>
  <c r="V223" i="13"/>
  <c r="U223" i="13"/>
  <c r="T223" i="13"/>
  <c r="S223" i="13"/>
  <c r="R223" i="13"/>
  <c r="Q223" i="13"/>
  <c r="P223" i="13"/>
  <c r="O223" i="13"/>
  <c r="N223" i="13"/>
  <c r="I223" i="13"/>
  <c r="AA222" i="13"/>
  <c r="Z222" i="13"/>
  <c r="Y222" i="13"/>
  <c r="X222" i="13"/>
  <c r="W222" i="13"/>
  <c r="V222" i="13"/>
  <c r="U222" i="13"/>
  <c r="T222" i="13"/>
  <c r="S222" i="13"/>
  <c r="R222" i="13"/>
  <c r="Q222" i="13"/>
  <c r="P222" i="13"/>
  <c r="O222" i="13"/>
  <c r="N222" i="13"/>
  <c r="I222" i="13"/>
  <c r="AA221" i="13"/>
  <c r="Z221" i="13"/>
  <c r="Y221" i="13"/>
  <c r="X221" i="13"/>
  <c r="W221" i="13"/>
  <c r="V221" i="13"/>
  <c r="U221" i="13"/>
  <c r="T221" i="13"/>
  <c r="S221" i="13"/>
  <c r="R221" i="13"/>
  <c r="Q221" i="13"/>
  <c r="P221" i="13"/>
  <c r="O221" i="13"/>
  <c r="N221" i="13"/>
  <c r="G221" i="13"/>
  <c r="I221" i="13" s="1"/>
  <c r="AA220" i="13"/>
  <c r="Z220" i="13"/>
  <c r="Y220" i="13"/>
  <c r="X220" i="13"/>
  <c r="W220" i="13"/>
  <c r="V220" i="13"/>
  <c r="U220" i="13"/>
  <c r="T220" i="13"/>
  <c r="S220" i="13"/>
  <c r="R220" i="13"/>
  <c r="Q220" i="13"/>
  <c r="P220" i="13"/>
  <c r="O220" i="13"/>
  <c r="N220" i="13"/>
  <c r="G220" i="13"/>
  <c r="I220" i="13" s="1"/>
  <c r="AA219" i="13"/>
  <c r="Z219" i="13"/>
  <c r="Y219" i="13"/>
  <c r="X219" i="13"/>
  <c r="W219" i="13"/>
  <c r="V219" i="13"/>
  <c r="U219" i="13"/>
  <c r="T219" i="13"/>
  <c r="S219" i="13"/>
  <c r="R219" i="13"/>
  <c r="Q219" i="13"/>
  <c r="P219" i="13"/>
  <c r="O219" i="13"/>
  <c r="N219" i="13"/>
  <c r="G219" i="13"/>
  <c r="I219" i="13" s="1"/>
  <c r="AA218" i="13"/>
  <c r="Z218" i="13"/>
  <c r="Y218" i="13"/>
  <c r="X218" i="13"/>
  <c r="W218" i="13"/>
  <c r="V218" i="13"/>
  <c r="U218" i="13"/>
  <c r="T218" i="13"/>
  <c r="S218" i="13"/>
  <c r="R218" i="13"/>
  <c r="Q218" i="13"/>
  <c r="P218" i="13"/>
  <c r="O218" i="13"/>
  <c r="N218" i="13"/>
  <c r="I218" i="13"/>
  <c r="G218" i="13"/>
  <c r="AA217" i="13"/>
  <c r="Z217" i="13"/>
  <c r="Y217" i="13"/>
  <c r="X217" i="13"/>
  <c r="W217" i="13"/>
  <c r="V217" i="13"/>
  <c r="U217" i="13"/>
  <c r="T217" i="13"/>
  <c r="S217" i="13"/>
  <c r="R217" i="13"/>
  <c r="Q217" i="13"/>
  <c r="P217" i="13"/>
  <c r="O217" i="13"/>
  <c r="N217" i="13"/>
  <c r="I217" i="13"/>
  <c r="AA216" i="13"/>
  <c r="Z216" i="13"/>
  <c r="Y216" i="13"/>
  <c r="X216" i="13"/>
  <c r="W216" i="13"/>
  <c r="V216" i="13"/>
  <c r="U216" i="13"/>
  <c r="T216" i="13"/>
  <c r="S216" i="13"/>
  <c r="R216" i="13"/>
  <c r="Q216" i="13"/>
  <c r="P216" i="13"/>
  <c r="O216" i="13"/>
  <c r="N216" i="13"/>
  <c r="I216" i="13"/>
  <c r="AA215" i="13"/>
  <c r="Z215" i="13"/>
  <c r="Y215" i="13"/>
  <c r="X215" i="13"/>
  <c r="W215" i="13"/>
  <c r="V215" i="13"/>
  <c r="U215" i="13"/>
  <c r="T215" i="13"/>
  <c r="S215" i="13"/>
  <c r="R215" i="13"/>
  <c r="Q215" i="13"/>
  <c r="P215" i="13"/>
  <c r="O215" i="13"/>
  <c r="N215" i="13"/>
  <c r="I215" i="13"/>
  <c r="AA214" i="13"/>
  <c r="Z214" i="13"/>
  <c r="Y214" i="13"/>
  <c r="X214" i="13"/>
  <c r="W214" i="13"/>
  <c r="V214" i="13"/>
  <c r="U214" i="13"/>
  <c r="T214" i="13"/>
  <c r="S214" i="13"/>
  <c r="R214" i="13"/>
  <c r="Q214" i="13"/>
  <c r="P214" i="13"/>
  <c r="O214" i="13"/>
  <c r="N214" i="13"/>
  <c r="I214" i="13"/>
  <c r="AA213" i="13"/>
  <c r="Z213" i="13"/>
  <c r="Y213" i="13"/>
  <c r="X213" i="13"/>
  <c r="W213" i="13"/>
  <c r="V213" i="13"/>
  <c r="U213" i="13"/>
  <c r="T213" i="13"/>
  <c r="S213" i="13"/>
  <c r="R213" i="13"/>
  <c r="Q213" i="13"/>
  <c r="P213" i="13"/>
  <c r="O213" i="13"/>
  <c r="N213" i="13"/>
  <c r="I213" i="13"/>
  <c r="AA212" i="13"/>
  <c r="Z212" i="13"/>
  <c r="Y212" i="13"/>
  <c r="X212" i="13"/>
  <c r="W212" i="13"/>
  <c r="V212" i="13"/>
  <c r="U212" i="13"/>
  <c r="T212" i="13"/>
  <c r="S212" i="13"/>
  <c r="R212" i="13"/>
  <c r="Q212" i="13"/>
  <c r="P212" i="13"/>
  <c r="O212" i="13"/>
  <c r="N212" i="13"/>
  <c r="I212" i="13"/>
  <c r="AA211" i="13"/>
  <c r="Z211" i="13"/>
  <c r="Y211" i="13"/>
  <c r="X211" i="13"/>
  <c r="W211" i="13"/>
  <c r="V211" i="13"/>
  <c r="U211" i="13"/>
  <c r="T211" i="13"/>
  <c r="S211" i="13"/>
  <c r="R211" i="13"/>
  <c r="Q211" i="13"/>
  <c r="P211" i="13"/>
  <c r="O211" i="13"/>
  <c r="N211" i="13"/>
  <c r="I211" i="13"/>
  <c r="AA210" i="13"/>
  <c r="Z210" i="13"/>
  <c r="Y210" i="13"/>
  <c r="X210" i="13"/>
  <c r="W210" i="13"/>
  <c r="V210" i="13"/>
  <c r="U210" i="13"/>
  <c r="T210" i="13"/>
  <c r="S210" i="13"/>
  <c r="R210" i="13"/>
  <c r="Q210" i="13"/>
  <c r="P210" i="13"/>
  <c r="O210" i="13"/>
  <c r="N210" i="13"/>
  <c r="J210" i="13"/>
  <c r="I210" i="13"/>
  <c r="AA209" i="13"/>
  <c r="Z209" i="13"/>
  <c r="Y209" i="13"/>
  <c r="X209" i="13"/>
  <c r="W209" i="13"/>
  <c r="V209" i="13"/>
  <c r="U209" i="13"/>
  <c r="T209" i="13"/>
  <c r="S209" i="13"/>
  <c r="R209" i="13"/>
  <c r="Q209" i="13"/>
  <c r="P209" i="13"/>
  <c r="O209" i="13"/>
  <c r="N209" i="13"/>
  <c r="I209" i="13"/>
  <c r="AA208" i="13"/>
  <c r="Z208" i="13"/>
  <c r="Y208" i="13"/>
  <c r="X208" i="13"/>
  <c r="W208" i="13"/>
  <c r="V208" i="13"/>
  <c r="U208" i="13"/>
  <c r="T208" i="13"/>
  <c r="S208" i="13"/>
  <c r="R208" i="13"/>
  <c r="Q208" i="13"/>
  <c r="P208" i="13"/>
  <c r="O208" i="13"/>
  <c r="N208" i="13"/>
  <c r="J208" i="13"/>
  <c r="K208" i="13" s="1"/>
  <c r="I208" i="13"/>
  <c r="G208" i="13"/>
  <c r="AA207" i="13"/>
  <c r="Z207" i="13"/>
  <c r="Y207" i="13"/>
  <c r="X207" i="13"/>
  <c r="W207" i="13"/>
  <c r="V207" i="13"/>
  <c r="U207" i="13"/>
  <c r="T207" i="13"/>
  <c r="S207" i="13"/>
  <c r="R207" i="13"/>
  <c r="Q207" i="13"/>
  <c r="P207" i="13"/>
  <c r="O207" i="13"/>
  <c r="N207" i="13"/>
  <c r="J207" i="13"/>
  <c r="G207" i="13"/>
  <c r="AA206" i="13"/>
  <c r="Z206" i="13"/>
  <c r="Y206" i="13"/>
  <c r="X206" i="13"/>
  <c r="W206" i="13"/>
  <c r="V206" i="13"/>
  <c r="U206" i="13"/>
  <c r="T206" i="13"/>
  <c r="S206" i="13"/>
  <c r="R206" i="13"/>
  <c r="Q206" i="13"/>
  <c r="P206" i="13"/>
  <c r="O206" i="13"/>
  <c r="N206" i="13"/>
  <c r="K206" i="13"/>
  <c r="J206" i="13"/>
  <c r="G206" i="13"/>
  <c r="I206" i="13" s="1"/>
  <c r="AA205" i="13"/>
  <c r="Z205" i="13"/>
  <c r="Y205" i="13"/>
  <c r="X205" i="13"/>
  <c r="W205" i="13"/>
  <c r="V205" i="13"/>
  <c r="U205" i="13"/>
  <c r="T205" i="13"/>
  <c r="S205" i="13"/>
  <c r="R205" i="13"/>
  <c r="Q205" i="13"/>
  <c r="P205" i="13"/>
  <c r="O205" i="13"/>
  <c r="N205" i="13"/>
  <c r="J205" i="13"/>
  <c r="K205" i="13" s="1"/>
  <c r="G205" i="13"/>
  <c r="I205" i="13" s="1"/>
  <c r="AA204" i="13"/>
  <c r="Z204" i="13"/>
  <c r="Y204" i="13"/>
  <c r="X204" i="13"/>
  <c r="W204" i="13"/>
  <c r="V204" i="13"/>
  <c r="U204" i="13"/>
  <c r="T204" i="13"/>
  <c r="S204" i="13"/>
  <c r="R204" i="13"/>
  <c r="Q204" i="13"/>
  <c r="P204" i="13"/>
  <c r="O204" i="13"/>
  <c r="N204" i="13"/>
  <c r="G204" i="13"/>
  <c r="AA203" i="13"/>
  <c r="Z203" i="13"/>
  <c r="Y203" i="13"/>
  <c r="X203" i="13"/>
  <c r="W203" i="13"/>
  <c r="V203" i="13"/>
  <c r="U203" i="13"/>
  <c r="T203" i="13"/>
  <c r="S203" i="13"/>
  <c r="R203" i="13"/>
  <c r="Q203" i="13"/>
  <c r="P203" i="13"/>
  <c r="O203" i="13"/>
  <c r="N203" i="13"/>
  <c r="K203" i="13"/>
  <c r="G203" i="13"/>
  <c r="I203" i="13" s="1"/>
  <c r="AA202" i="13"/>
  <c r="Z202" i="13"/>
  <c r="Y202" i="13"/>
  <c r="X202" i="13"/>
  <c r="W202" i="13"/>
  <c r="V202" i="13"/>
  <c r="U202" i="13"/>
  <c r="T202" i="13"/>
  <c r="S202" i="13"/>
  <c r="R202" i="13"/>
  <c r="Q202" i="13"/>
  <c r="P202" i="13"/>
  <c r="O202" i="13"/>
  <c r="N202" i="13"/>
  <c r="K202" i="13"/>
  <c r="I202" i="13"/>
  <c r="AA201" i="13"/>
  <c r="Z201" i="13"/>
  <c r="Y201" i="13"/>
  <c r="X201" i="13"/>
  <c r="W201" i="13"/>
  <c r="V201" i="13"/>
  <c r="U201" i="13"/>
  <c r="T201" i="13"/>
  <c r="S201" i="13"/>
  <c r="R201" i="13"/>
  <c r="Q201" i="13"/>
  <c r="P201" i="13"/>
  <c r="O201" i="13"/>
  <c r="N201" i="13"/>
  <c r="K201" i="13"/>
  <c r="I201" i="13"/>
  <c r="G201" i="13"/>
  <c r="AA200" i="13"/>
  <c r="Z200" i="13"/>
  <c r="Y200" i="13"/>
  <c r="X200" i="13"/>
  <c r="W200" i="13"/>
  <c r="V200" i="13"/>
  <c r="U200" i="13"/>
  <c r="T200" i="13"/>
  <c r="S200" i="13"/>
  <c r="R200" i="13"/>
  <c r="Q200" i="13"/>
  <c r="P200" i="13"/>
  <c r="O200" i="13"/>
  <c r="N200" i="13"/>
  <c r="I200" i="13"/>
  <c r="AA199" i="13"/>
  <c r="Z199" i="13"/>
  <c r="Y199" i="13"/>
  <c r="X199" i="13"/>
  <c r="W199" i="13"/>
  <c r="V199" i="13"/>
  <c r="U199" i="13"/>
  <c r="T199" i="13"/>
  <c r="S199" i="13"/>
  <c r="R199" i="13"/>
  <c r="Q199" i="13"/>
  <c r="P199" i="13"/>
  <c r="O199" i="13"/>
  <c r="N199" i="13"/>
  <c r="I199" i="13"/>
  <c r="AA198" i="13"/>
  <c r="Z198" i="13"/>
  <c r="Y198" i="13"/>
  <c r="X198" i="13"/>
  <c r="W198" i="13"/>
  <c r="V198" i="13"/>
  <c r="U198" i="13"/>
  <c r="T198" i="13"/>
  <c r="S198" i="13"/>
  <c r="R198" i="13"/>
  <c r="Q198" i="13"/>
  <c r="P198" i="13"/>
  <c r="O198" i="13"/>
  <c r="N198" i="13"/>
  <c r="K198" i="13"/>
  <c r="I198" i="13"/>
  <c r="AA197" i="13"/>
  <c r="Z197" i="13"/>
  <c r="Y197" i="13"/>
  <c r="X197" i="13"/>
  <c r="W197" i="13"/>
  <c r="V197" i="13"/>
  <c r="U197" i="13"/>
  <c r="T197" i="13"/>
  <c r="S197" i="13"/>
  <c r="R197" i="13"/>
  <c r="Q197" i="13"/>
  <c r="P197" i="13"/>
  <c r="O197" i="13"/>
  <c r="N197" i="13"/>
  <c r="K197" i="13"/>
  <c r="I197" i="13"/>
  <c r="AA196" i="13"/>
  <c r="Z196" i="13"/>
  <c r="Y196" i="13"/>
  <c r="X196" i="13"/>
  <c r="W196" i="13"/>
  <c r="V196" i="13"/>
  <c r="U196" i="13"/>
  <c r="T196" i="13"/>
  <c r="S196" i="13"/>
  <c r="R196" i="13"/>
  <c r="Q196" i="13"/>
  <c r="P196" i="13"/>
  <c r="O196" i="13"/>
  <c r="N196" i="13"/>
  <c r="I196" i="13"/>
  <c r="AA195" i="13"/>
  <c r="Z195" i="13"/>
  <c r="Y195" i="13"/>
  <c r="X195" i="13"/>
  <c r="W195" i="13"/>
  <c r="V195" i="13"/>
  <c r="U195" i="13"/>
  <c r="T195" i="13"/>
  <c r="S195" i="13"/>
  <c r="R195" i="13"/>
  <c r="Q195" i="13"/>
  <c r="P195" i="13"/>
  <c r="O195" i="13"/>
  <c r="N195" i="13"/>
  <c r="K195" i="13"/>
  <c r="I195" i="13"/>
  <c r="AA194" i="13"/>
  <c r="Z194" i="13"/>
  <c r="Y194" i="13"/>
  <c r="X194" i="13"/>
  <c r="W194" i="13"/>
  <c r="V194" i="13"/>
  <c r="U194" i="13"/>
  <c r="T194" i="13"/>
  <c r="S194" i="13"/>
  <c r="R194" i="13"/>
  <c r="Q194" i="13"/>
  <c r="P194" i="13"/>
  <c r="O194" i="13"/>
  <c r="N194" i="13"/>
  <c r="K194" i="13"/>
  <c r="I194" i="13"/>
  <c r="AA193" i="13"/>
  <c r="Z193" i="13"/>
  <c r="Y193" i="13"/>
  <c r="X193" i="13"/>
  <c r="W193" i="13"/>
  <c r="V193" i="13"/>
  <c r="U193" i="13"/>
  <c r="T193" i="13"/>
  <c r="S193" i="13"/>
  <c r="R193" i="13"/>
  <c r="Q193" i="13"/>
  <c r="P193" i="13"/>
  <c r="O193" i="13"/>
  <c r="N193" i="13"/>
  <c r="K193" i="13"/>
  <c r="I193" i="13"/>
  <c r="AA192" i="13"/>
  <c r="Z192" i="13"/>
  <c r="Y192" i="13"/>
  <c r="X192" i="13"/>
  <c r="W192" i="13"/>
  <c r="V192" i="13"/>
  <c r="U192" i="13"/>
  <c r="T192" i="13"/>
  <c r="S192" i="13"/>
  <c r="R192" i="13"/>
  <c r="Q192" i="13"/>
  <c r="P192" i="13"/>
  <c r="O192" i="13"/>
  <c r="N192" i="13"/>
  <c r="K192" i="13"/>
  <c r="I192" i="13"/>
  <c r="AA191" i="13"/>
  <c r="Z191" i="13"/>
  <c r="Y191" i="13"/>
  <c r="X191" i="13"/>
  <c r="W191" i="13"/>
  <c r="V191" i="13"/>
  <c r="U191" i="13"/>
  <c r="T191" i="13"/>
  <c r="S191" i="13"/>
  <c r="R191" i="13"/>
  <c r="Q191" i="13"/>
  <c r="P191" i="13"/>
  <c r="O191" i="13"/>
  <c r="N191" i="13"/>
  <c r="K191" i="13"/>
  <c r="I191" i="13"/>
  <c r="AA190" i="13"/>
  <c r="Z190" i="13"/>
  <c r="Y190" i="13"/>
  <c r="X190" i="13"/>
  <c r="W190" i="13"/>
  <c r="V190" i="13"/>
  <c r="U190" i="13"/>
  <c r="T190" i="13"/>
  <c r="S190" i="13"/>
  <c r="R190" i="13"/>
  <c r="Q190" i="13"/>
  <c r="P190" i="13"/>
  <c r="O190" i="13"/>
  <c r="N190" i="13"/>
  <c r="I190" i="13"/>
  <c r="AA189" i="13"/>
  <c r="Z189" i="13"/>
  <c r="Y189" i="13"/>
  <c r="X189" i="13"/>
  <c r="W189" i="13"/>
  <c r="V189" i="13"/>
  <c r="U189" i="13"/>
  <c r="T189" i="13"/>
  <c r="S189" i="13"/>
  <c r="R189" i="13"/>
  <c r="Q189" i="13"/>
  <c r="P189" i="13"/>
  <c r="O189" i="13"/>
  <c r="N189" i="13"/>
  <c r="K189" i="13"/>
  <c r="I189" i="13"/>
  <c r="AA188" i="13"/>
  <c r="Z188" i="13"/>
  <c r="Y188" i="13"/>
  <c r="X188" i="13"/>
  <c r="W188" i="13"/>
  <c r="V188" i="13"/>
  <c r="U188" i="13"/>
  <c r="T188" i="13"/>
  <c r="S188" i="13"/>
  <c r="R188" i="13"/>
  <c r="Q188" i="13"/>
  <c r="P188" i="13"/>
  <c r="O188" i="13"/>
  <c r="N188" i="13"/>
  <c r="I188" i="13"/>
  <c r="AA187" i="13"/>
  <c r="Z187" i="13"/>
  <c r="Y187" i="13"/>
  <c r="X187" i="13"/>
  <c r="W187" i="13"/>
  <c r="V187" i="13"/>
  <c r="U187" i="13"/>
  <c r="T187" i="13"/>
  <c r="S187" i="13"/>
  <c r="R187" i="13"/>
  <c r="Q187" i="13"/>
  <c r="P187" i="13"/>
  <c r="O187" i="13"/>
  <c r="N187" i="13"/>
  <c r="I187" i="13"/>
  <c r="AA186" i="13"/>
  <c r="Z186" i="13"/>
  <c r="Y186" i="13"/>
  <c r="X186" i="13"/>
  <c r="W186" i="13"/>
  <c r="V186" i="13"/>
  <c r="U186" i="13"/>
  <c r="T186" i="13"/>
  <c r="S186" i="13"/>
  <c r="R186" i="13"/>
  <c r="Q186" i="13"/>
  <c r="P186" i="13"/>
  <c r="O186" i="13"/>
  <c r="N186" i="13"/>
  <c r="J186" i="13"/>
  <c r="I186" i="13"/>
  <c r="AA185" i="13"/>
  <c r="Z185" i="13"/>
  <c r="Y185" i="13"/>
  <c r="X185" i="13"/>
  <c r="W185" i="13"/>
  <c r="V185" i="13"/>
  <c r="U185" i="13"/>
  <c r="T185" i="13"/>
  <c r="S185" i="13"/>
  <c r="R185" i="13"/>
  <c r="Q185" i="13"/>
  <c r="P185" i="13"/>
  <c r="O185" i="13"/>
  <c r="N185" i="13"/>
  <c r="J185" i="13"/>
  <c r="I185" i="13"/>
  <c r="AA184" i="13"/>
  <c r="Z184" i="13"/>
  <c r="Y184" i="13"/>
  <c r="X184" i="13"/>
  <c r="W184" i="13"/>
  <c r="V184" i="13"/>
  <c r="U184" i="13"/>
  <c r="T184" i="13"/>
  <c r="S184" i="13"/>
  <c r="R184" i="13"/>
  <c r="Q184" i="13"/>
  <c r="P184" i="13"/>
  <c r="O184" i="13"/>
  <c r="N184" i="13"/>
  <c r="J184" i="13"/>
  <c r="I184" i="13"/>
  <c r="AA183" i="13"/>
  <c r="Z183" i="13"/>
  <c r="Y183" i="13"/>
  <c r="X183" i="13"/>
  <c r="W183" i="13"/>
  <c r="V183" i="13"/>
  <c r="U183" i="13"/>
  <c r="T183" i="13"/>
  <c r="S183" i="13"/>
  <c r="R183" i="13"/>
  <c r="Q183" i="13"/>
  <c r="P183" i="13"/>
  <c r="O183" i="13"/>
  <c r="N183" i="13"/>
  <c r="I183" i="13"/>
  <c r="AA182" i="13"/>
  <c r="Z182" i="13"/>
  <c r="Y182" i="13"/>
  <c r="X182" i="13"/>
  <c r="W182" i="13"/>
  <c r="V182" i="13"/>
  <c r="U182" i="13"/>
  <c r="T182" i="13"/>
  <c r="S182" i="13"/>
  <c r="R182" i="13"/>
  <c r="Q182" i="13"/>
  <c r="P182" i="13"/>
  <c r="O182" i="13"/>
  <c r="N182" i="13"/>
  <c r="I182" i="13"/>
  <c r="AA181" i="13"/>
  <c r="Z181" i="13"/>
  <c r="Y181" i="13"/>
  <c r="X181" i="13"/>
  <c r="W181" i="13"/>
  <c r="V181" i="13"/>
  <c r="U181" i="13"/>
  <c r="T181" i="13"/>
  <c r="S181" i="13"/>
  <c r="R181" i="13"/>
  <c r="Q181" i="13"/>
  <c r="P181" i="13"/>
  <c r="O181" i="13"/>
  <c r="N181" i="13"/>
  <c r="I181" i="13"/>
  <c r="AA180" i="13"/>
  <c r="Z180" i="13"/>
  <c r="Y180" i="13"/>
  <c r="X180" i="13"/>
  <c r="W180" i="13"/>
  <c r="V180" i="13"/>
  <c r="U180" i="13"/>
  <c r="T180" i="13"/>
  <c r="S180" i="13"/>
  <c r="R180" i="13"/>
  <c r="Q180" i="13"/>
  <c r="P180" i="13"/>
  <c r="O180" i="13"/>
  <c r="N180" i="13"/>
  <c r="I180" i="13"/>
  <c r="AA179" i="13"/>
  <c r="Z179" i="13"/>
  <c r="Y179" i="13"/>
  <c r="X179" i="13"/>
  <c r="W179" i="13"/>
  <c r="V179" i="13"/>
  <c r="U179" i="13"/>
  <c r="T179" i="13"/>
  <c r="S179" i="13"/>
  <c r="R179" i="13"/>
  <c r="Q179" i="13"/>
  <c r="P179" i="13"/>
  <c r="O179" i="13"/>
  <c r="N179" i="13"/>
  <c r="I179" i="13"/>
  <c r="AA178" i="13"/>
  <c r="Z178" i="13"/>
  <c r="Y178" i="13"/>
  <c r="X178" i="13"/>
  <c r="W178" i="13"/>
  <c r="V178" i="13"/>
  <c r="U178" i="13"/>
  <c r="T178" i="13"/>
  <c r="S178" i="13"/>
  <c r="R178" i="13"/>
  <c r="Q178" i="13"/>
  <c r="P178" i="13"/>
  <c r="O178" i="13"/>
  <c r="N178" i="13"/>
  <c r="I178" i="13"/>
  <c r="AA177" i="13"/>
  <c r="Z177" i="13"/>
  <c r="Y177" i="13"/>
  <c r="X177" i="13"/>
  <c r="W177" i="13"/>
  <c r="V177" i="13"/>
  <c r="U177" i="13"/>
  <c r="T177" i="13"/>
  <c r="S177" i="13"/>
  <c r="R177" i="13"/>
  <c r="Q177" i="13"/>
  <c r="P177" i="13"/>
  <c r="O177" i="13"/>
  <c r="N177" i="13"/>
  <c r="I177" i="13"/>
  <c r="AA176" i="13"/>
  <c r="Z176" i="13"/>
  <c r="Y176" i="13"/>
  <c r="X176" i="13"/>
  <c r="W176" i="13"/>
  <c r="V176" i="13"/>
  <c r="U176" i="13"/>
  <c r="T176" i="13"/>
  <c r="S176" i="13"/>
  <c r="R176" i="13"/>
  <c r="Q176" i="13"/>
  <c r="P176" i="13"/>
  <c r="O176" i="13"/>
  <c r="N176" i="13"/>
  <c r="I176" i="13"/>
  <c r="AA175" i="13"/>
  <c r="Z175" i="13"/>
  <c r="Y175" i="13"/>
  <c r="X175" i="13"/>
  <c r="W175" i="13"/>
  <c r="V175" i="13"/>
  <c r="U175" i="13"/>
  <c r="T175" i="13"/>
  <c r="S175" i="13"/>
  <c r="R175" i="13"/>
  <c r="Q175" i="13"/>
  <c r="P175" i="13"/>
  <c r="O175" i="13"/>
  <c r="N175" i="13"/>
  <c r="I175" i="13"/>
  <c r="AA174" i="13"/>
  <c r="Z174" i="13"/>
  <c r="Y174" i="13"/>
  <c r="X174" i="13"/>
  <c r="W174" i="13"/>
  <c r="V174" i="13"/>
  <c r="U174" i="13"/>
  <c r="T174" i="13"/>
  <c r="S174" i="13"/>
  <c r="R174" i="13"/>
  <c r="Q174" i="13"/>
  <c r="P174" i="13"/>
  <c r="O174" i="13"/>
  <c r="N174" i="13"/>
  <c r="I174" i="13"/>
  <c r="AA173" i="13"/>
  <c r="Z173" i="13"/>
  <c r="Y173" i="13"/>
  <c r="X173" i="13"/>
  <c r="W173" i="13"/>
  <c r="V173" i="13"/>
  <c r="U173" i="13"/>
  <c r="T173" i="13"/>
  <c r="S173" i="13"/>
  <c r="R173" i="13"/>
  <c r="Q173" i="13"/>
  <c r="P173" i="13"/>
  <c r="O173" i="13"/>
  <c r="N173" i="13"/>
  <c r="I173" i="13"/>
  <c r="AA172" i="13"/>
  <c r="Z172" i="13"/>
  <c r="Y172" i="13"/>
  <c r="X172" i="13"/>
  <c r="W172" i="13"/>
  <c r="V172" i="13"/>
  <c r="U172" i="13"/>
  <c r="T172" i="13"/>
  <c r="S172" i="13"/>
  <c r="R172" i="13"/>
  <c r="Q172" i="13"/>
  <c r="P172" i="13"/>
  <c r="O172" i="13"/>
  <c r="N172" i="13"/>
  <c r="I172" i="13"/>
  <c r="AA171" i="13"/>
  <c r="Z171" i="13"/>
  <c r="Y171" i="13"/>
  <c r="X171" i="13"/>
  <c r="W171" i="13"/>
  <c r="V171" i="13"/>
  <c r="U171" i="13"/>
  <c r="T171" i="13"/>
  <c r="S171" i="13"/>
  <c r="R171" i="13"/>
  <c r="Q171" i="13"/>
  <c r="P171" i="13"/>
  <c r="O171" i="13"/>
  <c r="N171" i="13"/>
  <c r="K171" i="13"/>
  <c r="G171" i="13"/>
  <c r="I171" i="13" s="1"/>
  <c r="AA170" i="13"/>
  <c r="Z170" i="13"/>
  <c r="Y170" i="13"/>
  <c r="X170" i="13"/>
  <c r="W170" i="13"/>
  <c r="V170" i="13"/>
  <c r="U170" i="13"/>
  <c r="T170" i="13"/>
  <c r="S170" i="13"/>
  <c r="R170" i="13"/>
  <c r="Q170" i="13"/>
  <c r="P170" i="13"/>
  <c r="O170" i="13"/>
  <c r="N170" i="13"/>
  <c r="G170" i="13"/>
  <c r="AA169" i="13"/>
  <c r="Z169" i="13"/>
  <c r="Y169" i="13"/>
  <c r="X169" i="13"/>
  <c r="W169" i="13"/>
  <c r="V169" i="13"/>
  <c r="U169" i="13"/>
  <c r="T169" i="13"/>
  <c r="S169" i="13"/>
  <c r="R169" i="13"/>
  <c r="Q169" i="13"/>
  <c r="P169" i="13"/>
  <c r="O169" i="13"/>
  <c r="N169" i="13"/>
  <c r="K169" i="13"/>
  <c r="G169" i="13"/>
  <c r="I169" i="13" s="1"/>
  <c r="AA168" i="13"/>
  <c r="Z168" i="13"/>
  <c r="Y168" i="13"/>
  <c r="X168" i="13"/>
  <c r="W168" i="13"/>
  <c r="V168" i="13"/>
  <c r="U168" i="13"/>
  <c r="T168" i="13"/>
  <c r="S168" i="13"/>
  <c r="R168" i="13"/>
  <c r="Q168" i="13"/>
  <c r="P168" i="13"/>
  <c r="O168" i="13"/>
  <c r="N168" i="13"/>
  <c r="G168" i="13"/>
  <c r="AA167" i="13"/>
  <c r="Z167" i="13"/>
  <c r="Y167" i="13"/>
  <c r="X167" i="13"/>
  <c r="W167" i="13"/>
  <c r="V167" i="13"/>
  <c r="U167" i="13"/>
  <c r="T167" i="13"/>
  <c r="S167" i="13"/>
  <c r="R167" i="13"/>
  <c r="Q167" i="13"/>
  <c r="P167" i="13"/>
  <c r="O167" i="13"/>
  <c r="N167" i="13"/>
  <c r="I167" i="13"/>
  <c r="G167" i="13"/>
  <c r="AA166" i="13"/>
  <c r="Z166" i="13"/>
  <c r="Y166" i="13"/>
  <c r="X166" i="13"/>
  <c r="W166" i="13"/>
  <c r="V166" i="13"/>
  <c r="U166" i="13"/>
  <c r="T166" i="13"/>
  <c r="S166" i="13"/>
  <c r="R166" i="13"/>
  <c r="Q166" i="13"/>
  <c r="P166" i="13"/>
  <c r="O166" i="13"/>
  <c r="N166" i="13"/>
  <c r="G166" i="13"/>
  <c r="I166" i="13" s="1"/>
  <c r="AA165" i="13"/>
  <c r="Z165" i="13"/>
  <c r="Y165" i="13"/>
  <c r="X165" i="13"/>
  <c r="W165" i="13"/>
  <c r="V165" i="13"/>
  <c r="U165" i="13"/>
  <c r="T165" i="13"/>
  <c r="S165" i="13"/>
  <c r="R165" i="13"/>
  <c r="Q165" i="13"/>
  <c r="P165" i="13"/>
  <c r="O165" i="13"/>
  <c r="N165" i="13"/>
  <c r="G165" i="13"/>
  <c r="I165" i="13" s="1"/>
  <c r="AA164" i="13"/>
  <c r="Z164" i="13"/>
  <c r="Y164" i="13"/>
  <c r="X164" i="13"/>
  <c r="W164" i="13"/>
  <c r="V164" i="13"/>
  <c r="U164" i="13"/>
  <c r="T164" i="13"/>
  <c r="S164" i="13"/>
  <c r="R164" i="13"/>
  <c r="Q164" i="13"/>
  <c r="P164" i="13"/>
  <c r="O164" i="13"/>
  <c r="N164" i="13"/>
  <c r="G164" i="13"/>
  <c r="I164" i="13" s="1"/>
  <c r="AA163" i="13"/>
  <c r="Z163" i="13"/>
  <c r="Y163" i="13"/>
  <c r="X163" i="13"/>
  <c r="W163" i="13"/>
  <c r="V163" i="13"/>
  <c r="U163" i="13"/>
  <c r="T163" i="13"/>
  <c r="S163" i="13"/>
  <c r="R163" i="13"/>
  <c r="Q163" i="13"/>
  <c r="P163" i="13"/>
  <c r="O163" i="13"/>
  <c r="N163" i="13"/>
  <c r="I163" i="13"/>
  <c r="G163" i="13"/>
  <c r="AA162" i="13"/>
  <c r="Z162" i="13"/>
  <c r="Y162" i="13"/>
  <c r="X162" i="13"/>
  <c r="W162" i="13"/>
  <c r="V162" i="13"/>
  <c r="U162" i="13"/>
  <c r="T162" i="13"/>
  <c r="S162" i="13"/>
  <c r="R162" i="13"/>
  <c r="Q162" i="13"/>
  <c r="P162" i="13"/>
  <c r="O162" i="13"/>
  <c r="N162" i="13"/>
  <c r="K162" i="13"/>
  <c r="I162" i="13"/>
  <c r="AA161" i="13"/>
  <c r="Z161" i="13"/>
  <c r="Y161" i="13"/>
  <c r="X161" i="13"/>
  <c r="W161" i="13"/>
  <c r="V161" i="13"/>
  <c r="U161" i="13"/>
  <c r="T161" i="13"/>
  <c r="S161" i="13"/>
  <c r="R161" i="13"/>
  <c r="Q161" i="13"/>
  <c r="P161" i="13"/>
  <c r="O161" i="13"/>
  <c r="N161" i="13"/>
  <c r="G161" i="13"/>
  <c r="AA160" i="13"/>
  <c r="Z160" i="13"/>
  <c r="Y160" i="13"/>
  <c r="X160" i="13"/>
  <c r="W160" i="13"/>
  <c r="V160" i="13"/>
  <c r="U160" i="13"/>
  <c r="T160" i="13"/>
  <c r="S160" i="13"/>
  <c r="R160" i="13"/>
  <c r="Q160" i="13"/>
  <c r="P160" i="13"/>
  <c r="O160" i="13"/>
  <c r="N160" i="13"/>
  <c r="K160" i="13"/>
  <c r="G160" i="13"/>
  <c r="I160" i="13" s="1"/>
  <c r="AA159" i="13"/>
  <c r="Z159" i="13"/>
  <c r="Y159" i="13"/>
  <c r="X159" i="13"/>
  <c r="W159" i="13"/>
  <c r="V159" i="13"/>
  <c r="U159" i="13"/>
  <c r="T159" i="13"/>
  <c r="S159" i="13"/>
  <c r="R159" i="13"/>
  <c r="Q159" i="13"/>
  <c r="P159" i="13"/>
  <c r="O159" i="13"/>
  <c r="N159" i="13"/>
  <c r="G159" i="13"/>
  <c r="AA158" i="13"/>
  <c r="Z158" i="13"/>
  <c r="Y158" i="13"/>
  <c r="X158" i="13"/>
  <c r="W158" i="13"/>
  <c r="V158" i="13"/>
  <c r="U158" i="13"/>
  <c r="T158" i="13"/>
  <c r="S158" i="13"/>
  <c r="R158" i="13"/>
  <c r="Q158" i="13"/>
  <c r="P158" i="13"/>
  <c r="O158" i="13"/>
  <c r="N158" i="13"/>
  <c r="K158" i="13"/>
  <c r="G158" i="13"/>
  <c r="I158" i="13" s="1"/>
  <c r="AA157" i="13"/>
  <c r="Z157" i="13"/>
  <c r="Y157" i="13"/>
  <c r="X157" i="13"/>
  <c r="W157" i="13"/>
  <c r="V157" i="13"/>
  <c r="U157" i="13"/>
  <c r="T157" i="13"/>
  <c r="S157" i="13"/>
  <c r="R157" i="13"/>
  <c r="Q157" i="13"/>
  <c r="P157" i="13"/>
  <c r="O157" i="13"/>
  <c r="N157" i="13"/>
  <c r="I157" i="13"/>
  <c r="AA156" i="13"/>
  <c r="Z156" i="13"/>
  <c r="Y156" i="13"/>
  <c r="X156" i="13"/>
  <c r="W156" i="13"/>
  <c r="V156" i="13"/>
  <c r="U156" i="13"/>
  <c r="T156" i="13"/>
  <c r="S156" i="13"/>
  <c r="R156" i="13"/>
  <c r="Q156" i="13"/>
  <c r="P156" i="13"/>
  <c r="O156" i="13"/>
  <c r="N156" i="13"/>
  <c r="I156" i="13"/>
  <c r="AA155" i="13"/>
  <c r="Z155" i="13"/>
  <c r="Y155" i="13"/>
  <c r="X155" i="13"/>
  <c r="W155" i="13"/>
  <c r="V155" i="13"/>
  <c r="U155" i="13"/>
  <c r="T155" i="13"/>
  <c r="S155" i="13"/>
  <c r="R155" i="13"/>
  <c r="Q155" i="13"/>
  <c r="P155" i="13"/>
  <c r="O155" i="13"/>
  <c r="N155" i="13"/>
  <c r="K155" i="13"/>
  <c r="I155" i="13"/>
  <c r="AA154" i="13"/>
  <c r="Z154" i="13"/>
  <c r="Y154" i="13"/>
  <c r="X154" i="13"/>
  <c r="W154" i="13"/>
  <c r="V154" i="13"/>
  <c r="U154" i="13"/>
  <c r="T154" i="13"/>
  <c r="S154" i="13"/>
  <c r="R154" i="13"/>
  <c r="Q154" i="13"/>
  <c r="P154" i="13"/>
  <c r="O154" i="13"/>
  <c r="N154" i="13"/>
  <c r="K154" i="13"/>
  <c r="I154" i="13"/>
  <c r="G154" i="13"/>
  <c r="AA153" i="13"/>
  <c r="Z153" i="13"/>
  <c r="Y153" i="13"/>
  <c r="X153" i="13"/>
  <c r="W153" i="13"/>
  <c r="V153" i="13"/>
  <c r="U153" i="13"/>
  <c r="T153" i="13"/>
  <c r="S153" i="13"/>
  <c r="R153" i="13"/>
  <c r="Q153" i="13"/>
  <c r="P153" i="13"/>
  <c r="O153" i="13"/>
  <c r="N153" i="13"/>
  <c r="K153" i="13"/>
  <c r="I153" i="13"/>
  <c r="AA152" i="13"/>
  <c r="Z152" i="13"/>
  <c r="Y152" i="13"/>
  <c r="X152" i="13"/>
  <c r="W152" i="13"/>
  <c r="V152" i="13"/>
  <c r="U152" i="13"/>
  <c r="T152" i="13"/>
  <c r="S152" i="13"/>
  <c r="R152" i="13"/>
  <c r="Q152" i="13"/>
  <c r="P152" i="13"/>
  <c r="O152" i="13"/>
  <c r="N152" i="13"/>
  <c r="I152" i="13"/>
  <c r="AA151" i="13"/>
  <c r="Z151" i="13"/>
  <c r="Y151" i="13"/>
  <c r="X151" i="13"/>
  <c r="W151" i="13"/>
  <c r="V151" i="13"/>
  <c r="U151" i="13"/>
  <c r="T151" i="13"/>
  <c r="S151" i="13"/>
  <c r="R151" i="13"/>
  <c r="Q151" i="13"/>
  <c r="P151" i="13"/>
  <c r="O151" i="13"/>
  <c r="N151" i="13"/>
  <c r="G151" i="13"/>
  <c r="AA150" i="13"/>
  <c r="Z150" i="13"/>
  <c r="Y150" i="13"/>
  <c r="X150" i="13"/>
  <c r="W150" i="13"/>
  <c r="V150" i="13"/>
  <c r="U150" i="13"/>
  <c r="T150" i="13"/>
  <c r="S150" i="13"/>
  <c r="R150" i="13"/>
  <c r="Q150" i="13"/>
  <c r="P150" i="13"/>
  <c r="O150" i="13"/>
  <c r="N150" i="13"/>
  <c r="I150" i="13"/>
  <c r="G150" i="13"/>
  <c r="B150" i="13"/>
  <c r="AA149" i="13"/>
  <c r="Z149" i="13"/>
  <c r="Y149" i="13"/>
  <c r="X149" i="13"/>
  <c r="W149" i="13"/>
  <c r="V149" i="13"/>
  <c r="U149" i="13"/>
  <c r="T149" i="13"/>
  <c r="S149" i="13"/>
  <c r="R149" i="13"/>
  <c r="Q149" i="13"/>
  <c r="P149" i="13"/>
  <c r="O149" i="13"/>
  <c r="N149" i="13"/>
  <c r="AA148" i="13"/>
  <c r="Z148" i="13"/>
  <c r="Y148" i="13"/>
  <c r="X148" i="13"/>
  <c r="W148" i="13"/>
  <c r="V148" i="13"/>
  <c r="U148" i="13"/>
  <c r="T148" i="13"/>
  <c r="S148" i="13"/>
  <c r="R148" i="13"/>
  <c r="Q148" i="13"/>
  <c r="P148" i="13"/>
  <c r="O148" i="13"/>
  <c r="N148" i="13"/>
  <c r="I148" i="13"/>
  <c r="AA147" i="13"/>
  <c r="Z147" i="13"/>
  <c r="Y147" i="13"/>
  <c r="X147" i="13"/>
  <c r="W147" i="13"/>
  <c r="V147" i="13"/>
  <c r="U147" i="13"/>
  <c r="T147" i="13"/>
  <c r="S147" i="13"/>
  <c r="R147" i="13"/>
  <c r="Q147" i="13"/>
  <c r="P147" i="13"/>
  <c r="O147" i="13"/>
  <c r="N147" i="13"/>
  <c r="K147" i="13"/>
  <c r="I147" i="13"/>
  <c r="AA146" i="13"/>
  <c r="Z146" i="13"/>
  <c r="Y146" i="13"/>
  <c r="X146" i="13"/>
  <c r="W146" i="13"/>
  <c r="V146" i="13"/>
  <c r="U146" i="13"/>
  <c r="T146" i="13"/>
  <c r="S146" i="13"/>
  <c r="R146" i="13"/>
  <c r="Q146" i="13"/>
  <c r="P146" i="13"/>
  <c r="O146" i="13"/>
  <c r="N146" i="13"/>
  <c r="K146" i="13"/>
  <c r="I146" i="13"/>
  <c r="AA145" i="13"/>
  <c r="Z145" i="13"/>
  <c r="Y145" i="13"/>
  <c r="X145" i="13"/>
  <c r="W145" i="13"/>
  <c r="V145" i="13"/>
  <c r="U145" i="13"/>
  <c r="T145" i="13"/>
  <c r="S145" i="13"/>
  <c r="R145" i="13"/>
  <c r="Q145" i="13"/>
  <c r="P145" i="13"/>
  <c r="O145" i="13"/>
  <c r="N145" i="13"/>
  <c r="K145" i="13"/>
  <c r="I145" i="13"/>
  <c r="AA144" i="13"/>
  <c r="Z144" i="13"/>
  <c r="Y144" i="13"/>
  <c r="X144" i="13"/>
  <c r="W144" i="13"/>
  <c r="V144" i="13"/>
  <c r="U144" i="13"/>
  <c r="T144" i="13"/>
  <c r="S144" i="13"/>
  <c r="R144" i="13"/>
  <c r="Q144" i="13"/>
  <c r="P144" i="13"/>
  <c r="O144" i="13"/>
  <c r="N144" i="13"/>
  <c r="I144" i="13"/>
  <c r="AA143" i="13"/>
  <c r="Z143" i="13"/>
  <c r="Y143" i="13"/>
  <c r="X143" i="13"/>
  <c r="W143" i="13"/>
  <c r="V143" i="13"/>
  <c r="U143" i="13"/>
  <c r="T143" i="13"/>
  <c r="S143" i="13"/>
  <c r="R143" i="13"/>
  <c r="Q143" i="13"/>
  <c r="P143" i="13"/>
  <c r="O143" i="13"/>
  <c r="N143" i="13"/>
  <c r="I143" i="13"/>
  <c r="AA142" i="13"/>
  <c r="Z142" i="13"/>
  <c r="Y142" i="13"/>
  <c r="X142" i="13"/>
  <c r="W142" i="13"/>
  <c r="V142" i="13"/>
  <c r="U142" i="13"/>
  <c r="T142" i="13"/>
  <c r="S142" i="13"/>
  <c r="R142" i="13"/>
  <c r="Q142" i="13"/>
  <c r="P142" i="13"/>
  <c r="O142" i="13"/>
  <c r="N142" i="13"/>
  <c r="I142" i="13"/>
  <c r="AA141" i="13"/>
  <c r="Z141" i="13"/>
  <c r="Y141" i="13"/>
  <c r="X141" i="13"/>
  <c r="W141" i="13"/>
  <c r="V141" i="13"/>
  <c r="U141" i="13"/>
  <c r="T141" i="13"/>
  <c r="S141" i="13"/>
  <c r="R141" i="13"/>
  <c r="Q141" i="13"/>
  <c r="P141" i="13"/>
  <c r="O141" i="13"/>
  <c r="N141" i="13"/>
  <c r="AA140" i="13"/>
  <c r="Z140" i="13"/>
  <c r="Y140" i="13"/>
  <c r="X140" i="13"/>
  <c r="W140" i="13"/>
  <c r="V140" i="13"/>
  <c r="U140" i="13"/>
  <c r="T140" i="13"/>
  <c r="S140" i="13"/>
  <c r="R140" i="13"/>
  <c r="Q140" i="13"/>
  <c r="P140" i="13"/>
  <c r="O140" i="13"/>
  <c r="N140" i="13"/>
  <c r="AA139" i="13"/>
  <c r="Z139" i="13"/>
  <c r="Y139" i="13"/>
  <c r="X139" i="13"/>
  <c r="W139" i="13"/>
  <c r="V139" i="13"/>
  <c r="U139" i="13"/>
  <c r="T139" i="13"/>
  <c r="S139" i="13"/>
  <c r="R139" i="13"/>
  <c r="Q139" i="13"/>
  <c r="P139" i="13"/>
  <c r="O139" i="13"/>
  <c r="N139" i="13"/>
  <c r="AA138" i="13"/>
  <c r="Z138" i="13"/>
  <c r="Y138" i="13"/>
  <c r="X138" i="13"/>
  <c r="W138" i="13"/>
  <c r="V138" i="13"/>
  <c r="U138" i="13"/>
  <c r="T138" i="13"/>
  <c r="S138" i="13"/>
  <c r="R138" i="13"/>
  <c r="Q138" i="13"/>
  <c r="P138" i="13"/>
  <c r="O138" i="13"/>
  <c r="N138" i="13"/>
  <c r="AA137" i="13"/>
  <c r="Z137" i="13"/>
  <c r="Y137" i="13"/>
  <c r="X137" i="13"/>
  <c r="W137" i="13"/>
  <c r="V137" i="13"/>
  <c r="U137" i="13"/>
  <c r="T137" i="13"/>
  <c r="S137" i="13"/>
  <c r="R137" i="13"/>
  <c r="Q137" i="13"/>
  <c r="P137" i="13"/>
  <c r="O137" i="13"/>
  <c r="N137" i="13"/>
  <c r="AA136" i="13"/>
  <c r="Z136" i="13"/>
  <c r="Y136" i="13"/>
  <c r="X136" i="13"/>
  <c r="W136" i="13"/>
  <c r="V136" i="13"/>
  <c r="U136" i="13"/>
  <c r="T136" i="13"/>
  <c r="S136" i="13"/>
  <c r="R136" i="13"/>
  <c r="Q136" i="13"/>
  <c r="P136" i="13"/>
  <c r="O136" i="13"/>
  <c r="N136" i="13"/>
  <c r="AA135" i="13"/>
  <c r="Z135" i="13"/>
  <c r="Y135" i="13"/>
  <c r="X135" i="13"/>
  <c r="W135" i="13"/>
  <c r="V135" i="13"/>
  <c r="U135" i="13"/>
  <c r="T135" i="13"/>
  <c r="S135" i="13"/>
  <c r="R135" i="13"/>
  <c r="Q135" i="13"/>
  <c r="P135" i="13"/>
  <c r="O135" i="13"/>
  <c r="N135" i="13"/>
  <c r="AA134" i="13"/>
  <c r="Z134" i="13"/>
  <c r="Y134" i="13"/>
  <c r="X134" i="13"/>
  <c r="W134" i="13"/>
  <c r="V134" i="13"/>
  <c r="U134" i="13"/>
  <c r="T134" i="13"/>
  <c r="S134" i="13"/>
  <c r="R134" i="13"/>
  <c r="Q134" i="13"/>
  <c r="P134" i="13"/>
  <c r="O134" i="13"/>
  <c r="N134" i="13"/>
  <c r="AA133" i="13"/>
  <c r="Z133" i="13"/>
  <c r="Y133" i="13"/>
  <c r="X133" i="13"/>
  <c r="W133" i="13"/>
  <c r="V133" i="13"/>
  <c r="U133" i="13"/>
  <c r="T133" i="13"/>
  <c r="S133" i="13"/>
  <c r="R133" i="13"/>
  <c r="Q133" i="13"/>
  <c r="P133" i="13"/>
  <c r="O133" i="13"/>
  <c r="N133" i="13"/>
  <c r="AA132" i="13"/>
  <c r="Z132" i="13"/>
  <c r="Y132" i="13"/>
  <c r="X132" i="13"/>
  <c r="W132" i="13"/>
  <c r="V132" i="13"/>
  <c r="U132" i="13"/>
  <c r="T132" i="13"/>
  <c r="S132" i="13"/>
  <c r="R132" i="13"/>
  <c r="Q132" i="13"/>
  <c r="P132" i="13"/>
  <c r="O132" i="13"/>
  <c r="N132" i="13"/>
  <c r="K132" i="13"/>
  <c r="AA131" i="13"/>
  <c r="Z131" i="13"/>
  <c r="Y131" i="13"/>
  <c r="X131" i="13"/>
  <c r="W131" i="13"/>
  <c r="V131" i="13"/>
  <c r="U131" i="13"/>
  <c r="T131" i="13"/>
  <c r="S131" i="13"/>
  <c r="R131" i="13"/>
  <c r="Q131" i="13"/>
  <c r="P131" i="13"/>
  <c r="O131" i="13"/>
  <c r="N131" i="13"/>
  <c r="K131" i="13"/>
  <c r="AA130" i="13"/>
  <c r="Z130" i="13"/>
  <c r="Y130" i="13"/>
  <c r="X130" i="13"/>
  <c r="W130" i="13"/>
  <c r="V130" i="13"/>
  <c r="U130" i="13"/>
  <c r="T130" i="13"/>
  <c r="S130" i="13"/>
  <c r="R130" i="13"/>
  <c r="Q130" i="13"/>
  <c r="P130" i="13"/>
  <c r="O130" i="13"/>
  <c r="N130" i="13"/>
  <c r="K130" i="13"/>
  <c r="AA129" i="13"/>
  <c r="Z129" i="13"/>
  <c r="Y129" i="13"/>
  <c r="X129" i="13"/>
  <c r="W129" i="13"/>
  <c r="V129" i="13"/>
  <c r="U129" i="13"/>
  <c r="T129" i="13"/>
  <c r="S129" i="13"/>
  <c r="R129" i="13"/>
  <c r="Q129" i="13"/>
  <c r="P129" i="13"/>
  <c r="O129" i="13"/>
  <c r="N129" i="13"/>
  <c r="K129" i="13"/>
  <c r="AA128" i="13"/>
  <c r="Z128" i="13"/>
  <c r="Y128" i="13"/>
  <c r="X128" i="13"/>
  <c r="W128" i="13"/>
  <c r="V128" i="13"/>
  <c r="U128" i="13"/>
  <c r="T128" i="13"/>
  <c r="S128" i="13"/>
  <c r="R128" i="13"/>
  <c r="Q128" i="13"/>
  <c r="P128" i="13"/>
  <c r="O128" i="13"/>
  <c r="N128" i="13"/>
  <c r="K128" i="13"/>
  <c r="AA127" i="13"/>
  <c r="Z127" i="13"/>
  <c r="Y127" i="13"/>
  <c r="X127" i="13"/>
  <c r="W127" i="13"/>
  <c r="V127" i="13"/>
  <c r="U127" i="13"/>
  <c r="T127" i="13"/>
  <c r="S127" i="13"/>
  <c r="R127" i="13"/>
  <c r="Q127" i="13"/>
  <c r="P127" i="13"/>
  <c r="O127" i="13"/>
  <c r="N127" i="13"/>
  <c r="K127" i="13"/>
  <c r="AA126" i="13"/>
  <c r="Z126" i="13"/>
  <c r="Y126" i="13"/>
  <c r="X126" i="13"/>
  <c r="W126" i="13"/>
  <c r="V126" i="13"/>
  <c r="U126" i="13"/>
  <c r="T126" i="13"/>
  <c r="S126" i="13"/>
  <c r="R126" i="13"/>
  <c r="Q126" i="13"/>
  <c r="P126" i="13"/>
  <c r="O126" i="13"/>
  <c r="N126" i="13"/>
  <c r="K126" i="13"/>
  <c r="AA125" i="13"/>
  <c r="Z125" i="13"/>
  <c r="Y125" i="13"/>
  <c r="X125" i="13"/>
  <c r="W125" i="13"/>
  <c r="V125" i="13"/>
  <c r="U125" i="13"/>
  <c r="T125" i="13"/>
  <c r="S125" i="13"/>
  <c r="R125" i="13"/>
  <c r="Q125" i="13"/>
  <c r="P125" i="13"/>
  <c r="O125" i="13"/>
  <c r="N125" i="13"/>
  <c r="K125" i="13"/>
  <c r="AA124" i="13"/>
  <c r="Z124" i="13"/>
  <c r="Y124" i="13"/>
  <c r="X124" i="13"/>
  <c r="W124" i="13"/>
  <c r="V124" i="13"/>
  <c r="U124" i="13"/>
  <c r="T124" i="13"/>
  <c r="S124" i="13"/>
  <c r="R124" i="13"/>
  <c r="Q124" i="13"/>
  <c r="P124" i="13"/>
  <c r="O124" i="13"/>
  <c r="N124" i="13"/>
  <c r="K124" i="13"/>
  <c r="AA123" i="13"/>
  <c r="Z123" i="13"/>
  <c r="Y123" i="13"/>
  <c r="X123" i="13"/>
  <c r="W123" i="13"/>
  <c r="V123" i="13"/>
  <c r="U123" i="13"/>
  <c r="T123" i="13"/>
  <c r="S123" i="13"/>
  <c r="R123" i="13"/>
  <c r="Q123" i="13"/>
  <c r="P123" i="13"/>
  <c r="O123" i="13"/>
  <c r="N123" i="13"/>
  <c r="K123" i="13"/>
  <c r="AA122" i="13"/>
  <c r="Z122" i="13"/>
  <c r="Y122" i="13"/>
  <c r="X122" i="13"/>
  <c r="W122" i="13"/>
  <c r="V122" i="13"/>
  <c r="U122" i="13"/>
  <c r="T122" i="13"/>
  <c r="S122" i="13"/>
  <c r="R122" i="13"/>
  <c r="Q122" i="13"/>
  <c r="P122" i="13"/>
  <c r="O122" i="13"/>
  <c r="N122" i="13"/>
  <c r="K122" i="13"/>
  <c r="AA121" i="13"/>
  <c r="Z121" i="13"/>
  <c r="Y121" i="13"/>
  <c r="X121" i="13"/>
  <c r="W121" i="13"/>
  <c r="V121" i="13"/>
  <c r="U121" i="13"/>
  <c r="T121" i="13"/>
  <c r="S121" i="13"/>
  <c r="R121" i="13"/>
  <c r="Q121" i="13"/>
  <c r="P121" i="13"/>
  <c r="O121" i="13"/>
  <c r="N121" i="13"/>
  <c r="K121" i="13"/>
  <c r="AA120" i="13"/>
  <c r="Z120" i="13"/>
  <c r="Y120" i="13"/>
  <c r="X120" i="13"/>
  <c r="W120" i="13"/>
  <c r="V120" i="13"/>
  <c r="U120" i="13"/>
  <c r="T120" i="13"/>
  <c r="S120" i="13"/>
  <c r="R120" i="13"/>
  <c r="Q120" i="13"/>
  <c r="P120" i="13"/>
  <c r="O120" i="13"/>
  <c r="N120" i="13"/>
  <c r="K120" i="13"/>
  <c r="AA119" i="13"/>
  <c r="Z119" i="13"/>
  <c r="Y119" i="13"/>
  <c r="X119" i="13"/>
  <c r="W119" i="13"/>
  <c r="V119" i="13"/>
  <c r="U119" i="13"/>
  <c r="T119" i="13"/>
  <c r="S119" i="13"/>
  <c r="R119" i="13"/>
  <c r="Q119" i="13"/>
  <c r="P119" i="13"/>
  <c r="O119" i="13"/>
  <c r="N119" i="13"/>
  <c r="I119" i="13"/>
  <c r="AA118" i="13"/>
  <c r="Z118" i="13"/>
  <c r="Y118" i="13"/>
  <c r="X118" i="13"/>
  <c r="W118" i="13"/>
  <c r="V118" i="13"/>
  <c r="U118" i="13"/>
  <c r="T118" i="13"/>
  <c r="S118" i="13"/>
  <c r="R118" i="13"/>
  <c r="Q118" i="13"/>
  <c r="P118" i="13"/>
  <c r="O118" i="13"/>
  <c r="N118" i="13"/>
  <c r="I118" i="13"/>
  <c r="AA117" i="13"/>
  <c r="Z117" i="13"/>
  <c r="Y117" i="13"/>
  <c r="X117" i="13"/>
  <c r="W117" i="13"/>
  <c r="V117" i="13"/>
  <c r="U117" i="13"/>
  <c r="T117" i="13"/>
  <c r="S117" i="13"/>
  <c r="R117" i="13"/>
  <c r="Q117" i="13"/>
  <c r="P117" i="13"/>
  <c r="O117" i="13"/>
  <c r="N117" i="13"/>
  <c r="I117" i="13"/>
  <c r="AA116" i="13"/>
  <c r="Z116" i="13"/>
  <c r="Y116" i="13"/>
  <c r="X116" i="13"/>
  <c r="W116" i="13"/>
  <c r="V116" i="13"/>
  <c r="U116" i="13"/>
  <c r="T116" i="13"/>
  <c r="S116" i="13"/>
  <c r="R116" i="13"/>
  <c r="Q116" i="13"/>
  <c r="P116" i="13"/>
  <c r="O116" i="13"/>
  <c r="N116" i="13"/>
  <c r="I116" i="13"/>
  <c r="AA115" i="13"/>
  <c r="Z115" i="13"/>
  <c r="Y115" i="13"/>
  <c r="X115" i="13"/>
  <c r="W115" i="13"/>
  <c r="V115" i="13"/>
  <c r="U115" i="13"/>
  <c r="T115" i="13"/>
  <c r="S115" i="13"/>
  <c r="R115" i="13"/>
  <c r="Q115" i="13"/>
  <c r="P115" i="13"/>
  <c r="O115" i="13"/>
  <c r="N115" i="13"/>
  <c r="I115" i="13"/>
  <c r="AA114" i="13"/>
  <c r="Z114" i="13"/>
  <c r="Y114" i="13"/>
  <c r="X114" i="13"/>
  <c r="W114" i="13"/>
  <c r="V114" i="13"/>
  <c r="U114" i="13"/>
  <c r="T114" i="13"/>
  <c r="S114" i="13"/>
  <c r="R114" i="13"/>
  <c r="Q114" i="13"/>
  <c r="P114" i="13"/>
  <c r="O114" i="13"/>
  <c r="N114" i="13"/>
  <c r="I114" i="13"/>
  <c r="AA113" i="13"/>
  <c r="Z113" i="13"/>
  <c r="Y113" i="13"/>
  <c r="X113" i="13"/>
  <c r="W113" i="13"/>
  <c r="V113" i="13"/>
  <c r="U113" i="13"/>
  <c r="T113" i="13"/>
  <c r="S113" i="13"/>
  <c r="R113" i="13"/>
  <c r="Q113" i="13"/>
  <c r="P113" i="13"/>
  <c r="O113" i="13"/>
  <c r="N113" i="13"/>
  <c r="I113" i="13"/>
  <c r="AA112" i="13"/>
  <c r="Z112" i="13"/>
  <c r="Y112" i="13"/>
  <c r="X112" i="13"/>
  <c r="W112" i="13"/>
  <c r="V112" i="13"/>
  <c r="U112" i="13"/>
  <c r="T112" i="13"/>
  <c r="S112" i="13"/>
  <c r="R112" i="13"/>
  <c r="Q112" i="13"/>
  <c r="P112" i="13"/>
  <c r="O112" i="13"/>
  <c r="N112" i="13"/>
  <c r="I112" i="13"/>
  <c r="AA111" i="13"/>
  <c r="Z111" i="13"/>
  <c r="Y111" i="13"/>
  <c r="X111" i="13"/>
  <c r="W111" i="13"/>
  <c r="V111" i="13"/>
  <c r="U111" i="13"/>
  <c r="T111" i="13"/>
  <c r="S111" i="13"/>
  <c r="R111" i="13"/>
  <c r="Q111" i="13"/>
  <c r="P111" i="13"/>
  <c r="O111" i="13"/>
  <c r="N111" i="13"/>
  <c r="I111" i="13"/>
  <c r="AA110" i="13"/>
  <c r="Z110" i="13"/>
  <c r="Y110" i="13"/>
  <c r="X110" i="13"/>
  <c r="W110" i="13"/>
  <c r="V110" i="13"/>
  <c r="U110" i="13"/>
  <c r="T110" i="13"/>
  <c r="S110" i="13"/>
  <c r="R110" i="13"/>
  <c r="Q110" i="13"/>
  <c r="P110" i="13"/>
  <c r="O110" i="13"/>
  <c r="N110" i="13"/>
  <c r="I110" i="13"/>
  <c r="AA109" i="13"/>
  <c r="Z109" i="13"/>
  <c r="Y109" i="13"/>
  <c r="X109" i="13"/>
  <c r="W109" i="13"/>
  <c r="V109" i="13"/>
  <c r="U109" i="13"/>
  <c r="T109" i="13"/>
  <c r="S109" i="13"/>
  <c r="R109" i="13"/>
  <c r="Q109" i="13"/>
  <c r="P109" i="13"/>
  <c r="O109" i="13"/>
  <c r="N109" i="13"/>
  <c r="I109" i="13"/>
  <c r="AA108" i="13"/>
  <c r="Z108" i="13"/>
  <c r="Y108" i="13"/>
  <c r="X108" i="13"/>
  <c r="W108" i="13"/>
  <c r="V108" i="13"/>
  <c r="U108" i="13"/>
  <c r="T108" i="13"/>
  <c r="S108" i="13"/>
  <c r="R108" i="13"/>
  <c r="Q108" i="13"/>
  <c r="P108" i="13"/>
  <c r="O108" i="13"/>
  <c r="N108" i="13"/>
  <c r="K108" i="13"/>
  <c r="I108" i="13"/>
  <c r="AA107" i="13"/>
  <c r="Z107" i="13"/>
  <c r="Y107" i="13"/>
  <c r="X107" i="13"/>
  <c r="W107" i="13"/>
  <c r="V107" i="13"/>
  <c r="U107" i="13"/>
  <c r="T107" i="13"/>
  <c r="S107" i="13"/>
  <c r="R107" i="13"/>
  <c r="Q107" i="13"/>
  <c r="P107" i="13"/>
  <c r="O107" i="13"/>
  <c r="N107" i="13"/>
  <c r="G107" i="13"/>
  <c r="I107" i="13" s="1"/>
  <c r="AA106" i="13"/>
  <c r="Z106" i="13"/>
  <c r="Y106" i="13"/>
  <c r="X106" i="13"/>
  <c r="W106" i="13"/>
  <c r="V106" i="13"/>
  <c r="U106" i="13"/>
  <c r="T106" i="13"/>
  <c r="S106" i="13"/>
  <c r="R106" i="13"/>
  <c r="Q106" i="13"/>
  <c r="P106" i="13"/>
  <c r="O106" i="13"/>
  <c r="N106" i="13"/>
  <c r="I106" i="13"/>
  <c r="AA105" i="13"/>
  <c r="Z105" i="13"/>
  <c r="Y105" i="13"/>
  <c r="X105" i="13"/>
  <c r="W105" i="13"/>
  <c r="V105" i="13"/>
  <c r="U105" i="13"/>
  <c r="T105" i="13"/>
  <c r="S105" i="13"/>
  <c r="R105" i="13"/>
  <c r="Q105" i="13"/>
  <c r="P105" i="13"/>
  <c r="O105" i="13"/>
  <c r="N105" i="13"/>
  <c r="I105" i="13"/>
  <c r="AA104" i="13"/>
  <c r="Z104" i="13"/>
  <c r="Y104" i="13"/>
  <c r="X104" i="13"/>
  <c r="W104" i="13"/>
  <c r="V104" i="13"/>
  <c r="U104" i="13"/>
  <c r="T104" i="13"/>
  <c r="S104" i="13"/>
  <c r="R104" i="13"/>
  <c r="Q104" i="13"/>
  <c r="P104" i="13"/>
  <c r="O104" i="13"/>
  <c r="N104" i="13"/>
  <c r="I104" i="13"/>
  <c r="AA103" i="13"/>
  <c r="Z103" i="13"/>
  <c r="Y103" i="13"/>
  <c r="X103" i="13"/>
  <c r="W103" i="13"/>
  <c r="V103" i="13"/>
  <c r="U103" i="13"/>
  <c r="T103" i="13"/>
  <c r="S103" i="13"/>
  <c r="R103" i="13"/>
  <c r="Q103" i="13"/>
  <c r="P103" i="13"/>
  <c r="O103" i="13"/>
  <c r="N103" i="13"/>
  <c r="I103" i="13"/>
  <c r="AA102" i="13"/>
  <c r="Z102" i="13"/>
  <c r="Y102" i="13"/>
  <c r="X102" i="13"/>
  <c r="W102" i="13"/>
  <c r="V102" i="13"/>
  <c r="U102" i="13"/>
  <c r="T102" i="13"/>
  <c r="S102" i="13"/>
  <c r="R102" i="13"/>
  <c r="Q102" i="13"/>
  <c r="P102" i="13"/>
  <c r="O102" i="13"/>
  <c r="N102" i="13"/>
  <c r="I102" i="13"/>
  <c r="AA101" i="13"/>
  <c r="Z101" i="13"/>
  <c r="Y101" i="13"/>
  <c r="X101" i="13"/>
  <c r="W101" i="13"/>
  <c r="V101" i="13"/>
  <c r="U101" i="13"/>
  <c r="T101" i="13"/>
  <c r="S101" i="13"/>
  <c r="R101" i="13"/>
  <c r="Q101" i="13"/>
  <c r="P101" i="13"/>
  <c r="O101" i="13"/>
  <c r="N101" i="13"/>
  <c r="I101" i="13"/>
  <c r="AA100" i="13"/>
  <c r="Z100" i="13"/>
  <c r="Y100" i="13"/>
  <c r="X100" i="13"/>
  <c r="W100" i="13"/>
  <c r="V100" i="13"/>
  <c r="U100" i="13"/>
  <c r="T100" i="13"/>
  <c r="S100" i="13"/>
  <c r="R100" i="13"/>
  <c r="Q100" i="13"/>
  <c r="P100" i="13"/>
  <c r="O100" i="13"/>
  <c r="N100" i="13"/>
  <c r="K100" i="13"/>
  <c r="I100" i="13"/>
  <c r="AA99" i="13"/>
  <c r="Z99" i="13"/>
  <c r="Y99" i="13"/>
  <c r="X99" i="13"/>
  <c r="W99" i="13"/>
  <c r="V99" i="13"/>
  <c r="U99" i="13"/>
  <c r="T99" i="13"/>
  <c r="S99" i="13"/>
  <c r="R99" i="13"/>
  <c r="Q99" i="13"/>
  <c r="P99" i="13"/>
  <c r="O99" i="13"/>
  <c r="N99" i="13"/>
  <c r="K99" i="13"/>
  <c r="I99" i="13"/>
  <c r="AA98" i="13"/>
  <c r="Z98" i="13"/>
  <c r="Y98" i="13"/>
  <c r="X98" i="13"/>
  <c r="W98" i="13"/>
  <c r="V98" i="13"/>
  <c r="U98" i="13"/>
  <c r="T98" i="13"/>
  <c r="S98" i="13"/>
  <c r="R98" i="13"/>
  <c r="Q98" i="13"/>
  <c r="P98" i="13"/>
  <c r="O98" i="13"/>
  <c r="N98" i="13"/>
  <c r="I98" i="13"/>
  <c r="AA97" i="13"/>
  <c r="Z97" i="13"/>
  <c r="Y97" i="13"/>
  <c r="X97" i="13"/>
  <c r="W97" i="13"/>
  <c r="V97" i="13"/>
  <c r="U97" i="13"/>
  <c r="T97" i="13"/>
  <c r="S97" i="13"/>
  <c r="R97" i="13"/>
  <c r="Q97" i="13"/>
  <c r="P97" i="13"/>
  <c r="O97" i="13"/>
  <c r="N97" i="13"/>
  <c r="I97" i="13"/>
  <c r="AA96" i="13"/>
  <c r="Z96" i="13"/>
  <c r="Y96" i="13"/>
  <c r="X96" i="13"/>
  <c r="W96" i="13"/>
  <c r="V96" i="13"/>
  <c r="U96" i="13"/>
  <c r="T96" i="13"/>
  <c r="S96" i="13"/>
  <c r="R96" i="13"/>
  <c r="Q96" i="13"/>
  <c r="P96" i="13"/>
  <c r="O96" i="13"/>
  <c r="N96" i="13"/>
  <c r="I96" i="13"/>
  <c r="AA95" i="13"/>
  <c r="Z95" i="13"/>
  <c r="Y95" i="13"/>
  <c r="X95" i="13"/>
  <c r="W95" i="13"/>
  <c r="V95" i="13"/>
  <c r="U95" i="13"/>
  <c r="T95" i="13"/>
  <c r="S95" i="13"/>
  <c r="R95" i="13"/>
  <c r="Q95" i="13"/>
  <c r="P95" i="13"/>
  <c r="O95" i="13"/>
  <c r="N95" i="13"/>
  <c r="I95" i="13"/>
  <c r="AA94" i="13"/>
  <c r="Z94" i="13"/>
  <c r="Y94" i="13"/>
  <c r="X94" i="13"/>
  <c r="W94" i="13"/>
  <c r="V94" i="13"/>
  <c r="U94" i="13"/>
  <c r="T94" i="13"/>
  <c r="S94" i="13"/>
  <c r="R94" i="13"/>
  <c r="Q94" i="13"/>
  <c r="P94" i="13"/>
  <c r="O94" i="13"/>
  <c r="N94" i="13"/>
  <c r="I94" i="13"/>
  <c r="AA93" i="13"/>
  <c r="Z93" i="13"/>
  <c r="Y93" i="13"/>
  <c r="X93" i="13"/>
  <c r="W93" i="13"/>
  <c r="V93" i="13"/>
  <c r="U93" i="13"/>
  <c r="T93" i="13"/>
  <c r="S93" i="13"/>
  <c r="R93" i="13"/>
  <c r="Q93" i="13"/>
  <c r="P93" i="13"/>
  <c r="O93" i="13"/>
  <c r="N93" i="13"/>
  <c r="G93" i="13"/>
  <c r="I93" i="13" s="1"/>
  <c r="AA92" i="13"/>
  <c r="Z92" i="13"/>
  <c r="Y92" i="13"/>
  <c r="X92" i="13"/>
  <c r="W92" i="13"/>
  <c r="V92" i="13"/>
  <c r="U92" i="13"/>
  <c r="T92" i="13"/>
  <c r="S92" i="13"/>
  <c r="R92" i="13"/>
  <c r="Q92" i="13"/>
  <c r="P92" i="13"/>
  <c r="O92" i="13"/>
  <c r="N92" i="13"/>
  <c r="K92" i="13"/>
  <c r="I92" i="13"/>
  <c r="AA91" i="13"/>
  <c r="Z91" i="13"/>
  <c r="Y91" i="13"/>
  <c r="X91" i="13"/>
  <c r="W91" i="13"/>
  <c r="V91" i="13"/>
  <c r="U91" i="13"/>
  <c r="T91" i="13"/>
  <c r="S91" i="13"/>
  <c r="R91" i="13"/>
  <c r="Q91" i="13"/>
  <c r="P91" i="13"/>
  <c r="O91" i="13"/>
  <c r="N91" i="13"/>
  <c r="I91" i="13"/>
  <c r="AA90" i="13"/>
  <c r="Z90" i="13"/>
  <c r="Y90" i="13"/>
  <c r="X90" i="13"/>
  <c r="W90" i="13"/>
  <c r="V90" i="13"/>
  <c r="U90" i="13"/>
  <c r="T90" i="13"/>
  <c r="S90" i="13"/>
  <c r="R90" i="13"/>
  <c r="Q90" i="13"/>
  <c r="P90" i="13"/>
  <c r="O90" i="13"/>
  <c r="N90" i="13"/>
  <c r="I90" i="13"/>
  <c r="AA89" i="13"/>
  <c r="Z89" i="13"/>
  <c r="Y89" i="13"/>
  <c r="X89" i="13"/>
  <c r="W89" i="13"/>
  <c r="V89" i="13"/>
  <c r="U89" i="13"/>
  <c r="T89" i="13"/>
  <c r="S89" i="13"/>
  <c r="R89" i="13"/>
  <c r="Q89" i="13"/>
  <c r="P89" i="13"/>
  <c r="O89" i="13"/>
  <c r="N89" i="13"/>
  <c r="I89" i="13"/>
  <c r="AA88" i="13"/>
  <c r="Z88" i="13"/>
  <c r="Y88" i="13"/>
  <c r="X88" i="13"/>
  <c r="W88" i="13"/>
  <c r="V88" i="13"/>
  <c r="U88" i="13"/>
  <c r="T88" i="13"/>
  <c r="S88" i="13"/>
  <c r="R88" i="13"/>
  <c r="Q88" i="13"/>
  <c r="P88" i="13"/>
  <c r="O88" i="13"/>
  <c r="N88" i="13"/>
  <c r="I88" i="13"/>
  <c r="AA87" i="13"/>
  <c r="Z87" i="13"/>
  <c r="Y87" i="13"/>
  <c r="X87" i="13"/>
  <c r="W87" i="13"/>
  <c r="V87" i="13"/>
  <c r="U87" i="13"/>
  <c r="T87" i="13"/>
  <c r="S87" i="13"/>
  <c r="R87" i="13"/>
  <c r="Q87" i="13"/>
  <c r="P87" i="13"/>
  <c r="O87" i="13"/>
  <c r="N87" i="13"/>
  <c r="G87" i="13"/>
  <c r="I87" i="13" s="1"/>
  <c r="AA86" i="13"/>
  <c r="Z86" i="13"/>
  <c r="Y86" i="13"/>
  <c r="X86" i="13"/>
  <c r="W86" i="13"/>
  <c r="V86" i="13"/>
  <c r="U86" i="13"/>
  <c r="T86" i="13"/>
  <c r="S86" i="13"/>
  <c r="R86" i="13"/>
  <c r="Q86" i="13"/>
  <c r="P86" i="13"/>
  <c r="O86" i="13"/>
  <c r="N86" i="13"/>
  <c r="K86" i="13"/>
  <c r="I86" i="13"/>
  <c r="AA85" i="13"/>
  <c r="Z85" i="13"/>
  <c r="Y85" i="13"/>
  <c r="X85" i="13"/>
  <c r="W85" i="13"/>
  <c r="V85" i="13"/>
  <c r="U85" i="13"/>
  <c r="T85" i="13"/>
  <c r="S85" i="13"/>
  <c r="R85" i="13"/>
  <c r="Q85" i="13"/>
  <c r="P85" i="13"/>
  <c r="O85" i="13"/>
  <c r="N85" i="13"/>
  <c r="K85" i="13"/>
  <c r="I85" i="13"/>
  <c r="AA84" i="13"/>
  <c r="Z84" i="13"/>
  <c r="Y84" i="13"/>
  <c r="X84" i="13"/>
  <c r="W84" i="13"/>
  <c r="V84" i="13"/>
  <c r="U84" i="13"/>
  <c r="T84" i="13"/>
  <c r="S84" i="13"/>
  <c r="R84" i="13"/>
  <c r="Q84" i="13"/>
  <c r="P84" i="13"/>
  <c r="O84" i="13"/>
  <c r="N84" i="13"/>
  <c r="K84" i="13"/>
  <c r="I84" i="13"/>
  <c r="AA83" i="13"/>
  <c r="Z83" i="13"/>
  <c r="Y83" i="13"/>
  <c r="X83" i="13"/>
  <c r="W83" i="13"/>
  <c r="V83" i="13"/>
  <c r="U83" i="13"/>
  <c r="T83" i="13"/>
  <c r="S83" i="13"/>
  <c r="R83" i="13"/>
  <c r="Q83" i="13"/>
  <c r="P83" i="13"/>
  <c r="O83" i="13"/>
  <c r="N83" i="13"/>
  <c r="I83" i="13"/>
  <c r="AA82" i="13"/>
  <c r="Z82" i="13"/>
  <c r="Y82" i="13"/>
  <c r="X82" i="13"/>
  <c r="W82" i="13"/>
  <c r="V82" i="13"/>
  <c r="U82" i="13"/>
  <c r="T82" i="13"/>
  <c r="S82" i="13"/>
  <c r="R82" i="13"/>
  <c r="Q82" i="13"/>
  <c r="P82" i="13"/>
  <c r="O82" i="13"/>
  <c r="N82" i="13"/>
  <c r="I82" i="13"/>
  <c r="AA81" i="13"/>
  <c r="Z81" i="13"/>
  <c r="Y81" i="13"/>
  <c r="X81" i="13"/>
  <c r="W81" i="13"/>
  <c r="V81" i="13"/>
  <c r="U81" i="13"/>
  <c r="T81" i="13"/>
  <c r="S81" i="13"/>
  <c r="R81" i="13"/>
  <c r="Q81" i="13"/>
  <c r="P81" i="13"/>
  <c r="O81" i="13"/>
  <c r="N81" i="13"/>
  <c r="I81" i="13"/>
  <c r="AA80" i="13"/>
  <c r="Z80" i="13"/>
  <c r="Y80" i="13"/>
  <c r="X80" i="13"/>
  <c r="W80" i="13"/>
  <c r="V80" i="13"/>
  <c r="U80" i="13"/>
  <c r="T80" i="13"/>
  <c r="S80" i="13"/>
  <c r="R80" i="13"/>
  <c r="Q80" i="13"/>
  <c r="P80" i="13"/>
  <c r="O80" i="13"/>
  <c r="N80" i="13"/>
  <c r="I80" i="13"/>
  <c r="AA79" i="13"/>
  <c r="Z79" i="13"/>
  <c r="Y79" i="13"/>
  <c r="X79" i="13"/>
  <c r="W79" i="13"/>
  <c r="V79" i="13"/>
  <c r="U79" i="13"/>
  <c r="T79" i="13"/>
  <c r="S79" i="13"/>
  <c r="R79" i="13"/>
  <c r="Q79" i="13"/>
  <c r="P79" i="13"/>
  <c r="O79" i="13"/>
  <c r="N79" i="13"/>
  <c r="I79" i="13"/>
  <c r="AA78" i="13"/>
  <c r="Z78" i="13"/>
  <c r="Y78" i="13"/>
  <c r="X78" i="13"/>
  <c r="W78" i="13"/>
  <c r="V78" i="13"/>
  <c r="U78" i="13"/>
  <c r="T78" i="13"/>
  <c r="S78" i="13"/>
  <c r="R78" i="13"/>
  <c r="Q78" i="13"/>
  <c r="P78" i="13"/>
  <c r="O78" i="13"/>
  <c r="N78" i="13"/>
  <c r="I78" i="13"/>
  <c r="AA77" i="13"/>
  <c r="Z77" i="13"/>
  <c r="Y77" i="13"/>
  <c r="X77" i="13"/>
  <c r="W77" i="13"/>
  <c r="V77" i="13"/>
  <c r="U77" i="13"/>
  <c r="T77" i="13"/>
  <c r="S77" i="13"/>
  <c r="R77" i="13"/>
  <c r="Q77" i="13"/>
  <c r="P77" i="13"/>
  <c r="O77" i="13"/>
  <c r="N77" i="13"/>
  <c r="I77" i="13"/>
  <c r="AA76" i="13"/>
  <c r="Z76" i="13"/>
  <c r="Y76" i="13"/>
  <c r="X76" i="13"/>
  <c r="W76" i="13"/>
  <c r="V76" i="13"/>
  <c r="U76" i="13"/>
  <c r="T76" i="13"/>
  <c r="S76" i="13"/>
  <c r="R76" i="13"/>
  <c r="Q76" i="13"/>
  <c r="P76" i="13"/>
  <c r="O76" i="13"/>
  <c r="N76" i="13"/>
  <c r="I76" i="13"/>
  <c r="AA75" i="13"/>
  <c r="Z75" i="13"/>
  <c r="Y75" i="13"/>
  <c r="X75" i="13"/>
  <c r="W75" i="13"/>
  <c r="V75" i="13"/>
  <c r="U75" i="13"/>
  <c r="T75" i="13"/>
  <c r="S75" i="13"/>
  <c r="R75" i="13"/>
  <c r="Q75" i="13"/>
  <c r="P75" i="13"/>
  <c r="O75" i="13"/>
  <c r="N75" i="13"/>
  <c r="I75" i="13"/>
  <c r="AA74" i="13"/>
  <c r="Z74" i="13"/>
  <c r="Y74" i="13"/>
  <c r="X74" i="13"/>
  <c r="W74" i="13"/>
  <c r="V74" i="13"/>
  <c r="U74" i="13"/>
  <c r="T74" i="13"/>
  <c r="S74" i="13"/>
  <c r="R74" i="13"/>
  <c r="Q74" i="13"/>
  <c r="P74" i="13"/>
  <c r="O74" i="13"/>
  <c r="N74" i="13"/>
  <c r="I74" i="13"/>
  <c r="AA73" i="13"/>
  <c r="Z73" i="13"/>
  <c r="Y73" i="13"/>
  <c r="X73" i="13"/>
  <c r="W73" i="13"/>
  <c r="V73" i="13"/>
  <c r="U73" i="13"/>
  <c r="T73" i="13"/>
  <c r="S73" i="13"/>
  <c r="R73" i="13"/>
  <c r="Q73" i="13"/>
  <c r="P73" i="13"/>
  <c r="O73" i="13"/>
  <c r="N73" i="13"/>
  <c r="I73" i="13"/>
  <c r="AA72" i="13"/>
  <c r="Z72" i="13"/>
  <c r="Y72" i="13"/>
  <c r="X72" i="13"/>
  <c r="W72" i="13"/>
  <c r="V72" i="13"/>
  <c r="U72" i="13"/>
  <c r="T72" i="13"/>
  <c r="S72" i="13"/>
  <c r="R72" i="13"/>
  <c r="Q72" i="13"/>
  <c r="P72" i="13"/>
  <c r="O72" i="13"/>
  <c r="N72" i="13"/>
  <c r="I72" i="13"/>
  <c r="AA71" i="13"/>
  <c r="Z71" i="13"/>
  <c r="Y71" i="13"/>
  <c r="X71" i="13"/>
  <c r="W71" i="13"/>
  <c r="V71" i="13"/>
  <c r="U71" i="13"/>
  <c r="T71" i="13"/>
  <c r="S71" i="13"/>
  <c r="R71" i="13"/>
  <c r="Q71" i="13"/>
  <c r="P71" i="13"/>
  <c r="O71" i="13"/>
  <c r="N71" i="13"/>
  <c r="I71" i="13"/>
  <c r="AA70" i="13"/>
  <c r="Z70" i="13"/>
  <c r="Y70" i="13"/>
  <c r="X70" i="13"/>
  <c r="W70" i="13"/>
  <c r="V70" i="13"/>
  <c r="U70" i="13"/>
  <c r="T70" i="13"/>
  <c r="S70" i="13"/>
  <c r="R70" i="13"/>
  <c r="Q70" i="13"/>
  <c r="P70" i="13"/>
  <c r="O70" i="13"/>
  <c r="N70" i="13"/>
  <c r="I70" i="13"/>
  <c r="AA69" i="13"/>
  <c r="Z69" i="13"/>
  <c r="Y69" i="13"/>
  <c r="X69" i="13"/>
  <c r="W69" i="13"/>
  <c r="V69" i="13"/>
  <c r="U69" i="13"/>
  <c r="T69" i="13"/>
  <c r="S69" i="13"/>
  <c r="R69" i="13"/>
  <c r="Q69" i="13"/>
  <c r="P69" i="13"/>
  <c r="O69" i="13"/>
  <c r="N69" i="13"/>
  <c r="I69" i="13"/>
  <c r="AA68" i="13"/>
  <c r="Z68" i="13"/>
  <c r="Y68" i="13"/>
  <c r="X68" i="13"/>
  <c r="W68" i="13"/>
  <c r="V68" i="13"/>
  <c r="U68" i="13"/>
  <c r="T68" i="13"/>
  <c r="S68" i="13"/>
  <c r="R68" i="13"/>
  <c r="Q68" i="13"/>
  <c r="P68" i="13"/>
  <c r="O68" i="13"/>
  <c r="N68" i="13"/>
  <c r="I68" i="13"/>
  <c r="AA67" i="13"/>
  <c r="Z67" i="13"/>
  <c r="Y67" i="13"/>
  <c r="X67" i="13"/>
  <c r="W67" i="13"/>
  <c r="V67" i="13"/>
  <c r="U67" i="13"/>
  <c r="T67" i="13"/>
  <c r="S67" i="13"/>
  <c r="R67" i="13"/>
  <c r="Q67" i="13"/>
  <c r="P67" i="13"/>
  <c r="O67" i="13"/>
  <c r="N67" i="13"/>
  <c r="I67" i="13"/>
  <c r="AA66" i="13"/>
  <c r="Z66" i="13"/>
  <c r="Y66" i="13"/>
  <c r="X66" i="13"/>
  <c r="W66" i="13"/>
  <c r="V66" i="13"/>
  <c r="U66" i="13"/>
  <c r="T66" i="13"/>
  <c r="S66" i="13"/>
  <c r="R66" i="13"/>
  <c r="Q66" i="13"/>
  <c r="P66" i="13"/>
  <c r="O66" i="13"/>
  <c r="N66" i="13"/>
  <c r="I66" i="13"/>
  <c r="AA65" i="13"/>
  <c r="Z65" i="13"/>
  <c r="Y65" i="13"/>
  <c r="X65" i="13"/>
  <c r="W65" i="13"/>
  <c r="V65" i="13"/>
  <c r="U65" i="13"/>
  <c r="T65" i="13"/>
  <c r="S65" i="13"/>
  <c r="R65" i="13"/>
  <c r="Q65" i="13"/>
  <c r="P65" i="13"/>
  <c r="O65" i="13"/>
  <c r="N65" i="13"/>
  <c r="G65" i="13"/>
  <c r="I65" i="13" s="1"/>
  <c r="AA64" i="13"/>
  <c r="Z64" i="13"/>
  <c r="Y64" i="13"/>
  <c r="X64" i="13"/>
  <c r="W64" i="13"/>
  <c r="V64" i="13"/>
  <c r="U64" i="13"/>
  <c r="T64" i="13"/>
  <c r="S64" i="13"/>
  <c r="R64" i="13"/>
  <c r="Q64" i="13"/>
  <c r="P64" i="13"/>
  <c r="O64" i="13"/>
  <c r="N64" i="13"/>
  <c r="I64" i="13"/>
  <c r="G64" i="13"/>
  <c r="AA63" i="13"/>
  <c r="Z63" i="13"/>
  <c r="Y63" i="13"/>
  <c r="X63" i="13"/>
  <c r="W63" i="13"/>
  <c r="V63" i="13"/>
  <c r="U63" i="13"/>
  <c r="T63" i="13"/>
  <c r="S63" i="13"/>
  <c r="R63" i="13"/>
  <c r="Q63" i="13"/>
  <c r="P63" i="13"/>
  <c r="O63" i="13"/>
  <c r="N63" i="13"/>
  <c r="I63" i="13"/>
  <c r="AA62" i="13"/>
  <c r="Z62" i="13"/>
  <c r="Y62" i="13"/>
  <c r="X62" i="13"/>
  <c r="W62" i="13"/>
  <c r="V62" i="13"/>
  <c r="U62" i="13"/>
  <c r="T62" i="13"/>
  <c r="S62" i="13"/>
  <c r="R62" i="13"/>
  <c r="Q62" i="13"/>
  <c r="P62" i="13"/>
  <c r="O62" i="13"/>
  <c r="N62" i="13"/>
  <c r="K62" i="13"/>
  <c r="I62" i="13"/>
  <c r="AA61" i="13"/>
  <c r="Z61" i="13"/>
  <c r="Y61" i="13"/>
  <c r="X61" i="13"/>
  <c r="W61" i="13"/>
  <c r="V61" i="13"/>
  <c r="U61" i="13"/>
  <c r="T61" i="13"/>
  <c r="S61" i="13"/>
  <c r="R61" i="13"/>
  <c r="Q61" i="13"/>
  <c r="P61" i="13"/>
  <c r="O61" i="13"/>
  <c r="N61" i="13"/>
  <c r="K61" i="13"/>
  <c r="I61" i="13"/>
  <c r="AA60" i="13"/>
  <c r="Z60" i="13"/>
  <c r="Y60" i="13"/>
  <c r="X60" i="13"/>
  <c r="W60" i="13"/>
  <c r="V60" i="13"/>
  <c r="U60" i="13"/>
  <c r="T60" i="13"/>
  <c r="S60" i="13"/>
  <c r="R60" i="13"/>
  <c r="Q60" i="13"/>
  <c r="P60" i="13"/>
  <c r="O60" i="13"/>
  <c r="N60" i="13"/>
  <c r="I60" i="13"/>
  <c r="AA59" i="13"/>
  <c r="Z59" i="13"/>
  <c r="Y59" i="13"/>
  <c r="X59" i="13"/>
  <c r="W59" i="13"/>
  <c r="V59" i="13"/>
  <c r="U59" i="13"/>
  <c r="T59" i="13"/>
  <c r="S59" i="13"/>
  <c r="R59" i="13"/>
  <c r="Q59" i="13"/>
  <c r="P59" i="13"/>
  <c r="O59" i="13"/>
  <c r="N59" i="13"/>
  <c r="I59" i="13"/>
  <c r="AA58" i="13"/>
  <c r="Z58" i="13"/>
  <c r="Y58" i="13"/>
  <c r="X58" i="13"/>
  <c r="W58" i="13"/>
  <c r="V58" i="13"/>
  <c r="U58" i="13"/>
  <c r="T58" i="13"/>
  <c r="S58" i="13"/>
  <c r="R58" i="13"/>
  <c r="Q58" i="13"/>
  <c r="P58" i="13"/>
  <c r="O58" i="13"/>
  <c r="N58" i="13"/>
  <c r="I58" i="13"/>
  <c r="AA57" i="13"/>
  <c r="Z57" i="13"/>
  <c r="Y57" i="13"/>
  <c r="X57" i="13"/>
  <c r="W57" i="13"/>
  <c r="V57" i="13"/>
  <c r="U57" i="13"/>
  <c r="T57" i="13"/>
  <c r="S57" i="13"/>
  <c r="R57" i="13"/>
  <c r="Q57" i="13"/>
  <c r="P57" i="13"/>
  <c r="O57" i="13"/>
  <c r="N57" i="13"/>
  <c r="I57" i="13"/>
  <c r="AA56" i="13"/>
  <c r="Z56" i="13"/>
  <c r="Y56" i="13"/>
  <c r="X56" i="13"/>
  <c r="W56" i="13"/>
  <c r="V56" i="13"/>
  <c r="U56" i="13"/>
  <c r="T56" i="13"/>
  <c r="S56" i="13"/>
  <c r="R56" i="13"/>
  <c r="Q56" i="13"/>
  <c r="P56" i="13"/>
  <c r="O56" i="13"/>
  <c r="N56" i="13"/>
  <c r="K56" i="13"/>
  <c r="I56" i="13"/>
  <c r="AA55" i="13"/>
  <c r="Z55" i="13"/>
  <c r="Y55" i="13"/>
  <c r="X55" i="13"/>
  <c r="W55" i="13"/>
  <c r="V55" i="13"/>
  <c r="U55" i="13"/>
  <c r="T55" i="13"/>
  <c r="S55" i="13"/>
  <c r="R55" i="13"/>
  <c r="Q55" i="13"/>
  <c r="P55" i="13"/>
  <c r="O55" i="13"/>
  <c r="N55" i="13"/>
  <c r="I55" i="13"/>
  <c r="AA54" i="13"/>
  <c r="Z54" i="13"/>
  <c r="Y54" i="13"/>
  <c r="X54" i="13"/>
  <c r="W54" i="13"/>
  <c r="V54" i="13"/>
  <c r="U54" i="13"/>
  <c r="T54" i="13"/>
  <c r="S54" i="13"/>
  <c r="R54" i="13"/>
  <c r="Q54" i="13"/>
  <c r="P54" i="13"/>
  <c r="O54" i="13"/>
  <c r="N54" i="13"/>
  <c r="I54" i="13"/>
  <c r="G54" i="13"/>
  <c r="AA53" i="13"/>
  <c r="Z53" i="13"/>
  <c r="Y53" i="13"/>
  <c r="X53" i="13"/>
  <c r="W53" i="13"/>
  <c r="V53" i="13"/>
  <c r="U53" i="13"/>
  <c r="T53" i="13"/>
  <c r="S53" i="13"/>
  <c r="R53" i="13"/>
  <c r="Q53" i="13"/>
  <c r="P53" i="13"/>
  <c r="O53" i="13"/>
  <c r="N53" i="13"/>
  <c r="I53" i="13"/>
  <c r="AA52" i="13"/>
  <c r="Z52" i="13"/>
  <c r="Y52" i="13"/>
  <c r="X52" i="13"/>
  <c r="W52" i="13"/>
  <c r="V52" i="13"/>
  <c r="U52" i="13"/>
  <c r="T52" i="13"/>
  <c r="S52" i="13"/>
  <c r="R52" i="13"/>
  <c r="Q52" i="13"/>
  <c r="P52" i="13"/>
  <c r="O52" i="13"/>
  <c r="N52" i="13"/>
  <c r="K52" i="13"/>
  <c r="I52" i="13"/>
  <c r="AA51" i="13"/>
  <c r="Z51" i="13"/>
  <c r="Y51" i="13"/>
  <c r="X51" i="13"/>
  <c r="W51" i="13"/>
  <c r="V51" i="13"/>
  <c r="U51" i="13"/>
  <c r="T51" i="13"/>
  <c r="S51" i="13"/>
  <c r="R51" i="13"/>
  <c r="Q51" i="13"/>
  <c r="P51" i="13"/>
  <c r="O51" i="13"/>
  <c r="N51" i="13"/>
  <c r="K51" i="13"/>
  <c r="I51" i="13"/>
  <c r="AA50" i="13"/>
  <c r="Z50" i="13"/>
  <c r="Y50" i="13"/>
  <c r="X50" i="13"/>
  <c r="W50" i="13"/>
  <c r="V50" i="13"/>
  <c r="U50" i="13"/>
  <c r="T50" i="13"/>
  <c r="S50" i="13"/>
  <c r="R50" i="13"/>
  <c r="Q50" i="13"/>
  <c r="P50" i="13"/>
  <c r="O50" i="13"/>
  <c r="N50" i="13"/>
  <c r="K50" i="13"/>
  <c r="I50" i="13"/>
  <c r="AA49" i="13"/>
  <c r="Z49" i="13"/>
  <c r="Y49" i="13"/>
  <c r="X49" i="13"/>
  <c r="W49" i="13"/>
  <c r="V49" i="13"/>
  <c r="U49" i="13"/>
  <c r="T49" i="13"/>
  <c r="S49" i="13"/>
  <c r="R49" i="13"/>
  <c r="Q49" i="13"/>
  <c r="P49" i="13"/>
  <c r="O49" i="13"/>
  <c r="N49" i="13"/>
  <c r="I49" i="13"/>
  <c r="G49" i="13"/>
  <c r="AA48" i="13"/>
  <c r="Z48" i="13"/>
  <c r="Y48" i="13"/>
  <c r="X48" i="13"/>
  <c r="W48" i="13"/>
  <c r="V48" i="13"/>
  <c r="U48" i="13"/>
  <c r="T48" i="13"/>
  <c r="S48" i="13"/>
  <c r="R48" i="13"/>
  <c r="Q48" i="13"/>
  <c r="P48" i="13"/>
  <c r="O48" i="13"/>
  <c r="N48" i="13"/>
  <c r="I48" i="13"/>
  <c r="AA47" i="13"/>
  <c r="Z47" i="13"/>
  <c r="Y47" i="13"/>
  <c r="X47" i="13"/>
  <c r="W47" i="13"/>
  <c r="V47" i="13"/>
  <c r="U47" i="13"/>
  <c r="T47" i="13"/>
  <c r="S47" i="13"/>
  <c r="R47" i="13"/>
  <c r="Q47" i="13"/>
  <c r="P47" i="13"/>
  <c r="O47" i="13"/>
  <c r="N47" i="13"/>
  <c r="I47" i="13"/>
  <c r="AA46" i="13"/>
  <c r="Z46" i="13"/>
  <c r="Y46" i="13"/>
  <c r="X46" i="13"/>
  <c r="W46" i="13"/>
  <c r="V46" i="13"/>
  <c r="U46" i="13"/>
  <c r="T46" i="13"/>
  <c r="S46" i="13"/>
  <c r="R46" i="13"/>
  <c r="Q46" i="13"/>
  <c r="P46" i="13"/>
  <c r="O46" i="13"/>
  <c r="N46" i="13"/>
  <c r="K46" i="13"/>
  <c r="I46" i="13"/>
  <c r="AA45" i="13"/>
  <c r="Z45" i="13"/>
  <c r="Y45" i="13"/>
  <c r="X45" i="13"/>
  <c r="W45" i="13"/>
  <c r="V45" i="13"/>
  <c r="U45" i="13"/>
  <c r="T45" i="13"/>
  <c r="S45" i="13"/>
  <c r="R45" i="13"/>
  <c r="Q45" i="13"/>
  <c r="P45" i="13"/>
  <c r="O45" i="13"/>
  <c r="N45" i="13"/>
  <c r="I45" i="13"/>
  <c r="AA44" i="13"/>
  <c r="Z44" i="13"/>
  <c r="Y44" i="13"/>
  <c r="X44" i="13"/>
  <c r="W44" i="13"/>
  <c r="V44" i="13"/>
  <c r="U44" i="13"/>
  <c r="T44" i="13"/>
  <c r="S44" i="13"/>
  <c r="R44" i="13"/>
  <c r="Q44" i="13"/>
  <c r="P44" i="13"/>
  <c r="O44" i="13"/>
  <c r="N44" i="13"/>
  <c r="K44" i="13"/>
  <c r="I44" i="13"/>
  <c r="AA43" i="13"/>
  <c r="Z43" i="13"/>
  <c r="Y43" i="13"/>
  <c r="X43" i="13"/>
  <c r="W43" i="13"/>
  <c r="V43" i="13"/>
  <c r="U43" i="13"/>
  <c r="T43" i="13"/>
  <c r="S43" i="13"/>
  <c r="R43" i="13"/>
  <c r="Q43" i="13"/>
  <c r="P43" i="13"/>
  <c r="O43" i="13"/>
  <c r="N43" i="13"/>
  <c r="G43" i="13"/>
  <c r="I43" i="13" s="1"/>
  <c r="AA42" i="13"/>
  <c r="Z42" i="13"/>
  <c r="Y42" i="13"/>
  <c r="X42" i="13"/>
  <c r="W42" i="13"/>
  <c r="V42" i="13"/>
  <c r="U42" i="13"/>
  <c r="T42" i="13"/>
  <c r="S42" i="13"/>
  <c r="R42" i="13"/>
  <c r="Q42" i="13"/>
  <c r="P42" i="13"/>
  <c r="O42" i="13"/>
  <c r="N42" i="13"/>
  <c r="I42" i="13"/>
  <c r="AA41" i="13"/>
  <c r="Z41" i="13"/>
  <c r="Y41" i="13"/>
  <c r="X41" i="13"/>
  <c r="W41" i="13"/>
  <c r="V41" i="13"/>
  <c r="U41" i="13"/>
  <c r="T41" i="13"/>
  <c r="S41" i="13"/>
  <c r="R41" i="13"/>
  <c r="Q41" i="13"/>
  <c r="P41" i="13"/>
  <c r="O41" i="13"/>
  <c r="N41" i="13"/>
  <c r="I41" i="13"/>
  <c r="AA40" i="13"/>
  <c r="Z40" i="13"/>
  <c r="Y40" i="13"/>
  <c r="X40" i="13"/>
  <c r="W40" i="13"/>
  <c r="V40" i="13"/>
  <c r="U40" i="13"/>
  <c r="T40" i="13"/>
  <c r="S40" i="13"/>
  <c r="R40" i="13"/>
  <c r="Q40" i="13"/>
  <c r="P40" i="13"/>
  <c r="O40" i="13"/>
  <c r="N40" i="13"/>
  <c r="I40" i="13"/>
  <c r="AA39" i="13"/>
  <c r="Z39" i="13"/>
  <c r="Y39" i="13"/>
  <c r="X39" i="13"/>
  <c r="W39" i="13"/>
  <c r="V39" i="13"/>
  <c r="U39" i="13"/>
  <c r="T39" i="13"/>
  <c r="S39" i="13"/>
  <c r="R39" i="13"/>
  <c r="Q39" i="13"/>
  <c r="P39" i="13"/>
  <c r="O39" i="13"/>
  <c r="N39" i="13"/>
  <c r="I39" i="13"/>
  <c r="G39" i="13"/>
  <c r="AA38" i="13"/>
  <c r="Z38" i="13"/>
  <c r="Y38" i="13"/>
  <c r="X38" i="13"/>
  <c r="W38" i="13"/>
  <c r="V38" i="13"/>
  <c r="U38" i="13"/>
  <c r="T38" i="13"/>
  <c r="S38" i="13"/>
  <c r="R38" i="13"/>
  <c r="Q38" i="13"/>
  <c r="P38" i="13"/>
  <c r="O38" i="13"/>
  <c r="N38" i="13"/>
  <c r="G38" i="13"/>
  <c r="I38" i="13" s="1"/>
  <c r="AA37" i="13"/>
  <c r="Z37" i="13"/>
  <c r="Y37" i="13"/>
  <c r="X37" i="13"/>
  <c r="W37" i="13"/>
  <c r="V37" i="13"/>
  <c r="U37" i="13"/>
  <c r="T37" i="13"/>
  <c r="S37" i="13"/>
  <c r="R37" i="13"/>
  <c r="Q37" i="13"/>
  <c r="P37" i="13"/>
  <c r="O37" i="13"/>
  <c r="N37" i="13"/>
  <c r="G37" i="13"/>
  <c r="I37" i="13" s="1"/>
  <c r="AA36" i="13"/>
  <c r="Z36" i="13"/>
  <c r="Y36" i="13"/>
  <c r="X36" i="13"/>
  <c r="W36" i="13"/>
  <c r="V36" i="13"/>
  <c r="U36" i="13"/>
  <c r="T36" i="13"/>
  <c r="S36" i="13"/>
  <c r="R36" i="13"/>
  <c r="Q36" i="13"/>
  <c r="P36" i="13"/>
  <c r="O36" i="13"/>
  <c r="N36" i="13"/>
  <c r="I36" i="13"/>
  <c r="AA35" i="13"/>
  <c r="Z35" i="13"/>
  <c r="Y35" i="13"/>
  <c r="X35" i="13"/>
  <c r="W35" i="13"/>
  <c r="V35" i="13"/>
  <c r="U35" i="13"/>
  <c r="T35" i="13"/>
  <c r="S35" i="13"/>
  <c r="R35" i="13"/>
  <c r="Q35" i="13"/>
  <c r="P35" i="13"/>
  <c r="O35" i="13"/>
  <c r="N35" i="13"/>
  <c r="K35" i="13"/>
  <c r="I35" i="13"/>
  <c r="AA34" i="13"/>
  <c r="Z34" i="13"/>
  <c r="Y34" i="13"/>
  <c r="X34" i="13"/>
  <c r="W34" i="13"/>
  <c r="V34" i="13"/>
  <c r="U34" i="13"/>
  <c r="T34" i="13"/>
  <c r="S34" i="13"/>
  <c r="R34" i="13"/>
  <c r="Q34" i="13"/>
  <c r="P34" i="13"/>
  <c r="O34" i="13"/>
  <c r="N34" i="13"/>
  <c r="I34" i="13"/>
  <c r="AA33" i="13"/>
  <c r="Z33" i="13"/>
  <c r="Y33" i="13"/>
  <c r="X33" i="13"/>
  <c r="W33" i="13"/>
  <c r="V33" i="13"/>
  <c r="U33" i="13"/>
  <c r="T33" i="13"/>
  <c r="S33" i="13"/>
  <c r="R33" i="13"/>
  <c r="Q33" i="13"/>
  <c r="P33" i="13"/>
  <c r="O33" i="13"/>
  <c r="N33" i="13"/>
  <c r="I33" i="13"/>
  <c r="G33" i="13"/>
  <c r="AA32" i="13"/>
  <c r="Z32" i="13"/>
  <c r="Y32" i="13"/>
  <c r="X32" i="13"/>
  <c r="W32" i="13"/>
  <c r="V32" i="13"/>
  <c r="U32" i="13"/>
  <c r="T32" i="13"/>
  <c r="S32" i="13"/>
  <c r="R32" i="13"/>
  <c r="Q32" i="13"/>
  <c r="P32" i="13"/>
  <c r="O32" i="13"/>
  <c r="N32" i="13"/>
  <c r="I32" i="13"/>
  <c r="AA31" i="13"/>
  <c r="Z31" i="13"/>
  <c r="Y31" i="13"/>
  <c r="X31" i="13"/>
  <c r="W31" i="13"/>
  <c r="V31" i="13"/>
  <c r="U31" i="13"/>
  <c r="T31" i="13"/>
  <c r="S31" i="13"/>
  <c r="R31" i="13"/>
  <c r="Q31" i="13"/>
  <c r="P31" i="13"/>
  <c r="O31" i="13"/>
  <c r="N31" i="13"/>
  <c r="I31" i="13"/>
  <c r="AA30" i="13"/>
  <c r="Z30" i="13"/>
  <c r="Y30" i="13"/>
  <c r="X30" i="13"/>
  <c r="W30" i="13"/>
  <c r="V30" i="13"/>
  <c r="U30" i="13"/>
  <c r="T30" i="13"/>
  <c r="S30" i="13"/>
  <c r="R30" i="13"/>
  <c r="Q30" i="13"/>
  <c r="P30" i="13"/>
  <c r="O30" i="13"/>
  <c r="N30" i="13"/>
  <c r="I30" i="13"/>
  <c r="AA29" i="13"/>
  <c r="Z29" i="13"/>
  <c r="Y29" i="13"/>
  <c r="X29" i="13"/>
  <c r="W29" i="13"/>
  <c r="V29" i="13"/>
  <c r="U29" i="13"/>
  <c r="T29" i="13"/>
  <c r="S29" i="13"/>
  <c r="R29" i="13"/>
  <c r="Q29" i="13"/>
  <c r="P29" i="13"/>
  <c r="O29" i="13"/>
  <c r="N29" i="13"/>
  <c r="I29" i="13"/>
  <c r="AA28" i="13"/>
  <c r="Z28" i="13"/>
  <c r="Y28" i="13"/>
  <c r="X28" i="13"/>
  <c r="W28" i="13"/>
  <c r="V28" i="13"/>
  <c r="U28" i="13"/>
  <c r="T28" i="13"/>
  <c r="S28" i="13"/>
  <c r="R28" i="13"/>
  <c r="Q28" i="13"/>
  <c r="P28" i="13"/>
  <c r="O28" i="13"/>
  <c r="N28" i="13"/>
  <c r="J28" i="13"/>
  <c r="I28" i="13"/>
  <c r="AA27" i="13"/>
  <c r="Z27" i="13"/>
  <c r="Y27" i="13"/>
  <c r="X27" i="13"/>
  <c r="W27" i="13"/>
  <c r="V27" i="13"/>
  <c r="U27" i="13"/>
  <c r="T27" i="13"/>
  <c r="S27" i="13"/>
  <c r="R27" i="13"/>
  <c r="Q27" i="13"/>
  <c r="P27" i="13"/>
  <c r="O27" i="13"/>
  <c r="N27" i="13"/>
  <c r="I27" i="13"/>
  <c r="AA26" i="13"/>
  <c r="Z26" i="13"/>
  <c r="Y26" i="13"/>
  <c r="X26" i="13"/>
  <c r="W26" i="13"/>
  <c r="V26" i="13"/>
  <c r="U26" i="13"/>
  <c r="T26" i="13"/>
  <c r="S26" i="13"/>
  <c r="R26" i="13"/>
  <c r="Q26" i="13"/>
  <c r="P26" i="13"/>
  <c r="O26" i="13"/>
  <c r="N26" i="13"/>
  <c r="I26" i="13"/>
  <c r="AA25" i="13"/>
  <c r="Z25" i="13"/>
  <c r="Y25" i="13"/>
  <c r="X25" i="13"/>
  <c r="W25" i="13"/>
  <c r="V25" i="13"/>
  <c r="U25" i="13"/>
  <c r="T25" i="13"/>
  <c r="S25" i="13"/>
  <c r="R25" i="13"/>
  <c r="Q25" i="13"/>
  <c r="P25" i="13"/>
  <c r="O25" i="13"/>
  <c r="N25" i="13"/>
  <c r="I25" i="13"/>
  <c r="AA24" i="13"/>
  <c r="Z24" i="13"/>
  <c r="Y24" i="13"/>
  <c r="X24" i="13"/>
  <c r="W24" i="13"/>
  <c r="V24" i="13"/>
  <c r="U24" i="13"/>
  <c r="T24" i="13"/>
  <c r="S24" i="13"/>
  <c r="R24" i="13"/>
  <c r="Q24" i="13"/>
  <c r="P24" i="13"/>
  <c r="O24" i="13"/>
  <c r="N24" i="13"/>
  <c r="I24" i="13"/>
  <c r="AA23" i="13"/>
  <c r="Z23" i="13"/>
  <c r="Y23" i="13"/>
  <c r="X23" i="13"/>
  <c r="W23" i="13"/>
  <c r="V23" i="13"/>
  <c r="U23" i="13"/>
  <c r="T23" i="13"/>
  <c r="S23" i="13"/>
  <c r="R23" i="13"/>
  <c r="Q23" i="13"/>
  <c r="P23" i="13"/>
  <c r="O23" i="13"/>
  <c r="N23" i="13"/>
  <c r="I23" i="13"/>
  <c r="G23" i="13"/>
  <c r="AA22" i="13"/>
  <c r="Z22" i="13"/>
  <c r="Y22" i="13"/>
  <c r="X22" i="13"/>
  <c r="W22" i="13"/>
  <c r="V22" i="13"/>
  <c r="U22" i="13"/>
  <c r="T22" i="13"/>
  <c r="S22" i="13"/>
  <c r="R22" i="13"/>
  <c r="Q22" i="13"/>
  <c r="P22" i="13"/>
  <c r="O22" i="13"/>
  <c r="N22" i="13"/>
  <c r="I22" i="13"/>
  <c r="AA21" i="13"/>
  <c r="Z21" i="13"/>
  <c r="Y21" i="13"/>
  <c r="X21" i="13"/>
  <c r="W21" i="13"/>
  <c r="V21" i="13"/>
  <c r="U21" i="13"/>
  <c r="T21" i="13"/>
  <c r="S21" i="13"/>
  <c r="R21" i="13"/>
  <c r="Q21" i="13"/>
  <c r="P21" i="13"/>
  <c r="O21" i="13"/>
  <c r="N21" i="13"/>
  <c r="K21" i="13"/>
  <c r="I21" i="13"/>
  <c r="AA20" i="13"/>
  <c r="Z20" i="13"/>
  <c r="Y20" i="13"/>
  <c r="X20" i="13"/>
  <c r="W20" i="13"/>
  <c r="V20" i="13"/>
  <c r="U20" i="13"/>
  <c r="T20" i="13"/>
  <c r="S20" i="13"/>
  <c r="R20" i="13"/>
  <c r="Q20" i="13"/>
  <c r="P20" i="13"/>
  <c r="O20" i="13"/>
  <c r="N20" i="13"/>
  <c r="I20" i="13"/>
  <c r="AA19" i="13"/>
  <c r="Z19" i="13"/>
  <c r="Y19" i="13"/>
  <c r="X19" i="13"/>
  <c r="W19" i="13"/>
  <c r="V19" i="13"/>
  <c r="U19" i="13"/>
  <c r="T19" i="13"/>
  <c r="S19" i="13"/>
  <c r="R19" i="13"/>
  <c r="Q19" i="13"/>
  <c r="P19" i="13"/>
  <c r="O19" i="13"/>
  <c r="N19" i="13"/>
  <c r="I19" i="13"/>
  <c r="AA18" i="13"/>
  <c r="Z18" i="13"/>
  <c r="Y18" i="13"/>
  <c r="X18" i="13"/>
  <c r="W18" i="13"/>
  <c r="V18" i="13"/>
  <c r="U18" i="13"/>
  <c r="T18" i="13"/>
  <c r="S18" i="13"/>
  <c r="R18" i="13"/>
  <c r="Q18" i="13"/>
  <c r="P18" i="13"/>
  <c r="O18" i="13"/>
  <c r="N18" i="13"/>
  <c r="I18" i="13"/>
  <c r="AA17" i="13"/>
  <c r="Z17" i="13"/>
  <c r="Y17" i="13"/>
  <c r="X17" i="13"/>
  <c r="W17" i="13"/>
  <c r="V17" i="13"/>
  <c r="U17" i="13"/>
  <c r="T17" i="13"/>
  <c r="S17" i="13"/>
  <c r="R17" i="13"/>
  <c r="Q17" i="13"/>
  <c r="P17" i="13"/>
  <c r="O17" i="13"/>
  <c r="N17" i="13"/>
  <c r="K17" i="13"/>
  <c r="I17" i="13"/>
  <c r="AA16" i="13"/>
  <c r="Z16" i="13"/>
  <c r="Y16" i="13"/>
  <c r="X16" i="13"/>
  <c r="W16" i="13"/>
  <c r="V16" i="13"/>
  <c r="U16" i="13"/>
  <c r="T16" i="13"/>
  <c r="S16" i="13"/>
  <c r="R16" i="13"/>
  <c r="Q16" i="13"/>
  <c r="P16" i="13"/>
  <c r="O16" i="13"/>
  <c r="N16" i="13"/>
  <c r="I16" i="13"/>
  <c r="AA15" i="13"/>
  <c r="Z15" i="13"/>
  <c r="Y15" i="13"/>
  <c r="X15" i="13"/>
  <c r="W15" i="13"/>
  <c r="V15" i="13"/>
  <c r="U15" i="13"/>
  <c r="T15" i="13"/>
  <c r="S15" i="13"/>
  <c r="R15" i="13"/>
  <c r="Q15" i="13"/>
  <c r="P15" i="13"/>
  <c r="O15" i="13"/>
  <c r="N15" i="13"/>
  <c r="I15" i="13"/>
  <c r="AA14" i="13"/>
  <c r="Z14" i="13"/>
  <c r="Y14" i="13"/>
  <c r="X14" i="13"/>
  <c r="W14" i="13"/>
  <c r="V14" i="13"/>
  <c r="U14" i="13"/>
  <c r="T14" i="13"/>
  <c r="S14" i="13"/>
  <c r="R14" i="13"/>
  <c r="Q14" i="13"/>
  <c r="P14" i="13"/>
  <c r="O14" i="13"/>
  <c r="N14" i="13"/>
  <c r="G14" i="13"/>
  <c r="I14" i="13" s="1"/>
  <c r="AA13" i="13"/>
  <c r="Z13" i="13"/>
  <c r="Y13" i="13"/>
  <c r="X13" i="13"/>
  <c r="W13" i="13"/>
  <c r="V13" i="13"/>
  <c r="U13" i="13"/>
  <c r="T13" i="13"/>
  <c r="S13" i="13"/>
  <c r="R13" i="13"/>
  <c r="Q13" i="13"/>
  <c r="P13" i="13"/>
  <c r="O13" i="13"/>
  <c r="N13" i="13"/>
  <c r="I13" i="13"/>
  <c r="G13" i="13"/>
  <c r="AA12" i="13"/>
  <c r="Z12" i="13"/>
  <c r="Y12" i="13"/>
  <c r="X12" i="13"/>
  <c r="W12" i="13"/>
  <c r="V12" i="13"/>
  <c r="U12" i="13"/>
  <c r="T12" i="13"/>
  <c r="S12" i="13"/>
  <c r="R12" i="13"/>
  <c r="Q12" i="13"/>
  <c r="P12" i="13"/>
  <c r="O12" i="13"/>
  <c r="N12" i="13"/>
  <c r="I12" i="13"/>
  <c r="AA11" i="13"/>
  <c r="Z11" i="13"/>
  <c r="Y11" i="13"/>
  <c r="X11" i="13"/>
  <c r="W11" i="13"/>
  <c r="V11" i="13"/>
  <c r="U11" i="13"/>
  <c r="T11" i="13"/>
  <c r="S11" i="13"/>
  <c r="R11" i="13"/>
  <c r="Q11" i="13"/>
  <c r="P11" i="13"/>
  <c r="O11" i="13"/>
  <c r="N11" i="13"/>
  <c r="G11" i="13"/>
  <c r="I11" i="13" s="1"/>
  <c r="AA10" i="13"/>
  <c r="Z10" i="13"/>
  <c r="Y10" i="13"/>
  <c r="X10" i="13"/>
  <c r="W10" i="13"/>
  <c r="V10" i="13"/>
  <c r="U10" i="13"/>
  <c r="T10" i="13"/>
  <c r="S10" i="13"/>
  <c r="R10" i="13"/>
  <c r="Q10" i="13"/>
  <c r="P10" i="13"/>
  <c r="O10" i="13"/>
  <c r="N10" i="13"/>
  <c r="I10" i="13"/>
  <c r="G10" i="13"/>
  <c r="AA9" i="13"/>
  <c r="Z9" i="13"/>
  <c r="Y9" i="13"/>
  <c r="X9" i="13"/>
  <c r="W9" i="13"/>
  <c r="V9" i="13"/>
  <c r="U9" i="13"/>
  <c r="T9" i="13"/>
  <c r="S9" i="13"/>
  <c r="R9" i="13"/>
  <c r="Q9" i="13"/>
  <c r="P9" i="13"/>
  <c r="O9" i="13"/>
  <c r="N9" i="13"/>
  <c r="J9" i="13"/>
  <c r="I9" i="13"/>
  <c r="AA8" i="13"/>
  <c r="Z8" i="13"/>
  <c r="Y8" i="13"/>
  <c r="X8" i="13"/>
  <c r="W8" i="13"/>
  <c r="V8" i="13"/>
  <c r="U8" i="13"/>
  <c r="T8" i="13"/>
  <c r="S8" i="13"/>
  <c r="R8" i="13"/>
  <c r="Q8" i="13"/>
  <c r="P8" i="13"/>
  <c r="O8" i="13"/>
  <c r="N8" i="13"/>
  <c r="I8" i="13"/>
  <c r="G8" i="13"/>
  <c r="AA7" i="13"/>
  <c r="Z7" i="13"/>
  <c r="Y7" i="13"/>
  <c r="X7" i="13"/>
  <c r="W7" i="13"/>
  <c r="V7" i="13"/>
  <c r="U7" i="13"/>
  <c r="T7" i="13"/>
  <c r="S7" i="13"/>
  <c r="R7" i="13"/>
  <c r="Q7" i="13"/>
  <c r="P7" i="13"/>
  <c r="O7" i="13"/>
  <c r="N7" i="13"/>
  <c r="I7" i="13"/>
  <c r="AA6" i="13"/>
  <c r="Z6" i="13"/>
  <c r="Y6" i="13"/>
  <c r="X6" i="13"/>
  <c r="W6" i="13"/>
  <c r="V6" i="13"/>
  <c r="U6" i="13"/>
  <c r="T6" i="13"/>
  <c r="S6" i="13"/>
  <c r="R6" i="13"/>
  <c r="Q6" i="13"/>
  <c r="P6" i="13"/>
  <c r="O6" i="13"/>
  <c r="N6" i="13"/>
  <c r="G6" i="13"/>
  <c r="I6" i="13" s="1"/>
  <c r="AA5" i="13"/>
  <c r="Z5" i="13"/>
  <c r="Y5" i="13"/>
  <c r="X5" i="13"/>
  <c r="W5" i="13"/>
  <c r="V5" i="13"/>
  <c r="U5" i="13"/>
  <c r="T5" i="13"/>
  <c r="S5" i="13"/>
  <c r="R5" i="13"/>
  <c r="Q5" i="13"/>
  <c r="P5" i="13"/>
  <c r="O5" i="13"/>
  <c r="N5" i="13"/>
  <c r="K5" i="13"/>
  <c r="I5" i="13"/>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A4" i="13"/>
  <c r="Z4" i="13"/>
  <c r="Y4" i="13"/>
  <c r="X4" i="13"/>
  <c r="W4" i="13"/>
  <c r="V4" i="13"/>
  <c r="U4" i="13"/>
  <c r="T4" i="13"/>
  <c r="S4" i="13"/>
  <c r="R4" i="13"/>
  <c r="Q4" i="13"/>
  <c r="P4" i="13"/>
  <c r="O4" i="13"/>
  <c r="N4" i="13"/>
  <c r="I4" i="13"/>
  <c r="R100" i="12"/>
  <c r="P100" i="12"/>
  <c r="G100" i="12"/>
  <c r="F100" i="12"/>
  <c r="L100" i="12" s="1"/>
  <c r="E100" i="12"/>
  <c r="B100" i="12"/>
  <c r="A100" i="12"/>
  <c r="P99" i="12"/>
  <c r="H99" i="12"/>
  <c r="I99" i="12" s="1"/>
  <c r="G99" i="12"/>
  <c r="F99" i="12"/>
  <c r="M99" i="12" s="1"/>
  <c r="E99" i="12"/>
  <c r="K99" i="12" s="1"/>
  <c r="B99" i="12"/>
  <c r="A99" i="12"/>
  <c r="R98" i="12"/>
  <c r="P98" i="12"/>
  <c r="G98" i="12"/>
  <c r="F98" i="12"/>
  <c r="L98" i="12" s="1"/>
  <c r="E98" i="12"/>
  <c r="J98" i="12" s="1"/>
  <c r="B98" i="12"/>
  <c r="A98" i="12"/>
  <c r="P97" i="12"/>
  <c r="G97" i="12"/>
  <c r="F97" i="12"/>
  <c r="M97" i="12" s="1"/>
  <c r="E97" i="12"/>
  <c r="K97" i="12" s="1"/>
  <c r="B97" i="12"/>
  <c r="A97" i="12"/>
  <c r="R96" i="12"/>
  <c r="P96" i="12"/>
  <c r="G96" i="12"/>
  <c r="F96" i="12"/>
  <c r="L96" i="12" s="1"/>
  <c r="E96" i="12"/>
  <c r="J96" i="12" s="1"/>
  <c r="B96" i="12"/>
  <c r="A96" i="12"/>
  <c r="P95" i="12"/>
  <c r="G95" i="12"/>
  <c r="F95" i="12"/>
  <c r="M95" i="12" s="1"/>
  <c r="E95" i="12"/>
  <c r="K95" i="12" s="1"/>
  <c r="B95" i="12"/>
  <c r="A95" i="12"/>
  <c r="R94" i="12"/>
  <c r="P94" i="12"/>
  <c r="G94" i="12"/>
  <c r="F94" i="12"/>
  <c r="L94" i="12" s="1"/>
  <c r="E94" i="12"/>
  <c r="J94" i="12" s="1"/>
  <c r="B94" i="12"/>
  <c r="A94" i="12"/>
  <c r="P93" i="12"/>
  <c r="G93" i="12"/>
  <c r="F93" i="12"/>
  <c r="M93" i="12" s="1"/>
  <c r="E93" i="12"/>
  <c r="K93" i="12" s="1"/>
  <c r="B93" i="12"/>
  <c r="A93" i="12"/>
  <c r="R92" i="12"/>
  <c r="P92" i="12"/>
  <c r="B92" i="12"/>
  <c r="A92" i="12"/>
  <c r="P91" i="12"/>
  <c r="K91" i="12"/>
  <c r="G91" i="12"/>
  <c r="F91" i="12"/>
  <c r="M91" i="12" s="1"/>
  <c r="E91" i="12"/>
  <c r="J91" i="12" s="1"/>
  <c r="B91" i="12"/>
  <c r="A91" i="12"/>
  <c r="R90" i="12"/>
  <c r="P90" i="12"/>
  <c r="K90" i="12"/>
  <c r="G90" i="12"/>
  <c r="F90" i="12"/>
  <c r="M90" i="12" s="1"/>
  <c r="E90" i="12"/>
  <c r="J90" i="12" s="1"/>
  <c r="B90" i="12"/>
  <c r="A90" i="12"/>
  <c r="P89" i="12"/>
  <c r="G89" i="12"/>
  <c r="F89" i="12"/>
  <c r="M89" i="12" s="1"/>
  <c r="E89" i="12"/>
  <c r="K89" i="12" s="1"/>
  <c r="B89" i="12"/>
  <c r="A89" i="12"/>
  <c r="R88" i="12"/>
  <c r="P88" i="12"/>
  <c r="G88" i="12"/>
  <c r="F88" i="12"/>
  <c r="L88" i="12" s="1"/>
  <c r="E88" i="12"/>
  <c r="J88" i="12" s="1"/>
  <c r="B88" i="12"/>
  <c r="A88" i="12"/>
  <c r="P87" i="12"/>
  <c r="G87" i="12"/>
  <c r="F87" i="12"/>
  <c r="M87" i="12" s="1"/>
  <c r="E87" i="12"/>
  <c r="K87" i="12" s="1"/>
  <c r="B87" i="12"/>
  <c r="A87" i="12"/>
  <c r="R86" i="12"/>
  <c r="P86" i="12"/>
  <c r="G86" i="12"/>
  <c r="F86" i="12"/>
  <c r="M86" i="12" s="1"/>
  <c r="E86" i="12"/>
  <c r="J86" i="12" s="1"/>
  <c r="B86" i="12"/>
  <c r="A86" i="12"/>
  <c r="P85" i="12"/>
  <c r="G85" i="12"/>
  <c r="F85" i="12"/>
  <c r="M85" i="12" s="1"/>
  <c r="E85" i="12"/>
  <c r="K85" i="12" s="1"/>
  <c r="B85" i="12"/>
  <c r="A85" i="12"/>
  <c r="R84" i="12"/>
  <c r="P84" i="12"/>
  <c r="G84" i="12"/>
  <c r="F84" i="12"/>
  <c r="L84" i="12" s="1"/>
  <c r="E84" i="12"/>
  <c r="J84" i="12" s="1"/>
  <c r="B84" i="12"/>
  <c r="A84" i="12"/>
  <c r="P83" i="12"/>
  <c r="G83" i="12"/>
  <c r="F83" i="12"/>
  <c r="M83" i="12" s="1"/>
  <c r="E83" i="12"/>
  <c r="K83" i="12" s="1"/>
  <c r="B83" i="12"/>
  <c r="A83" i="12"/>
  <c r="R82" i="12"/>
  <c r="P82" i="12"/>
  <c r="G82" i="12"/>
  <c r="F82" i="12"/>
  <c r="L82" i="12" s="1"/>
  <c r="E82" i="12"/>
  <c r="J82" i="12" s="1"/>
  <c r="B82" i="12"/>
  <c r="A82" i="12"/>
  <c r="P81" i="12"/>
  <c r="G81" i="12"/>
  <c r="F81" i="12"/>
  <c r="M81" i="12" s="1"/>
  <c r="E81" i="12"/>
  <c r="K81" i="12" s="1"/>
  <c r="B81" i="12"/>
  <c r="A81" i="12"/>
  <c r="R80" i="12"/>
  <c r="P80" i="12"/>
  <c r="G80" i="12"/>
  <c r="F80" i="12"/>
  <c r="L80" i="12" s="1"/>
  <c r="E80" i="12"/>
  <c r="J80" i="12" s="1"/>
  <c r="B80" i="12"/>
  <c r="A80" i="12"/>
  <c r="P79" i="12"/>
  <c r="G79" i="12"/>
  <c r="F79" i="12"/>
  <c r="M79" i="12" s="1"/>
  <c r="E79" i="12"/>
  <c r="K79" i="12" s="1"/>
  <c r="B79" i="12"/>
  <c r="A79" i="12"/>
  <c r="R78" i="12"/>
  <c r="P78" i="12"/>
  <c r="G78" i="12"/>
  <c r="F78" i="12"/>
  <c r="L78" i="12" s="1"/>
  <c r="E78" i="12"/>
  <c r="J78" i="12" s="1"/>
  <c r="B78" i="12"/>
  <c r="A78" i="12"/>
  <c r="P77" i="12"/>
  <c r="G77" i="12"/>
  <c r="F77" i="12"/>
  <c r="M77" i="12" s="1"/>
  <c r="E77" i="12"/>
  <c r="K77" i="12" s="1"/>
  <c r="B77" i="12"/>
  <c r="A77" i="12"/>
  <c r="R76" i="12"/>
  <c r="P76" i="12"/>
  <c r="G76" i="12"/>
  <c r="F76" i="12"/>
  <c r="L76" i="12" s="1"/>
  <c r="E76" i="12"/>
  <c r="J76" i="12" s="1"/>
  <c r="B76" i="12"/>
  <c r="A76" i="12"/>
  <c r="P75" i="12"/>
  <c r="G75" i="12"/>
  <c r="F75" i="12"/>
  <c r="M75" i="12" s="1"/>
  <c r="E75" i="12"/>
  <c r="K75" i="12" s="1"/>
  <c r="B75" i="12"/>
  <c r="A75" i="12"/>
  <c r="R74" i="12"/>
  <c r="P74" i="12"/>
  <c r="G74" i="12"/>
  <c r="F74" i="12"/>
  <c r="L74" i="12" s="1"/>
  <c r="E74" i="12"/>
  <c r="J74" i="12" s="1"/>
  <c r="B74" i="12"/>
  <c r="A74" i="12"/>
  <c r="P73" i="12"/>
  <c r="G73" i="12"/>
  <c r="F73" i="12"/>
  <c r="M73" i="12" s="1"/>
  <c r="E73" i="12"/>
  <c r="K73" i="12" s="1"/>
  <c r="B73" i="12"/>
  <c r="A73" i="12"/>
  <c r="R72" i="12"/>
  <c r="P72" i="12"/>
  <c r="G72" i="12"/>
  <c r="F72" i="12"/>
  <c r="L72" i="12" s="1"/>
  <c r="E72" i="12"/>
  <c r="J72" i="12" s="1"/>
  <c r="B72" i="12"/>
  <c r="A72" i="12"/>
  <c r="P71" i="12"/>
  <c r="G71" i="12"/>
  <c r="F71" i="12"/>
  <c r="M71" i="12" s="1"/>
  <c r="E71" i="12"/>
  <c r="K71" i="12" s="1"/>
  <c r="B71" i="12"/>
  <c r="A71" i="12"/>
  <c r="R70" i="12"/>
  <c r="P70" i="12"/>
  <c r="B70" i="12"/>
  <c r="A70" i="12"/>
  <c r="P69" i="12"/>
  <c r="G69" i="12"/>
  <c r="F69" i="12"/>
  <c r="M69" i="12" s="1"/>
  <c r="E69" i="12"/>
  <c r="J69" i="12" s="1"/>
  <c r="B69" i="12"/>
  <c r="A69" i="12"/>
  <c r="R68" i="12"/>
  <c r="P68" i="12"/>
  <c r="G68" i="12"/>
  <c r="F68" i="12"/>
  <c r="L68" i="12" s="1"/>
  <c r="E68" i="12"/>
  <c r="J68" i="12" s="1"/>
  <c r="B68" i="12"/>
  <c r="A68" i="12"/>
  <c r="P67" i="12"/>
  <c r="G67" i="12"/>
  <c r="F67" i="12"/>
  <c r="M67" i="12" s="1"/>
  <c r="E67" i="12"/>
  <c r="K67" i="12" s="1"/>
  <c r="B67" i="12"/>
  <c r="A67" i="12"/>
  <c r="R66" i="12"/>
  <c r="P66" i="12"/>
  <c r="G66" i="12"/>
  <c r="F66" i="12"/>
  <c r="H66" i="12" s="1"/>
  <c r="I66" i="12" s="1"/>
  <c r="E66" i="12"/>
  <c r="K66" i="12" s="1"/>
  <c r="B66" i="12"/>
  <c r="A66" i="12"/>
  <c r="P65" i="12"/>
  <c r="G65" i="12"/>
  <c r="F65" i="12"/>
  <c r="M65" i="12" s="1"/>
  <c r="E65" i="12"/>
  <c r="K65" i="12" s="1"/>
  <c r="B65" i="12"/>
  <c r="A65" i="12"/>
  <c r="R64" i="12"/>
  <c r="P64" i="12"/>
  <c r="G64" i="12"/>
  <c r="F64" i="12"/>
  <c r="M64" i="12" s="1"/>
  <c r="E64" i="12"/>
  <c r="J64" i="12" s="1"/>
  <c r="B64" i="12"/>
  <c r="A64" i="12"/>
  <c r="R63" i="12"/>
  <c r="P63" i="12"/>
  <c r="G63" i="12"/>
  <c r="F63" i="12"/>
  <c r="M63" i="12" s="1"/>
  <c r="E63" i="12"/>
  <c r="J63" i="12" s="1"/>
  <c r="B63" i="12"/>
  <c r="A63" i="12"/>
  <c r="P62" i="12"/>
  <c r="G62" i="12"/>
  <c r="F62" i="12"/>
  <c r="H62" i="12" s="1"/>
  <c r="I62" i="12" s="1"/>
  <c r="E62" i="12"/>
  <c r="K62" i="12" s="1"/>
  <c r="B62" i="12"/>
  <c r="A62" i="12"/>
  <c r="P61" i="12"/>
  <c r="G61" i="12"/>
  <c r="F61" i="12"/>
  <c r="M61" i="12" s="1"/>
  <c r="E61" i="12"/>
  <c r="K61" i="12" s="1"/>
  <c r="B61" i="12"/>
  <c r="A61" i="12"/>
  <c r="R60" i="12"/>
  <c r="P60" i="12"/>
  <c r="G60" i="12"/>
  <c r="F60" i="12"/>
  <c r="M60" i="12" s="1"/>
  <c r="E60" i="12"/>
  <c r="J60" i="12" s="1"/>
  <c r="B60" i="12"/>
  <c r="A60" i="12"/>
  <c r="R59" i="12"/>
  <c r="P59" i="12"/>
  <c r="G59" i="12"/>
  <c r="F59" i="12"/>
  <c r="M59" i="12" s="1"/>
  <c r="E59" i="12"/>
  <c r="J59" i="12" s="1"/>
  <c r="B59" i="12"/>
  <c r="A59" i="12"/>
  <c r="P58" i="12"/>
  <c r="G58" i="12"/>
  <c r="F58" i="12"/>
  <c r="H58" i="12" s="1"/>
  <c r="I58" i="12" s="1"/>
  <c r="E58" i="12"/>
  <c r="K58" i="12" s="1"/>
  <c r="B58" i="12"/>
  <c r="A58" i="12"/>
  <c r="P57" i="12"/>
  <c r="G57" i="12"/>
  <c r="F57" i="12"/>
  <c r="M57" i="12" s="1"/>
  <c r="E57" i="12"/>
  <c r="K57" i="12" s="1"/>
  <c r="B57" i="12"/>
  <c r="A57" i="12"/>
  <c r="R56" i="12"/>
  <c r="P56" i="12"/>
  <c r="G56" i="12"/>
  <c r="F56" i="12"/>
  <c r="M56" i="12" s="1"/>
  <c r="E56" i="12"/>
  <c r="J56" i="12" s="1"/>
  <c r="B56" i="12"/>
  <c r="A56" i="12"/>
  <c r="S55" i="12"/>
  <c r="R55" i="12"/>
  <c r="P55" i="12"/>
  <c r="G55" i="12"/>
  <c r="F55" i="12"/>
  <c r="M55" i="12" s="1"/>
  <c r="E55" i="12"/>
  <c r="J55" i="12" s="1"/>
  <c r="B55" i="12"/>
  <c r="A55" i="12"/>
  <c r="P54" i="12"/>
  <c r="G54" i="12"/>
  <c r="F54" i="12"/>
  <c r="H54" i="12" s="1"/>
  <c r="I54" i="12" s="1"/>
  <c r="E54" i="12"/>
  <c r="K54" i="12" s="1"/>
  <c r="B54" i="12"/>
  <c r="A54" i="12"/>
  <c r="P53" i="12"/>
  <c r="G53" i="12"/>
  <c r="F53" i="12"/>
  <c r="M53" i="12" s="1"/>
  <c r="E53" i="12"/>
  <c r="K53" i="12" s="1"/>
  <c r="B53" i="12"/>
  <c r="A53" i="12"/>
  <c r="R52" i="12"/>
  <c r="P52" i="12"/>
  <c r="G52" i="12"/>
  <c r="F52" i="12"/>
  <c r="M52" i="12" s="1"/>
  <c r="E52" i="12"/>
  <c r="K52" i="12" s="1"/>
  <c r="B52" i="12"/>
  <c r="A52" i="12"/>
  <c r="S51" i="12"/>
  <c r="G51" i="12"/>
  <c r="B51" i="12"/>
  <c r="A51" i="12"/>
  <c r="S50" i="12"/>
  <c r="R50" i="12"/>
  <c r="P50" i="12"/>
  <c r="G50" i="12"/>
  <c r="F50" i="12"/>
  <c r="M50" i="12" s="1"/>
  <c r="E50" i="12"/>
  <c r="J50" i="12" s="1"/>
  <c r="B50" i="12"/>
  <c r="A50" i="12"/>
  <c r="P49" i="12"/>
  <c r="G49" i="12"/>
  <c r="F49" i="12"/>
  <c r="L49" i="12" s="1"/>
  <c r="E49" i="12"/>
  <c r="K49" i="12" s="1"/>
  <c r="B49" i="12"/>
  <c r="A49" i="12"/>
  <c r="P48" i="12"/>
  <c r="G48" i="12"/>
  <c r="F48" i="12"/>
  <c r="M48" i="12" s="1"/>
  <c r="E48" i="12"/>
  <c r="K48" i="12" s="1"/>
  <c r="B48" i="12"/>
  <c r="A48" i="12"/>
  <c r="R47" i="12"/>
  <c r="P47" i="12"/>
  <c r="G47" i="12"/>
  <c r="F47" i="12"/>
  <c r="M47" i="12" s="1"/>
  <c r="E47" i="12"/>
  <c r="K47" i="12" s="1"/>
  <c r="B47" i="12"/>
  <c r="A47" i="12"/>
  <c r="S46" i="12"/>
  <c r="R46" i="12"/>
  <c r="P46" i="12"/>
  <c r="G46" i="12"/>
  <c r="F46" i="12"/>
  <c r="M46" i="12" s="1"/>
  <c r="E46" i="12"/>
  <c r="J46" i="12" s="1"/>
  <c r="B46" i="12"/>
  <c r="A46" i="12"/>
  <c r="P45" i="12"/>
  <c r="G45" i="12"/>
  <c r="F45" i="12"/>
  <c r="M45" i="12" s="1"/>
  <c r="E45" i="12"/>
  <c r="K45" i="12" s="1"/>
  <c r="B45" i="12"/>
  <c r="A45" i="12"/>
  <c r="P44" i="12"/>
  <c r="G44" i="12"/>
  <c r="F44" i="12"/>
  <c r="M44" i="12" s="1"/>
  <c r="E44" i="12"/>
  <c r="K44" i="12" s="1"/>
  <c r="B44" i="12"/>
  <c r="A44" i="12"/>
  <c r="R43" i="12"/>
  <c r="P43" i="12"/>
  <c r="G43" i="12"/>
  <c r="F43" i="12"/>
  <c r="M43" i="12" s="1"/>
  <c r="E43" i="12"/>
  <c r="K43" i="12" s="1"/>
  <c r="B43" i="12"/>
  <c r="A43" i="12"/>
  <c r="S42" i="12"/>
  <c r="R42" i="12"/>
  <c r="P42" i="12"/>
  <c r="G42" i="12"/>
  <c r="F42" i="12"/>
  <c r="M42" i="12" s="1"/>
  <c r="E42" i="12"/>
  <c r="J42" i="12" s="1"/>
  <c r="B42" i="12"/>
  <c r="A42" i="12"/>
  <c r="P41" i="12"/>
  <c r="G41" i="12"/>
  <c r="F41" i="12"/>
  <c r="H41" i="12" s="1"/>
  <c r="I41" i="12" s="1"/>
  <c r="E41" i="12"/>
  <c r="K41" i="12" s="1"/>
  <c r="B41" i="12"/>
  <c r="A41" i="12"/>
  <c r="P40" i="12"/>
  <c r="G40" i="12"/>
  <c r="B40" i="12"/>
  <c r="A40" i="12"/>
  <c r="R39" i="12"/>
  <c r="P39" i="12"/>
  <c r="G39" i="12"/>
  <c r="B39" i="12"/>
  <c r="A39" i="12"/>
  <c r="S38" i="12"/>
  <c r="R38" i="12"/>
  <c r="P38" i="12"/>
  <c r="G38" i="12"/>
  <c r="B38" i="12"/>
  <c r="A38" i="12"/>
  <c r="R37" i="12"/>
  <c r="P37" i="12"/>
  <c r="G37" i="12"/>
  <c r="B37" i="12"/>
  <c r="A37" i="12"/>
  <c r="I35" i="12"/>
  <c r="L27" i="12" s="1"/>
  <c r="H35" i="12"/>
  <c r="U34" i="12"/>
  <c r="V34" i="12" s="1"/>
  <c r="W34" i="12" s="1"/>
  <c r="X34" i="12" s="1"/>
  <c r="Y34" i="12" s="1"/>
  <c r="Z34" i="12" s="1"/>
  <c r="AA34" i="12" s="1"/>
  <c r="AB34" i="12" s="1"/>
  <c r="AC34" i="12" s="1"/>
  <c r="AD34" i="12" s="1"/>
  <c r="AE34" i="12" s="1"/>
  <c r="AF34" i="12" s="1"/>
  <c r="AG34" i="12" s="1"/>
  <c r="AH34" i="12" s="1"/>
  <c r="AI34" i="12" s="1"/>
  <c r="AJ34" i="12" s="1"/>
  <c r="AK34" i="12" s="1"/>
  <c r="AL34" i="12" s="1"/>
  <c r="T34" i="12"/>
  <c r="S34" i="12"/>
  <c r="U33" i="12"/>
  <c r="V33" i="12" s="1"/>
  <c r="W33" i="12" s="1"/>
  <c r="X33" i="12" s="1"/>
  <c r="Y33" i="12" s="1"/>
  <c r="Z33" i="12" s="1"/>
  <c r="AA33" i="12" s="1"/>
  <c r="AB33" i="12" s="1"/>
  <c r="AC33" i="12" s="1"/>
  <c r="AD33" i="12" s="1"/>
  <c r="AE33" i="12" s="1"/>
  <c r="AF33" i="12" s="1"/>
  <c r="AG33" i="12" s="1"/>
  <c r="AH33" i="12" s="1"/>
  <c r="AI33" i="12" s="1"/>
  <c r="AJ33" i="12" s="1"/>
  <c r="AK33" i="12" s="1"/>
  <c r="AL33" i="12" s="1"/>
  <c r="T33" i="12"/>
  <c r="S33" i="12"/>
  <c r="K27" i="12"/>
  <c r="T21" i="12"/>
  <c r="U21" i="12" s="1"/>
  <c r="V21" i="12" s="1"/>
  <c r="W21" i="12" s="1"/>
  <c r="X21" i="12" s="1"/>
  <c r="Y21" i="12" s="1"/>
  <c r="Z21" i="12" s="1"/>
  <c r="AA21" i="12" s="1"/>
  <c r="AB21" i="12" s="1"/>
  <c r="AC21" i="12" s="1"/>
  <c r="AD21" i="12" s="1"/>
  <c r="AE21" i="12" s="1"/>
  <c r="AF21" i="12" s="1"/>
  <c r="AG21" i="12" s="1"/>
  <c r="AH21" i="12" s="1"/>
  <c r="AI21" i="12" s="1"/>
  <c r="AJ21" i="12" s="1"/>
  <c r="AK21" i="12" s="1"/>
  <c r="AL21" i="12" s="1"/>
  <c r="S21" i="12"/>
  <c r="T20" i="12"/>
  <c r="U20" i="12" s="1"/>
  <c r="V20" i="12" s="1"/>
  <c r="W20" i="12" s="1"/>
  <c r="X20" i="12" s="1"/>
  <c r="Y20" i="12" s="1"/>
  <c r="Z20" i="12" s="1"/>
  <c r="AA20" i="12" s="1"/>
  <c r="AB20" i="12" s="1"/>
  <c r="AC20" i="12" s="1"/>
  <c r="AD20" i="12" s="1"/>
  <c r="AE20" i="12" s="1"/>
  <c r="AF20" i="12" s="1"/>
  <c r="AG20" i="12" s="1"/>
  <c r="AH20" i="12" s="1"/>
  <c r="AI20" i="12" s="1"/>
  <c r="AJ20" i="12" s="1"/>
  <c r="AK20" i="12" s="1"/>
  <c r="AL20" i="12" s="1"/>
  <c r="S20" i="12"/>
  <c r="T19" i="12"/>
  <c r="U19" i="12" s="1"/>
  <c r="V19" i="12" s="1"/>
  <c r="W19" i="12" s="1"/>
  <c r="X19" i="12" s="1"/>
  <c r="Y19" i="12" s="1"/>
  <c r="Z19" i="12" s="1"/>
  <c r="AA19" i="12" s="1"/>
  <c r="AB19" i="12" s="1"/>
  <c r="AC19" i="12" s="1"/>
  <c r="AD19" i="12" s="1"/>
  <c r="AE19" i="12" s="1"/>
  <c r="AF19" i="12" s="1"/>
  <c r="AG19" i="12" s="1"/>
  <c r="AH19" i="12" s="1"/>
  <c r="AI19" i="12" s="1"/>
  <c r="AJ19" i="12" s="1"/>
  <c r="AK19" i="12" s="1"/>
  <c r="AL19" i="12" s="1"/>
  <c r="S19" i="12"/>
  <c r="T18" i="12"/>
  <c r="U18" i="12" s="1"/>
  <c r="V18" i="12" s="1"/>
  <c r="W18" i="12" s="1"/>
  <c r="X18" i="12" s="1"/>
  <c r="Y18" i="12" s="1"/>
  <c r="Z18" i="12" s="1"/>
  <c r="AA18" i="12" s="1"/>
  <c r="AB18" i="12" s="1"/>
  <c r="AC18" i="12" s="1"/>
  <c r="AD18" i="12" s="1"/>
  <c r="AE18" i="12" s="1"/>
  <c r="AF18" i="12" s="1"/>
  <c r="AG18" i="12" s="1"/>
  <c r="AH18" i="12" s="1"/>
  <c r="AI18" i="12" s="1"/>
  <c r="AJ18" i="12" s="1"/>
  <c r="AK18" i="12" s="1"/>
  <c r="AL18" i="12" s="1"/>
  <c r="S18" i="12"/>
  <c r="T17" i="12"/>
  <c r="U17" i="12" s="1"/>
  <c r="V17" i="12" s="1"/>
  <c r="W17" i="12" s="1"/>
  <c r="X17" i="12" s="1"/>
  <c r="Y17" i="12" s="1"/>
  <c r="Z17" i="12" s="1"/>
  <c r="AA17" i="12" s="1"/>
  <c r="AB17" i="12" s="1"/>
  <c r="AC17" i="12" s="1"/>
  <c r="AD17" i="12" s="1"/>
  <c r="AE17" i="12" s="1"/>
  <c r="AF17" i="12" s="1"/>
  <c r="AG17" i="12" s="1"/>
  <c r="AH17" i="12" s="1"/>
  <c r="AI17" i="12" s="1"/>
  <c r="AJ17" i="12" s="1"/>
  <c r="AK17" i="12" s="1"/>
  <c r="AL17" i="12" s="1"/>
  <c r="S17" i="12"/>
  <c r="T16" i="12"/>
  <c r="U16" i="12" s="1"/>
  <c r="V16" i="12" s="1"/>
  <c r="W16" i="12" s="1"/>
  <c r="X16" i="12" s="1"/>
  <c r="Y16" i="12" s="1"/>
  <c r="Z16" i="12" s="1"/>
  <c r="AA16" i="12" s="1"/>
  <c r="AB16" i="12" s="1"/>
  <c r="AC16" i="12" s="1"/>
  <c r="AD16" i="12" s="1"/>
  <c r="AE16" i="12" s="1"/>
  <c r="AF16" i="12" s="1"/>
  <c r="AG16" i="12" s="1"/>
  <c r="AH16" i="12" s="1"/>
  <c r="AI16" i="12" s="1"/>
  <c r="AJ16" i="12" s="1"/>
  <c r="AK16" i="12" s="1"/>
  <c r="AL16" i="12" s="1"/>
  <c r="S16" i="12"/>
  <c r="P16" i="12"/>
  <c r="G16" i="12"/>
  <c r="B16" i="12"/>
  <c r="A16" i="12"/>
  <c r="T15" i="12"/>
  <c r="U15" i="12" s="1"/>
  <c r="V15" i="12" s="1"/>
  <c r="W15" i="12" s="1"/>
  <c r="X15" i="12" s="1"/>
  <c r="Y15" i="12" s="1"/>
  <c r="Z15" i="12" s="1"/>
  <c r="AA15" i="12" s="1"/>
  <c r="AB15" i="12" s="1"/>
  <c r="AC15" i="12" s="1"/>
  <c r="AD15" i="12" s="1"/>
  <c r="AE15" i="12" s="1"/>
  <c r="AF15" i="12" s="1"/>
  <c r="AG15" i="12" s="1"/>
  <c r="AH15" i="12" s="1"/>
  <c r="AI15" i="12" s="1"/>
  <c r="AJ15" i="12" s="1"/>
  <c r="AK15" i="12" s="1"/>
  <c r="AL15" i="12" s="1"/>
  <c r="S15" i="12"/>
  <c r="P15" i="12"/>
  <c r="G15" i="12"/>
  <c r="B15" i="12"/>
  <c r="A15" i="12"/>
  <c r="T14" i="12"/>
  <c r="U14" i="12" s="1"/>
  <c r="V14" i="12" s="1"/>
  <c r="W14" i="12" s="1"/>
  <c r="X14" i="12" s="1"/>
  <c r="Y14" i="12" s="1"/>
  <c r="Z14" i="12" s="1"/>
  <c r="AA14" i="12" s="1"/>
  <c r="AB14" i="12" s="1"/>
  <c r="AC14" i="12" s="1"/>
  <c r="AD14" i="12" s="1"/>
  <c r="AE14" i="12" s="1"/>
  <c r="AF14" i="12" s="1"/>
  <c r="AG14" i="12" s="1"/>
  <c r="AH14" i="12" s="1"/>
  <c r="AI14" i="12" s="1"/>
  <c r="AJ14" i="12" s="1"/>
  <c r="AK14" i="12" s="1"/>
  <c r="AL14" i="12" s="1"/>
  <c r="S14" i="12"/>
  <c r="P14" i="12"/>
  <c r="G14" i="12"/>
  <c r="B14" i="12"/>
  <c r="A14" i="12"/>
  <c r="T13" i="12"/>
  <c r="T98" i="12" s="1"/>
  <c r="S13" i="12"/>
  <c r="S97" i="12" s="1"/>
  <c r="P13" i="12"/>
  <c r="G13" i="12"/>
  <c r="B13" i="12"/>
  <c r="A13" i="12"/>
  <c r="I11" i="12"/>
  <c r="H11" i="12"/>
  <c r="L3" i="12"/>
  <c r="K3" i="12"/>
  <c r="D61" i="11"/>
  <c r="C61" i="11"/>
  <c r="D60" i="11"/>
  <c r="C60" i="11"/>
  <c r="E58" i="11"/>
  <c r="D58" i="11"/>
  <c r="C58" i="11"/>
  <c r="D56" i="11"/>
  <c r="C56" i="11"/>
  <c r="E55" i="11"/>
  <c r="D55" i="11"/>
  <c r="C55" i="11"/>
  <c r="Y53" i="11"/>
  <c r="X53" i="11"/>
  <c r="W53" i="11"/>
  <c r="V53" i="11"/>
  <c r="U53" i="11"/>
  <c r="T53" i="11"/>
  <c r="S53" i="11"/>
  <c r="R53" i="11"/>
  <c r="Q53" i="11"/>
  <c r="P53" i="11"/>
  <c r="O53" i="11"/>
  <c r="N53" i="11"/>
  <c r="M53" i="11"/>
  <c r="L53" i="11"/>
  <c r="K53" i="11"/>
  <c r="J53" i="11"/>
  <c r="I53" i="11"/>
  <c r="H53" i="11"/>
  <c r="G53" i="11"/>
  <c r="F53" i="11"/>
  <c r="E53" i="11"/>
  <c r="D53" i="11"/>
  <c r="E52" i="11"/>
  <c r="D52" i="11"/>
  <c r="C52" i="11"/>
  <c r="C50" i="11"/>
  <c r="E49" i="11"/>
  <c r="D49" i="11"/>
  <c r="C39" i="11"/>
  <c r="D39" i="11" s="1"/>
  <c r="E38" i="11"/>
  <c r="F13" i="37" s="1"/>
  <c r="F15" i="37" s="1"/>
  <c r="Y33" i="11"/>
  <c r="X33" i="11"/>
  <c r="W33" i="11"/>
  <c r="V33" i="11"/>
  <c r="U33" i="11"/>
  <c r="T33" i="11"/>
  <c r="S33" i="11"/>
  <c r="R33" i="11"/>
  <c r="Q33" i="11"/>
  <c r="P33" i="11"/>
  <c r="O33" i="11"/>
  <c r="N33" i="11"/>
  <c r="M33" i="11"/>
  <c r="L33" i="11"/>
  <c r="K33" i="11"/>
  <c r="J33" i="11"/>
  <c r="I33" i="11"/>
  <c r="H33" i="11"/>
  <c r="G33" i="11"/>
  <c r="F33" i="11"/>
  <c r="E33" i="11"/>
  <c r="E26" i="11"/>
  <c r="E56" i="11" s="1"/>
  <c r="C22" i="11"/>
  <c r="C53" i="11" s="1"/>
  <c r="AA21" i="11"/>
  <c r="E17" i="11"/>
  <c r="C9" i="11"/>
  <c r="C49" i="11" s="1"/>
  <c r="C51" i="11" s="1"/>
  <c r="C54" i="11" s="1"/>
  <c r="C57" i="11" s="1"/>
  <c r="D5" i="11"/>
  <c r="E5" i="11" s="1"/>
  <c r="F5" i="11" s="1"/>
  <c r="G5" i="11" s="1"/>
  <c r="H5" i="11" s="1"/>
  <c r="I5" i="11" s="1"/>
  <c r="J5" i="11" s="1"/>
  <c r="K5" i="11" s="1"/>
  <c r="L5" i="11" s="1"/>
  <c r="M5" i="11" s="1"/>
  <c r="N5" i="11" s="1"/>
  <c r="O5" i="11" s="1"/>
  <c r="P5" i="11" s="1"/>
  <c r="Q5" i="11" s="1"/>
  <c r="R5" i="11" s="1"/>
  <c r="S5" i="11" s="1"/>
  <c r="T5" i="11" s="1"/>
  <c r="U5" i="11" s="1"/>
  <c r="V5" i="11" s="1"/>
  <c r="W5" i="11" s="1"/>
  <c r="X5" i="11" s="1"/>
  <c r="Y5" i="11" s="1"/>
  <c r="F4" i="11"/>
  <c r="F184" i="10"/>
  <c r="H184" i="10" s="1"/>
  <c r="I184" i="10" s="1"/>
  <c r="F183" i="10"/>
  <c r="H183" i="10" s="1"/>
  <c r="I183" i="10" s="1"/>
  <c r="I182" i="10"/>
  <c r="I186" i="10" s="1"/>
  <c r="H182" i="10"/>
  <c r="H177" i="10"/>
  <c r="H176" i="10"/>
  <c r="A176" i="10"/>
  <c r="F175" i="10"/>
  <c r="H175" i="10" s="1"/>
  <c r="I175" i="10" s="1"/>
  <c r="H174" i="10"/>
  <c r="F174" i="10"/>
  <c r="I173" i="10"/>
  <c r="H173" i="10"/>
  <c r="A173" i="10"/>
  <c r="A174" i="10" s="1"/>
  <c r="I174" i="10" s="1"/>
  <c r="H172" i="10"/>
  <c r="I172" i="10" s="1"/>
  <c r="F172" i="10"/>
  <c r="H171" i="10"/>
  <c r="I171" i="10" s="1"/>
  <c r="I168" i="10"/>
  <c r="H168" i="10"/>
  <c r="F168" i="10"/>
  <c r="H167" i="10"/>
  <c r="I167" i="10" s="1"/>
  <c r="I166" i="10"/>
  <c r="H166" i="10"/>
  <c r="H165" i="10"/>
  <c r="I165" i="10" s="1"/>
  <c r="I164" i="10"/>
  <c r="H164" i="10"/>
  <c r="H163" i="10"/>
  <c r="I163" i="10" s="1"/>
  <c r="I162" i="10"/>
  <c r="H162" i="10"/>
  <c r="H161" i="10"/>
  <c r="I161" i="10" s="1"/>
  <c r="I160" i="10"/>
  <c r="I179" i="10" s="1"/>
  <c r="H160" i="10"/>
  <c r="I156" i="10"/>
  <c r="H146" i="10"/>
  <c r="H145" i="10"/>
  <c r="F145" i="10"/>
  <c r="H144" i="10"/>
  <c r="H143" i="10"/>
  <c r="H142" i="10"/>
  <c r="H141" i="10"/>
  <c r="H140" i="10"/>
  <c r="H139" i="10"/>
  <c r="H138" i="10"/>
  <c r="H137" i="10"/>
  <c r="I130" i="10"/>
  <c r="H130" i="10"/>
  <c r="H128" i="10"/>
  <c r="I128" i="10" s="1"/>
  <c r="I125" i="10"/>
  <c r="H125" i="10"/>
  <c r="H124" i="10"/>
  <c r="I124" i="10" s="1"/>
  <c r="I123" i="10"/>
  <c r="H123" i="10"/>
  <c r="H121" i="10"/>
  <c r="I121" i="10" s="1"/>
  <c r="I120" i="10"/>
  <c r="H120" i="10"/>
  <c r="H119" i="10"/>
  <c r="I119" i="10" s="1"/>
  <c r="I118" i="10"/>
  <c r="H118" i="10"/>
  <c r="H117" i="10"/>
  <c r="I117" i="10" s="1"/>
  <c r="I116" i="10"/>
  <c r="H116" i="10"/>
  <c r="H115" i="10"/>
  <c r="I115" i="10" s="1"/>
  <c r="I114" i="10"/>
  <c r="H114" i="10"/>
  <c r="H113" i="10"/>
  <c r="I113" i="10" s="1"/>
  <c r="I112" i="10"/>
  <c r="H112" i="10"/>
  <c r="H111" i="10"/>
  <c r="I111" i="10" s="1"/>
  <c r="H109" i="10"/>
  <c r="I109" i="10" s="1"/>
  <c r="I105" i="10"/>
  <c r="H105" i="10"/>
  <c r="H102" i="10"/>
  <c r="I102" i="10" s="1"/>
  <c r="I101" i="10"/>
  <c r="H101" i="10"/>
  <c r="H100" i="10"/>
  <c r="I100" i="10" s="1"/>
  <c r="I98" i="10"/>
  <c r="H98" i="10"/>
  <c r="H97" i="10"/>
  <c r="I97" i="10" s="1"/>
  <c r="I96" i="10"/>
  <c r="H96" i="10"/>
  <c r="H95" i="10"/>
  <c r="I95" i="10" s="1"/>
  <c r="I94" i="10"/>
  <c r="H94" i="10"/>
  <c r="H93" i="10"/>
  <c r="I93" i="10" s="1"/>
  <c r="I92" i="10"/>
  <c r="H92" i="10"/>
  <c r="H91" i="10"/>
  <c r="I91" i="10" s="1"/>
  <c r="I90" i="10"/>
  <c r="H90" i="10"/>
  <c r="H89" i="10"/>
  <c r="I89" i="10" s="1"/>
  <c r="I88" i="10"/>
  <c r="H88" i="10"/>
  <c r="H87" i="10"/>
  <c r="I87" i="10" s="1"/>
  <c r="I132" i="10" s="1"/>
  <c r="Q132" i="10" s="1"/>
  <c r="Q39" i="10" s="1"/>
  <c r="G84" i="10"/>
  <c r="H110" i="10" s="1"/>
  <c r="I110" i="10" s="1"/>
  <c r="I70" i="10"/>
  <c r="H69" i="10"/>
  <c r="F69" i="10"/>
  <c r="I68" i="10"/>
  <c r="H68" i="10"/>
  <c r="I64" i="10"/>
  <c r="H64" i="10"/>
  <c r="F64" i="10"/>
  <c r="A64" i="10"/>
  <c r="I63" i="10"/>
  <c r="H63" i="10"/>
  <c r="F63" i="10"/>
  <c r="A63" i="10"/>
  <c r="I62" i="10"/>
  <c r="H62" i="10"/>
  <c r="F62" i="10"/>
  <c r="A62" i="10"/>
  <c r="I61" i="10"/>
  <c r="H61" i="10"/>
  <c r="F61" i="10"/>
  <c r="A61" i="10"/>
  <c r="I60" i="10"/>
  <c r="H60" i="10"/>
  <c r="F60" i="10"/>
  <c r="A60" i="10"/>
  <c r="I59" i="10"/>
  <c r="H59" i="10"/>
  <c r="F59" i="10"/>
  <c r="A59" i="10"/>
  <c r="I58" i="10"/>
  <c r="H58" i="10"/>
  <c r="F58" i="10"/>
  <c r="A58" i="10"/>
  <c r="H57" i="10"/>
  <c r="F57" i="10"/>
  <c r="B57" i="10"/>
  <c r="A57" i="10"/>
  <c r="I57" i="10" s="1"/>
  <c r="F56" i="10"/>
  <c r="H56" i="10" s="1"/>
  <c r="A56" i="10"/>
  <c r="F55" i="10"/>
  <c r="H55" i="10" s="1"/>
  <c r="A55" i="10"/>
  <c r="I55" i="10" s="1"/>
  <c r="H54" i="10"/>
  <c r="F54" i="10"/>
  <c r="B54" i="10"/>
  <c r="A54" i="10" s="1"/>
  <c r="I54" i="10" s="1"/>
  <c r="F53" i="10"/>
  <c r="H53" i="10" s="1"/>
  <c r="B53" i="10"/>
  <c r="A53" i="10" s="1"/>
  <c r="I53" i="10" s="1"/>
  <c r="H52" i="10"/>
  <c r="F52" i="10"/>
  <c r="B52" i="10"/>
  <c r="A52" i="10" s="1"/>
  <c r="I51" i="10"/>
  <c r="H51" i="10"/>
  <c r="F51" i="10"/>
  <c r="A51" i="10"/>
  <c r="I50" i="10"/>
  <c r="H50" i="10"/>
  <c r="F50" i="10"/>
  <c r="A50" i="10"/>
  <c r="H49" i="10"/>
  <c r="F49" i="10"/>
  <c r="B49" i="10"/>
  <c r="A49" i="10"/>
  <c r="I49" i="10" s="1"/>
  <c r="H48" i="10"/>
  <c r="F48" i="10"/>
  <c r="C48" i="10"/>
  <c r="A48" i="10" s="1"/>
  <c r="I48" i="10" s="1"/>
  <c r="F47" i="10"/>
  <c r="H47" i="10" s="1"/>
  <c r="A47" i="10"/>
  <c r="I47" i="10" s="1"/>
  <c r="F46" i="10"/>
  <c r="H46" i="10" s="1"/>
  <c r="A46" i="10"/>
  <c r="F45" i="10"/>
  <c r="H45" i="10" s="1"/>
  <c r="C45" i="10"/>
  <c r="A45" i="10" s="1"/>
  <c r="I45" i="10" s="1"/>
  <c r="H44" i="10"/>
  <c r="F44" i="10"/>
  <c r="H43" i="10"/>
  <c r="I43" i="10" s="1"/>
  <c r="F43" i="10"/>
  <c r="A43" i="10"/>
  <c r="F34" i="10"/>
  <c r="H34" i="10" s="1"/>
  <c r="I34" i="10" s="1"/>
  <c r="S34" i="10" s="1"/>
  <c r="H33" i="10"/>
  <c r="I33" i="10" s="1"/>
  <c r="S33" i="10" s="1"/>
  <c r="S32" i="10"/>
  <c r="H32" i="10"/>
  <c r="I32" i="10" s="1"/>
  <c r="I31" i="10"/>
  <c r="S31" i="10" s="1"/>
  <c r="H31" i="10"/>
  <c r="H30" i="10"/>
  <c r="I30" i="10" s="1"/>
  <c r="S30" i="10" s="1"/>
  <c r="S37" i="10" s="1"/>
  <c r="S39" i="10" s="1"/>
  <c r="H29" i="10"/>
  <c r="I29" i="10" s="1"/>
  <c r="O29" i="10" s="1"/>
  <c r="F29" i="10"/>
  <c r="M28" i="10"/>
  <c r="H28" i="10"/>
  <c r="I28" i="10" s="1"/>
  <c r="O27" i="10"/>
  <c r="H27" i="10"/>
  <c r="I27" i="10" s="1"/>
  <c r="I26" i="10"/>
  <c r="R26" i="10" s="1"/>
  <c r="H26" i="10"/>
  <c r="I25" i="10"/>
  <c r="R25" i="10" s="1"/>
  <c r="H25" i="10"/>
  <c r="F24" i="10"/>
  <c r="H24" i="10" s="1"/>
  <c r="I24" i="10" s="1"/>
  <c r="R24" i="10" s="1"/>
  <c r="H23" i="10"/>
  <c r="I23" i="10" s="1"/>
  <c r="O23" i="10" s="1"/>
  <c r="J22" i="10"/>
  <c r="H22" i="10"/>
  <c r="H21" i="10"/>
  <c r="A21" i="10"/>
  <c r="I21" i="10" s="1"/>
  <c r="O21" i="10" s="1"/>
  <c r="H20" i="10"/>
  <c r="I20" i="10" s="1"/>
  <c r="O20" i="10" s="1"/>
  <c r="F19" i="10"/>
  <c r="H19" i="10" s="1"/>
  <c r="I19" i="10" s="1"/>
  <c r="O19" i="10" s="1"/>
  <c r="F18" i="10"/>
  <c r="H18" i="10" s="1"/>
  <c r="I18" i="10" s="1"/>
  <c r="O18" i="10" s="1"/>
  <c r="H17" i="10"/>
  <c r="A17" i="10"/>
  <c r="I17" i="10" s="1"/>
  <c r="R17" i="10" s="1"/>
  <c r="H16" i="10"/>
  <c r="I16" i="10" s="1"/>
  <c r="R16" i="10" s="1"/>
  <c r="R15" i="10"/>
  <c r="I15" i="10"/>
  <c r="H15" i="10"/>
  <c r="I14" i="10"/>
  <c r="R14" i="10" s="1"/>
  <c r="H14" i="10"/>
  <c r="H13" i="10"/>
  <c r="I13" i="10" s="1"/>
  <c r="R13" i="10" s="1"/>
  <c r="H12" i="10"/>
  <c r="I12" i="10" s="1"/>
  <c r="R12" i="10" s="1"/>
  <c r="R11" i="10"/>
  <c r="I11" i="10"/>
  <c r="H11" i="10"/>
  <c r="I10" i="10"/>
  <c r="N10" i="10" s="1"/>
  <c r="H10" i="10"/>
  <c r="H9" i="10"/>
  <c r="I9" i="10" s="1"/>
  <c r="N9" i="10" s="1"/>
  <c r="H8" i="10"/>
  <c r="I8" i="10" s="1"/>
  <c r="N8" i="10" s="1"/>
  <c r="N7" i="10"/>
  <c r="I7" i="10"/>
  <c r="H7" i="10"/>
  <c r="A6" i="10"/>
  <c r="C44" i="10" s="1"/>
  <c r="A44" i="10" s="1"/>
  <c r="I44" i="10" s="1"/>
  <c r="I5" i="10"/>
  <c r="H5" i="10"/>
  <c r="J4" i="10"/>
  <c r="F4" i="10"/>
  <c r="H4" i="10" s="1"/>
  <c r="I4" i="10" s="1"/>
  <c r="L1" i="10"/>
  <c r="F184" i="9"/>
  <c r="H184" i="9" s="1"/>
  <c r="I184" i="9" s="1"/>
  <c r="F183" i="9"/>
  <c r="H183" i="9" s="1"/>
  <c r="I183" i="9" s="1"/>
  <c r="I182" i="9"/>
  <c r="H182" i="9"/>
  <c r="H177" i="9"/>
  <c r="H176" i="9"/>
  <c r="A176" i="9"/>
  <c r="I176" i="9" s="1"/>
  <c r="F175" i="9"/>
  <c r="H175" i="9" s="1"/>
  <c r="I175" i="9" s="1"/>
  <c r="I174" i="9"/>
  <c r="H174" i="9"/>
  <c r="F174" i="9"/>
  <c r="A174" i="9"/>
  <c r="I173" i="9"/>
  <c r="H173" i="9"/>
  <c r="A173" i="9"/>
  <c r="H172" i="9"/>
  <c r="I172" i="9" s="1"/>
  <c r="F172" i="9"/>
  <c r="H171" i="9"/>
  <c r="I171" i="9" s="1"/>
  <c r="I168" i="9"/>
  <c r="H168" i="9"/>
  <c r="F168" i="9"/>
  <c r="H167" i="9"/>
  <c r="I167" i="9" s="1"/>
  <c r="I166" i="9"/>
  <c r="H166" i="9"/>
  <c r="H165" i="9"/>
  <c r="I165" i="9" s="1"/>
  <c r="I164" i="9"/>
  <c r="H164" i="9"/>
  <c r="H163" i="9"/>
  <c r="I163" i="9" s="1"/>
  <c r="I162" i="9"/>
  <c r="H162" i="9"/>
  <c r="H161" i="9"/>
  <c r="I161" i="9" s="1"/>
  <c r="H160" i="9"/>
  <c r="I160" i="9" s="1"/>
  <c r="I156" i="9"/>
  <c r="H146" i="9"/>
  <c r="F145" i="9"/>
  <c r="H145" i="9" s="1"/>
  <c r="H144" i="9"/>
  <c r="H143" i="9"/>
  <c r="H142" i="9"/>
  <c r="H141" i="9"/>
  <c r="H140" i="9"/>
  <c r="H139" i="9"/>
  <c r="H138" i="9"/>
  <c r="H137" i="9"/>
  <c r="H130" i="9"/>
  <c r="I130" i="9" s="1"/>
  <c r="H128" i="9"/>
  <c r="I128" i="9" s="1"/>
  <c r="H125" i="9"/>
  <c r="I125" i="9" s="1"/>
  <c r="H124" i="9"/>
  <c r="I124" i="9" s="1"/>
  <c r="H123" i="9"/>
  <c r="I123" i="9" s="1"/>
  <c r="H121" i="9"/>
  <c r="I121" i="9" s="1"/>
  <c r="H120" i="9"/>
  <c r="I120" i="9" s="1"/>
  <c r="H119" i="9"/>
  <c r="I119" i="9" s="1"/>
  <c r="H118" i="9"/>
  <c r="I118" i="9" s="1"/>
  <c r="H117" i="9"/>
  <c r="I117" i="9" s="1"/>
  <c r="H116" i="9"/>
  <c r="I116" i="9" s="1"/>
  <c r="H115" i="9"/>
  <c r="I115" i="9" s="1"/>
  <c r="H114" i="9"/>
  <c r="I114" i="9" s="1"/>
  <c r="H113" i="9"/>
  <c r="I113" i="9" s="1"/>
  <c r="H112" i="9"/>
  <c r="I112" i="9" s="1"/>
  <c r="H111" i="9"/>
  <c r="I111" i="9" s="1"/>
  <c r="H109" i="9"/>
  <c r="I109" i="9" s="1"/>
  <c r="H105" i="9"/>
  <c r="I105" i="9" s="1"/>
  <c r="H102" i="9"/>
  <c r="I102" i="9" s="1"/>
  <c r="H101" i="9"/>
  <c r="I101" i="9" s="1"/>
  <c r="H100" i="9"/>
  <c r="I100" i="9" s="1"/>
  <c r="H98" i="9"/>
  <c r="I98" i="9" s="1"/>
  <c r="H97" i="9"/>
  <c r="I97" i="9" s="1"/>
  <c r="H96" i="9"/>
  <c r="I96" i="9" s="1"/>
  <c r="H95" i="9"/>
  <c r="I95" i="9" s="1"/>
  <c r="H94" i="9"/>
  <c r="I94" i="9" s="1"/>
  <c r="H93" i="9"/>
  <c r="I93" i="9" s="1"/>
  <c r="H92" i="9"/>
  <c r="I92" i="9" s="1"/>
  <c r="H91" i="9"/>
  <c r="I91" i="9" s="1"/>
  <c r="H90" i="9"/>
  <c r="I90" i="9" s="1"/>
  <c r="H89" i="9"/>
  <c r="I89" i="9" s="1"/>
  <c r="H88" i="9"/>
  <c r="I88" i="9" s="1"/>
  <c r="H87" i="9"/>
  <c r="I87" i="9" s="1"/>
  <c r="G84" i="9"/>
  <c r="H110" i="9" s="1"/>
  <c r="I110" i="9" s="1"/>
  <c r="I70" i="9"/>
  <c r="H69" i="9"/>
  <c r="F69" i="9"/>
  <c r="H68" i="9"/>
  <c r="I68" i="9" s="1"/>
  <c r="F64" i="9"/>
  <c r="H64" i="9" s="1"/>
  <c r="I64" i="9" s="1"/>
  <c r="A64" i="9"/>
  <c r="F63" i="9"/>
  <c r="H63" i="9" s="1"/>
  <c r="I63" i="9" s="1"/>
  <c r="A63" i="9"/>
  <c r="F62" i="9"/>
  <c r="H62" i="9" s="1"/>
  <c r="I62" i="9" s="1"/>
  <c r="A62" i="9"/>
  <c r="F61" i="9"/>
  <c r="H61" i="9" s="1"/>
  <c r="I61" i="9" s="1"/>
  <c r="A61" i="9"/>
  <c r="F60" i="9"/>
  <c r="H60" i="9" s="1"/>
  <c r="I60" i="9" s="1"/>
  <c r="A60" i="9"/>
  <c r="F59" i="9"/>
  <c r="H59" i="9" s="1"/>
  <c r="I59" i="9" s="1"/>
  <c r="A59" i="9"/>
  <c r="F58" i="9"/>
  <c r="H58" i="9" s="1"/>
  <c r="I58" i="9" s="1"/>
  <c r="A58" i="9"/>
  <c r="F57" i="9"/>
  <c r="H57" i="9" s="1"/>
  <c r="B57" i="9"/>
  <c r="A57" i="9"/>
  <c r="I57" i="9" s="1"/>
  <c r="H56" i="9"/>
  <c r="F56" i="9"/>
  <c r="A56" i="9"/>
  <c r="I56" i="9" s="1"/>
  <c r="H55" i="9"/>
  <c r="F55" i="9"/>
  <c r="A55" i="9"/>
  <c r="I55" i="9" s="1"/>
  <c r="H54" i="9"/>
  <c r="F54" i="9"/>
  <c r="B54" i="9"/>
  <c r="A54" i="9" s="1"/>
  <c r="I54" i="9" s="1"/>
  <c r="F53" i="9"/>
  <c r="H53" i="9" s="1"/>
  <c r="B53" i="9"/>
  <c r="A53" i="9"/>
  <c r="I53" i="9" s="1"/>
  <c r="H52" i="9"/>
  <c r="F52" i="9"/>
  <c r="B52" i="9"/>
  <c r="A52" i="9" s="1"/>
  <c r="I52" i="9" s="1"/>
  <c r="F51" i="9"/>
  <c r="H51" i="9" s="1"/>
  <c r="I51" i="9" s="1"/>
  <c r="A51" i="9"/>
  <c r="F50" i="9"/>
  <c r="H50" i="9" s="1"/>
  <c r="I50" i="9" s="1"/>
  <c r="A50" i="9"/>
  <c r="F49" i="9"/>
  <c r="H49" i="9" s="1"/>
  <c r="B49" i="9"/>
  <c r="A49" i="9"/>
  <c r="H48" i="9"/>
  <c r="F48" i="9"/>
  <c r="F47" i="9"/>
  <c r="H47" i="9" s="1"/>
  <c r="I47" i="9" s="1"/>
  <c r="A47" i="9"/>
  <c r="F46" i="9"/>
  <c r="H46" i="9" s="1"/>
  <c r="I46" i="9" s="1"/>
  <c r="A46" i="9"/>
  <c r="F45" i="9"/>
  <c r="H45" i="9" s="1"/>
  <c r="C45" i="9"/>
  <c r="A45" i="9"/>
  <c r="H44" i="9"/>
  <c r="F44" i="9"/>
  <c r="F43" i="9"/>
  <c r="H43" i="9" s="1"/>
  <c r="I43" i="9" s="1"/>
  <c r="A43" i="9"/>
  <c r="H34" i="9"/>
  <c r="I34" i="9" s="1"/>
  <c r="S34" i="9" s="1"/>
  <c r="F34" i="9"/>
  <c r="H33" i="9"/>
  <c r="I33" i="9" s="1"/>
  <c r="S33" i="9" s="1"/>
  <c r="I32" i="9"/>
  <c r="S32" i="9" s="1"/>
  <c r="H32" i="9"/>
  <c r="H31" i="9"/>
  <c r="I31" i="9" s="1"/>
  <c r="S31" i="9" s="1"/>
  <c r="I30" i="9"/>
  <c r="S30" i="9" s="1"/>
  <c r="H30" i="9"/>
  <c r="H29" i="9"/>
  <c r="I29" i="9" s="1"/>
  <c r="O29" i="9" s="1"/>
  <c r="M28" i="9"/>
  <c r="I28" i="9"/>
  <c r="H28" i="9"/>
  <c r="H27" i="9"/>
  <c r="I27" i="9" s="1"/>
  <c r="O27" i="9" s="1"/>
  <c r="I26" i="9"/>
  <c r="R26" i="9" s="1"/>
  <c r="H26" i="9"/>
  <c r="H25" i="9"/>
  <c r="I25" i="9" s="1"/>
  <c r="R25" i="9" s="1"/>
  <c r="F24" i="9"/>
  <c r="H24" i="9" s="1"/>
  <c r="I24" i="9" s="1"/>
  <c r="R24" i="9" s="1"/>
  <c r="I23" i="9"/>
  <c r="O23" i="9" s="1"/>
  <c r="H23" i="9"/>
  <c r="H22" i="9"/>
  <c r="H21" i="9"/>
  <c r="A21" i="9"/>
  <c r="A22" i="9" s="1"/>
  <c r="I22" i="9" s="1"/>
  <c r="O22" i="9" s="1"/>
  <c r="H20" i="9"/>
  <c r="I20" i="9" s="1"/>
  <c r="O20" i="9" s="1"/>
  <c r="F19" i="9"/>
  <c r="H19" i="9" s="1"/>
  <c r="I19" i="9" s="1"/>
  <c r="O19" i="9" s="1"/>
  <c r="A19" i="9"/>
  <c r="H18" i="9"/>
  <c r="F18" i="9"/>
  <c r="A18" i="9"/>
  <c r="C48" i="9" s="1"/>
  <c r="A48" i="9" s="1"/>
  <c r="I48" i="9" s="1"/>
  <c r="H17" i="9"/>
  <c r="A17" i="9"/>
  <c r="I17" i="9" s="1"/>
  <c r="R17" i="9" s="1"/>
  <c r="I16" i="9"/>
  <c r="R16" i="9" s="1"/>
  <c r="H16" i="9"/>
  <c r="H15" i="9"/>
  <c r="I15" i="9" s="1"/>
  <c r="R15" i="9" s="1"/>
  <c r="I14" i="9"/>
  <c r="R14" i="9" s="1"/>
  <c r="H14" i="9"/>
  <c r="H13" i="9"/>
  <c r="I13" i="9" s="1"/>
  <c r="R13" i="9" s="1"/>
  <c r="I12" i="9"/>
  <c r="R12" i="9" s="1"/>
  <c r="H12" i="9"/>
  <c r="H11" i="9"/>
  <c r="I11" i="9" s="1"/>
  <c r="R11" i="9" s="1"/>
  <c r="I10" i="9"/>
  <c r="N10" i="9" s="1"/>
  <c r="H10" i="9"/>
  <c r="H9" i="9"/>
  <c r="I9" i="9" s="1"/>
  <c r="N9" i="9" s="1"/>
  <c r="I8" i="9"/>
  <c r="N8" i="9" s="1"/>
  <c r="H8" i="9"/>
  <c r="H7" i="9"/>
  <c r="I7" i="9" s="1"/>
  <c r="N7" i="9" s="1"/>
  <c r="N37" i="9" s="1"/>
  <c r="N39" i="9" s="1"/>
  <c r="A6" i="9"/>
  <c r="C44" i="9" s="1"/>
  <c r="A44" i="9" s="1"/>
  <c r="I44" i="9" s="1"/>
  <c r="H5" i="9"/>
  <c r="I5" i="9" s="1"/>
  <c r="H4" i="9"/>
  <c r="I4" i="9" s="1"/>
  <c r="I1" i="9"/>
  <c r="L1" i="9" s="1"/>
  <c r="K61" i="2" s="1"/>
  <c r="F184" i="8"/>
  <c r="H184" i="8" s="1"/>
  <c r="I184" i="8" s="1"/>
  <c r="H183" i="8"/>
  <c r="I183" i="8" s="1"/>
  <c r="F183" i="8"/>
  <c r="I182" i="8"/>
  <c r="I186" i="8" s="1"/>
  <c r="AM60" i="2" s="1"/>
  <c r="H182" i="8"/>
  <c r="H177" i="8"/>
  <c r="H176" i="8"/>
  <c r="A176" i="8"/>
  <c r="I176" i="8" s="1"/>
  <c r="H175" i="8"/>
  <c r="I175" i="8" s="1"/>
  <c r="F175" i="8"/>
  <c r="F174" i="8"/>
  <c r="H174" i="8" s="1"/>
  <c r="I173" i="8"/>
  <c r="H173" i="8"/>
  <c r="A173" i="8"/>
  <c r="A174" i="8" s="1"/>
  <c r="I174" i="8" s="1"/>
  <c r="H172" i="8"/>
  <c r="I172" i="8" s="1"/>
  <c r="F172" i="8"/>
  <c r="I171" i="8"/>
  <c r="H171" i="8"/>
  <c r="F168" i="8"/>
  <c r="H168" i="8" s="1"/>
  <c r="I168" i="8" s="1"/>
  <c r="H167" i="8"/>
  <c r="I167" i="8" s="1"/>
  <c r="H166" i="8"/>
  <c r="I166" i="8" s="1"/>
  <c r="H165" i="8"/>
  <c r="I165" i="8" s="1"/>
  <c r="H164" i="8"/>
  <c r="I164" i="8" s="1"/>
  <c r="H163" i="8"/>
  <c r="I163" i="8" s="1"/>
  <c r="H162" i="8"/>
  <c r="I162" i="8" s="1"/>
  <c r="H161" i="8"/>
  <c r="I161" i="8" s="1"/>
  <c r="H160" i="8"/>
  <c r="I160" i="8" s="1"/>
  <c r="I156" i="8"/>
  <c r="H146" i="8"/>
  <c r="F145" i="8"/>
  <c r="H145" i="8" s="1"/>
  <c r="H144" i="8"/>
  <c r="H143" i="8"/>
  <c r="H142" i="8"/>
  <c r="H141" i="8"/>
  <c r="H140" i="8"/>
  <c r="H139" i="8"/>
  <c r="H138" i="8"/>
  <c r="H137" i="8"/>
  <c r="H130" i="8"/>
  <c r="I130" i="8" s="1"/>
  <c r="H128" i="8"/>
  <c r="I128" i="8" s="1"/>
  <c r="H125" i="8"/>
  <c r="I125" i="8" s="1"/>
  <c r="H124" i="8"/>
  <c r="I124" i="8" s="1"/>
  <c r="H123" i="8"/>
  <c r="I123" i="8" s="1"/>
  <c r="H121" i="8"/>
  <c r="I121" i="8" s="1"/>
  <c r="H120" i="8"/>
  <c r="I120" i="8" s="1"/>
  <c r="H119" i="8"/>
  <c r="I119" i="8" s="1"/>
  <c r="H118" i="8"/>
  <c r="I118" i="8" s="1"/>
  <c r="H117" i="8"/>
  <c r="I117" i="8" s="1"/>
  <c r="H116" i="8"/>
  <c r="I116" i="8" s="1"/>
  <c r="H115" i="8"/>
  <c r="I115" i="8" s="1"/>
  <c r="H114" i="8"/>
  <c r="I114" i="8" s="1"/>
  <c r="H113" i="8"/>
  <c r="I113" i="8" s="1"/>
  <c r="H112" i="8"/>
  <c r="I112" i="8" s="1"/>
  <c r="H111" i="8"/>
  <c r="I111" i="8" s="1"/>
  <c r="H110" i="8"/>
  <c r="I110" i="8" s="1"/>
  <c r="H109" i="8"/>
  <c r="I109" i="8" s="1"/>
  <c r="H105" i="8"/>
  <c r="I105" i="8" s="1"/>
  <c r="H102" i="8"/>
  <c r="I102" i="8" s="1"/>
  <c r="H101" i="8"/>
  <c r="I101" i="8" s="1"/>
  <c r="H100" i="8"/>
  <c r="I100" i="8" s="1"/>
  <c r="H98" i="8"/>
  <c r="I98" i="8" s="1"/>
  <c r="H97" i="8"/>
  <c r="I97" i="8" s="1"/>
  <c r="H96" i="8"/>
  <c r="I96" i="8" s="1"/>
  <c r="H95" i="8"/>
  <c r="I95" i="8" s="1"/>
  <c r="H94" i="8"/>
  <c r="I94" i="8" s="1"/>
  <c r="H93" i="8"/>
  <c r="I93" i="8" s="1"/>
  <c r="H92" i="8"/>
  <c r="I92" i="8" s="1"/>
  <c r="H91" i="8"/>
  <c r="I91" i="8" s="1"/>
  <c r="H90" i="8"/>
  <c r="I90" i="8" s="1"/>
  <c r="H89" i="8"/>
  <c r="I89" i="8" s="1"/>
  <c r="H88" i="8"/>
  <c r="I88" i="8" s="1"/>
  <c r="H87" i="8"/>
  <c r="I87" i="8" s="1"/>
  <c r="I132" i="8" s="1"/>
  <c r="Q132" i="8" s="1"/>
  <c r="Q39" i="8" s="1"/>
  <c r="G84" i="8"/>
  <c r="I70" i="8"/>
  <c r="H69" i="8"/>
  <c r="F69" i="8"/>
  <c r="H68" i="8"/>
  <c r="I68" i="8" s="1"/>
  <c r="F64" i="8"/>
  <c r="H64" i="8" s="1"/>
  <c r="I64" i="8" s="1"/>
  <c r="A64" i="8"/>
  <c r="F63" i="8"/>
  <c r="H63" i="8" s="1"/>
  <c r="I63" i="8" s="1"/>
  <c r="A63" i="8"/>
  <c r="F62" i="8"/>
  <c r="H62" i="8" s="1"/>
  <c r="I62" i="8" s="1"/>
  <c r="A62" i="8"/>
  <c r="F61" i="8"/>
  <c r="H61" i="8" s="1"/>
  <c r="I61" i="8" s="1"/>
  <c r="A61" i="8"/>
  <c r="F60" i="8"/>
  <c r="H60" i="8" s="1"/>
  <c r="I60" i="8" s="1"/>
  <c r="A60" i="8"/>
  <c r="F59" i="8"/>
  <c r="H59" i="8" s="1"/>
  <c r="I59" i="8" s="1"/>
  <c r="A59" i="8"/>
  <c r="F58" i="8"/>
  <c r="H58" i="8" s="1"/>
  <c r="I58" i="8" s="1"/>
  <c r="A58" i="8"/>
  <c r="F57" i="8"/>
  <c r="H57" i="8" s="1"/>
  <c r="B57" i="8"/>
  <c r="A57" i="8"/>
  <c r="H56" i="8"/>
  <c r="F56" i="8"/>
  <c r="A56" i="8"/>
  <c r="I56" i="8" s="1"/>
  <c r="H55" i="8"/>
  <c r="F55" i="8"/>
  <c r="A55" i="8"/>
  <c r="I55" i="8" s="1"/>
  <c r="H54" i="8"/>
  <c r="F54" i="8"/>
  <c r="B54" i="8"/>
  <c r="A54" i="8" s="1"/>
  <c r="I54" i="8" s="1"/>
  <c r="F53" i="8"/>
  <c r="H53" i="8" s="1"/>
  <c r="B53" i="8"/>
  <c r="A53" i="8"/>
  <c r="H52" i="8"/>
  <c r="F52" i="8"/>
  <c r="B52" i="8"/>
  <c r="A52" i="8" s="1"/>
  <c r="I52" i="8" s="1"/>
  <c r="F51" i="8"/>
  <c r="H51" i="8" s="1"/>
  <c r="I51" i="8" s="1"/>
  <c r="A51" i="8"/>
  <c r="F50" i="8"/>
  <c r="H50" i="8" s="1"/>
  <c r="I50" i="8" s="1"/>
  <c r="A50" i="8"/>
  <c r="F49" i="8"/>
  <c r="H49" i="8" s="1"/>
  <c r="B49" i="8"/>
  <c r="A49" i="8"/>
  <c r="I49" i="8" s="1"/>
  <c r="H48" i="8"/>
  <c r="F48" i="8"/>
  <c r="C48" i="8"/>
  <c r="A48" i="8" s="1"/>
  <c r="I48" i="8" s="1"/>
  <c r="F47" i="8"/>
  <c r="H47" i="8" s="1"/>
  <c r="I47" i="8" s="1"/>
  <c r="A47" i="8"/>
  <c r="F46" i="8"/>
  <c r="H46" i="8" s="1"/>
  <c r="I46" i="8" s="1"/>
  <c r="A46" i="8"/>
  <c r="F45" i="8"/>
  <c r="H45" i="8" s="1"/>
  <c r="C45" i="8"/>
  <c r="A45" i="8"/>
  <c r="H44" i="8"/>
  <c r="F44" i="8"/>
  <c r="F43" i="8"/>
  <c r="H43" i="8" s="1"/>
  <c r="I43" i="8" s="1"/>
  <c r="A43" i="8"/>
  <c r="H34" i="8"/>
  <c r="I34" i="8" s="1"/>
  <c r="S34" i="8" s="1"/>
  <c r="F34" i="8"/>
  <c r="H33" i="8"/>
  <c r="I33" i="8" s="1"/>
  <c r="S33" i="8" s="1"/>
  <c r="I32" i="8"/>
  <c r="S32" i="8" s="1"/>
  <c r="H32" i="8"/>
  <c r="H31" i="8"/>
  <c r="I31" i="8" s="1"/>
  <c r="S31" i="8" s="1"/>
  <c r="I30" i="8"/>
  <c r="S30" i="8" s="1"/>
  <c r="H30" i="8"/>
  <c r="H29" i="8"/>
  <c r="I29" i="8" s="1"/>
  <c r="O29" i="8" s="1"/>
  <c r="F29" i="8"/>
  <c r="M28" i="8"/>
  <c r="H28" i="8"/>
  <c r="I28" i="8" s="1"/>
  <c r="I27" i="8"/>
  <c r="O27" i="8" s="1"/>
  <c r="H27" i="8"/>
  <c r="H26" i="8"/>
  <c r="I26" i="8" s="1"/>
  <c r="R26" i="8" s="1"/>
  <c r="I25" i="8"/>
  <c r="R25" i="8" s="1"/>
  <c r="H25" i="8"/>
  <c r="H24" i="8"/>
  <c r="I24" i="8" s="1"/>
  <c r="R24" i="8" s="1"/>
  <c r="F24" i="8"/>
  <c r="H23" i="8"/>
  <c r="I23" i="8" s="1"/>
  <c r="O23" i="8" s="1"/>
  <c r="J22" i="8"/>
  <c r="H22" i="8"/>
  <c r="H21" i="8"/>
  <c r="A21" i="8"/>
  <c r="I21" i="8" s="1"/>
  <c r="O21" i="8" s="1"/>
  <c r="H20" i="8"/>
  <c r="I20" i="8" s="1"/>
  <c r="O20" i="8" s="1"/>
  <c r="F19" i="8"/>
  <c r="H19" i="8" s="1"/>
  <c r="I19" i="8" s="1"/>
  <c r="O19" i="8" s="1"/>
  <c r="F18" i="8"/>
  <c r="H18" i="8" s="1"/>
  <c r="I18" i="8" s="1"/>
  <c r="O18" i="8" s="1"/>
  <c r="H17" i="8"/>
  <c r="A17" i="8"/>
  <c r="I17" i="8" s="1"/>
  <c r="R17" i="8" s="1"/>
  <c r="I16" i="8"/>
  <c r="R16" i="8" s="1"/>
  <c r="H16" i="8"/>
  <c r="H15" i="8"/>
  <c r="I15" i="8" s="1"/>
  <c r="R15" i="8" s="1"/>
  <c r="I14" i="8"/>
  <c r="R14" i="8" s="1"/>
  <c r="H14" i="8"/>
  <c r="H13" i="8"/>
  <c r="I13" i="8" s="1"/>
  <c r="R13" i="8" s="1"/>
  <c r="I12" i="8"/>
  <c r="R12" i="8" s="1"/>
  <c r="H12" i="8"/>
  <c r="H11" i="8"/>
  <c r="I11" i="8" s="1"/>
  <c r="R11" i="8" s="1"/>
  <c r="R37" i="8" s="1"/>
  <c r="R39" i="8" s="1"/>
  <c r="U60" i="2" s="1"/>
  <c r="I10" i="8"/>
  <c r="N10" i="8" s="1"/>
  <c r="H10" i="8"/>
  <c r="H9" i="8"/>
  <c r="I9" i="8" s="1"/>
  <c r="N9" i="8" s="1"/>
  <c r="I8" i="8"/>
  <c r="N8" i="8" s="1"/>
  <c r="H8" i="8"/>
  <c r="H7" i="8"/>
  <c r="I7" i="8" s="1"/>
  <c r="N7" i="8" s="1"/>
  <c r="A6" i="8"/>
  <c r="C44" i="8" s="1"/>
  <c r="A44" i="8" s="1"/>
  <c r="I44" i="8" s="1"/>
  <c r="H5" i="8"/>
  <c r="I5" i="8" s="1"/>
  <c r="J4" i="8"/>
  <c r="H4" i="8"/>
  <c r="I4" i="8" s="1"/>
  <c r="L1" i="8"/>
  <c r="H184" i="7"/>
  <c r="I184" i="7" s="1"/>
  <c r="F184" i="7"/>
  <c r="F183" i="7"/>
  <c r="H183" i="7" s="1"/>
  <c r="I183" i="7" s="1"/>
  <c r="H182" i="7"/>
  <c r="I182" i="7" s="1"/>
  <c r="H177" i="7"/>
  <c r="A177" i="7"/>
  <c r="I177" i="7" s="1"/>
  <c r="H176" i="7"/>
  <c r="I176" i="7" s="1"/>
  <c r="A176" i="7"/>
  <c r="F175" i="7"/>
  <c r="H175" i="7" s="1"/>
  <c r="I175" i="7" s="1"/>
  <c r="H174" i="7"/>
  <c r="F174" i="7"/>
  <c r="A174" i="7"/>
  <c r="I174" i="7" s="1"/>
  <c r="H173" i="7"/>
  <c r="A173" i="7"/>
  <c r="I173" i="7" s="1"/>
  <c r="F172" i="7"/>
  <c r="H172" i="7" s="1"/>
  <c r="I172" i="7" s="1"/>
  <c r="H171" i="7"/>
  <c r="I171" i="7" s="1"/>
  <c r="H168" i="7"/>
  <c r="I168" i="7" s="1"/>
  <c r="F168" i="7"/>
  <c r="I167" i="7"/>
  <c r="H167" i="7"/>
  <c r="I166" i="7"/>
  <c r="H166" i="7"/>
  <c r="I165" i="7"/>
  <c r="H165" i="7"/>
  <c r="I164" i="7"/>
  <c r="H164" i="7"/>
  <c r="I163" i="7"/>
  <c r="H163" i="7"/>
  <c r="I162" i="7"/>
  <c r="H162" i="7"/>
  <c r="I161" i="7"/>
  <c r="H161" i="7"/>
  <c r="I160" i="7"/>
  <c r="I179" i="7" s="1"/>
  <c r="AJ59" i="2" s="1"/>
  <c r="H160" i="7"/>
  <c r="I156" i="7"/>
  <c r="H146" i="7"/>
  <c r="H145" i="7"/>
  <c r="F145" i="7"/>
  <c r="H144" i="7"/>
  <c r="H143" i="7"/>
  <c r="H142" i="7"/>
  <c r="H141" i="7"/>
  <c r="H140" i="7"/>
  <c r="H139" i="7"/>
  <c r="H138" i="7"/>
  <c r="H137" i="7"/>
  <c r="I130" i="7"/>
  <c r="H130" i="7"/>
  <c r="I128" i="7"/>
  <c r="H128" i="7"/>
  <c r="I125" i="7"/>
  <c r="H125" i="7"/>
  <c r="I124" i="7"/>
  <c r="H124" i="7"/>
  <c r="I123" i="7"/>
  <c r="H123" i="7"/>
  <c r="I121" i="7"/>
  <c r="H121" i="7"/>
  <c r="I120" i="7"/>
  <c r="H120" i="7"/>
  <c r="I119" i="7"/>
  <c r="H119" i="7"/>
  <c r="I118" i="7"/>
  <c r="H118" i="7"/>
  <c r="I117" i="7"/>
  <c r="H117" i="7"/>
  <c r="I116" i="7"/>
  <c r="H116" i="7"/>
  <c r="I115" i="7"/>
  <c r="H115" i="7"/>
  <c r="I114" i="7"/>
  <c r="H114" i="7"/>
  <c r="I113" i="7"/>
  <c r="H113" i="7"/>
  <c r="I112" i="7"/>
  <c r="H112" i="7"/>
  <c r="I111" i="7"/>
  <c r="H111" i="7"/>
  <c r="I105" i="7"/>
  <c r="H105" i="7"/>
  <c r="I102" i="7"/>
  <c r="H102" i="7"/>
  <c r="I101" i="7"/>
  <c r="H101" i="7"/>
  <c r="I100" i="7"/>
  <c r="H100" i="7"/>
  <c r="I98" i="7"/>
  <c r="H98" i="7"/>
  <c r="I97" i="7"/>
  <c r="H97" i="7"/>
  <c r="I96" i="7"/>
  <c r="H96" i="7"/>
  <c r="I95" i="7"/>
  <c r="H95" i="7"/>
  <c r="I94" i="7"/>
  <c r="H94" i="7"/>
  <c r="I93" i="7"/>
  <c r="H93" i="7"/>
  <c r="I92" i="7"/>
  <c r="H92" i="7"/>
  <c r="I91" i="7"/>
  <c r="H91" i="7"/>
  <c r="I90" i="7"/>
  <c r="H90" i="7"/>
  <c r="I89" i="7"/>
  <c r="H89" i="7"/>
  <c r="I88" i="7"/>
  <c r="H88" i="7"/>
  <c r="G84" i="7"/>
  <c r="H109" i="7" s="1"/>
  <c r="I109" i="7" s="1"/>
  <c r="I71" i="7"/>
  <c r="F70" i="7"/>
  <c r="H70" i="7" s="1"/>
  <c r="I69" i="7"/>
  <c r="H69" i="7"/>
  <c r="H65" i="7"/>
  <c r="F65" i="7"/>
  <c r="A65" i="7"/>
  <c r="I65" i="7" s="1"/>
  <c r="H64" i="7"/>
  <c r="F64" i="7"/>
  <c r="A64" i="7"/>
  <c r="I64" i="7" s="1"/>
  <c r="H63" i="7"/>
  <c r="F63" i="7"/>
  <c r="A63" i="7"/>
  <c r="I63" i="7" s="1"/>
  <c r="H62" i="7"/>
  <c r="F62" i="7"/>
  <c r="A62" i="7"/>
  <c r="I62" i="7" s="1"/>
  <c r="H61" i="7"/>
  <c r="F61" i="7"/>
  <c r="A61" i="7"/>
  <c r="I61" i="7" s="1"/>
  <c r="H60" i="7"/>
  <c r="F60" i="7"/>
  <c r="A60" i="7"/>
  <c r="I60" i="7" s="1"/>
  <c r="H59" i="7"/>
  <c r="F59" i="7"/>
  <c r="A59" i="7"/>
  <c r="I59" i="7" s="1"/>
  <c r="H58" i="7"/>
  <c r="F58" i="7"/>
  <c r="B58" i="7"/>
  <c r="A58" i="7" s="1"/>
  <c r="I58" i="7" s="1"/>
  <c r="F57" i="7"/>
  <c r="H57" i="7" s="1"/>
  <c r="C57" i="7"/>
  <c r="A57" i="7"/>
  <c r="H56" i="7"/>
  <c r="F56" i="7"/>
  <c r="A56" i="7"/>
  <c r="I56" i="7" s="1"/>
  <c r="H55" i="7"/>
  <c r="F55" i="7"/>
  <c r="A55" i="7"/>
  <c r="I55" i="7" s="1"/>
  <c r="H54" i="7"/>
  <c r="F54" i="7"/>
  <c r="B54" i="7"/>
  <c r="A54" i="7" s="1"/>
  <c r="I54" i="7" s="1"/>
  <c r="F53" i="7"/>
  <c r="H53" i="7" s="1"/>
  <c r="B53" i="7"/>
  <c r="A53" i="7"/>
  <c r="H52" i="7"/>
  <c r="F52" i="7"/>
  <c r="B52" i="7"/>
  <c r="A52" i="7" s="1"/>
  <c r="I52" i="7" s="1"/>
  <c r="F51" i="7"/>
  <c r="H51" i="7" s="1"/>
  <c r="I51" i="7" s="1"/>
  <c r="A51" i="7"/>
  <c r="F50" i="7"/>
  <c r="H50" i="7" s="1"/>
  <c r="I50" i="7" s="1"/>
  <c r="A50" i="7"/>
  <c r="F49" i="7"/>
  <c r="H49" i="7" s="1"/>
  <c r="B49" i="7"/>
  <c r="A49" i="7"/>
  <c r="I49" i="7" s="1"/>
  <c r="H48" i="7"/>
  <c r="F48" i="7"/>
  <c r="C48" i="7"/>
  <c r="A48" i="7" s="1"/>
  <c r="I48" i="7" s="1"/>
  <c r="F47" i="7"/>
  <c r="H47" i="7" s="1"/>
  <c r="I47" i="7" s="1"/>
  <c r="A47" i="7"/>
  <c r="F46" i="7"/>
  <c r="H46" i="7" s="1"/>
  <c r="I46" i="7" s="1"/>
  <c r="A46" i="7"/>
  <c r="F45" i="7"/>
  <c r="H45" i="7" s="1"/>
  <c r="H44" i="7"/>
  <c r="F44" i="7"/>
  <c r="F43" i="7"/>
  <c r="H43" i="7" s="1"/>
  <c r="I43" i="7" s="1"/>
  <c r="A43" i="7"/>
  <c r="H34" i="7"/>
  <c r="I34" i="7" s="1"/>
  <c r="S34" i="7" s="1"/>
  <c r="F34" i="7"/>
  <c r="H33" i="7"/>
  <c r="I33" i="7" s="1"/>
  <c r="S33" i="7" s="1"/>
  <c r="I32" i="7"/>
  <c r="S32" i="7" s="1"/>
  <c r="H32" i="7"/>
  <c r="H31" i="7"/>
  <c r="I31" i="7" s="1"/>
  <c r="S31" i="7" s="1"/>
  <c r="I30" i="7"/>
  <c r="S30" i="7" s="1"/>
  <c r="S37" i="7" s="1"/>
  <c r="S39" i="7" s="1"/>
  <c r="H30" i="7"/>
  <c r="H29" i="7"/>
  <c r="I29" i="7" s="1"/>
  <c r="O29" i="7" s="1"/>
  <c r="F29" i="7"/>
  <c r="M28" i="7"/>
  <c r="H28" i="7"/>
  <c r="I28" i="7" s="1"/>
  <c r="I27" i="7"/>
  <c r="O27" i="7" s="1"/>
  <c r="H27" i="7"/>
  <c r="H26" i="7"/>
  <c r="I26" i="7" s="1"/>
  <c r="R26" i="7" s="1"/>
  <c r="I25" i="7"/>
  <c r="R25" i="7" s="1"/>
  <c r="H25" i="7"/>
  <c r="H24" i="7"/>
  <c r="I24" i="7" s="1"/>
  <c r="R24" i="7" s="1"/>
  <c r="F24" i="7"/>
  <c r="H23" i="7"/>
  <c r="I23" i="7" s="1"/>
  <c r="O23" i="7" s="1"/>
  <c r="J22" i="7"/>
  <c r="H22" i="7"/>
  <c r="H21" i="7"/>
  <c r="A21" i="7"/>
  <c r="I21" i="7" s="1"/>
  <c r="O21" i="7" s="1"/>
  <c r="H20" i="7"/>
  <c r="I20" i="7" s="1"/>
  <c r="O20" i="7" s="1"/>
  <c r="F19" i="7"/>
  <c r="H19" i="7" s="1"/>
  <c r="I19" i="7" s="1"/>
  <c r="O19" i="7" s="1"/>
  <c r="F18" i="7"/>
  <c r="H18" i="7" s="1"/>
  <c r="I18" i="7" s="1"/>
  <c r="O18" i="7" s="1"/>
  <c r="H17" i="7"/>
  <c r="A17" i="7"/>
  <c r="I17" i="7" s="1"/>
  <c r="R17" i="7" s="1"/>
  <c r="I16" i="7"/>
  <c r="R16" i="7" s="1"/>
  <c r="H16" i="7"/>
  <c r="H15" i="7"/>
  <c r="I15" i="7" s="1"/>
  <c r="R15" i="7" s="1"/>
  <c r="I14" i="7"/>
  <c r="R14" i="7" s="1"/>
  <c r="H14" i="7"/>
  <c r="H13" i="7"/>
  <c r="I13" i="7" s="1"/>
  <c r="R13" i="7" s="1"/>
  <c r="I12" i="7"/>
  <c r="R12" i="7" s="1"/>
  <c r="H12" i="7"/>
  <c r="H11" i="7"/>
  <c r="I11" i="7" s="1"/>
  <c r="R11" i="7" s="1"/>
  <c r="I10" i="7"/>
  <c r="N10" i="7" s="1"/>
  <c r="H10" i="7"/>
  <c r="H9" i="7"/>
  <c r="I9" i="7" s="1"/>
  <c r="N9" i="7" s="1"/>
  <c r="I8" i="7"/>
  <c r="N8" i="7" s="1"/>
  <c r="H8" i="7"/>
  <c r="H7" i="7"/>
  <c r="I7" i="7" s="1"/>
  <c r="N7" i="7" s="1"/>
  <c r="A6" i="7"/>
  <c r="C44" i="7" s="1"/>
  <c r="H5" i="7"/>
  <c r="I5" i="7" s="1"/>
  <c r="F5" i="7"/>
  <c r="F4" i="7"/>
  <c r="H4" i="7" s="1"/>
  <c r="I4" i="7" s="1"/>
  <c r="L1" i="7"/>
  <c r="H184" i="6"/>
  <c r="I184" i="6" s="1"/>
  <c r="F184" i="6"/>
  <c r="F183" i="6"/>
  <c r="H183" i="6" s="1"/>
  <c r="I183" i="6" s="1"/>
  <c r="H182" i="6"/>
  <c r="I182" i="6" s="1"/>
  <c r="I177" i="6"/>
  <c r="H177" i="6"/>
  <c r="A177" i="6"/>
  <c r="H176" i="6"/>
  <c r="I176" i="6" s="1"/>
  <c r="A176" i="6"/>
  <c r="F175" i="6"/>
  <c r="H175" i="6" s="1"/>
  <c r="I175" i="6" s="1"/>
  <c r="H174" i="6"/>
  <c r="F174" i="6"/>
  <c r="A174" i="6"/>
  <c r="I174" i="6" s="1"/>
  <c r="H173" i="6"/>
  <c r="A173" i="6"/>
  <c r="I173" i="6" s="1"/>
  <c r="F172" i="6"/>
  <c r="H172" i="6" s="1"/>
  <c r="I172" i="6" s="1"/>
  <c r="H171" i="6"/>
  <c r="I171" i="6" s="1"/>
  <c r="H168" i="6"/>
  <c r="I168" i="6" s="1"/>
  <c r="F168" i="6"/>
  <c r="I167" i="6"/>
  <c r="H167" i="6"/>
  <c r="I166" i="6"/>
  <c r="H166" i="6"/>
  <c r="I165" i="6"/>
  <c r="H165" i="6"/>
  <c r="I164" i="6"/>
  <c r="H164" i="6"/>
  <c r="I163" i="6"/>
  <c r="H163" i="6"/>
  <c r="I162" i="6"/>
  <c r="H162" i="6"/>
  <c r="I161" i="6"/>
  <c r="H161" i="6"/>
  <c r="I160" i="6"/>
  <c r="I179" i="6" s="1"/>
  <c r="AJ58" i="2" s="1"/>
  <c r="H160" i="6"/>
  <c r="I156" i="6"/>
  <c r="H146" i="6"/>
  <c r="H145" i="6"/>
  <c r="F145" i="6"/>
  <c r="H144" i="6"/>
  <c r="H143" i="6"/>
  <c r="H142" i="6"/>
  <c r="H141" i="6"/>
  <c r="H140" i="6"/>
  <c r="H139" i="6"/>
  <c r="H138" i="6"/>
  <c r="H137" i="6"/>
  <c r="I130" i="6"/>
  <c r="H130" i="6"/>
  <c r="I128" i="6"/>
  <c r="H128" i="6"/>
  <c r="I125" i="6"/>
  <c r="H125" i="6"/>
  <c r="I124" i="6"/>
  <c r="H124" i="6"/>
  <c r="I123" i="6"/>
  <c r="H123" i="6"/>
  <c r="I121" i="6"/>
  <c r="H121" i="6"/>
  <c r="I120" i="6"/>
  <c r="H120" i="6"/>
  <c r="I119" i="6"/>
  <c r="H119" i="6"/>
  <c r="I118" i="6"/>
  <c r="H118" i="6"/>
  <c r="I117" i="6"/>
  <c r="H117" i="6"/>
  <c r="I116" i="6"/>
  <c r="H116" i="6"/>
  <c r="I115" i="6"/>
  <c r="H115" i="6"/>
  <c r="I114" i="6"/>
  <c r="H114" i="6"/>
  <c r="I113" i="6"/>
  <c r="H113" i="6"/>
  <c r="I112" i="6"/>
  <c r="H112" i="6"/>
  <c r="I111" i="6"/>
  <c r="H111" i="6"/>
  <c r="I105" i="6"/>
  <c r="H105" i="6"/>
  <c r="I102" i="6"/>
  <c r="H102" i="6"/>
  <c r="I101" i="6"/>
  <c r="H101" i="6"/>
  <c r="I100" i="6"/>
  <c r="H100" i="6"/>
  <c r="I98" i="6"/>
  <c r="H98" i="6"/>
  <c r="I97" i="6"/>
  <c r="H97" i="6"/>
  <c r="I96" i="6"/>
  <c r="H96" i="6"/>
  <c r="I95" i="6"/>
  <c r="H95" i="6"/>
  <c r="I94" i="6"/>
  <c r="H94" i="6"/>
  <c r="I93" i="6"/>
  <c r="H93" i="6"/>
  <c r="I92" i="6"/>
  <c r="H92" i="6"/>
  <c r="I91" i="6"/>
  <c r="H91" i="6"/>
  <c r="I90" i="6"/>
  <c r="H90" i="6"/>
  <c r="I89" i="6"/>
  <c r="H89" i="6"/>
  <c r="I88" i="6"/>
  <c r="H88" i="6"/>
  <c r="G84" i="6"/>
  <c r="H110" i="6" s="1"/>
  <c r="I110" i="6" s="1"/>
  <c r="I70" i="6"/>
  <c r="F69" i="6"/>
  <c r="H69" i="6" s="1"/>
  <c r="I68" i="6"/>
  <c r="H68" i="6"/>
  <c r="H64" i="6"/>
  <c r="F64" i="6"/>
  <c r="A64" i="6"/>
  <c r="I64" i="6" s="1"/>
  <c r="H63" i="6"/>
  <c r="F63" i="6"/>
  <c r="A63" i="6"/>
  <c r="I63" i="6" s="1"/>
  <c r="H62" i="6"/>
  <c r="F62" i="6"/>
  <c r="A62" i="6"/>
  <c r="I62" i="6" s="1"/>
  <c r="H61" i="6"/>
  <c r="F61" i="6"/>
  <c r="A61" i="6"/>
  <c r="I61" i="6" s="1"/>
  <c r="H60" i="6"/>
  <c r="F60" i="6"/>
  <c r="A60" i="6"/>
  <c r="I60" i="6" s="1"/>
  <c r="H59" i="6"/>
  <c r="F59" i="6"/>
  <c r="A59" i="6"/>
  <c r="I59" i="6" s="1"/>
  <c r="H58" i="6"/>
  <c r="F58" i="6"/>
  <c r="A58" i="6"/>
  <c r="I58" i="6" s="1"/>
  <c r="H57" i="6"/>
  <c r="F57" i="6"/>
  <c r="B57" i="6"/>
  <c r="A57" i="6" s="1"/>
  <c r="I57" i="6" s="1"/>
  <c r="F56" i="6"/>
  <c r="H56" i="6" s="1"/>
  <c r="I56" i="6" s="1"/>
  <c r="A56" i="6"/>
  <c r="F55" i="6"/>
  <c r="H55" i="6" s="1"/>
  <c r="I55" i="6" s="1"/>
  <c r="A55" i="6"/>
  <c r="F54" i="6"/>
  <c r="H54" i="6" s="1"/>
  <c r="B54" i="6"/>
  <c r="A54" i="6"/>
  <c r="H53" i="6"/>
  <c r="F53" i="6"/>
  <c r="B53" i="6"/>
  <c r="A53" i="6" s="1"/>
  <c r="I53" i="6" s="1"/>
  <c r="F52" i="6"/>
  <c r="H52" i="6" s="1"/>
  <c r="B52" i="6"/>
  <c r="A52" i="6"/>
  <c r="I52" i="6" s="1"/>
  <c r="H51" i="6"/>
  <c r="F51" i="6"/>
  <c r="A51" i="6"/>
  <c r="I51" i="6" s="1"/>
  <c r="H50" i="6"/>
  <c r="F50" i="6"/>
  <c r="A50" i="6"/>
  <c r="I50" i="6" s="1"/>
  <c r="H49" i="6"/>
  <c r="F49" i="6"/>
  <c r="B49" i="6"/>
  <c r="A49" i="6" s="1"/>
  <c r="I49" i="6" s="1"/>
  <c r="F48" i="6"/>
  <c r="H48" i="6" s="1"/>
  <c r="C48" i="6"/>
  <c r="A48" i="6"/>
  <c r="I48" i="6" s="1"/>
  <c r="H47" i="6"/>
  <c r="F47" i="6"/>
  <c r="A47" i="6"/>
  <c r="I47" i="6" s="1"/>
  <c r="H46" i="6"/>
  <c r="F46" i="6"/>
  <c r="A46" i="6"/>
  <c r="I46" i="6" s="1"/>
  <c r="H45" i="6"/>
  <c r="F45" i="6"/>
  <c r="F44" i="6"/>
  <c r="H44" i="6" s="1"/>
  <c r="H43" i="6"/>
  <c r="F43" i="6"/>
  <c r="A43" i="6"/>
  <c r="F34" i="6"/>
  <c r="H34" i="6" s="1"/>
  <c r="I34" i="6" s="1"/>
  <c r="S34" i="6" s="1"/>
  <c r="I33" i="6"/>
  <c r="S33" i="6" s="1"/>
  <c r="H33" i="6"/>
  <c r="H32" i="6"/>
  <c r="I32" i="6" s="1"/>
  <c r="S32" i="6" s="1"/>
  <c r="I31" i="6"/>
  <c r="S31" i="6" s="1"/>
  <c r="H31" i="6"/>
  <c r="H30" i="6"/>
  <c r="I30" i="6" s="1"/>
  <c r="S30" i="6" s="1"/>
  <c r="S37" i="6" s="1"/>
  <c r="S39" i="6" s="1"/>
  <c r="F29" i="6"/>
  <c r="H29" i="6" s="1"/>
  <c r="I29" i="6" s="1"/>
  <c r="O29" i="6" s="1"/>
  <c r="M28" i="6"/>
  <c r="I28" i="6"/>
  <c r="H28" i="6"/>
  <c r="H27" i="6"/>
  <c r="I27" i="6" s="1"/>
  <c r="O27" i="6" s="1"/>
  <c r="I26" i="6"/>
  <c r="R26" i="6" s="1"/>
  <c r="H26" i="6"/>
  <c r="H25" i="6"/>
  <c r="I25" i="6" s="1"/>
  <c r="R25" i="6" s="1"/>
  <c r="F24" i="6"/>
  <c r="H24" i="6" s="1"/>
  <c r="I24" i="6" s="1"/>
  <c r="R24" i="6" s="1"/>
  <c r="I23" i="6"/>
  <c r="O23" i="6" s="1"/>
  <c r="H23" i="6"/>
  <c r="J22" i="6"/>
  <c r="H22" i="6"/>
  <c r="I21" i="6"/>
  <c r="O21" i="6" s="1"/>
  <c r="H21" i="6"/>
  <c r="A21" i="6"/>
  <c r="A22" i="6" s="1"/>
  <c r="I22" i="6" s="1"/>
  <c r="O22" i="6" s="1"/>
  <c r="I20" i="6"/>
  <c r="O20" i="6" s="1"/>
  <c r="H20" i="6"/>
  <c r="H19" i="6"/>
  <c r="I19" i="6" s="1"/>
  <c r="O19" i="6" s="1"/>
  <c r="F19" i="6"/>
  <c r="H18" i="6"/>
  <c r="I18" i="6" s="1"/>
  <c r="O18" i="6" s="1"/>
  <c r="F18" i="6"/>
  <c r="H17" i="6"/>
  <c r="I17" i="6" s="1"/>
  <c r="R17" i="6" s="1"/>
  <c r="A17" i="6"/>
  <c r="H16" i="6"/>
  <c r="I16" i="6" s="1"/>
  <c r="R16" i="6" s="1"/>
  <c r="I15" i="6"/>
  <c r="R15" i="6" s="1"/>
  <c r="H15" i="6"/>
  <c r="H14" i="6"/>
  <c r="I14" i="6" s="1"/>
  <c r="R14" i="6" s="1"/>
  <c r="I13" i="6"/>
  <c r="R13" i="6" s="1"/>
  <c r="H13" i="6"/>
  <c r="H12" i="6"/>
  <c r="I12" i="6" s="1"/>
  <c r="R12" i="6" s="1"/>
  <c r="I11" i="6"/>
  <c r="R11" i="6" s="1"/>
  <c r="R37" i="6" s="1"/>
  <c r="R39" i="6" s="1"/>
  <c r="H11" i="6"/>
  <c r="H10" i="6"/>
  <c r="I10" i="6" s="1"/>
  <c r="N10" i="6" s="1"/>
  <c r="I9" i="6"/>
  <c r="N9" i="6" s="1"/>
  <c r="H9" i="6"/>
  <c r="H8" i="6"/>
  <c r="I8" i="6" s="1"/>
  <c r="N8" i="6" s="1"/>
  <c r="I7" i="6"/>
  <c r="N7" i="6" s="1"/>
  <c r="H7" i="6"/>
  <c r="H5" i="6"/>
  <c r="I5" i="6" s="1"/>
  <c r="M5" i="6" s="1"/>
  <c r="F5" i="6"/>
  <c r="F4" i="6"/>
  <c r="J4" i="6" s="1"/>
  <c r="A4" i="6"/>
  <c r="C45" i="6" s="1"/>
  <c r="A45" i="6" s="1"/>
  <c r="I45" i="6" s="1"/>
  <c r="L1" i="6"/>
  <c r="F194" i="5"/>
  <c r="H194" i="5" s="1"/>
  <c r="I194" i="5" s="1"/>
  <c r="H193" i="5"/>
  <c r="I193" i="5" s="1"/>
  <c r="F193" i="5"/>
  <c r="I192" i="5"/>
  <c r="I196" i="5" s="1"/>
  <c r="AM43" i="2" s="1"/>
  <c r="H192" i="5"/>
  <c r="H187" i="5"/>
  <c r="H186" i="5"/>
  <c r="H185" i="5"/>
  <c r="F185" i="5"/>
  <c r="A185" i="5"/>
  <c r="A186" i="5" s="1"/>
  <c r="H184" i="5"/>
  <c r="F184" i="5"/>
  <c r="H183" i="5"/>
  <c r="F182" i="5"/>
  <c r="H182" i="5" s="1"/>
  <c r="I182" i="5" s="1"/>
  <c r="A182" i="5"/>
  <c r="A183" i="5" s="1"/>
  <c r="I181" i="5"/>
  <c r="H181" i="5"/>
  <c r="A181" i="5"/>
  <c r="H178" i="5"/>
  <c r="I178" i="5" s="1"/>
  <c r="F178" i="5"/>
  <c r="I177" i="5"/>
  <c r="H177" i="5"/>
  <c r="I176" i="5"/>
  <c r="H176" i="5"/>
  <c r="I175" i="5"/>
  <c r="H175" i="5"/>
  <c r="I174" i="5"/>
  <c r="H174" i="5"/>
  <c r="I173" i="5"/>
  <c r="H173" i="5"/>
  <c r="I172" i="5"/>
  <c r="H172" i="5"/>
  <c r="H171" i="5"/>
  <c r="I171" i="5" s="1"/>
  <c r="I167" i="5"/>
  <c r="H157" i="5"/>
  <c r="F156" i="5"/>
  <c r="H156" i="5" s="1"/>
  <c r="H155" i="5"/>
  <c r="H154" i="5"/>
  <c r="H153" i="5"/>
  <c r="H152" i="5"/>
  <c r="H151" i="5"/>
  <c r="H150" i="5"/>
  <c r="H149" i="5"/>
  <c r="H148" i="5"/>
  <c r="H141" i="5"/>
  <c r="I141" i="5" s="1"/>
  <c r="I139" i="5"/>
  <c r="H139" i="5"/>
  <c r="H136" i="5"/>
  <c r="I136" i="5" s="1"/>
  <c r="I135" i="5"/>
  <c r="H135" i="5"/>
  <c r="H134" i="5"/>
  <c r="I134" i="5" s="1"/>
  <c r="I132" i="5"/>
  <c r="H132" i="5"/>
  <c r="H131" i="5"/>
  <c r="I131" i="5" s="1"/>
  <c r="I130" i="5"/>
  <c r="H130" i="5"/>
  <c r="H129" i="5"/>
  <c r="I129" i="5" s="1"/>
  <c r="I128" i="5"/>
  <c r="H128" i="5"/>
  <c r="H127" i="5"/>
  <c r="I127" i="5" s="1"/>
  <c r="I126" i="5"/>
  <c r="H126" i="5"/>
  <c r="H125" i="5"/>
  <c r="I125" i="5" s="1"/>
  <c r="I124" i="5"/>
  <c r="H124" i="5"/>
  <c r="H123" i="5"/>
  <c r="I123" i="5" s="1"/>
  <c r="I122" i="5"/>
  <c r="H122" i="5"/>
  <c r="H116" i="5"/>
  <c r="I116" i="5" s="1"/>
  <c r="I113" i="5"/>
  <c r="H113" i="5"/>
  <c r="H112" i="5"/>
  <c r="I112" i="5" s="1"/>
  <c r="I111" i="5"/>
  <c r="H111" i="5"/>
  <c r="H109" i="5"/>
  <c r="I109" i="5" s="1"/>
  <c r="I108" i="5"/>
  <c r="H108" i="5"/>
  <c r="H107" i="5"/>
  <c r="I107" i="5" s="1"/>
  <c r="I106" i="5"/>
  <c r="H106" i="5"/>
  <c r="H105" i="5"/>
  <c r="I105" i="5" s="1"/>
  <c r="I104" i="5"/>
  <c r="H104" i="5"/>
  <c r="H103" i="5"/>
  <c r="I103" i="5" s="1"/>
  <c r="I102" i="5"/>
  <c r="H102" i="5"/>
  <c r="H101" i="5"/>
  <c r="I101" i="5" s="1"/>
  <c r="I100" i="5"/>
  <c r="H100" i="5"/>
  <c r="H99" i="5"/>
  <c r="I99" i="5" s="1"/>
  <c r="I98" i="5"/>
  <c r="H98" i="5"/>
  <c r="G95" i="5"/>
  <c r="H121" i="5" s="1"/>
  <c r="I121" i="5" s="1"/>
  <c r="I80" i="5"/>
  <c r="F79" i="5"/>
  <c r="H79" i="5" s="1"/>
  <c r="H78" i="5"/>
  <c r="I78" i="5" s="1"/>
  <c r="F74" i="5"/>
  <c r="H74" i="5" s="1"/>
  <c r="A74" i="5"/>
  <c r="F73" i="5"/>
  <c r="H73" i="5" s="1"/>
  <c r="A73" i="5"/>
  <c r="I73" i="5" s="1"/>
  <c r="F72" i="5"/>
  <c r="H72" i="5" s="1"/>
  <c r="A72" i="5"/>
  <c r="F71" i="5"/>
  <c r="H71" i="5" s="1"/>
  <c r="A71" i="5"/>
  <c r="I71" i="5" s="1"/>
  <c r="F70" i="5"/>
  <c r="H70" i="5" s="1"/>
  <c r="A70" i="5"/>
  <c r="F69" i="5"/>
  <c r="H69" i="5" s="1"/>
  <c r="A69" i="5"/>
  <c r="I69" i="5" s="1"/>
  <c r="F68" i="5"/>
  <c r="H68" i="5" s="1"/>
  <c r="A68" i="5"/>
  <c r="F67" i="5"/>
  <c r="H67" i="5" s="1"/>
  <c r="B67" i="5"/>
  <c r="A67" i="5" s="1"/>
  <c r="I67" i="5" s="1"/>
  <c r="F66" i="5"/>
  <c r="H66" i="5" s="1"/>
  <c r="A66" i="5"/>
  <c r="A65" i="5"/>
  <c r="H64" i="5"/>
  <c r="F64" i="5"/>
  <c r="B64" i="5"/>
  <c r="A64" i="5"/>
  <c r="I64" i="5" s="1"/>
  <c r="H63" i="5"/>
  <c r="F63" i="5"/>
  <c r="B63" i="5"/>
  <c r="A63" i="5"/>
  <c r="I63" i="5" s="1"/>
  <c r="F62" i="5"/>
  <c r="H62" i="5" s="1"/>
  <c r="B62" i="5"/>
  <c r="A62" i="5" s="1"/>
  <c r="A61" i="5"/>
  <c r="A60" i="5"/>
  <c r="B59" i="5"/>
  <c r="A59" i="5" s="1"/>
  <c r="A57" i="5"/>
  <c r="A56" i="5"/>
  <c r="F55" i="5"/>
  <c r="H55" i="5" s="1"/>
  <c r="H54" i="5"/>
  <c r="F54" i="5"/>
  <c r="F53" i="5"/>
  <c r="H53" i="5" s="1"/>
  <c r="I53" i="5" s="1"/>
  <c r="A53" i="5"/>
  <c r="H41" i="5"/>
  <c r="I41" i="5" s="1"/>
  <c r="S41" i="5" s="1"/>
  <c r="F41" i="5"/>
  <c r="H40" i="5"/>
  <c r="I40" i="5" s="1"/>
  <c r="S40" i="5" s="1"/>
  <c r="H39" i="5"/>
  <c r="I39" i="5" s="1"/>
  <c r="S39" i="5" s="1"/>
  <c r="H38" i="5"/>
  <c r="I38" i="5" s="1"/>
  <c r="S38" i="5" s="1"/>
  <c r="I37" i="5"/>
  <c r="S37" i="5" s="1"/>
  <c r="H37" i="5"/>
  <c r="F36" i="5"/>
  <c r="H36" i="5" s="1"/>
  <c r="I36" i="5" s="1"/>
  <c r="F35" i="5"/>
  <c r="H35" i="5" s="1"/>
  <c r="A35" i="5"/>
  <c r="M34" i="5"/>
  <c r="H34" i="5"/>
  <c r="I34" i="5" s="1"/>
  <c r="H33" i="5"/>
  <c r="I33" i="5" s="1"/>
  <c r="O33" i="5" s="1"/>
  <c r="H32" i="5"/>
  <c r="I32" i="5" s="1"/>
  <c r="O32" i="5" s="1"/>
  <c r="I30" i="5"/>
  <c r="R30" i="5" s="1"/>
  <c r="H30" i="5"/>
  <c r="H29" i="5"/>
  <c r="I29" i="5" s="1"/>
  <c r="R29" i="5" s="1"/>
  <c r="H28" i="5"/>
  <c r="I28" i="5" s="1"/>
  <c r="R28" i="5" s="1"/>
  <c r="H27" i="5"/>
  <c r="I27" i="5" s="1"/>
  <c r="R27" i="5" s="1"/>
  <c r="I26" i="5"/>
  <c r="R26" i="5" s="1"/>
  <c r="H26" i="5"/>
  <c r="H25" i="5"/>
  <c r="I25" i="5" s="1"/>
  <c r="R25" i="5" s="1"/>
  <c r="H24" i="5"/>
  <c r="I24" i="5" s="1"/>
  <c r="O24" i="5" s="1"/>
  <c r="H23" i="5"/>
  <c r="A23" i="5"/>
  <c r="I23" i="5" s="1"/>
  <c r="O23" i="5" s="1"/>
  <c r="H22" i="5"/>
  <c r="I22" i="5" s="1"/>
  <c r="O22" i="5" s="1"/>
  <c r="I21" i="5"/>
  <c r="O21" i="5" s="1"/>
  <c r="H21" i="5"/>
  <c r="H20" i="5"/>
  <c r="I20" i="5" s="1"/>
  <c r="O20" i="5" s="1"/>
  <c r="F20" i="5"/>
  <c r="A20" i="5"/>
  <c r="I19" i="5"/>
  <c r="O19" i="5" s="1"/>
  <c r="H19" i="5"/>
  <c r="F19" i="5"/>
  <c r="A19" i="5"/>
  <c r="C58" i="5" s="1"/>
  <c r="A58" i="5" s="1"/>
  <c r="H18" i="5"/>
  <c r="A18" i="5"/>
  <c r="I18" i="5" s="1"/>
  <c r="R18" i="5" s="1"/>
  <c r="H17" i="5"/>
  <c r="I17" i="5" s="1"/>
  <c r="R17" i="5" s="1"/>
  <c r="I16" i="5"/>
  <c r="R16" i="5" s="1"/>
  <c r="H16" i="5"/>
  <c r="H15" i="5"/>
  <c r="I15" i="5" s="1"/>
  <c r="R15" i="5" s="1"/>
  <c r="H14" i="5"/>
  <c r="I14" i="5" s="1"/>
  <c r="R14" i="5" s="1"/>
  <c r="H13" i="5"/>
  <c r="I13" i="5" s="1"/>
  <c r="R13" i="5" s="1"/>
  <c r="I12" i="5"/>
  <c r="R12" i="5" s="1"/>
  <c r="H12" i="5"/>
  <c r="H11" i="5"/>
  <c r="I11" i="5" s="1"/>
  <c r="R11" i="5" s="1"/>
  <c r="H10" i="5"/>
  <c r="I10" i="5" s="1"/>
  <c r="N10" i="5" s="1"/>
  <c r="H9" i="5"/>
  <c r="I9" i="5" s="1"/>
  <c r="N9" i="5" s="1"/>
  <c r="I8" i="5"/>
  <c r="N8" i="5" s="1"/>
  <c r="H8" i="5"/>
  <c r="N7" i="5"/>
  <c r="A6" i="5"/>
  <c r="C54" i="5" s="1"/>
  <c r="A54" i="5" s="1"/>
  <c r="F5" i="5"/>
  <c r="H5" i="5" s="1"/>
  <c r="I5" i="5" s="1"/>
  <c r="M5" i="5" s="1"/>
  <c r="J4" i="5"/>
  <c r="H4" i="5"/>
  <c r="I4" i="5" s="1"/>
  <c r="L1" i="5"/>
  <c r="H188" i="4"/>
  <c r="I188" i="4" s="1"/>
  <c r="F188" i="4"/>
  <c r="F187" i="4"/>
  <c r="H187" i="4" s="1"/>
  <c r="I187" i="4" s="1"/>
  <c r="H186" i="4"/>
  <c r="I186" i="4" s="1"/>
  <c r="H181" i="4"/>
  <c r="H180" i="4"/>
  <c r="F179" i="4"/>
  <c r="H179" i="4" s="1"/>
  <c r="A179" i="4"/>
  <c r="F178" i="4"/>
  <c r="H178" i="4" s="1"/>
  <c r="H177" i="4"/>
  <c r="F176" i="4"/>
  <c r="H176" i="4" s="1"/>
  <c r="A176" i="4"/>
  <c r="A177" i="4" s="1"/>
  <c r="H175" i="4"/>
  <c r="A175" i="4"/>
  <c r="I175" i="4" s="1"/>
  <c r="I172" i="4"/>
  <c r="H172" i="4"/>
  <c r="F172" i="4"/>
  <c r="H171" i="4"/>
  <c r="I171" i="4" s="1"/>
  <c r="I170" i="4"/>
  <c r="H170" i="4"/>
  <c r="H169" i="4"/>
  <c r="I169" i="4" s="1"/>
  <c r="I168" i="4"/>
  <c r="H168" i="4"/>
  <c r="H167" i="4"/>
  <c r="I167" i="4" s="1"/>
  <c r="I166" i="4"/>
  <c r="H166" i="4"/>
  <c r="H165" i="4"/>
  <c r="I165" i="4" s="1"/>
  <c r="I161" i="4"/>
  <c r="H151" i="4"/>
  <c r="F150" i="4"/>
  <c r="H150" i="4" s="1"/>
  <c r="H149" i="4"/>
  <c r="H148" i="4"/>
  <c r="H147" i="4"/>
  <c r="H146" i="4"/>
  <c r="H145" i="4"/>
  <c r="H144" i="4"/>
  <c r="H143" i="4"/>
  <c r="H142" i="4"/>
  <c r="H135" i="4"/>
  <c r="I135" i="4" s="1"/>
  <c r="H133" i="4"/>
  <c r="I133" i="4" s="1"/>
  <c r="H130" i="4"/>
  <c r="I130" i="4" s="1"/>
  <c r="H129" i="4"/>
  <c r="I129" i="4" s="1"/>
  <c r="H128" i="4"/>
  <c r="I128" i="4" s="1"/>
  <c r="H126" i="4"/>
  <c r="I126" i="4" s="1"/>
  <c r="H125" i="4"/>
  <c r="I125" i="4" s="1"/>
  <c r="H124" i="4"/>
  <c r="I124" i="4" s="1"/>
  <c r="H123" i="4"/>
  <c r="I123" i="4" s="1"/>
  <c r="H122" i="4"/>
  <c r="I122" i="4" s="1"/>
  <c r="H121" i="4"/>
  <c r="I121" i="4" s="1"/>
  <c r="H120" i="4"/>
  <c r="I120" i="4" s="1"/>
  <c r="H119" i="4"/>
  <c r="I119" i="4" s="1"/>
  <c r="H118" i="4"/>
  <c r="I118" i="4" s="1"/>
  <c r="H117" i="4"/>
  <c r="I117" i="4" s="1"/>
  <c r="H116" i="4"/>
  <c r="I116" i="4" s="1"/>
  <c r="H110" i="4"/>
  <c r="I110" i="4" s="1"/>
  <c r="H107" i="4"/>
  <c r="I107" i="4" s="1"/>
  <c r="H106" i="4"/>
  <c r="I106" i="4" s="1"/>
  <c r="H105" i="4"/>
  <c r="I105" i="4" s="1"/>
  <c r="H103" i="4"/>
  <c r="I103" i="4" s="1"/>
  <c r="H102" i="4"/>
  <c r="I102" i="4" s="1"/>
  <c r="H101" i="4"/>
  <c r="I101" i="4" s="1"/>
  <c r="H100" i="4"/>
  <c r="I100" i="4" s="1"/>
  <c r="H99" i="4"/>
  <c r="I99" i="4" s="1"/>
  <c r="H98" i="4"/>
  <c r="I98" i="4" s="1"/>
  <c r="H97" i="4"/>
  <c r="I97" i="4" s="1"/>
  <c r="H96" i="4"/>
  <c r="I96" i="4" s="1"/>
  <c r="H95" i="4"/>
  <c r="I95" i="4" s="1"/>
  <c r="H94" i="4"/>
  <c r="I94" i="4" s="1"/>
  <c r="H93" i="4"/>
  <c r="I93" i="4" s="1"/>
  <c r="G89" i="4"/>
  <c r="H114" i="4" s="1"/>
  <c r="I114" i="4" s="1"/>
  <c r="I74" i="4"/>
  <c r="H73" i="4"/>
  <c r="F73" i="4"/>
  <c r="H72" i="4"/>
  <c r="I72" i="4" s="1"/>
  <c r="F68" i="4"/>
  <c r="H68" i="4" s="1"/>
  <c r="A68" i="4"/>
  <c r="F67" i="4"/>
  <c r="H67" i="4" s="1"/>
  <c r="I67" i="4" s="1"/>
  <c r="F66" i="4"/>
  <c r="H66" i="4" s="1"/>
  <c r="A66" i="4"/>
  <c r="I66" i="4" s="1"/>
  <c r="F65" i="4"/>
  <c r="H65" i="4" s="1"/>
  <c r="H64" i="4"/>
  <c r="F64" i="4"/>
  <c r="A64" i="4"/>
  <c r="I64" i="4" s="1"/>
  <c r="H63" i="4"/>
  <c r="F63" i="4"/>
  <c r="A63" i="4"/>
  <c r="I63" i="4" s="1"/>
  <c r="H62" i="4"/>
  <c r="F62" i="4"/>
  <c r="A62" i="4"/>
  <c r="I62" i="4" s="1"/>
  <c r="H61" i="4"/>
  <c r="F61" i="4"/>
  <c r="B61" i="4"/>
  <c r="A61" i="4" s="1"/>
  <c r="I61" i="4" s="1"/>
  <c r="F60" i="4"/>
  <c r="H60" i="4" s="1"/>
  <c r="A60" i="4"/>
  <c r="F59" i="4"/>
  <c r="H59" i="4" s="1"/>
  <c r="A59" i="4"/>
  <c r="F58" i="4"/>
  <c r="H58" i="4" s="1"/>
  <c r="B58" i="4"/>
  <c r="A58" i="4" s="1"/>
  <c r="I58" i="4" s="1"/>
  <c r="H57" i="4"/>
  <c r="F57" i="4"/>
  <c r="B57" i="4"/>
  <c r="A57" i="4" s="1"/>
  <c r="I57" i="4" s="1"/>
  <c r="H56" i="4"/>
  <c r="F56" i="4"/>
  <c r="B56" i="4"/>
  <c r="A56" i="4"/>
  <c r="I56" i="4" s="1"/>
  <c r="I55" i="4"/>
  <c r="H55" i="4"/>
  <c r="F55" i="4"/>
  <c r="I54" i="4"/>
  <c r="H54" i="4"/>
  <c r="F54" i="4"/>
  <c r="A54" i="4"/>
  <c r="H53" i="4"/>
  <c r="F53" i="4"/>
  <c r="C53" i="4"/>
  <c r="B53" i="4"/>
  <c r="A53" i="4" s="1"/>
  <c r="I53" i="4" s="1"/>
  <c r="F52" i="4"/>
  <c r="H52" i="4" s="1"/>
  <c r="H51" i="4"/>
  <c r="F51" i="4"/>
  <c r="A51" i="4"/>
  <c r="I51" i="4" s="1"/>
  <c r="H50" i="4"/>
  <c r="F50" i="4"/>
  <c r="A50" i="4"/>
  <c r="I50" i="4" s="1"/>
  <c r="H49" i="4"/>
  <c r="F49" i="4"/>
  <c r="H48" i="4"/>
  <c r="F48" i="4"/>
  <c r="H47" i="4"/>
  <c r="F47" i="4"/>
  <c r="A47" i="4"/>
  <c r="A65" i="4" s="1"/>
  <c r="I38" i="4"/>
  <c r="S38" i="4" s="1"/>
  <c r="H38" i="4"/>
  <c r="F38" i="4"/>
  <c r="I37" i="4"/>
  <c r="S37" i="4" s="1"/>
  <c r="H37" i="4"/>
  <c r="H36" i="4"/>
  <c r="I36" i="4" s="1"/>
  <c r="S36" i="4" s="1"/>
  <c r="H35" i="4"/>
  <c r="I35" i="4" s="1"/>
  <c r="S35" i="4" s="1"/>
  <c r="S34" i="4"/>
  <c r="I34" i="4"/>
  <c r="H34" i="4"/>
  <c r="I33" i="4"/>
  <c r="O33" i="4" s="1"/>
  <c r="H33" i="4"/>
  <c r="F33" i="4"/>
  <c r="M32" i="4"/>
  <c r="I32" i="4"/>
  <c r="H32" i="4"/>
  <c r="H31" i="4"/>
  <c r="I31" i="4" s="1"/>
  <c r="O31" i="4" s="1"/>
  <c r="H30" i="4"/>
  <c r="I30" i="4" s="1"/>
  <c r="O30" i="4" s="1"/>
  <c r="R29" i="4"/>
  <c r="I29" i="4"/>
  <c r="H29" i="4"/>
  <c r="I28" i="4"/>
  <c r="R28" i="4" s="1"/>
  <c r="H28" i="4"/>
  <c r="H27" i="4"/>
  <c r="I27" i="4" s="1"/>
  <c r="R27" i="4" s="1"/>
  <c r="F27" i="4"/>
  <c r="H26" i="4"/>
  <c r="I26" i="4" s="1"/>
  <c r="O26" i="4" s="1"/>
  <c r="H25" i="4"/>
  <c r="I25" i="4" s="1"/>
  <c r="O25" i="4" s="1"/>
  <c r="O24" i="4"/>
  <c r="I24" i="4"/>
  <c r="H24" i="4"/>
  <c r="A24" i="4"/>
  <c r="O23" i="4"/>
  <c r="I23" i="4"/>
  <c r="H23" i="4"/>
  <c r="I21" i="4"/>
  <c r="O21" i="4" s="1"/>
  <c r="H21" i="4"/>
  <c r="A21" i="4"/>
  <c r="I20" i="4"/>
  <c r="O20" i="4" s="1"/>
  <c r="H20" i="4"/>
  <c r="A20" i="4"/>
  <c r="I19" i="4"/>
  <c r="O19" i="4" s="1"/>
  <c r="O41" i="4" s="1"/>
  <c r="O43" i="4" s="1"/>
  <c r="H19" i="4"/>
  <c r="A19" i="4"/>
  <c r="C52" i="4" s="1"/>
  <c r="A52" i="4" s="1"/>
  <c r="I52" i="4" s="1"/>
  <c r="I18" i="4"/>
  <c r="R18" i="4" s="1"/>
  <c r="H18" i="4"/>
  <c r="A18" i="4"/>
  <c r="I17" i="4"/>
  <c r="R17" i="4" s="1"/>
  <c r="H17" i="4"/>
  <c r="H16" i="4"/>
  <c r="I16" i="4" s="1"/>
  <c r="R16" i="4" s="1"/>
  <c r="H15" i="4"/>
  <c r="I15" i="4" s="1"/>
  <c r="R15" i="4" s="1"/>
  <c r="R14" i="4"/>
  <c r="I14" i="4"/>
  <c r="H14" i="4"/>
  <c r="I13" i="4"/>
  <c r="R13" i="4" s="1"/>
  <c r="H13" i="4"/>
  <c r="I12" i="4"/>
  <c r="R12" i="4" s="1"/>
  <c r="H12" i="4"/>
  <c r="H11" i="4"/>
  <c r="I11" i="4" s="1"/>
  <c r="N11" i="4" s="1"/>
  <c r="H10" i="4"/>
  <c r="I10" i="4" s="1"/>
  <c r="N10" i="4" s="1"/>
  <c r="N9" i="4"/>
  <c r="I9" i="4"/>
  <c r="H9" i="4"/>
  <c r="I8" i="4"/>
  <c r="N8" i="4" s="1"/>
  <c r="H8" i="4"/>
  <c r="H7" i="4"/>
  <c r="I7" i="4" s="1"/>
  <c r="N7" i="4" s="1"/>
  <c r="N41" i="4" s="1"/>
  <c r="N43" i="4" s="1"/>
  <c r="Q40" i="2" s="1"/>
  <c r="H6" i="4"/>
  <c r="I6" i="4" s="1"/>
  <c r="M6" i="4" s="1"/>
  <c r="F6" i="4"/>
  <c r="J6" i="4" s="1"/>
  <c r="A6" i="4"/>
  <c r="C49" i="4" s="1"/>
  <c r="A49" i="4" s="1"/>
  <c r="I49" i="4" s="1"/>
  <c r="I5" i="4"/>
  <c r="M5" i="4" s="1"/>
  <c r="H5" i="4"/>
  <c r="A5" i="4"/>
  <c r="J4" i="4"/>
  <c r="I4" i="4"/>
  <c r="I41" i="4" s="1"/>
  <c r="I43" i="4" s="1"/>
  <c r="H4" i="4"/>
  <c r="L1" i="4"/>
  <c r="C62" i="3"/>
  <c r="D58" i="3"/>
  <c r="C55" i="3"/>
  <c r="D55" i="3" s="1"/>
  <c r="E55" i="3" s="1"/>
  <c r="F55" i="3" s="1"/>
  <c r="G55" i="3" s="1"/>
  <c r="H55" i="3" s="1"/>
  <c r="I55" i="3" s="1"/>
  <c r="J55" i="3" s="1"/>
  <c r="K55" i="3" s="1"/>
  <c r="L55" i="3" s="1"/>
  <c r="M55" i="3" s="1"/>
  <c r="N55" i="3" s="1"/>
  <c r="O55" i="3" s="1"/>
  <c r="P55" i="3" s="1"/>
  <c r="Q55" i="3" s="1"/>
  <c r="R55" i="3" s="1"/>
  <c r="S55" i="3" s="1"/>
  <c r="T55" i="3" s="1"/>
  <c r="U55" i="3" s="1"/>
  <c r="V55" i="3" s="1"/>
  <c r="W55" i="3" s="1"/>
  <c r="X55" i="3" s="1"/>
  <c r="F54" i="3"/>
  <c r="G54" i="3" s="1"/>
  <c r="H54" i="3" s="1"/>
  <c r="I54" i="3" s="1"/>
  <c r="J54" i="3" s="1"/>
  <c r="K54" i="3" s="1"/>
  <c r="L54" i="3" s="1"/>
  <c r="M54" i="3" s="1"/>
  <c r="N54" i="3" s="1"/>
  <c r="O54" i="3" s="1"/>
  <c r="P54" i="3" s="1"/>
  <c r="Q54" i="3" s="1"/>
  <c r="R54" i="3" s="1"/>
  <c r="S54" i="3" s="1"/>
  <c r="T54" i="3" s="1"/>
  <c r="U54" i="3" s="1"/>
  <c r="V54" i="3" s="1"/>
  <c r="W54" i="3" s="1"/>
  <c r="X54" i="3" s="1"/>
  <c r="S49" i="3"/>
  <c r="G47" i="3"/>
  <c r="B47" i="3"/>
  <c r="AS12" i="38" s="1"/>
  <c r="AG38" i="3"/>
  <c r="I38" i="3"/>
  <c r="D38" i="3"/>
  <c r="AG37" i="3"/>
  <c r="AG36" i="3"/>
  <c r="I36" i="3"/>
  <c r="AG35" i="3"/>
  <c r="AG34" i="3"/>
  <c r="E34" i="3"/>
  <c r="E35" i="3"/>
  <c r="AG33" i="3"/>
  <c r="AG32" i="3"/>
  <c r="AG31" i="3"/>
  <c r="O27" i="3"/>
  <c r="H25" i="3"/>
  <c r="M24" i="3"/>
  <c r="M23" i="3"/>
  <c r="AD12" i="3"/>
  <c r="AD13" i="3" s="1"/>
  <c r="AD14" i="3" s="1"/>
  <c r="AD15" i="3" s="1"/>
  <c r="AD16" i="3" s="1"/>
  <c r="AD17" i="3" s="1"/>
  <c r="AD18" i="3" s="1"/>
  <c r="AD19" i="3" s="1"/>
  <c r="AD20" i="3" s="1"/>
  <c r="AD21" i="3" s="1"/>
  <c r="AD22" i="3" s="1"/>
  <c r="AD23" i="3" s="1"/>
  <c r="AD24" i="3" s="1"/>
  <c r="AD25" i="3" s="1"/>
  <c r="AD26" i="3" s="1"/>
  <c r="AD27" i="3" s="1"/>
  <c r="AD28" i="3" s="1"/>
  <c r="AD29" i="3" s="1"/>
  <c r="F9" i="3"/>
  <c r="AE5" i="3"/>
  <c r="AE6" i="3" s="1"/>
  <c r="AE7" i="3" s="1"/>
  <c r="AE8" i="3" s="1"/>
  <c r="AE9" i="3" s="1"/>
  <c r="AE11" i="3" s="1"/>
  <c r="AE12" i="3" s="1"/>
  <c r="AE13" i="3" s="1"/>
  <c r="AE14" i="3" s="1"/>
  <c r="AE15" i="3" s="1"/>
  <c r="AE16" i="3" s="1"/>
  <c r="AE17" i="3" s="1"/>
  <c r="AE18" i="3" s="1"/>
  <c r="AE19" i="3" s="1"/>
  <c r="AE20" i="3" s="1"/>
  <c r="AE21" i="3" s="1"/>
  <c r="AE22" i="3" s="1"/>
  <c r="AE23" i="3" s="1"/>
  <c r="AE24" i="3" s="1"/>
  <c r="AE25" i="3" s="1"/>
  <c r="AB5" i="3"/>
  <c r="AB6" i="3" s="1"/>
  <c r="AB7" i="3" s="1"/>
  <c r="AB8" i="3" s="1"/>
  <c r="AB9"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AB45" i="3" s="1"/>
  <c r="AB46" i="3" s="1"/>
  <c r="AB47" i="3" s="1"/>
  <c r="AB48" i="3" s="1"/>
  <c r="AB49" i="3" s="1"/>
  <c r="AB50" i="3" s="1"/>
  <c r="AB51" i="3" s="1"/>
  <c r="AB52" i="3" s="1"/>
  <c r="AB53" i="3" s="1"/>
  <c r="AB54"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AB90" i="3" s="1"/>
  <c r="AB91" i="3" s="1"/>
  <c r="AB92" i="3" s="1"/>
  <c r="AB93" i="3" s="1"/>
  <c r="AB94" i="3" s="1"/>
  <c r="AB95" i="3" s="1"/>
  <c r="AB96" i="3" s="1"/>
  <c r="AB97" i="3" s="1"/>
  <c r="AB98" i="3" s="1"/>
  <c r="AB99" i="3" s="1"/>
  <c r="AB100" i="3" s="1"/>
  <c r="AB101" i="3" s="1"/>
  <c r="AB102" i="3" s="1"/>
  <c r="AB103" i="3" s="1"/>
  <c r="AB104" i="3" s="1"/>
  <c r="AB105" i="3" s="1"/>
  <c r="AB106" i="3" s="1"/>
  <c r="AB107" i="3" s="1"/>
  <c r="AB108" i="3" s="1"/>
  <c r="AB109" i="3" s="1"/>
  <c r="AB110" i="3" s="1"/>
  <c r="AB111" i="3" s="1"/>
  <c r="AB112" i="3" s="1"/>
  <c r="AB113" i="3" s="1"/>
  <c r="AB114" i="3" s="1"/>
  <c r="AB115" i="3" s="1"/>
  <c r="AB116" i="3" s="1"/>
  <c r="AB117" i="3" s="1"/>
  <c r="AB118" i="3" s="1"/>
  <c r="AB119" i="3" s="1"/>
  <c r="AB120" i="3" s="1"/>
  <c r="AB121" i="3" s="1"/>
  <c r="AB122" i="3" s="1"/>
  <c r="AB123" i="3" s="1"/>
  <c r="AB124" i="3" s="1"/>
  <c r="AB125" i="3" s="1"/>
  <c r="AB126" i="3" s="1"/>
  <c r="AB127" i="3" s="1"/>
  <c r="AB128" i="3" s="1"/>
  <c r="AB129" i="3" s="1"/>
  <c r="AB130" i="3" s="1"/>
  <c r="AB131" i="3" s="1"/>
  <c r="AB132" i="3" s="1"/>
  <c r="AB133" i="3" s="1"/>
  <c r="AB134" i="3" s="1"/>
  <c r="AB135" i="3" s="1"/>
  <c r="AB136" i="3" s="1"/>
  <c r="AB137" i="3" s="1"/>
  <c r="AB138" i="3" s="1"/>
  <c r="AB139" i="3" s="1"/>
  <c r="AB140" i="3" s="1"/>
  <c r="AB141" i="3" s="1"/>
  <c r="AB142" i="3" s="1"/>
  <c r="AB143" i="3" s="1"/>
  <c r="AB144" i="3" s="1"/>
  <c r="AB145" i="3" s="1"/>
  <c r="AB146" i="3" s="1"/>
  <c r="AB147" i="3" s="1"/>
  <c r="AB148" i="3" s="1"/>
  <c r="AB149" i="3" s="1"/>
  <c r="AB150" i="3" s="1"/>
  <c r="AB151" i="3" s="1"/>
  <c r="AB152" i="3" s="1"/>
  <c r="AB153" i="3" s="1"/>
  <c r="AB154" i="3" s="1"/>
  <c r="AB155" i="3" s="1"/>
  <c r="AB156" i="3" s="1"/>
  <c r="AB157" i="3" s="1"/>
  <c r="AB158" i="3" s="1"/>
  <c r="AB159" i="3" s="1"/>
  <c r="AB160" i="3" s="1"/>
  <c r="AB161" i="3" s="1"/>
  <c r="AB162" i="3" s="1"/>
  <c r="AB163" i="3" s="1"/>
  <c r="AB164" i="3" s="1"/>
  <c r="AB165" i="3" s="1"/>
  <c r="AB166" i="3" s="1"/>
  <c r="AB167" i="3" s="1"/>
  <c r="AB168" i="3" s="1"/>
  <c r="AB169" i="3" s="1"/>
  <c r="AB170" i="3" s="1"/>
  <c r="AB171" i="3" s="1"/>
  <c r="AB172" i="3" s="1"/>
  <c r="AB173" i="3" s="1"/>
  <c r="AB174" i="3" s="1"/>
  <c r="AB175" i="3" s="1"/>
  <c r="AB176" i="3" s="1"/>
  <c r="AB177" i="3" s="1"/>
  <c r="AB178" i="3" s="1"/>
  <c r="AB179" i="3" s="1"/>
  <c r="AB180" i="3" s="1"/>
  <c r="AB181" i="3" s="1"/>
  <c r="AB182" i="3" s="1"/>
  <c r="AB183" i="3" s="1"/>
  <c r="AB184" i="3" s="1"/>
  <c r="AB185" i="3" s="1"/>
  <c r="AB186" i="3" s="1"/>
  <c r="AB187" i="3" s="1"/>
  <c r="AB188" i="3" s="1"/>
  <c r="AB189" i="3" s="1"/>
  <c r="AB190" i="3" s="1"/>
  <c r="AB191" i="3" s="1"/>
  <c r="AB192" i="3" s="1"/>
  <c r="AB193" i="3" s="1"/>
  <c r="AB194" i="3" s="1"/>
  <c r="AB195" i="3" s="1"/>
  <c r="AB196" i="3" s="1"/>
  <c r="AB197" i="3" s="1"/>
  <c r="AB198" i="3" s="1"/>
  <c r="AB199" i="3" s="1"/>
  <c r="AB200" i="3" s="1"/>
  <c r="AB201" i="3" s="1"/>
  <c r="AB202" i="3" s="1"/>
  <c r="AB203" i="3" s="1"/>
  <c r="AB204" i="3" s="1"/>
  <c r="AB205" i="3" s="1"/>
  <c r="AB206" i="3" s="1"/>
  <c r="AB207" i="3" s="1"/>
  <c r="AB208" i="3" s="1"/>
  <c r="AB209" i="3" s="1"/>
  <c r="AB210" i="3" s="1"/>
  <c r="AB211" i="3" s="1"/>
  <c r="AB212" i="3" s="1"/>
  <c r="AB213" i="3" s="1"/>
  <c r="AB214" i="3" s="1"/>
  <c r="AB215" i="3" s="1"/>
  <c r="AB216" i="3" s="1"/>
  <c r="AB217" i="3" s="1"/>
  <c r="AB218" i="3" s="1"/>
  <c r="AB219" i="3" s="1"/>
  <c r="AB220" i="3" s="1"/>
  <c r="AB221" i="3" s="1"/>
  <c r="AB222" i="3" s="1"/>
  <c r="AB223" i="3" s="1"/>
  <c r="AB224" i="3" s="1"/>
  <c r="AB225" i="3" s="1"/>
  <c r="AB226" i="3" s="1"/>
  <c r="AB227" i="3" s="1"/>
  <c r="AB228" i="3" s="1"/>
  <c r="AB229" i="3" s="1"/>
  <c r="AB230" i="3" s="1"/>
  <c r="AB231" i="3" s="1"/>
  <c r="AB232" i="3" s="1"/>
  <c r="AB233" i="3" s="1"/>
  <c r="AB234" i="3" s="1"/>
  <c r="AB235" i="3" s="1"/>
  <c r="AB236" i="3" s="1"/>
  <c r="AB237" i="3" s="1"/>
  <c r="AB238" i="3" s="1"/>
  <c r="AB239" i="3" s="1"/>
  <c r="AB240" i="3" s="1"/>
  <c r="AB241" i="3" s="1"/>
  <c r="AB242" i="3" s="1"/>
  <c r="AB243" i="3" s="1"/>
  <c r="AB244" i="3" s="1"/>
  <c r="AB245" i="3" s="1"/>
  <c r="AB246" i="3" s="1"/>
  <c r="AB247" i="3" s="1"/>
  <c r="AB248" i="3" s="1"/>
  <c r="AB249" i="3" s="1"/>
  <c r="AB250" i="3" s="1"/>
  <c r="AB251" i="3" s="1"/>
  <c r="AB252" i="3" s="1"/>
  <c r="AB253" i="3" s="1"/>
  <c r="AB254" i="3" s="1"/>
  <c r="AB255" i="3" s="1"/>
  <c r="AB256" i="3" s="1"/>
  <c r="AB257" i="3" s="1"/>
  <c r="AB258" i="3" s="1"/>
  <c r="AB259" i="3" s="1"/>
  <c r="AB260" i="3" s="1"/>
  <c r="AB261" i="3" s="1"/>
  <c r="AB262" i="3" s="1"/>
  <c r="AB263" i="3" s="1"/>
  <c r="AB264" i="3" s="1"/>
  <c r="AB265" i="3" s="1"/>
  <c r="AB266" i="3" s="1"/>
  <c r="AB267" i="3" s="1"/>
  <c r="AB268" i="3" s="1"/>
  <c r="AB269" i="3" s="1"/>
  <c r="AB270" i="3" s="1"/>
  <c r="AB271" i="3" s="1"/>
  <c r="AB272" i="3" s="1"/>
  <c r="AB273" i="3" s="1"/>
  <c r="AB274" i="3" s="1"/>
  <c r="AB275" i="3" s="1"/>
  <c r="AB276" i="3" s="1"/>
  <c r="AB277" i="3" s="1"/>
  <c r="AB278" i="3" s="1"/>
  <c r="AB279" i="3" s="1"/>
  <c r="AB280" i="3" s="1"/>
  <c r="AB281" i="3" s="1"/>
  <c r="AB282" i="3" s="1"/>
  <c r="AB283" i="3" s="1"/>
  <c r="AB284" i="3" s="1"/>
  <c r="AB285" i="3" s="1"/>
  <c r="AB286" i="3" s="1"/>
  <c r="AB287" i="3" s="1"/>
  <c r="AB288" i="3" s="1"/>
  <c r="AB289" i="3" s="1"/>
  <c r="AB290" i="3" s="1"/>
  <c r="AB291" i="3" s="1"/>
  <c r="AB292" i="3" s="1"/>
  <c r="AB293" i="3" s="1"/>
  <c r="AB294" i="3" s="1"/>
  <c r="AB295" i="3" s="1"/>
  <c r="AB296" i="3" s="1"/>
  <c r="AB297" i="3" s="1"/>
  <c r="AB298" i="3" s="1"/>
  <c r="AB299" i="3" s="1"/>
  <c r="AB300" i="3" s="1"/>
  <c r="AB301" i="3" s="1"/>
  <c r="AV92" i="2"/>
  <c r="AL92" i="2"/>
  <c r="AI92" i="2"/>
  <c r="L90" i="2"/>
  <c r="B90" i="2"/>
  <c r="Y90" i="2" s="1"/>
  <c r="BT88" i="2"/>
  <c r="BN88" i="2"/>
  <c r="BM88" i="2"/>
  <c r="BL88" i="2"/>
  <c r="BH88" i="2"/>
  <c r="BG88" i="2"/>
  <c r="BC88" i="2"/>
  <c r="AZ88" i="2"/>
  <c r="AY88" i="2"/>
  <c r="AR88" i="2"/>
  <c r="AP88" i="2"/>
  <c r="AN88" i="2"/>
  <c r="AS88" i="2" s="1"/>
  <c r="AG88" i="2"/>
  <c r="W88" i="2"/>
  <c r="N88" i="2"/>
  <c r="J88" i="2"/>
  <c r="C88" i="2"/>
  <c r="A88" i="2"/>
  <c r="BT87" i="2"/>
  <c r="BN87" i="2"/>
  <c r="BM87" i="2"/>
  <c r="BL87" i="2"/>
  <c r="BH87" i="2"/>
  <c r="BG87" i="2"/>
  <c r="BC87" i="2"/>
  <c r="AZ87" i="2"/>
  <c r="AY87" i="2"/>
  <c r="AR87" i="2"/>
  <c r="AP87" i="2"/>
  <c r="AN87" i="2"/>
  <c r="AG87" i="2"/>
  <c r="W87" i="2"/>
  <c r="N87" i="2"/>
  <c r="J87" i="2"/>
  <c r="C87" i="2"/>
  <c r="A87" i="2"/>
  <c r="BT86" i="2"/>
  <c r="BN86" i="2"/>
  <c r="BM86" i="2"/>
  <c r="BL86" i="2"/>
  <c r="BH86" i="2"/>
  <c r="BG86" i="2"/>
  <c r="BC86" i="2"/>
  <c r="AZ86" i="2"/>
  <c r="AY86" i="2"/>
  <c r="AR86" i="2"/>
  <c r="AP86" i="2"/>
  <c r="AN86" i="2"/>
  <c r="AG86" i="2"/>
  <c r="W86" i="2"/>
  <c r="N86" i="2"/>
  <c r="J86" i="2"/>
  <c r="C86" i="2"/>
  <c r="A86" i="2"/>
  <c r="BY85" i="2"/>
  <c r="BX85" i="2"/>
  <c r="AB88" i="2" s="1"/>
  <c r="BT85" i="2"/>
  <c r="BN85" i="2"/>
  <c r="BM85" i="2"/>
  <c r="BL85" i="2"/>
  <c r="BH85" i="2"/>
  <c r="BG85" i="2"/>
  <c r="BC85" i="2"/>
  <c r="AZ85" i="2"/>
  <c r="AY85" i="2"/>
  <c r="AR85" i="2"/>
  <c r="AP85" i="2"/>
  <c r="AN85" i="2"/>
  <c r="AG85" i="2"/>
  <c r="W85" i="2"/>
  <c r="N85" i="2"/>
  <c r="J85" i="2"/>
  <c r="C85" i="2"/>
  <c r="A85" i="2"/>
  <c r="BY84" i="2"/>
  <c r="BX84" i="2"/>
  <c r="AB87" i="2" s="1"/>
  <c r="BT84" i="2"/>
  <c r="BN84" i="2"/>
  <c r="BM84" i="2"/>
  <c r="BL84" i="2"/>
  <c r="BH84" i="2"/>
  <c r="BG84" i="2"/>
  <c r="BC84" i="2"/>
  <c r="AZ84" i="2"/>
  <c r="AY84" i="2"/>
  <c r="AR84" i="2"/>
  <c r="AP84" i="2"/>
  <c r="AN84" i="2"/>
  <c r="AG84" i="2"/>
  <c r="W84" i="2"/>
  <c r="N84" i="2"/>
  <c r="J84" i="2"/>
  <c r="C84" i="2"/>
  <c r="A84" i="2"/>
  <c r="BY83" i="2"/>
  <c r="BX83" i="2"/>
  <c r="AB86" i="2" s="1"/>
  <c r="BT83" i="2"/>
  <c r="BN83" i="2"/>
  <c r="BM83" i="2"/>
  <c r="BL83" i="2"/>
  <c r="BH83" i="2"/>
  <c r="BG83" i="2"/>
  <c r="BC83" i="2"/>
  <c r="AZ83" i="2"/>
  <c r="AY83" i="2"/>
  <c r="AR83" i="2"/>
  <c r="AP83" i="2"/>
  <c r="AN83" i="2"/>
  <c r="AG83" i="2"/>
  <c r="W83" i="2"/>
  <c r="N83" i="2"/>
  <c r="J83" i="2"/>
  <c r="C83" i="2"/>
  <c r="A83" i="2"/>
  <c r="BY82" i="2"/>
  <c r="BX82" i="2"/>
  <c r="AB85" i="2" s="1"/>
  <c r="BT82" i="2"/>
  <c r="BN82" i="2"/>
  <c r="BM82" i="2"/>
  <c r="BL82" i="2"/>
  <c r="BH82" i="2"/>
  <c r="BG82" i="2"/>
  <c r="BC82" i="2"/>
  <c r="AZ82" i="2"/>
  <c r="AY82" i="2"/>
  <c r="AR82" i="2"/>
  <c r="AP82" i="2"/>
  <c r="AN82" i="2"/>
  <c r="AG82" i="2"/>
  <c r="W82" i="2"/>
  <c r="N82" i="2"/>
  <c r="J82" i="2"/>
  <c r="C82" i="2"/>
  <c r="A82" i="2"/>
  <c r="BY81" i="2"/>
  <c r="BX81" i="2"/>
  <c r="AB84" i="2" s="1"/>
  <c r="AC84" i="2" s="1"/>
  <c r="BT81" i="2"/>
  <c r="BN81" i="2"/>
  <c r="BM81" i="2"/>
  <c r="BL81" i="2"/>
  <c r="BH81" i="2"/>
  <c r="BG81" i="2"/>
  <c r="BC81" i="2"/>
  <c r="AZ81" i="2"/>
  <c r="AY81" i="2"/>
  <c r="AR81" i="2"/>
  <c r="AP81" i="2"/>
  <c r="AN81" i="2"/>
  <c r="AG81" i="2"/>
  <c r="W81" i="2"/>
  <c r="N81" i="2"/>
  <c r="J81" i="2"/>
  <c r="C81" i="2"/>
  <c r="A81" i="2"/>
  <c r="BY80" i="2"/>
  <c r="BX80" i="2"/>
  <c r="AB83" i="2" s="1"/>
  <c r="BT80" i="2"/>
  <c r="BN80" i="2"/>
  <c r="BM80" i="2"/>
  <c r="BL80" i="2"/>
  <c r="BH80" i="2"/>
  <c r="BG80" i="2"/>
  <c r="BC80" i="2"/>
  <c r="AZ80" i="2"/>
  <c r="AY80" i="2"/>
  <c r="AR80" i="2"/>
  <c r="AP80" i="2"/>
  <c r="AN80" i="2"/>
  <c r="AG80" i="2"/>
  <c r="W80" i="2"/>
  <c r="N80" i="2"/>
  <c r="J80" i="2"/>
  <c r="C80" i="2"/>
  <c r="A80" i="2"/>
  <c r="BY79" i="2"/>
  <c r="BX79" i="2"/>
  <c r="AB82" i="2" s="1"/>
  <c r="BT79" i="2"/>
  <c r="BN79" i="2"/>
  <c r="BM79" i="2"/>
  <c r="BL79" i="2"/>
  <c r="BH79" i="2"/>
  <c r="BG79" i="2"/>
  <c r="BC79" i="2"/>
  <c r="AZ79" i="2"/>
  <c r="AY79" i="2"/>
  <c r="AR79" i="2"/>
  <c r="AP79" i="2"/>
  <c r="AN79" i="2"/>
  <c r="AS79" i="2" s="1"/>
  <c r="AG79" i="2"/>
  <c r="W79" i="2"/>
  <c r="N79" i="2"/>
  <c r="J79" i="2"/>
  <c r="C79" i="2"/>
  <c r="A79" i="2"/>
  <c r="BY78" i="2"/>
  <c r="BX78" i="2"/>
  <c r="AB81" i="2" s="1"/>
  <c r="AC81" i="2" s="1"/>
  <c r="BF81" i="2" s="1"/>
  <c r="BT78" i="2"/>
  <c r="BN78" i="2"/>
  <c r="BM78" i="2"/>
  <c r="BL78" i="2"/>
  <c r="BH78" i="2"/>
  <c r="BG78" i="2"/>
  <c r="BC78" i="2"/>
  <c r="AZ78" i="2"/>
  <c r="AY78" i="2"/>
  <c r="AR78" i="2"/>
  <c r="AP78" i="2"/>
  <c r="AN78" i="2"/>
  <c r="AS78" i="2" s="1"/>
  <c r="AG78" i="2"/>
  <c r="W78" i="2"/>
  <c r="N78" i="2"/>
  <c r="J78" i="2"/>
  <c r="C78" i="2"/>
  <c r="A78" i="2"/>
  <c r="BY77" i="2"/>
  <c r="BX77" i="2"/>
  <c r="AB80" i="2" s="1"/>
  <c r="AC80" i="2" s="1"/>
  <c r="BT77" i="2"/>
  <c r="BN77" i="2"/>
  <c r="BM77" i="2"/>
  <c r="BL77" i="2"/>
  <c r="BH77" i="2"/>
  <c r="BG77" i="2"/>
  <c r="BC77" i="2"/>
  <c r="AZ77" i="2"/>
  <c r="AY77" i="2"/>
  <c r="AR77" i="2"/>
  <c r="AP77" i="2"/>
  <c r="AN77" i="2"/>
  <c r="AG77" i="2"/>
  <c r="W77" i="2"/>
  <c r="N77" i="2"/>
  <c r="J77" i="2"/>
  <c r="C77" i="2"/>
  <c r="A77" i="2"/>
  <c r="BY76" i="2"/>
  <c r="BX76" i="2"/>
  <c r="AB79" i="2" s="1"/>
  <c r="BT76" i="2"/>
  <c r="BN76" i="2"/>
  <c r="BM76" i="2"/>
  <c r="BL76" i="2"/>
  <c r="BH76" i="2"/>
  <c r="BG76" i="2"/>
  <c r="BC76" i="2"/>
  <c r="AZ76" i="2"/>
  <c r="AY76" i="2"/>
  <c r="AR76" i="2"/>
  <c r="AP76" i="2"/>
  <c r="AN76" i="2"/>
  <c r="AG76" i="2"/>
  <c r="W76" i="2"/>
  <c r="N76" i="2"/>
  <c r="J76" i="2"/>
  <c r="C76" i="2"/>
  <c r="A76" i="2"/>
  <c r="BY75" i="2"/>
  <c r="BX75" i="2"/>
  <c r="AB78" i="2" s="1"/>
  <c r="BT75" i="2"/>
  <c r="BN75" i="2"/>
  <c r="BM75" i="2"/>
  <c r="BL75" i="2"/>
  <c r="BH75" i="2"/>
  <c r="BG75" i="2"/>
  <c r="BC75" i="2"/>
  <c r="AZ75" i="2"/>
  <c r="AY75" i="2"/>
  <c r="AR75" i="2"/>
  <c r="AP75" i="2"/>
  <c r="AS75" i="2" s="1"/>
  <c r="AN75" i="2"/>
  <c r="AG75" i="2"/>
  <c r="W75" i="2"/>
  <c r="N75" i="2"/>
  <c r="J75" i="2"/>
  <c r="C75" i="2"/>
  <c r="A75" i="2"/>
  <c r="BY74" i="2"/>
  <c r="BX74" i="2"/>
  <c r="AB77" i="2" s="1"/>
  <c r="BT74" i="2"/>
  <c r="BN74" i="2"/>
  <c r="BM74" i="2"/>
  <c r="BL74" i="2"/>
  <c r="BH74" i="2"/>
  <c r="BG74" i="2"/>
  <c r="BC74" i="2"/>
  <c r="AZ74" i="2"/>
  <c r="AY74" i="2"/>
  <c r="AR74" i="2"/>
  <c r="AP74" i="2"/>
  <c r="AN74" i="2"/>
  <c r="AG74" i="2"/>
  <c r="W74" i="2"/>
  <c r="N74" i="2"/>
  <c r="J74" i="2"/>
  <c r="C74" i="2"/>
  <c r="A74" i="2"/>
  <c r="BY73" i="2"/>
  <c r="BX73" i="2"/>
  <c r="AB76" i="2" s="1"/>
  <c r="AC76" i="2" s="1"/>
  <c r="BT73" i="2"/>
  <c r="BN73" i="2"/>
  <c r="BM73" i="2"/>
  <c r="BL73" i="2"/>
  <c r="BH73" i="2"/>
  <c r="BG73" i="2"/>
  <c r="BC73" i="2"/>
  <c r="AZ73" i="2"/>
  <c r="AY73" i="2"/>
  <c r="AR73" i="2"/>
  <c r="AP73" i="2"/>
  <c r="AN73" i="2"/>
  <c r="AG73" i="2"/>
  <c r="W73" i="2"/>
  <c r="AC73" i="2" s="1"/>
  <c r="BF73" i="2" s="1"/>
  <c r="N73" i="2"/>
  <c r="J73" i="2"/>
  <c r="C73" i="2"/>
  <c r="A73" i="2"/>
  <c r="BY72" i="2"/>
  <c r="BX72" i="2"/>
  <c r="AB75" i="2" s="1"/>
  <c r="BT72" i="2"/>
  <c r="BN72" i="2"/>
  <c r="BM72" i="2"/>
  <c r="BL72" i="2"/>
  <c r="BH72" i="2"/>
  <c r="BG72" i="2"/>
  <c r="BC72" i="2"/>
  <c r="AZ72" i="2"/>
  <c r="AY72" i="2"/>
  <c r="AR72" i="2"/>
  <c r="AP72" i="2"/>
  <c r="AS72" i="2" s="1"/>
  <c r="AN72" i="2"/>
  <c r="AG72" i="2"/>
  <c r="W72" i="2"/>
  <c r="N72" i="2"/>
  <c r="J72" i="2"/>
  <c r="C72" i="2"/>
  <c r="A72" i="2"/>
  <c r="BY71" i="2"/>
  <c r="BX71" i="2"/>
  <c r="AB74" i="2" s="1"/>
  <c r="BT71" i="2"/>
  <c r="BN71" i="2"/>
  <c r="BM71" i="2"/>
  <c r="BL71" i="2"/>
  <c r="BH71" i="2"/>
  <c r="BG71" i="2"/>
  <c r="BC71" i="2"/>
  <c r="AZ71" i="2"/>
  <c r="AY71" i="2"/>
  <c r="AR71" i="2"/>
  <c r="AP71" i="2"/>
  <c r="AN71" i="2"/>
  <c r="AG71" i="2"/>
  <c r="W71" i="2"/>
  <c r="N71" i="2"/>
  <c r="J71" i="2"/>
  <c r="C71" i="2"/>
  <c r="A71" i="2"/>
  <c r="BY70" i="2"/>
  <c r="BX70" i="2"/>
  <c r="AB73" i="2" s="1"/>
  <c r="BT70" i="2"/>
  <c r="BN70" i="2"/>
  <c r="BM70" i="2"/>
  <c r="BL70" i="2"/>
  <c r="BH70" i="2"/>
  <c r="BG70" i="2"/>
  <c r="BC70" i="2"/>
  <c r="AZ70" i="2"/>
  <c r="AY70" i="2"/>
  <c r="AR70" i="2"/>
  <c r="AP70" i="2"/>
  <c r="AN70" i="2"/>
  <c r="AG70" i="2"/>
  <c r="W70" i="2"/>
  <c r="N70" i="2"/>
  <c r="J70" i="2"/>
  <c r="C70" i="2"/>
  <c r="A70" i="2"/>
  <c r="BY69" i="2"/>
  <c r="BX69" i="2"/>
  <c r="AB72" i="2" s="1"/>
  <c r="BT69" i="2"/>
  <c r="BN69" i="2"/>
  <c r="BM69" i="2"/>
  <c r="BL69" i="2"/>
  <c r="BH69" i="2"/>
  <c r="BG69" i="2"/>
  <c r="BC69" i="2"/>
  <c r="AZ69" i="2"/>
  <c r="AY69" i="2"/>
  <c r="AR69" i="2"/>
  <c r="AP69" i="2"/>
  <c r="AN69" i="2"/>
  <c r="AG69" i="2"/>
  <c r="W69" i="2"/>
  <c r="AC69" i="2" s="1"/>
  <c r="BF69" i="2" s="1"/>
  <c r="N69" i="2"/>
  <c r="J69" i="2"/>
  <c r="C69" i="2"/>
  <c r="A69" i="2"/>
  <c r="BY68" i="2"/>
  <c r="BX68" i="2"/>
  <c r="AB71" i="2" s="1"/>
  <c r="BT68" i="2"/>
  <c r="BN68" i="2"/>
  <c r="BM68" i="2"/>
  <c r="BL68" i="2"/>
  <c r="BH68" i="2"/>
  <c r="BG68" i="2"/>
  <c r="BC68" i="2"/>
  <c r="AZ68" i="2"/>
  <c r="AY68" i="2"/>
  <c r="AR68" i="2"/>
  <c r="AP68" i="2"/>
  <c r="AN68" i="2"/>
  <c r="AG68" i="2"/>
  <c r="W68" i="2"/>
  <c r="N68" i="2"/>
  <c r="J68" i="2"/>
  <c r="C68" i="2"/>
  <c r="A68" i="2"/>
  <c r="BY67" i="2"/>
  <c r="BX67" i="2"/>
  <c r="AB70" i="2" s="1"/>
  <c r="BT67" i="2"/>
  <c r="BN67" i="2"/>
  <c r="BM67" i="2"/>
  <c r="BL67" i="2"/>
  <c r="BH67" i="2"/>
  <c r="BG67" i="2"/>
  <c r="BC67" i="2"/>
  <c r="AZ67" i="2"/>
  <c r="AY67" i="2"/>
  <c r="AR67" i="2"/>
  <c r="AP67" i="2"/>
  <c r="AS67" i="2" s="1"/>
  <c r="AN67" i="2"/>
  <c r="AG67" i="2"/>
  <c r="W67" i="2"/>
  <c r="N67" i="2"/>
  <c r="J67" i="2"/>
  <c r="C67" i="2"/>
  <c r="A67" i="2"/>
  <c r="BY66" i="2"/>
  <c r="BX66" i="2"/>
  <c r="AB69" i="2" s="1"/>
  <c r="BT66" i="2"/>
  <c r="BN66" i="2"/>
  <c r="BM66" i="2"/>
  <c r="BL66" i="2"/>
  <c r="BH66" i="2"/>
  <c r="BG66" i="2"/>
  <c r="BC66" i="2"/>
  <c r="AZ66" i="2"/>
  <c r="AY66" i="2"/>
  <c r="AR66" i="2"/>
  <c r="AP66" i="2"/>
  <c r="AN66" i="2"/>
  <c r="AG66" i="2"/>
  <c r="W66" i="2"/>
  <c r="N66" i="2"/>
  <c r="J66" i="2"/>
  <c r="C66" i="2"/>
  <c r="A66" i="2"/>
  <c r="BY65" i="2"/>
  <c r="BX65" i="2"/>
  <c r="AB68" i="2" s="1"/>
  <c r="BT65" i="2"/>
  <c r="BN65" i="2"/>
  <c r="BM65" i="2"/>
  <c r="BL65" i="2"/>
  <c r="AW65" i="2"/>
  <c r="AN65" i="2"/>
  <c r="AM65" i="2"/>
  <c r="AG65" i="2"/>
  <c r="U65" i="2"/>
  <c r="K65" i="2"/>
  <c r="C65" i="2"/>
  <c r="A65" i="2"/>
  <c r="BY64" i="2"/>
  <c r="BX64" i="2"/>
  <c r="AB67" i="2" s="1"/>
  <c r="BT64" i="2"/>
  <c r="BN64" i="2"/>
  <c r="BM64" i="2"/>
  <c r="BL64" i="2"/>
  <c r="AW64" i="2"/>
  <c r="AN64" i="2"/>
  <c r="AM64" i="2"/>
  <c r="AG64" i="2"/>
  <c r="U64" i="2"/>
  <c r="K64" i="2"/>
  <c r="C64" i="2"/>
  <c r="A64" i="2"/>
  <c r="BY63" i="2"/>
  <c r="BX63" i="2"/>
  <c r="AB66" i="2" s="1"/>
  <c r="BT63" i="2"/>
  <c r="BN63" i="2"/>
  <c r="BM63" i="2"/>
  <c r="BL63" i="2"/>
  <c r="BC63" i="2"/>
  <c r="AZ63" i="2"/>
  <c r="AY63" i="2"/>
  <c r="AW63" i="2"/>
  <c r="AR63" i="2"/>
  <c r="AP63" i="2"/>
  <c r="AN63" i="2"/>
  <c r="AM63" i="2"/>
  <c r="AG63" i="2"/>
  <c r="V63" i="2"/>
  <c r="S63" i="2"/>
  <c r="Q63" i="2"/>
  <c r="N63" i="2"/>
  <c r="K63" i="2"/>
  <c r="J63" i="2"/>
  <c r="C63" i="2"/>
  <c r="A63" i="2"/>
  <c r="AZ62" i="2"/>
  <c r="F92" i="12" s="1"/>
  <c r="AW62" i="2"/>
  <c r="AR62" i="2"/>
  <c r="AP62" i="2"/>
  <c r="AN62" i="2"/>
  <c r="AM62" i="2"/>
  <c r="AJ62" i="2"/>
  <c r="AG62" i="2"/>
  <c r="V62" i="2"/>
  <c r="T62" i="2"/>
  <c r="K62" i="2"/>
  <c r="C62" i="2"/>
  <c r="A62" i="2"/>
  <c r="BY61" i="2"/>
  <c r="BX61" i="2"/>
  <c r="AB65" i="2" s="1"/>
  <c r="BT61" i="2"/>
  <c r="BM61" i="2"/>
  <c r="BL61" i="2"/>
  <c r="BC61" i="2"/>
  <c r="AZ61" i="2"/>
  <c r="AY61" i="2"/>
  <c r="AW61" i="2"/>
  <c r="AR61" i="2"/>
  <c r="AP61" i="2"/>
  <c r="AN61" i="2"/>
  <c r="AG61" i="2"/>
  <c r="Q61" i="2"/>
  <c r="N61" i="2"/>
  <c r="J61" i="2"/>
  <c r="BN61" i="2" s="1"/>
  <c r="C61" i="2"/>
  <c r="A61" i="2"/>
  <c r="AW60" i="2"/>
  <c r="AR60" i="2"/>
  <c r="AN60" i="2"/>
  <c r="AG60" i="2"/>
  <c r="T60" i="2"/>
  <c r="K60" i="2"/>
  <c r="C60" i="2"/>
  <c r="A60" i="2"/>
  <c r="BC59" i="2"/>
  <c r="AW59" i="2"/>
  <c r="AP59" i="2"/>
  <c r="AN59" i="2"/>
  <c r="AG59" i="2"/>
  <c r="V59" i="2"/>
  <c r="K59" i="2"/>
  <c r="C59" i="2"/>
  <c r="A59" i="2"/>
  <c r="BC58" i="2"/>
  <c r="AW58" i="2"/>
  <c r="AP58" i="2"/>
  <c r="AN58" i="2"/>
  <c r="AG58" i="2"/>
  <c r="V58" i="2"/>
  <c r="U58" i="2"/>
  <c r="N58" i="2"/>
  <c r="K58" i="2"/>
  <c r="J58" i="2"/>
  <c r="C58" i="2"/>
  <c r="A58" i="2"/>
  <c r="BC57" i="2"/>
  <c r="AW57" i="2"/>
  <c r="AR57" i="2"/>
  <c r="AN57" i="2"/>
  <c r="AJ57" i="2"/>
  <c r="AG57" i="2"/>
  <c r="Q57" i="2"/>
  <c r="K57" i="2"/>
  <c r="J57" i="2"/>
  <c r="C57" i="2"/>
  <c r="A57" i="2"/>
  <c r="BY56" i="2"/>
  <c r="BX56" i="2"/>
  <c r="AB59" i="2" s="1"/>
  <c r="BT56" i="2"/>
  <c r="BM56" i="2"/>
  <c r="BL56" i="2"/>
  <c r="AW56" i="2"/>
  <c r="AN56" i="2"/>
  <c r="AG56" i="2"/>
  <c r="Y56" i="2"/>
  <c r="V56" i="2"/>
  <c r="T56" i="2"/>
  <c r="R56" i="2"/>
  <c r="Q56" i="2"/>
  <c r="M56" i="2"/>
  <c r="C56" i="2"/>
  <c r="A56" i="2"/>
  <c r="BY55" i="2"/>
  <c r="BX55" i="2"/>
  <c r="AB58" i="2" s="1"/>
  <c r="BT55" i="2"/>
  <c r="BM55" i="2"/>
  <c r="BL55" i="2"/>
  <c r="AW55" i="2"/>
  <c r="AN55" i="2"/>
  <c r="AM55" i="2"/>
  <c r="N55" i="2"/>
  <c r="K55" i="2"/>
  <c r="BC55" i="2" s="1"/>
  <c r="C55" i="2"/>
  <c r="A55" i="2"/>
  <c r="BY54" i="2"/>
  <c r="BX54" i="2"/>
  <c r="AB61" i="2" s="1"/>
  <c r="BT54" i="2"/>
  <c r="BN54" i="2"/>
  <c r="BM54" i="2"/>
  <c r="BL54" i="2"/>
  <c r="BH54" i="2"/>
  <c r="BG54" i="2"/>
  <c r="BC54" i="2"/>
  <c r="AZ54" i="2"/>
  <c r="AY54" i="2"/>
  <c r="AW54" i="2"/>
  <c r="AR54" i="2"/>
  <c r="AP54" i="2"/>
  <c r="AN54" i="2"/>
  <c r="AG54" i="2"/>
  <c r="V54" i="2"/>
  <c r="T54" i="2"/>
  <c r="S54" i="2"/>
  <c r="N54" i="2"/>
  <c r="K54" i="2"/>
  <c r="J54" i="2"/>
  <c r="C54" i="2"/>
  <c r="A54" i="2"/>
  <c r="BY53" i="2"/>
  <c r="BX53" i="2"/>
  <c r="BT53" i="2"/>
  <c r="BN53" i="2"/>
  <c r="BM53" i="2"/>
  <c r="BL53" i="2"/>
  <c r="AW53" i="2"/>
  <c r="AN53" i="2"/>
  <c r="AG53" i="2"/>
  <c r="Q53" i="2"/>
  <c r="C53" i="2"/>
  <c r="A53" i="2"/>
  <c r="BY52" i="2"/>
  <c r="BX52" i="2"/>
  <c r="BT52" i="2"/>
  <c r="BN52" i="2"/>
  <c r="BM52" i="2"/>
  <c r="BL52" i="2"/>
  <c r="AW52" i="2"/>
  <c r="AN52" i="2"/>
  <c r="AJ52" i="2"/>
  <c r="AG52" i="2"/>
  <c r="V52" i="2"/>
  <c r="M52" i="2"/>
  <c r="K52" i="2"/>
  <c r="BC52" i="2" s="1"/>
  <c r="C52" i="2"/>
  <c r="A52" i="2"/>
  <c r="BY51" i="2"/>
  <c r="BX51" i="2"/>
  <c r="AB54" i="2" s="1"/>
  <c r="BT51" i="2"/>
  <c r="BM51" i="2"/>
  <c r="BL51" i="2"/>
  <c r="AW51" i="2"/>
  <c r="AN51" i="2"/>
  <c r="AJ51" i="2"/>
  <c r="AG51" i="2"/>
  <c r="V51" i="2"/>
  <c r="T51" i="2"/>
  <c r="M51" i="2"/>
  <c r="L51" i="2"/>
  <c r="C51" i="2"/>
  <c r="A45" i="65" s="1"/>
  <c r="A51" i="2"/>
  <c r="BY50" i="2"/>
  <c r="BX50" i="2"/>
  <c r="AB53" i="2" s="1"/>
  <c r="BT50" i="2"/>
  <c r="BN50" i="2"/>
  <c r="BM50" i="2"/>
  <c r="BL50" i="2"/>
  <c r="AW50" i="2"/>
  <c r="AN50" i="2"/>
  <c r="AM50" i="2"/>
  <c r="AJ50" i="2"/>
  <c r="AF50" i="2"/>
  <c r="Y50" i="2"/>
  <c r="M50" i="2"/>
  <c r="L50" i="2"/>
  <c r="C50" i="2"/>
  <c r="A44" i="65" s="1"/>
  <c r="A50" i="2"/>
  <c r="BY49" i="2"/>
  <c r="BX49" i="2"/>
  <c r="AB52" i="2" s="1"/>
  <c r="BT49" i="2"/>
  <c r="BN49" i="2"/>
  <c r="BM49" i="2"/>
  <c r="BL49" i="2"/>
  <c r="BC49" i="2"/>
  <c r="AY49" i="2"/>
  <c r="AW49" i="2"/>
  <c r="AR49" i="2"/>
  <c r="AP49" i="2"/>
  <c r="AN49" i="2"/>
  <c r="AM49" i="2"/>
  <c r="AG49" i="2"/>
  <c r="U49" i="2"/>
  <c r="T49" i="2"/>
  <c r="S49" i="2"/>
  <c r="N49" i="2"/>
  <c r="K49" i="2"/>
  <c r="J49" i="2"/>
  <c r="C49" i="2"/>
  <c r="A49" i="2"/>
  <c r="BY48" i="2"/>
  <c r="BX48" i="2"/>
  <c r="AB51" i="2" s="1"/>
  <c r="AW48" i="2"/>
  <c r="AN48" i="2"/>
  <c r="AM48" i="2"/>
  <c r="AJ48" i="2"/>
  <c r="AG48" i="2"/>
  <c r="L48" i="2"/>
  <c r="K48" i="2"/>
  <c r="BC48" i="2" s="1"/>
  <c r="C48" i="2"/>
  <c r="A48" i="2"/>
  <c r="BY47" i="2"/>
  <c r="BX47" i="2"/>
  <c r="BT47" i="2"/>
  <c r="BN47" i="2"/>
  <c r="BM47" i="2"/>
  <c r="BL47" i="2"/>
  <c r="BC47" i="2"/>
  <c r="AW47" i="2"/>
  <c r="AN47" i="2"/>
  <c r="AJ47" i="2"/>
  <c r="AG47" i="2"/>
  <c r="Y47" i="2"/>
  <c r="M47" i="2"/>
  <c r="K47" i="2"/>
  <c r="J47" i="2"/>
  <c r="C47" i="2"/>
  <c r="A47" i="2"/>
  <c r="BY46" i="2"/>
  <c r="BX46" i="2"/>
  <c r="AB49" i="2" s="1"/>
  <c r="BT46" i="2"/>
  <c r="BN46" i="2"/>
  <c r="BM46" i="2"/>
  <c r="BL46" i="2"/>
  <c r="AW46" i="2"/>
  <c r="AN46" i="2"/>
  <c r="AM46" i="2"/>
  <c r="AJ46" i="2"/>
  <c r="AG46" i="2"/>
  <c r="Y46" i="2"/>
  <c r="AB46" i="2" s="1"/>
  <c r="Q46" i="2"/>
  <c r="M46" i="2"/>
  <c r="K46" i="2"/>
  <c r="C46" i="2"/>
  <c r="A37" i="65" s="1"/>
  <c r="A46" i="2"/>
  <c r="BT45" i="2"/>
  <c r="BN45" i="2"/>
  <c r="BM45" i="2"/>
  <c r="BL45" i="2"/>
  <c r="AW45" i="2"/>
  <c r="AN45" i="2"/>
  <c r="AM45" i="2"/>
  <c r="AJ45" i="2"/>
  <c r="AG45" i="2"/>
  <c r="T45" i="2"/>
  <c r="Q45" i="2"/>
  <c r="K45" i="2"/>
  <c r="C45" i="2"/>
  <c r="A36" i="65" s="1"/>
  <c r="A45" i="2"/>
  <c r="BY44" i="2"/>
  <c r="BX44" i="2"/>
  <c r="BT44" i="2"/>
  <c r="BN44" i="2"/>
  <c r="BM44" i="2"/>
  <c r="BL44" i="2"/>
  <c r="AZ44" i="2"/>
  <c r="AY44" i="2"/>
  <c r="F35" i="65" s="1"/>
  <c r="AW44" i="2"/>
  <c r="AR44" i="2"/>
  <c r="AP44" i="2"/>
  <c r="AN44" i="2"/>
  <c r="AM44" i="2"/>
  <c r="AG44" i="2"/>
  <c r="Y44" i="2"/>
  <c r="U44" i="2"/>
  <c r="N44" i="2"/>
  <c r="K44" i="2"/>
  <c r="B35" i="65" s="1"/>
  <c r="J44" i="2"/>
  <c r="C44" i="2"/>
  <c r="A35" i="65" s="1"/>
  <c r="A44" i="2"/>
  <c r="AZ43" i="2"/>
  <c r="AY43" i="2"/>
  <c r="AW43" i="2"/>
  <c r="AR43" i="2"/>
  <c r="AP43" i="2"/>
  <c r="AN43" i="2"/>
  <c r="AG43" i="2"/>
  <c r="AB43" i="2"/>
  <c r="N43" i="2"/>
  <c r="L43" i="2"/>
  <c r="K43" i="2"/>
  <c r="J43" i="2"/>
  <c r="C43" i="2"/>
  <c r="A43" i="2"/>
  <c r="AZ42" i="2"/>
  <c r="AY42" i="2"/>
  <c r="AW42" i="2"/>
  <c r="AR42" i="2"/>
  <c r="AP42" i="2"/>
  <c r="AN42" i="2"/>
  <c r="AG42" i="2"/>
  <c r="V42" i="2"/>
  <c r="Q42" i="2"/>
  <c r="N42" i="2"/>
  <c r="L42" i="2"/>
  <c r="K42" i="2"/>
  <c r="J42" i="2"/>
  <c r="C42" i="2"/>
  <c r="A42" i="2"/>
  <c r="AZ41" i="2"/>
  <c r="AY41" i="2"/>
  <c r="AW41" i="2"/>
  <c r="AR41" i="2"/>
  <c r="AP41" i="2"/>
  <c r="AN41" i="2"/>
  <c r="AM41" i="2"/>
  <c r="AG41" i="2"/>
  <c r="T41" i="2"/>
  <c r="Q41" i="2"/>
  <c r="N41" i="2"/>
  <c r="L41" i="2"/>
  <c r="K41" i="2"/>
  <c r="J41" i="2"/>
  <c r="C41" i="2"/>
  <c r="A41" i="2"/>
  <c r="AW40" i="2"/>
  <c r="AW90" i="2" s="1"/>
  <c r="U16" i="3" s="1"/>
  <c r="AR40" i="2"/>
  <c r="AN40" i="2"/>
  <c r="AG40" i="2"/>
  <c r="R40" i="2"/>
  <c r="K40" i="2"/>
  <c r="J40" i="2"/>
  <c r="C40" i="2"/>
  <c r="A34" i="65" s="1"/>
  <c r="A40" i="2"/>
  <c r="BY39" i="2"/>
  <c r="BX39" i="2"/>
  <c r="AB42" i="2" s="1"/>
  <c r="BT39" i="2"/>
  <c r="BN39" i="2"/>
  <c r="BM39" i="2"/>
  <c r="BL39" i="2"/>
  <c r="BC39" i="2"/>
  <c r="AW39" i="2"/>
  <c r="AN39" i="2"/>
  <c r="AM39" i="2"/>
  <c r="AJ39" i="2"/>
  <c r="AG39" i="2"/>
  <c r="Y39" i="2"/>
  <c r="K39" i="2"/>
  <c r="J39" i="2"/>
  <c r="C39" i="2"/>
  <c r="A33" i="65" s="1"/>
  <c r="A39" i="2"/>
  <c r="BY38" i="2"/>
  <c r="BX38" i="2"/>
  <c r="AB41" i="2" s="1"/>
  <c r="BT38" i="2"/>
  <c r="BN38" i="2"/>
  <c r="BM38" i="2"/>
  <c r="BL38" i="2"/>
  <c r="AW38" i="2"/>
  <c r="AN38" i="2"/>
  <c r="AM38" i="2"/>
  <c r="AG38" i="2"/>
  <c r="Y38" i="2"/>
  <c r="V38" i="2"/>
  <c r="T38" i="2"/>
  <c r="K38" i="2"/>
  <c r="J38" i="2"/>
  <c r="C38" i="2"/>
  <c r="A32" i="65" s="1"/>
  <c r="A38" i="2"/>
  <c r="BY37" i="2"/>
  <c r="BX37" i="2"/>
  <c r="AB44" i="2" s="1"/>
  <c r="BT37" i="2"/>
  <c r="BN37" i="2"/>
  <c r="BM37" i="2"/>
  <c r="BL37" i="2"/>
  <c r="AW37" i="2"/>
  <c r="AN37" i="2"/>
  <c r="AG37" i="2"/>
  <c r="Y37" i="2"/>
  <c r="V37" i="2"/>
  <c r="Q37" i="2"/>
  <c r="K37" i="2"/>
  <c r="J37" i="2"/>
  <c r="C37" i="2"/>
  <c r="A31" i="65" s="1"/>
  <c r="A37" i="2"/>
  <c r="BY36" i="2"/>
  <c r="BX36" i="2"/>
  <c r="AB39" i="2" s="1"/>
  <c r="BT36" i="2"/>
  <c r="BN36" i="2"/>
  <c r="BM36" i="2"/>
  <c r="BL36" i="2"/>
  <c r="AZ36" i="2"/>
  <c r="AY36" i="2"/>
  <c r="F30" i="65" s="1"/>
  <c r="AW36" i="2"/>
  <c r="AR36" i="2"/>
  <c r="AP36" i="2"/>
  <c r="AN36" i="2"/>
  <c r="AM36" i="2"/>
  <c r="AJ36" i="2"/>
  <c r="AG36" i="2"/>
  <c r="S36" i="2"/>
  <c r="Q36" i="2"/>
  <c r="N36" i="2"/>
  <c r="K36" i="2"/>
  <c r="B30" i="65" s="1"/>
  <c r="J36" i="2"/>
  <c r="Y36" i="2" s="1"/>
  <c r="C36" i="2"/>
  <c r="A30" i="65" s="1"/>
  <c r="A36" i="2"/>
  <c r="BY35" i="2"/>
  <c r="BX35" i="2"/>
  <c r="BT35" i="2"/>
  <c r="BN35" i="2"/>
  <c r="BM35" i="2"/>
  <c r="BL35" i="2"/>
  <c r="BC35" i="2"/>
  <c r="AW35" i="2"/>
  <c r="AN35" i="2"/>
  <c r="AM35" i="2"/>
  <c r="AG35" i="2"/>
  <c r="V35" i="2"/>
  <c r="S35" i="2"/>
  <c r="R35" i="2"/>
  <c r="K35" i="2"/>
  <c r="J35" i="2"/>
  <c r="C35" i="2"/>
  <c r="A29" i="65" s="1"/>
  <c r="A35" i="2"/>
  <c r="BY34" i="2"/>
  <c r="BX34" i="2"/>
  <c r="AB37" i="2" s="1"/>
  <c r="BT34" i="2"/>
  <c r="BN34" i="2"/>
  <c r="BM34" i="2"/>
  <c r="BL34" i="2"/>
  <c r="BH34" i="2"/>
  <c r="BG34" i="2"/>
  <c r="BC34" i="2"/>
  <c r="AZ34" i="2"/>
  <c r="AY34" i="2"/>
  <c r="AR34" i="2"/>
  <c r="AP34" i="2"/>
  <c r="AN34" i="2"/>
  <c r="AG34" i="2"/>
  <c r="W34" i="2"/>
  <c r="N34" i="2"/>
  <c r="C34" i="2"/>
  <c r="A34" i="2"/>
  <c r="BY33" i="2"/>
  <c r="BX33" i="2"/>
  <c r="BT33" i="2"/>
  <c r="BN33" i="2"/>
  <c r="BM33" i="2"/>
  <c r="BL33" i="2"/>
  <c r="BH33" i="2"/>
  <c r="BG33" i="2"/>
  <c r="BC33" i="2"/>
  <c r="AZ33" i="2"/>
  <c r="AY33" i="2"/>
  <c r="AR33" i="2"/>
  <c r="AP33" i="2"/>
  <c r="AN33" i="2"/>
  <c r="AG33" i="2"/>
  <c r="W33" i="2"/>
  <c r="N33" i="2"/>
  <c r="C33" i="2"/>
  <c r="A33" i="2"/>
  <c r="BY32" i="2"/>
  <c r="BX32" i="2"/>
  <c r="AB35" i="2" s="1"/>
  <c r="BT32" i="2"/>
  <c r="BM32" i="2"/>
  <c r="BL32" i="2"/>
  <c r="AW32" i="2"/>
  <c r="AN32" i="2"/>
  <c r="AM32" i="2"/>
  <c r="AG32" i="2"/>
  <c r="V32" i="2"/>
  <c r="U32" i="2"/>
  <c r="Q32" i="2"/>
  <c r="K32" i="2"/>
  <c r="J32" i="2"/>
  <c r="BN32" i="2" s="1"/>
  <c r="C32" i="2"/>
  <c r="A28" i="65" s="1"/>
  <c r="A32" i="2"/>
  <c r="BY31" i="2"/>
  <c r="BX31" i="2"/>
  <c r="AB34" i="2" s="1"/>
  <c r="AC34" i="2" s="1"/>
  <c r="BT31" i="2"/>
  <c r="BN31" i="2"/>
  <c r="BM31" i="2"/>
  <c r="BL31" i="2"/>
  <c r="BC31" i="2"/>
  <c r="AW31" i="2"/>
  <c r="AN31" i="2"/>
  <c r="AG31" i="2"/>
  <c r="V31" i="2"/>
  <c r="S31" i="2"/>
  <c r="Q31" i="2"/>
  <c r="K31" i="2"/>
  <c r="J31" i="2"/>
  <c r="C31" i="2"/>
  <c r="A27" i="65" s="1"/>
  <c r="A31" i="2"/>
  <c r="BY30" i="2"/>
  <c r="BX30" i="2"/>
  <c r="AB33" i="2" s="1"/>
  <c r="AC33" i="2" s="1"/>
  <c r="BT30" i="2"/>
  <c r="BN30" i="2"/>
  <c r="BM30" i="2"/>
  <c r="BL30" i="2"/>
  <c r="BC30" i="2"/>
  <c r="AZ30" i="2"/>
  <c r="AY30" i="2"/>
  <c r="F26" i="65" s="1"/>
  <c r="AW30" i="2"/>
  <c r="AN30" i="2"/>
  <c r="AJ30" i="2"/>
  <c r="AG30" i="2"/>
  <c r="V30" i="2"/>
  <c r="T30" i="2"/>
  <c r="N30" i="2"/>
  <c r="K30" i="2"/>
  <c r="B26" i="65" s="1"/>
  <c r="J30" i="2"/>
  <c r="C30" i="2"/>
  <c r="A26" i="65" s="1"/>
  <c r="A30" i="2"/>
  <c r="BY29" i="2"/>
  <c r="BX29" i="2"/>
  <c r="AB32" i="2" s="1"/>
  <c r="BT29" i="2"/>
  <c r="BN29" i="2"/>
  <c r="BM29" i="2"/>
  <c r="BL29" i="2"/>
  <c r="BC29" i="2"/>
  <c r="AN29" i="2"/>
  <c r="AG29" i="2"/>
  <c r="U29" i="2"/>
  <c r="R29" i="2"/>
  <c r="K29" i="2"/>
  <c r="J29" i="2"/>
  <c r="C29" i="2"/>
  <c r="A29" i="2"/>
  <c r="BY28" i="2"/>
  <c r="BX28" i="2"/>
  <c r="AB31" i="2" s="1"/>
  <c r="BT28" i="2"/>
  <c r="BN28" i="2"/>
  <c r="BM28" i="2"/>
  <c r="BL28" i="2"/>
  <c r="AW28" i="2"/>
  <c r="AN28" i="2"/>
  <c r="AM28" i="2"/>
  <c r="AJ28" i="2"/>
  <c r="AG28" i="2"/>
  <c r="T28" i="2"/>
  <c r="S28" i="2"/>
  <c r="Q28" i="2"/>
  <c r="K28" i="2"/>
  <c r="J28" i="2"/>
  <c r="C28" i="2"/>
  <c r="A28" i="2"/>
  <c r="BY27" i="2"/>
  <c r="BX27" i="2"/>
  <c r="AB30" i="2" s="1"/>
  <c r="BT27" i="2"/>
  <c r="BN27" i="2"/>
  <c r="BM27" i="2"/>
  <c r="BL27" i="2"/>
  <c r="AW27" i="2"/>
  <c r="AN27" i="2"/>
  <c r="AG27" i="2"/>
  <c r="U27" i="2"/>
  <c r="T27" i="2"/>
  <c r="K27" i="2"/>
  <c r="J27" i="2"/>
  <c r="C27" i="2"/>
  <c r="A25" i="65" s="1"/>
  <c r="A27" i="2"/>
  <c r="BY26" i="2"/>
  <c r="BX26" i="2"/>
  <c r="AB29" i="2" s="1"/>
  <c r="BT26" i="2"/>
  <c r="BN26" i="2"/>
  <c r="BM26" i="2"/>
  <c r="BL26" i="2"/>
  <c r="BC26" i="2"/>
  <c r="AZ26" i="2"/>
  <c r="AY26" i="2"/>
  <c r="F24" i="65" s="1"/>
  <c r="AP26" i="2"/>
  <c r="AN26" i="2"/>
  <c r="AG26" i="2"/>
  <c r="T26" i="2"/>
  <c r="N26" i="2"/>
  <c r="L26" i="2"/>
  <c r="J26" i="2"/>
  <c r="C26" i="2"/>
  <c r="A24" i="65" s="1"/>
  <c r="A26" i="2"/>
  <c r="BY25" i="2"/>
  <c r="BX25" i="2"/>
  <c r="AB28" i="2" s="1"/>
  <c r="BT25" i="2"/>
  <c r="BN25" i="2"/>
  <c r="BM25" i="2"/>
  <c r="BL25" i="2"/>
  <c r="BC25" i="2"/>
  <c r="AZ25" i="2"/>
  <c r="AY25" i="2"/>
  <c r="F23" i="65" s="1"/>
  <c r="AQ25" i="2"/>
  <c r="AQ26" i="2" s="1"/>
  <c r="AP25" i="2"/>
  <c r="AN25" i="2"/>
  <c r="AM25" i="2"/>
  <c r="AG25" i="2"/>
  <c r="U25" i="2"/>
  <c r="T25" i="2"/>
  <c r="Q25" i="2"/>
  <c r="P25" i="2"/>
  <c r="N25" i="2"/>
  <c r="L25" i="2"/>
  <c r="J25" i="2"/>
  <c r="C25" i="2"/>
  <c r="A23" i="65" s="1"/>
  <c r="A25" i="2"/>
  <c r="BY24" i="2"/>
  <c r="BX24" i="2"/>
  <c r="AB27" i="2" s="1"/>
  <c r="BT24" i="2"/>
  <c r="BN24" i="2"/>
  <c r="BM24" i="2"/>
  <c r="BL24" i="2"/>
  <c r="AZ24" i="2"/>
  <c r="AN24" i="2"/>
  <c r="AM24" i="2"/>
  <c r="AG24" i="2"/>
  <c r="Y24" i="2"/>
  <c r="K24" i="2"/>
  <c r="BC24" i="2" s="1"/>
  <c r="J24" i="2"/>
  <c r="C24" i="2"/>
  <c r="A22" i="65" s="1"/>
  <c r="A24" i="2"/>
  <c r="BY23" i="2"/>
  <c r="BX23" i="2"/>
  <c r="AB26" i="2" s="1"/>
  <c r="BT23" i="2"/>
  <c r="BN23" i="2"/>
  <c r="BM23" i="2"/>
  <c r="BL23" i="2"/>
  <c r="AZ23" i="2"/>
  <c r="AY23" i="2"/>
  <c r="AP23" i="2"/>
  <c r="AN23" i="2"/>
  <c r="AJ23" i="2"/>
  <c r="AG23" i="2"/>
  <c r="U23" i="2"/>
  <c r="N23" i="2"/>
  <c r="L23" i="2"/>
  <c r="K23" i="2"/>
  <c r="J23" i="2"/>
  <c r="C23" i="2"/>
  <c r="A23" i="2"/>
  <c r="BY22" i="2"/>
  <c r="BX22" i="2"/>
  <c r="AB25" i="2" s="1"/>
  <c r="BT22" i="2"/>
  <c r="BN22" i="2"/>
  <c r="BM22" i="2"/>
  <c r="BL22" i="2"/>
  <c r="AR22" i="2"/>
  <c r="AQ22" i="2"/>
  <c r="AN22" i="2"/>
  <c r="AM22" i="2"/>
  <c r="AJ22" i="2"/>
  <c r="AG22" i="2"/>
  <c r="V22" i="2"/>
  <c r="T22" i="2"/>
  <c r="S22" i="2"/>
  <c r="Q22" i="2"/>
  <c r="N22" i="2"/>
  <c r="K22" i="2"/>
  <c r="J22" i="2"/>
  <c r="C22" i="2"/>
  <c r="A22" i="2"/>
  <c r="BC21" i="2"/>
  <c r="AZ21" i="2"/>
  <c r="F51" i="12" s="1"/>
  <c r="AY21" i="2"/>
  <c r="AR21" i="2"/>
  <c r="AR90" i="2" s="1"/>
  <c r="M10" i="3" s="1"/>
  <c r="AP21" i="2"/>
  <c r="AN21" i="2"/>
  <c r="AN90" i="2" s="1"/>
  <c r="M9" i="3" s="1"/>
  <c r="AG21" i="2"/>
  <c r="AG90" i="2" s="1"/>
  <c r="D15" i="3" s="1"/>
  <c r="AB21" i="2"/>
  <c r="N21" i="2"/>
  <c r="C21" i="2"/>
  <c r="A21" i="2"/>
  <c r="BY20" i="2"/>
  <c r="BX20" i="2"/>
  <c r="AB20" i="2" s="1"/>
  <c r="BT20" i="2"/>
  <c r="BN20" i="2"/>
  <c r="BM20" i="2"/>
  <c r="BL20" i="2"/>
  <c r="BC20" i="2"/>
  <c r="AZ20" i="2"/>
  <c r="AY20" i="2"/>
  <c r="AR20" i="2"/>
  <c r="AP20" i="2"/>
  <c r="AN20" i="2"/>
  <c r="AG20" i="2"/>
  <c r="N20" i="2"/>
  <c r="C20" i="2"/>
  <c r="A20" i="2"/>
  <c r="BY19" i="2"/>
  <c r="BX19" i="2"/>
  <c r="AB19" i="2" s="1"/>
  <c r="BT19" i="2"/>
  <c r="BN19" i="2"/>
  <c r="BM19" i="2"/>
  <c r="BL19" i="2"/>
  <c r="BC19" i="2"/>
  <c r="AZ19" i="2"/>
  <c r="AY19" i="2"/>
  <c r="F17" i="65" s="1"/>
  <c r="AR19" i="2"/>
  <c r="AP19" i="2"/>
  <c r="AN19" i="2"/>
  <c r="AM19" i="2"/>
  <c r="AG19" i="2"/>
  <c r="N19" i="2"/>
  <c r="C19" i="2"/>
  <c r="A17" i="65" s="1"/>
  <c r="A19" i="2"/>
  <c r="BY18" i="2"/>
  <c r="BX18" i="2"/>
  <c r="BT18" i="2"/>
  <c r="BN18" i="2"/>
  <c r="BM18" i="2"/>
  <c r="BL18" i="2"/>
  <c r="BC18" i="2"/>
  <c r="AZ18" i="2"/>
  <c r="AY18" i="2"/>
  <c r="AR18" i="2"/>
  <c r="AP18" i="2"/>
  <c r="AN18" i="2"/>
  <c r="AG18" i="2"/>
  <c r="AB18" i="2"/>
  <c r="N18" i="2"/>
  <c r="C18" i="2"/>
  <c r="A18" i="2"/>
  <c r="BY17" i="2"/>
  <c r="BX17" i="2"/>
  <c r="AB22" i="2" s="1"/>
  <c r="BT17" i="2"/>
  <c r="BN17" i="2"/>
  <c r="BM17" i="2"/>
  <c r="BL17" i="2"/>
  <c r="BC17" i="2"/>
  <c r="AZ17" i="2"/>
  <c r="AY17" i="2"/>
  <c r="AR17" i="2"/>
  <c r="AP17" i="2"/>
  <c r="AN17" i="2"/>
  <c r="AS17" i="2" s="1"/>
  <c r="AG17" i="2"/>
  <c r="N17" i="2"/>
  <c r="C17" i="2"/>
  <c r="A17" i="2"/>
  <c r="BY16" i="2"/>
  <c r="BX16" i="2"/>
  <c r="BT16" i="2"/>
  <c r="BN16" i="2"/>
  <c r="BM16" i="2"/>
  <c r="BL16" i="2"/>
  <c r="BC16" i="2"/>
  <c r="AP16" i="2"/>
  <c r="AN16" i="2"/>
  <c r="AJ16" i="2"/>
  <c r="AG16" i="2"/>
  <c r="Y16" i="2"/>
  <c r="U16" i="2"/>
  <c r="S16" i="2"/>
  <c r="R16" i="2"/>
  <c r="Q16" i="2"/>
  <c r="L16" i="2"/>
  <c r="K16" i="2"/>
  <c r="J16" i="2"/>
  <c r="C16" i="2"/>
  <c r="A14" i="65" s="1"/>
  <c r="A16" i="2"/>
  <c r="CA15" i="2"/>
  <c r="CA16" i="2" s="1"/>
  <c r="CA17" i="2" s="1"/>
  <c r="CA18" i="2" s="1"/>
  <c r="CA19" i="2" s="1"/>
  <c r="BY15" i="2"/>
  <c r="BX15" i="2"/>
  <c r="AB15" i="2" s="1"/>
  <c r="BT15" i="2"/>
  <c r="BN15" i="2"/>
  <c r="BM15" i="2"/>
  <c r="BL15" i="2"/>
  <c r="AN15" i="2"/>
  <c r="AM15" i="2"/>
  <c r="AJ15" i="2"/>
  <c r="AG15" i="2"/>
  <c r="S15" i="2"/>
  <c r="K15" i="2"/>
  <c r="B13" i="65" s="1"/>
  <c r="J15" i="2"/>
  <c r="C15" i="2"/>
  <c r="A13" i="65" s="1"/>
  <c r="A15" i="2"/>
  <c r="BY14" i="2"/>
  <c r="BX14" i="2"/>
  <c r="BT14" i="2"/>
  <c r="BN14" i="2"/>
  <c r="BM14" i="2"/>
  <c r="BL14" i="2"/>
  <c r="AZ14" i="2"/>
  <c r="AY14" i="2"/>
  <c r="F12" i="65" s="1"/>
  <c r="AR14" i="2"/>
  <c r="AP14" i="2"/>
  <c r="AN14" i="2"/>
  <c r="AM14" i="2"/>
  <c r="AS14" i="2" s="1"/>
  <c r="E12" i="65" s="1"/>
  <c r="J12" i="65" s="1"/>
  <c r="AG14" i="2"/>
  <c r="AB14" i="2"/>
  <c r="S14" i="2"/>
  <c r="R14" i="2"/>
  <c r="Q14" i="2"/>
  <c r="P14" i="2"/>
  <c r="N14" i="2"/>
  <c r="L14" i="2"/>
  <c r="K14" i="2"/>
  <c r="B12" i="65" s="1"/>
  <c r="J14" i="2"/>
  <c r="C14" i="2"/>
  <c r="A12" i="65" s="1"/>
  <c r="A14" i="2"/>
  <c r="BY13" i="2"/>
  <c r="BX13" i="2"/>
  <c r="AB13" i="2" s="1"/>
  <c r="BT13" i="2"/>
  <c r="BN13" i="2"/>
  <c r="BM13" i="2"/>
  <c r="BL13" i="2"/>
  <c r="BC13" i="2"/>
  <c r="AR13" i="2"/>
  <c r="AP13" i="2"/>
  <c r="AN13" i="2"/>
  <c r="AM13" i="2"/>
  <c r="AG13" i="2"/>
  <c r="V13" i="2"/>
  <c r="Q13" i="2"/>
  <c r="K13" i="2"/>
  <c r="AY13" i="2" s="1"/>
  <c r="J13" i="2"/>
  <c r="C13" i="2"/>
  <c r="A13" i="2"/>
  <c r="BY12" i="2"/>
  <c r="BX12" i="2"/>
  <c r="AB12" i="2" s="1"/>
  <c r="BT12" i="2"/>
  <c r="BN12" i="2"/>
  <c r="BM12" i="2"/>
  <c r="BL12" i="2"/>
  <c r="BC12" i="2"/>
  <c r="AR12" i="2"/>
  <c r="AN12" i="2"/>
  <c r="AG12" i="2"/>
  <c r="T12" i="2"/>
  <c r="K12" i="2"/>
  <c r="J12" i="2"/>
  <c r="C12" i="2"/>
  <c r="A12" i="2"/>
  <c r="BY11" i="2"/>
  <c r="BX11" i="2"/>
  <c r="AB11" i="2" s="1"/>
  <c r="BT11" i="2"/>
  <c r="BN11" i="2"/>
  <c r="BM11" i="2"/>
  <c r="BL11" i="2"/>
  <c r="AW11" i="2"/>
  <c r="AW92" i="2" s="1"/>
  <c r="AN11" i="2"/>
  <c r="AM11" i="2"/>
  <c r="AJ11" i="2"/>
  <c r="AG11" i="2"/>
  <c r="V11" i="2"/>
  <c r="U11" i="2"/>
  <c r="T11" i="2"/>
  <c r="S11" i="2"/>
  <c r="K11" i="2"/>
  <c r="J11" i="2"/>
  <c r="C11" i="2"/>
  <c r="A11" i="65" s="1"/>
  <c r="A11" i="2"/>
  <c r="BY10" i="2"/>
  <c r="BX10" i="2"/>
  <c r="BT10" i="2"/>
  <c r="BN10" i="2"/>
  <c r="BM10" i="2"/>
  <c r="BL10" i="2"/>
  <c r="BC10" i="2"/>
  <c r="AZ10" i="2"/>
  <c r="AR10" i="2"/>
  <c r="AP10" i="2"/>
  <c r="AN10" i="2"/>
  <c r="AM10" i="2"/>
  <c r="AG10" i="2"/>
  <c r="AB10" i="2"/>
  <c r="T10" i="2"/>
  <c r="M10" i="2"/>
  <c r="J10" i="2"/>
  <c r="C10" i="2"/>
  <c r="A10" i="65" s="1"/>
  <c r="A10" i="2"/>
  <c r="BY9" i="2"/>
  <c r="BX9" i="2"/>
  <c r="BT9" i="2"/>
  <c r="BN9" i="2"/>
  <c r="BM9" i="2"/>
  <c r="BL9" i="2"/>
  <c r="BC9" i="2"/>
  <c r="AZ9" i="2"/>
  <c r="AR9" i="2"/>
  <c r="AP9" i="2"/>
  <c r="AN9" i="2"/>
  <c r="AM9" i="2"/>
  <c r="AJ9" i="2"/>
  <c r="AG9" i="2"/>
  <c r="AB9" i="2"/>
  <c r="V9" i="2"/>
  <c r="T9" i="2"/>
  <c r="M9" i="2"/>
  <c r="J9" i="2"/>
  <c r="C9" i="2"/>
  <c r="A9" i="65" s="1"/>
  <c r="A9" i="2"/>
  <c r="BY8" i="2"/>
  <c r="BX8" i="2"/>
  <c r="BT8" i="2"/>
  <c r="BN8" i="2"/>
  <c r="BM8" i="2"/>
  <c r="BL8" i="2"/>
  <c r="BC8" i="2"/>
  <c r="AZ8" i="2"/>
  <c r="AR8" i="2"/>
  <c r="AP8" i="2"/>
  <c r="AN8" i="2"/>
  <c r="AM8" i="2"/>
  <c r="AG8" i="2"/>
  <c r="AB8" i="2"/>
  <c r="V8" i="2"/>
  <c r="T8" i="2"/>
  <c r="M8" i="2"/>
  <c r="J8" i="2"/>
  <c r="C8" i="2"/>
  <c r="A8" i="65" s="1"/>
  <c r="A8" i="2"/>
  <c r="CA7" i="2"/>
  <c r="CA8" i="2" s="1"/>
  <c r="CA9" i="2" s="1"/>
  <c r="CA10" i="2" s="1"/>
  <c r="CA11" i="2" s="1"/>
  <c r="BY7" i="2"/>
  <c r="BX7" i="2"/>
  <c r="BT7" i="2"/>
  <c r="BN7" i="2"/>
  <c r="BM7" i="2"/>
  <c r="BL7" i="2"/>
  <c r="BC7" i="2"/>
  <c r="AZ7" i="2"/>
  <c r="AR7" i="2"/>
  <c r="AP7" i="2"/>
  <c r="AN7" i="2"/>
  <c r="AM7" i="2"/>
  <c r="AG7" i="2"/>
  <c r="M7" i="2"/>
  <c r="J7" i="2"/>
  <c r="C7" i="2"/>
  <c r="A7" i="65" s="1"/>
  <c r="A7" i="2"/>
  <c r="E21" i="1"/>
  <c r="A21" i="1"/>
  <c r="E20" i="1"/>
  <c r="B20" i="1"/>
  <c r="A8" i="1"/>
  <c r="E7" i="1"/>
  <c r="A7" i="1"/>
  <c r="H115" i="4" l="1"/>
  <c r="I115" i="4" s="1"/>
  <c r="AF35" i="38"/>
  <c r="J35" i="38"/>
  <c r="O35" i="38"/>
  <c r="T35" i="38"/>
  <c r="AC35" i="38"/>
  <c r="AH35" i="38"/>
  <c r="AM35" i="38"/>
  <c r="AP20" i="38"/>
  <c r="K35" i="38"/>
  <c r="AR25" i="2"/>
  <c r="AC77" i="2"/>
  <c r="BF77" i="2" s="1"/>
  <c r="AC85" i="2"/>
  <c r="BF85" i="2" s="1"/>
  <c r="AS87" i="2"/>
  <c r="H79" i="12"/>
  <c r="I79" i="12" s="1"/>
  <c r="L86" i="12"/>
  <c r="AS44" i="2"/>
  <c r="E35" i="65" s="1"/>
  <c r="J35" i="65" s="1"/>
  <c r="AZ49" i="2"/>
  <c r="AC68" i="2"/>
  <c r="AC72" i="2"/>
  <c r="AS74" i="2"/>
  <c r="M84" i="12"/>
  <c r="J85" i="12"/>
  <c r="M94" i="12"/>
  <c r="H98" i="12"/>
  <c r="I98" i="12" s="1"/>
  <c r="J93" i="12"/>
  <c r="J97" i="12"/>
  <c r="AB40" i="2"/>
  <c r="AC67" i="2"/>
  <c r="BF67" i="2" s="1"/>
  <c r="AS71" i="2"/>
  <c r="AS77" i="2"/>
  <c r="AS83" i="2"/>
  <c r="M98" i="12"/>
  <c r="G35" i="38"/>
  <c r="AE35" i="38"/>
  <c r="AN35" i="38"/>
  <c r="AS13" i="2"/>
  <c r="AB36" i="2"/>
  <c r="AB47" i="2"/>
  <c r="AS49" i="2"/>
  <c r="E42" i="65" s="1"/>
  <c r="AS69" i="2"/>
  <c r="AS70" i="2"/>
  <c r="AC74" i="2"/>
  <c r="AC79" i="2"/>
  <c r="BF79" i="2" s="1"/>
  <c r="AS80" i="2"/>
  <c r="AS85" i="2"/>
  <c r="AS86" i="2"/>
  <c r="AC87" i="2"/>
  <c r="AH87" i="2" s="1"/>
  <c r="BE87" i="2" s="1"/>
  <c r="AF90" i="2"/>
  <c r="J43" i="12"/>
  <c r="H45" i="12"/>
  <c r="I45" i="12" s="1"/>
  <c r="L46" i="12"/>
  <c r="M49" i="12"/>
  <c r="K50" i="12"/>
  <c r="L54" i="12"/>
  <c r="H55" i="12"/>
  <c r="I55" i="12" s="1"/>
  <c r="K56" i="12"/>
  <c r="J57" i="12"/>
  <c r="K60" i="12"/>
  <c r="J61" i="12"/>
  <c r="K64" i="12"/>
  <c r="J65" i="12"/>
  <c r="K69" i="12"/>
  <c r="M74" i="12"/>
  <c r="J75" i="12"/>
  <c r="H86" i="12"/>
  <c r="I86" i="12" s="1"/>
  <c r="J87" i="12"/>
  <c r="M88" i="12"/>
  <c r="J89" i="12"/>
  <c r="H94" i="12"/>
  <c r="I94" i="12" s="1"/>
  <c r="J95" i="12"/>
  <c r="L99" i="12"/>
  <c r="Z35" i="38"/>
  <c r="AA64" i="38" s="1"/>
  <c r="AA62" i="38" s="1"/>
  <c r="AA61" i="38" s="1"/>
  <c r="AS8" i="2"/>
  <c r="E8" i="65" s="1"/>
  <c r="J8" i="65" s="1"/>
  <c r="AS10" i="2"/>
  <c r="E10" i="65" s="1"/>
  <c r="J10" i="65" s="1"/>
  <c r="AB16" i="2"/>
  <c r="AS21" i="2"/>
  <c r="AB24" i="2"/>
  <c r="AB50" i="2"/>
  <c r="AB57" i="2"/>
  <c r="AB63" i="2"/>
  <c r="AS66" i="2"/>
  <c r="AC70" i="2"/>
  <c r="AC75" i="2"/>
  <c r="BF75" i="2" s="1"/>
  <c r="AS76" i="2"/>
  <c r="AS81" i="2"/>
  <c r="AS82" i="2"/>
  <c r="AC86" i="2"/>
  <c r="AH86" i="2" s="1"/>
  <c r="BE86" i="2" s="1"/>
  <c r="L41" i="12"/>
  <c r="H42" i="12"/>
  <c r="I42" i="12" s="1"/>
  <c r="J44" i="12"/>
  <c r="J47" i="12"/>
  <c r="H49" i="12"/>
  <c r="I49" i="12" s="1"/>
  <c r="L50" i="12"/>
  <c r="M54" i="12"/>
  <c r="K55" i="12"/>
  <c r="L58" i="12"/>
  <c r="H59" i="12"/>
  <c r="I59" i="12" s="1"/>
  <c r="L62" i="12"/>
  <c r="H63" i="12"/>
  <c r="I63" i="12" s="1"/>
  <c r="L66" i="12"/>
  <c r="H74" i="12"/>
  <c r="I74" i="12" s="1"/>
  <c r="AS9" i="2"/>
  <c r="E9" i="65" s="1"/>
  <c r="J9" i="65" s="1"/>
  <c r="AS20" i="2"/>
  <c r="AS25" i="2"/>
  <c r="E23" i="65" s="1"/>
  <c r="J23" i="65" s="1"/>
  <c r="AS34" i="2"/>
  <c r="AC66" i="2"/>
  <c r="AC71" i="2"/>
  <c r="BF71" i="2" s="1"/>
  <c r="AC82" i="2"/>
  <c r="AH82" i="2" s="1"/>
  <c r="BE82" i="2" s="1"/>
  <c r="M41" i="12"/>
  <c r="K42" i="12"/>
  <c r="L45" i="12"/>
  <c r="H46" i="12"/>
  <c r="I46" i="12" s="1"/>
  <c r="J48" i="12"/>
  <c r="J52" i="12"/>
  <c r="L55" i="12"/>
  <c r="M58" i="12"/>
  <c r="K59" i="12"/>
  <c r="M62" i="12"/>
  <c r="K63" i="12"/>
  <c r="M66" i="12"/>
  <c r="H67" i="12"/>
  <c r="I67" i="12" s="1"/>
  <c r="M68" i="12"/>
  <c r="H69" i="12"/>
  <c r="I69" i="12" s="1"/>
  <c r="M72" i="12"/>
  <c r="J73" i="12"/>
  <c r="M78" i="12"/>
  <c r="M80" i="12"/>
  <c r="H81" i="12"/>
  <c r="I81" i="12" s="1"/>
  <c r="M82" i="12"/>
  <c r="J83" i="12"/>
  <c r="K86" i="12"/>
  <c r="L90" i="12"/>
  <c r="L91" i="12"/>
  <c r="J99" i="12"/>
  <c r="AS63" i="2"/>
  <c r="AS68" i="2"/>
  <c r="AS73" i="2"/>
  <c r="AC78" i="2"/>
  <c r="AC83" i="2"/>
  <c r="BF83" i="2" s="1"/>
  <c r="AS84" i="2"/>
  <c r="AC88" i="2"/>
  <c r="BF88" i="2" s="1"/>
  <c r="L42" i="12"/>
  <c r="K46" i="12"/>
  <c r="H50" i="12"/>
  <c r="I50" i="12" s="1"/>
  <c r="J53" i="12"/>
  <c r="L59" i="12"/>
  <c r="L63" i="12"/>
  <c r="J67" i="12"/>
  <c r="J71" i="12"/>
  <c r="M76" i="12"/>
  <c r="J77" i="12"/>
  <c r="J79" i="12"/>
  <c r="J81" i="12"/>
  <c r="H90" i="12"/>
  <c r="I90" i="12" s="1"/>
  <c r="H91" i="12"/>
  <c r="I91" i="12" s="1"/>
  <c r="H95" i="12"/>
  <c r="I95" i="12" s="1"/>
  <c r="M96" i="12"/>
  <c r="M100" i="12"/>
  <c r="E43" i="65"/>
  <c r="BF68" i="2"/>
  <c r="AH68" i="2"/>
  <c r="BE68" i="2" s="1"/>
  <c r="AH74" i="2"/>
  <c r="BE74" i="2" s="1"/>
  <c r="BF74" i="2"/>
  <c r="BF84" i="2"/>
  <c r="AH84" i="2"/>
  <c r="BE84" i="2" s="1"/>
  <c r="J31" i="38"/>
  <c r="AS31" i="38"/>
  <c r="G31" i="38"/>
  <c r="E24" i="37"/>
  <c r="AQ27" i="2"/>
  <c r="AQ28" i="2" s="1"/>
  <c r="AQ29" i="2" s="1"/>
  <c r="AQ30" i="2" s="1"/>
  <c r="AR26" i="2"/>
  <c r="AS26" i="2" s="1"/>
  <c r="E24" i="65" s="1"/>
  <c r="J24" i="65" s="1"/>
  <c r="AH33" i="2"/>
  <c r="BE33" i="2" s="1"/>
  <c r="BF33" i="2"/>
  <c r="AH70" i="2"/>
  <c r="BE70" i="2" s="1"/>
  <c r="BF70" i="2"/>
  <c r="BF80" i="2"/>
  <c r="AH80" i="2"/>
  <c r="BE80" i="2" s="1"/>
  <c r="AH66" i="2"/>
  <c r="BE66" i="2" s="1"/>
  <c r="BF66" i="2"/>
  <c r="BF76" i="2"/>
  <c r="AH76" i="2"/>
  <c r="BE76" i="2" s="1"/>
  <c r="CA22" i="2"/>
  <c r="CA23" i="2" s="1"/>
  <c r="CA24" i="2" s="1"/>
  <c r="CA25" i="2" s="1"/>
  <c r="CA26" i="2" s="1"/>
  <c r="CA20" i="2"/>
  <c r="BF34" i="2"/>
  <c r="AH34" i="2"/>
  <c r="BE34" i="2" s="1"/>
  <c r="BF72" i="2"/>
  <c r="AH72" i="2"/>
  <c r="BE72" i="2" s="1"/>
  <c r="AH78" i="2"/>
  <c r="BE78" i="2" s="1"/>
  <c r="BF78" i="2"/>
  <c r="AH83" i="2"/>
  <c r="BE83" i="2" s="1"/>
  <c r="AH88" i="2"/>
  <c r="BE88" i="2" s="1"/>
  <c r="F40" i="12"/>
  <c r="F16" i="12"/>
  <c r="B11" i="65"/>
  <c r="AY15" i="2"/>
  <c r="F13" i="65" s="1"/>
  <c r="A15" i="65"/>
  <c r="A18" i="65"/>
  <c r="B25" i="65"/>
  <c r="BC27" i="2"/>
  <c r="AZ28" i="2"/>
  <c r="B32" i="65"/>
  <c r="AR38" i="2"/>
  <c r="AB38" i="2"/>
  <c r="B36" i="65"/>
  <c r="N45" i="2"/>
  <c r="AR45" i="2"/>
  <c r="AZ45" i="2"/>
  <c r="B37" i="65"/>
  <c r="BC46" i="2"/>
  <c r="AP46" i="2"/>
  <c r="AS46" i="2" s="1"/>
  <c r="E37" i="65" s="1"/>
  <c r="J37" i="65" s="1"/>
  <c r="AZ46" i="2"/>
  <c r="AB56" i="2"/>
  <c r="AZ64" i="2"/>
  <c r="AR64" i="2"/>
  <c r="J64" i="2"/>
  <c r="AY65" i="2"/>
  <c r="AP65" i="2"/>
  <c r="N65" i="2"/>
  <c r="AZ65" i="2"/>
  <c r="R41" i="4"/>
  <c r="R43" i="4" s="1"/>
  <c r="U40" i="2" s="1"/>
  <c r="S41" i="4"/>
  <c r="S43" i="4" s="1"/>
  <c r="V40" i="2" s="1"/>
  <c r="V90" i="2" s="1"/>
  <c r="D13" i="3" s="1"/>
  <c r="I65" i="4"/>
  <c r="I60" i="4"/>
  <c r="I177" i="4"/>
  <c r="A178" i="4"/>
  <c r="I178" i="4" s="1"/>
  <c r="I179" i="4"/>
  <c r="I190" i="4"/>
  <c r="AM40" i="2" s="1"/>
  <c r="I54" i="5"/>
  <c r="A184" i="5"/>
  <c r="I184" i="5" s="1"/>
  <c r="I183" i="5"/>
  <c r="I54" i="6"/>
  <c r="R37" i="7"/>
  <c r="R39" i="7" s="1"/>
  <c r="U59" i="2" s="1"/>
  <c r="I53" i="7"/>
  <c r="I57" i="7"/>
  <c r="I186" i="7"/>
  <c r="AM59" i="2" s="1"/>
  <c r="I179" i="8"/>
  <c r="AJ60" i="2" s="1"/>
  <c r="M4" i="9"/>
  <c r="A66" i="9"/>
  <c r="A69" i="9" s="1"/>
  <c r="I69" i="9" s="1"/>
  <c r="I73" i="9" s="1"/>
  <c r="P73" i="9" s="1"/>
  <c r="P39" i="9" s="1"/>
  <c r="S61" i="2" s="1"/>
  <c r="I45" i="9"/>
  <c r="R37" i="10"/>
  <c r="R39" i="10" s="1"/>
  <c r="U62" i="2" s="1"/>
  <c r="BL90" i="2"/>
  <c r="F39" i="12"/>
  <c r="F15" i="12"/>
  <c r="N11" i="2"/>
  <c r="AP11" i="2"/>
  <c r="AY11" i="2"/>
  <c r="F11" i="65" s="1"/>
  <c r="N15" i="2"/>
  <c r="AP15" i="2"/>
  <c r="AZ15" i="2"/>
  <c r="B14" i="65"/>
  <c r="AZ16" i="2"/>
  <c r="AR16" i="2"/>
  <c r="AS41" i="38"/>
  <c r="AJ41" i="38"/>
  <c r="X41" i="38"/>
  <c r="AR41" i="38" s="1"/>
  <c r="AP24" i="2"/>
  <c r="N27" i="2"/>
  <c r="N28" i="2"/>
  <c r="AP28" i="2"/>
  <c r="AY28" i="2"/>
  <c r="B27" i="65"/>
  <c r="AZ31" i="2"/>
  <c r="B28" i="65"/>
  <c r="AY32" i="2"/>
  <c r="F28" i="65" s="1"/>
  <c r="AP32" i="2"/>
  <c r="N32" i="2"/>
  <c r="AZ32" i="2"/>
  <c r="AP37" i="2"/>
  <c r="AY37" i="2"/>
  <c r="F31" i="65" s="1"/>
  <c r="N38" i="2"/>
  <c r="AZ38" i="2" s="1"/>
  <c r="AY38" i="2"/>
  <c r="F32" i="65" s="1"/>
  <c r="B34" i="65"/>
  <c r="G70" i="12"/>
  <c r="BC40" i="2"/>
  <c r="AY40" i="2"/>
  <c r="F34" i="65" s="1"/>
  <c r="BC45" i="2"/>
  <c r="AR46" i="2"/>
  <c r="B38" i="65"/>
  <c r="B39" i="65"/>
  <c r="N47" i="2"/>
  <c r="AP47" i="2"/>
  <c r="AY47" i="2"/>
  <c r="N48" i="2"/>
  <c r="AZ48" i="2"/>
  <c r="A43" i="65"/>
  <c r="A42" i="65"/>
  <c r="N52" i="2"/>
  <c r="AY52" i="2"/>
  <c r="AZ55" i="2"/>
  <c r="AR59" i="2"/>
  <c r="J59" i="2"/>
  <c r="BC60" i="2"/>
  <c r="J60" i="2"/>
  <c r="AB60" i="2"/>
  <c r="AY60" i="2"/>
  <c r="G92" i="12"/>
  <c r="BC62" i="2"/>
  <c r="J62" i="2"/>
  <c r="J90" i="2" s="1"/>
  <c r="AB62" i="2"/>
  <c r="AB90" i="2" s="1"/>
  <c r="D14" i="3" s="1"/>
  <c r="AS62" i="2"/>
  <c r="N64" i="2"/>
  <c r="AR65" i="2"/>
  <c r="BC65" i="2"/>
  <c r="K90" i="2"/>
  <c r="M4" i="5"/>
  <c r="N44" i="5"/>
  <c r="N46" i="5" s="1"/>
  <c r="Q43" i="2" s="1"/>
  <c r="I66" i="5"/>
  <c r="I68" i="5"/>
  <c r="I70" i="5"/>
  <c r="I72" i="5"/>
  <c r="I74" i="5"/>
  <c r="I186" i="5"/>
  <c r="A187" i="5"/>
  <c r="I187" i="5" s="1"/>
  <c r="N37" i="6"/>
  <c r="N39" i="6" s="1"/>
  <c r="Q58" i="2" s="1"/>
  <c r="I186" i="6"/>
  <c r="AM58" i="2" s="1"/>
  <c r="A44" i="7"/>
  <c r="C45" i="7"/>
  <c r="A45" i="7" s="1"/>
  <c r="I45" i="7" s="1"/>
  <c r="M4" i="8"/>
  <c r="N37" i="8"/>
  <c r="N39" i="8" s="1"/>
  <c r="Q60" i="2" s="1"/>
  <c r="A66" i="8"/>
  <c r="A69" i="8" s="1"/>
  <c r="I69" i="8" s="1"/>
  <c r="I73" i="8" s="1"/>
  <c r="P73" i="8" s="1"/>
  <c r="P39" i="8" s="1"/>
  <c r="S60" i="2" s="1"/>
  <c r="I45" i="8"/>
  <c r="I53" i="8"/>
  <c r="I57" i="8"/>
  <c r="R37" i="9"/>
  <c r="R39" i="9" s="1"/>
  <c r="U61" i="2" s="1"/>
  <c r="S37" i="9"/>
  <c r="S39" i="9" s="1"/>
  <c r="V61" i="2" s="1"/>
  <c r="I49" i="9"/>
  <c r="I132" i="9"/>
  <c r="Q132" i="9" s="1"/>
  <c r="Q39" i="9" s="1"/>
  <c r="T61" i="2" s="1"/>
  <c r="I179" i="9"/>
  <c r="AJ61" i="2" s="1"/>
  <c r="AS7" i="2"/>
  <c r="E7" i="65" s="1"/>
  <c r="J7" i="65" s="1"/>
  <c r="BM92" i="2"/>
  <c r="BM90" i="2"/>
  <c r="F38" i="12"/>
  <c r="F14" i="12"/>
  <c r="AR11" i="2"/>
  <c r="AZ11" i="2"/>
  <c r="AY12" i="2"/>
  <c r="BC14" i="2"/>
  <c r="AR15" i="2"/>
  <c r="BC15" i="2"/>
  <c r="AB17" i="2"/>
  <c r="AS18" i="2"/>
  <c r="B18" i="65"/>
  <c r="B15" i="65"/>
  <c r="AZ22" i="2"/>
  <c r="AP22" i="2"/>
  <c r="AS22" i="2" s="1"/>
  <c r="AY22" i="2"/>
  <c r="A21" i="65"/>
  <c r="A19" i="65"/>
  <c r="A20" i="65"/>
  <c r="A16" i="65"/>
  <c r="B22" i="65"/>
  <c r="L24" i="2"/>
  <c r="AR24" i="2"/>
  <c r="AS24" i="2" s="1"/>
  <c r="E22" i="65" s="1"/>
  <c r="J22" i="65" s="1"/>
  <c r="AP27" i="2"/>
  <c r="AY27" i="2"/>
  <c r="F25" i="65" s="1"/>
  <c r="BC28" i="2"/>
  <c r="N31" i="2"/>
  <c r="AR32" i="2"/>
  <c r="BC32" i="2"/>
  <c r="B29" i="65"/>
  <c r="AY35" i="2"/>
  <c r="F29" i="65" s="1"/>
  <c r="AS36" i="2"/>
  <c r="E30" i="65" s="1"/>
  <c r="J30" i="65" s="1"/>
  <c r="B31" i="65"/>
  <c r="N37" i="2"/>
  <c r="AR37" i="2"/>
  <c r="AZ37" i="2"/>
  <c r="AP38" i="2"/>
  <c r="BC38" i="2"/>
  <c r="AP39" i="2"/>
  <c r="AY39" i="2"/>
  <c r="F33" i="65" s="1"/>
  <c r="N40" i="2"/>
  <c r="AP40" i="2"/>
  <c r="AP90" i="2" s="1"/>
  <c r="H27" i="3" s="1"/>
  <c r="AZ40" i="2"/>
  <c r="N46" i="2"/>
  <c r="AR47" i="2"/>
  <c r="AZ47" i="2"/>
  <c r="A41" i="65"/>
  <c r="A40" i="65"/>
  <c r="AR48" i="2"/>
  <c r="F42" i="65"/>
  <c r="F43" i="65"/>
  <c r="AP52" i="2"/>
  <c r="AR55" i="2"/>
  <c r="AY57" i="2"/>
  <c r="AP57" i="2"/>
  <c r="N57" i="2"/>
  <c r="AZ57" i="2"/>
  <c r="AZ58" i="2"/>
  <c r="AR58" i="2"/>
  <c r="AY58" i="2"/>
  <c r="M59" i="2"/>
  <c r="N59" i="2" s="1"/>
  <c r="AY59" i="2"/>
  <c r="N60" i="2"/>
  <c r="AP60" i="2"/>
  <c r="AZ60" i="2"/>
  <c r="N62" i="2"/>
  <c r="AY62" i="2"/>
  <c r="AY64" i="2"/>
  <c r="AH69" i="2"/>
  <c r="BE69" i="2" s="1"/>
  <c r="AH73" i="2"/>
  <c r="BE73" i="2" s="1"/>
  <c r="AH77" i="2"/>
  <c r="BE77" i="2" s="1"/>
  <c r="AH81" i="2"/>
  <c r="BE81" i="2" s="1"/>
  <c r="I59" i="4"/>
  <c r="I68" i="4"/>
  <c r="R44" i="5"/>
  <c r="R46" i="5" s="1"/>
  <c r="U43" i="2" s="1"/>
  <c r="I35" i="5"/>
  <c r="O35" i="5" s="1"/>
  <c r="O44" i="5" s="1"/>
  <c r="O46" i="5" s="1"/>
  <c r="R43" i="2" s="1"/>
  <c r="S44" i="5"/>
  <c r="S46" i="5" s="1"/>
  <c r="V43" i="2" s="1"/>
  <c r="I62" i="5"/>
  <c r="O37" i="6"/>
  <c r="O39" i="6" s="1"/>
  <c r="R58" i="2" s="1"/>
  <c r="M4" i="7"/>
  <c r="N37" i="7"/>
  <c r="N39" i="7" s="1"/>
  <c r="Q59" i="2" s="1"/>
  <c r="S37" i="8"/>
  <c r="S39" i="8" s="1"/>
  <c r="V60" i="2" s="1"/>
  <c r="I186" i="9"/>
  <c r="AM61" i="2" s="1"/>
  <c r="AS61" i="2" s="1"/>
  <c r="M4" i="10"/>
  <c r="AN92" i="2"/>
  <c r="F13" i="12"/>
  <c r="F37" i="12"/>
  <c r="BC11" i="2"/>
  <c r="N12" i="2"/>
  <c r="AP12" i="2"/>
  <c r="AZ12" i="2"/>
  <c r="M13" i="2"/>
  <c r="N16" i="2"/>
  <c r="AY16" i="2"/>
  <c r="F14" i="65" s="1"/>
  <c r="AS19" i="2"/>
  <c r="E17" i="65" s="1"/>
  <c r="J17" i="65" s="1"/>
  <c r="L22" i="2"/>
  <c r="BC22" i="2"/>
  <c r="F20" i="65"/>
  <c r="F16" i="65"/>
  <c r="F21" i="65"/>
  <c r="F19" i="65"/>
  <c r="N24" i="2"/>
  <c r="AY24" i="2"/>
  <c r="F22" i="65" s="1"/>
  <c r="AZ27" i="2"/>
  <c r="AY29" i="2"/>
  <c r="AP29" i="2"/>
  <c r="N29" i="2"/>
  <c r="AZ29" i="2"/>
  <c r="AP31" i="2"/>
  <c r="AY31" i="2"/>
  <c r="F27" i="65" s="1"/>
  <c r="AS33" i="2"/>
  <c r="N35" i="2"/>
  <c r="AP35" i="2"/>
  <c r="AZ35" i="2"/>
  <c r="BC37" i="2"/>
  <c r="B33" i="65"/>
  <c r="N39" i="2"/>
  <c r="AR39" i="2"/>
  <c r="AZ39" i="2"/>
  <c r="AS41" i="2"/>
  <c r="J45" i="2"/>
  <c r="AP45" i="2"/>
  <c r="AY45" i="2"/>
  <c r="F36" i="65" s="1"/>
  <c r="J46" i="2"/>
  <c r="AY46" i="2"/>
  <c r="F37" i="65" s="1"/>
  <c r="B40" i="65"/>
  <c r="B41" i="65"/>
  <c r="AY48" i="2"/>
  <c r="AP48" i="2"/>
  <c r="J48" i="2"/>
  <c r="AZ52" i="2"/>
  <c r="AR52" i="2"/>
  <c r="J52" i="2"/>
  <c r="AY55" i="2"/>
  <c r="AP55" i="2"/>
  <c r="J55" i="2"/>
  <c r="L92" i="12"/>
  <c r="H92" i="12"/>
  <c r="I92" i="12" s="1"/>
  <c r="M92" i="12"/>
  <c r="AP64" i="2"/>
  <c r="BC64" i="2"/>
  <c r="J65" i="2"/>
  <c r="BJ90" i="2"/>
  <c r="U27" i="3" s="1"/>
  <c r="AV90" i="2"/>
  <c r="U10" i="3" s="1"/>
  <c r="U18" i="3" s="1"/>
  <c r="AI90" i="2"/>
  <c r="D16" i="3" s="1"/>
  <c r="AS43" i="2"/>
  <c r="AS60" i="2"/>
  <c r="I47" i="4"/>
  <c r="I176" i="4"/>
  <c r="A180" i="4"/>
  <c r="C55" i="5"/>
  <c r="A55" i="5" s="1"/>
  <c r="I55" i="5" s="1"/>
  <c r="H120" i="5"/>
  <c r="I120" i="5" s="1"/>
  <c r="I143" i="5" s="1"/>
  <c r="Q143" i="5" s="1"/>
  <c r="Q46" i="5" s="1"/>
  <c r="T43" i="2" s="1"/>
  <c r="I185" i="5"/>
  <c r="I189" i="5" s="1"/>
  <c r="AJ43" i="2" s="1"/>
  <c r="H4" i="6"/>
  <c r="I4" i="6" s="1"/>
  <c r="A6" i="6"/>
  <c r="I43" i="6"/>
  <c r="H87" i="6"/>
  <c r="I87" i="6" s="1"/>
  <c r="I132" i="6" s="1"/>
  <c r="Q132" i="6" s="1"/>
  <c r="Q39" i="6" s="1"/>
  <c r="T58" i="2" s="1"/>
  <c r="H109" i="6"/>
  <c r="I109" i="6" s="1"/>
  <c r="J4" i="7"/>
  <c r="A22" i="7"/>
  <c r="I22" i="7" s="1"/>
  <c r="O22" i="7" s="1"/>
  <c r="O37" i="7" s="1"/>
  <c r="O39" i="7" s="1"/>
  <c r="R59" i="2" s="1"/>
  <c r="H110" i="7"/>
  <c r="I110" i="7" s="1"/>
  <c r="A22" i="8"/>
  <c r="I22" i="8" s="1"/>
  <c r="O22" i="8" s="1"/>
  <c r="O37" i="8" s="1"/>
  <c r="O39" i="8" s="1"/>
  <c r="R60" i="2" s="1"/>
  <c r="A177" i="8"/>
  <c r="I177" i="8" s="1"/>
  <c r="I18" i="9"/>
  <c r="O18" i="9" s="1"/>
  <c r="O37" i="9" s="1"/>
  <c r="O39" i="9" s="1"/>
  <c r="R61" i="2" s="1"/>
  <c r="I21" i="9"/>
  <c r="O21" i="9" s="1"/>
  <c r="A177" i="9"/>
  <c r="I177" i="9" s="1"/>
  <c r="A22" i="10"/>
  <c r="I22" i="10" s="1"/>
  <c r="O22" i="10" s="1"/>
  <c r="O37" i="10" s="1"/>
  <c r="O39" i="10" s="1"/>
  <c r="R62" i="2" s="1"/>
  <c r="R90" i="2" s="1"/>
  <c r="D10" i="3" s="1"/>
  <c r="A66" i="10"/>
  <c r="A69" i="10" s="1"/>
  <c r="I69" i="10" s="1"/>
  <c r="I73" i="10" s="1"/>
  <c r="P73" i="10" s="1"/>
  <c r="P39" i="10" s="1"/>
  <c r="S62" i="2" s="1"/>
  <c r="I46" i="10"/>
  <c r="I56" i="10"/>
  <c r="F32" i="11"/>
  <c r="G4" i="11"/>
  <c r="F26" i="11"/>
  <c r="AL66" i="38"/>
  <c r="Z66" i="38"/>
  <c r="N66" i="38"/>
  <c r="J4" i="9"/>
  <c r="N37" i="10"/>
  <c r="N39" i="10" s="1"/>
  <c r="Q62" i="2" s="1"/>
  <c r="Q90" i="2" s="1"/>
  <c r="D9" i="3" s="1"/>
  <c r="A177" i="10"/>
  <c r="I177" i="10" s="1"/>
  <c r="I176" i="10"/>
  <c r="C15" i="11"/>
  <c r="C18" i="11" s="1"/>
  <c r="C23" i="11" s="1"/>
  <c r="C28" i="11" s="1"/>
  <c r="G9" i="38"/>
  <c r="AS9" i="38"/>
  <c r="E9" i="37"/>
  <c r="C59" i="3"/>
  <c r="M4" i="4"/>
  <c r="C48" i="4"/>
  <c r="A48" i="4" s="1"/>
  <c r="I48" i="4" s="1"/>
  <c r="F6" i="5"/>
  <c r="F6" i="7"/>
  <c r="H87" i="7"/>
  <c r="I87" i="7" s="1"/>
  <c r="I132" i="7" s="1"/>
  <c r="Q132" i="7" s="1"/>
  <c r="Q39" i="7" s="1"/>
  <c r="T59" i="2" s="1"/>
  <c r="F6" i="8"/>
  <c r="F6" i="9"/>
  <c r="F6" i="10"/>
  <c r="I52" i="10"/>
  <c r="M51" i="12"/>
  <c r="L51" i="12"/>
  <c r="H51" i="12"/>
  <c r="I51" i="12" s="1"/>
  <c r="B20" i="65"/>
  <c r="B16" i="65"/>
  <c r="B21" i="65"/>
  <c r="B19" i="65"/>
  <c r="AR23" i="2"/>
  <c r="BC23" i="2"/>
  <c r="AP30" i="2"/>
  <c r="BC36" i="2"/>
  <c r="BC41" i="2"/>
  <c r="BC42" i="2"/>
  <c r="BC43" i="2"/>
  <c r="BC44" i="2"/>
  <c r="A39" i="65"/>
  <c r="A38" i="65"/>
  <c r="B42" i="65"/>
  <c r="B43" i="65"/>
  <c r="AS17" i="38"/>
  <c r="E10" i="37"/>
  <c r="G17" i="38"/>
  <c r="AR17" i="38" s="1"/>
  <c r="H92" i="4"/>
  <c r="I92" i="4" s="1"/>
  <c r="I137" i="4" s="1"/>
  <c r="Q137" i="4" s="1"/>
  <c r="Q43" i="4" s="1"/>
  <c r="T40" i="2" s="1"/>
  <c r="U13" i="12"/>
  <c r="U37" i="12"/>
  <c r="T38" i="12"/>
  <c r="S39" i="12"/>
  <c r="R40" i="12"/>
  <c r="J41" i="12"/>
  <c r="T42" i="12"/>
  <c r="H43" i="12"/>
  <c r="I43" i="12" s="1"/>
  <c r="L43" i="12"/>
  <c r="S43" i="12"/>
  <c r="R44" i="12"/>
  <c r="J45" i="12"/>
  <c r="T46" i="12"/>
  <c r="H47" i="12"/>
  <c r="I47" i="12" s="1"/>
  <c r="L47" i="12"/>
  <c r="S47" i="12"/>
  <c r="R48" i="12"/>
  <c r="J49" i="12"/>
  <c r="U49" i="12"/>
  <c r="T50" i="12"/>
  <c r="T51" i="12"/>
  <c r="H52" i="12"/>
  <c r="I52" i="12" s="1"/>
  <c r="L52" i="12"/>
  <c r="S52" i="12"/>
  <c r="R53" i="12"/>
  <c r="J54" i="12"/>
  <c r="U54" i="12"/>
  <c r="T55" i="12"/>
  <c r="H56" i="12"/>
  <c r="I56" i="12" s="1"/>
  <c r="L56" i="12"/>
  <c r="S56" i="12"/>
  <c r="R57" i="12"/>
  <c r="J58" i="12"/>
  <c r="U58" i="12"/>
  <c r="T59" i="12"/>
  <c r="H60" i="12"/>
  <c r="I60" i="12" s="1"/>
  <c r="L60" i="12"/>
  <c r="S60" i="12"/>
  <c r="R61" i="12"/>
  <c r="J62" i="12"/>
  <c r="U62" i="12"/>
  <c r="T63" i="12"/>
  <c r="H64" i="12"/>
  <c r="I64" i="12" s="1"/>
  <c r="L64" i="12"/>
  <c r="S64" i="12"/>
  <c r="R65" i="12"/>
  <c r="J66" i="12"/>
  <c r="U66" i="12"/>
  <c r="U67" i="12"/>
  <c r="U69" i="12"/>
  <c r="T71" i="12"/>
  <c r="R71" i="12"/>
  <c r="H73" i="12"/>
  <c r="I73" i="12" s="1"/>
  <c r="S73" i="12"/>
  <c r="T75" i="12"/>
  <c r="R75" i="12"/>
  <c r="H77" i="12"/>
  <c r="I77" i="12" s="1"/>
  <c r="S77" i="12"/>
  <c r="K78" i="12"/>
  <c r="T78" i="12"/>
  <c r="U79" i="12"/>
  <c r="L81" i="12"/>
  <c r="T83" i="12"/>
  <c r="R83" i="12"/>
  <c r="H85" i="12"/>
  <c r="I85" i="12" s="1"/>
  <c r="S85" i="12"/>
  <c r="L87" i="12"/>
  <c r="R89" i="12"/>
  <c r="T89" i="12"/>
  <c r="U91" i="12"/>
  <c r="R93" i="12"/>
  <c r="T93" i="12"/>
  <c r="L95" i="12"/>
  <c r="R97" i="12"/>
  <c r="T97" i="12"/>
  <c r="K161" i="13"/>
  <c r="I161" i="13"/>
  <c r="K170" i="13"/>
  <c r="I170" i="13"/>
  <c r="K207" i="13"/>
  <c r="I207" i="13"/>
  <c r="F17" i="11"/>
  <c r="G17" i="11" s="1"/>
  <c r="H17" i="11" s="1"/>
  <c r="I17" i="11" s="1"/>
  <c r="J17" i="11" s="1"/>
  <c r="K17" i="11" s="1"/>
  <c r="L17" i="11" s="1"/>
  <c r="M17" i="11" s="1"/>
  <c r="N17" i="11" s="1"/>
  <c r="O17" i="11" s="1"/>
  <c r="P17" i="11" s="1"/>
  <c r="Q17" i="11" s="1"/>
  <c r="R17" i="11" s="1"/>
  <c r="S17" i="11" s="1"/>
  <c r="T17" i="11" s="1"/>
  <c r="U17" i="11" s="1"/>
  <c r="V17" i="11" s="1"/>
  <c r="W17" i="11" s="1"/>
  <c r="X17" i="11" s="1"/>
  <c r="Y17" i="11" s="1"/>
  <c r="U38" i="12"/>
  <c r="T39" i="12"/>
  <c r="S40" i="12"/>
  <c r="R41" i="12"/>
  <c r="U42" i="12"/>
  <c r="T43" i="12"/>
  <c r="H44" i="12"/>
  <c r="I44" i="12" s="1"/>
  <c r="L44" i="12"/>
  <c r="S44" i="12"/>
  <c r="R45" i="12"/>
  <c r="U46" i="12"/>
  <c r="T47" i="12"/>
  <c r="H48" i="12"/>
  <c r="I48" i="12" s="1"/>
  <c r="L48" i="12"/>
  <c r="S48" i="12"/>
  <c r="R49" i="12"/>
  <c r="U50" i="12"/>
  <c r="T52" i="12"/>
  <c r="H53" i="12"/>
  <c r="I53" i="12" s="1"/>
  <c r="L53" i="12"/>
  <c r="S53" i="12"/>
  <c r="R54" i="12"/>
  <c r="U55" i="12"/>
  <c r="T56" i="12"/>
  <c r="H57" i="12"/>
  <c r="I57" i="12" s="1"/>
  <c r="L57" i="12"/>
  <c r="S57" i="12"/>
  <c r="R58" i="12"/>
  <c r="U59" i="12"/>
  <c r="T60" i="12"/>
  <c r="H61" i="12"/>
  <c r="I61" i="12" s="1"/>
  <c r="L61" i="12"/>
  <c r="S61" i="12"/>
  <c r="R62" i="12"/>
  <c r="U63" i="12"/>
  <c r="T64" i="12"/>
  <c r="H65" i="12"/>
  <c r="I65" i="12" s="1"/>
  <c r="L65" i="12"/>
  <c r="S65" i="12"/>
  <c r="L67" i="12"/>
  <c r="L69" i="12"/>
  <c r="H71" i="12"/>
  <c r="I71" i="12" s="1"/>
  <c r="S71" i="12"/>
  <c r="K72" i="12"/>
  <c r="T72" i="12"/>
  <c r="U73" i="12"/>
  <c r="K74" i="12"/>
  <c r="H75" i="12"/>
  <c r="I75" i="12" s="1"/>
  <c r="S75" i="12"/>
  <c r="K76" i="12"/>
  <c r="T76" i="12"/>
  <c r="U77" i="12"/>
  <c r="L79" i="12"/>
  <c r="R81" i="12"/>
  <c r="T81" i="12"/>
  <c r="H83" i="12"/>
  <c r="I83" i="12" s="1"/>
  <c r="S83" i="12"/>
  <c r="K84" i="12"/>
  <c r="T84" i="12"/>
  <c r="U85" i="12"/>
  <c r="H87" i="12"/>
  <c r="I87" i="12" s="1"/>
  <c r="T87" i="12"/>
  <c r="R87" i="12"/>
  <c r="H89" i="12"/>
  <c r="I89" i="12" s="1"/>
  <c r="S89" i="12"/>
  <c r="H93" i="12"/>
  <c r="I93" i="12" s="1"/>
  <c r="S93" i="12"/>
  <c r="T95" i="12"/>
  <c r="R95" i="12"/>
  <c r="H97" i="12"/>
  <c r="I97" i="12" s="1"/>
  <c r="T100" i="12"/>
  <c r="K159" i="13"/>
  <c r="I159" i="13"/>
  <c r="K168" i="13"/>
  <c r="I168" i="13"/>
  <c r="E39" i="11"/>
  <c r="S68" i="12"/>
  <c r="S98" i="12"/>
  <c r="S94" i="12"/>
  <c r="S90" i="12"/>
  <c r="S86" i="12"/>
  <c r="S74" i="12"/>
  <c r="S37" i="12"/>
  <c r="U39" i="12"/>
  <c r="T40" i="12"/>
  <c r="S41" i="12"/>
  <c r="U43" i="12"/>
  <c r="T44" i="12"/>
  <c r="S45" i="12"/>
  <c r="U47" i="12"/>
  <c r="T48" i="12"/>
  <c r="S49" i="12"/>
  <c r="U52" i="12"/>
  <c r="T53" i="12"/>
  <c r="S54" i="12"/>
  <c r="U56" i="12"/>
  <c r="T57" i="12"/>
  <c r="S58" i="12"/>
  <c r="U60" i="12"/>
  <c r="T61" i="12"/>
  <c r="S62" i="12"/>
  <c r="U64" i="12"/>
  <c r="T65" i="12"/>
  <c r="S66" i="12"/>
  <c r="T67" i="12"/>
  <c r="R67" i="12"/>
  <c r="R69" i="12"/>
  <c r="T69" i="12"/>
  <c r="T70" i="12"/>
  <c r="L73" i="12"/>
  <c r="T74" i="12"/>
  <c r="L77" i="12"/>
  <c r="T79" i="12"/>
  <c r="R79" i="12"/>
  <c r="S81" i="12"/>
  <c r="K82" i="12"/>
  <c r="T82" i="12"/>
  <c r="L85" i="12"/>
  <c r="T86" i="12"/>
  <c r="S87" i="12"/>
  <c r="K88" i="12"/>
  <c r="T88" i="12"/>
  <c r="T91" i="12"/>
  <c r="R91" i="12"/>
  <c r="T92" i="12"/>
  <c r="K94" i="12"/>
  <c r="S95" i="12"/>
  <c r="K96" i="12"/>
  <c r="T96" i="12"/>
  <c r="K98" i="12"/>
  <c r="T99" i="12"/>
  <c r="S99" i="12"/>
  <c r="R99" i="12"/>
  <c r="K100" i="12"/>
  <c r="J100" i="12"/>
  <c r="T37" i="12"/>
  <c r="U40" i="12"/>
  <c r="T41" i="12"/>
  <c r="U44" i="12"/>
  <c r="T45" i="12"/>
  <c r="U48" i="12"/>
  <c r="T49" i="12"/>
  <c r="U53" i="12"/>
  <c r="T54" i="12"/>
  <c r="U57" i="12"/>
  <c r="T58" i="12"/>
  <c r="S59" i="12"/>
  <c r="U61" i="12"/>
  <c r="T62" i="12"/>
  <c r="S63" i="12"/>
  <c r="U65" i="12"/>
  <c r="T66" i="12"/>
  <c r="S67" i="12"/>
  <c r="K68" i="12"/>
  <c r="T68" i="12"/>
  <c r="S69" i="12"/>
  <c r="L71" i="12"/>
  <c r="R73" i="12"/>
  <c r="T73" i="12"/>
  <c r="L75" i="12"/>
  <c r="R77" i="12"/>
  <c r="T77" i="12"/>
  <c r="S79" i="12"/>
  <c r="K80" i="12"/>
  <c r="T80" i="12"/>
  <c r="L83" i="12"/>
  <c r="R85" i="12"/>
  <c r="T85" i="12"/>
  <c r="L89" i="12"/>
  <c r="T90" i="12"/>
  <c r="S91" i="12"/>
  <c r="L93" i="12"/>
  <c r="T94" i="12"/>
  <c r="L97" i="12"/>
  <c r="K151" i="13"/>
  <c r="I151" i="13"/>
  <c r="K204" i="13"/>
  <c r="I204" i="13"/>
  <c r="K264" i="13"/>
  <c r="K266" i="13"/>
  <c r="K268" i="13"/>
  <c r="K270" i="13"/>
  <c r="I49" i="14"/>
  <c r="M4" i="18"/>
  <c r="I169" i="18"/>
  <c r="A170" i="18"/>
  <c r="I170" i="18" s="1"/>
  <c r="U68" i="12"/>
  <c r="S70" i="12"/>
  <c r="U72" i="12"/>
  <c r="U76" i="12"/>
  <c r="H78" i="12"/>
  <c r="I78" i="12" s="1"/>
  <c r="S78" i="12"/>
  <c r="U80" i="12"/>
  <c r="H82" i="12"/>
  <c r="I82" i="12" s="1"/>
  <c r="S82" i="12"/>
  <c r="U84" i="12"/>
  <c r="U88" i="12"/>
  <c r="U92" i="12"/>
  <c r="U96" i="12"/>
  <c r="U100" i="12"/>
  <c r="I344" i="13"/>
  <c r="I351" i="13"/>
  <c r="I353" i="13"/>
  <c r="R36" i="14"/>
  <c r="R38" i="14" s="1"/>
  <c r="U12" i="2" s="1"/>
  <c r="S36" i="14"/>
  <c r="S38" i="14" s="1"/>
  <c r="V12" i="2" s="1"/>
  <c r="I181" i="14"/>
  <c r="AM12" i="2" s="1"/>
  <c r="I58" i="15"/>
  <c r="I172" i="15"/>
  <c r="AJ13" i="2" s="1"/>
  <c r="I32" i="16"/>
  <c r="I34" i="16" s="1"/>
  <c r="M4" i="16"/>
  <c r="M32" i="16" s="1"/>
  <c r="M34" i="16" s="1"/>
  <c r="P15" i="2" s="1"/>
  <c r="I51" i="16"/>
  <c r="M4" i="17"/>
  <c r="R31" i="17"/>
  <c r="R33" i="17" s="1"/>
  <c r="U24" i="2" s="1"/>
  <c r="N31" i="17"/>
  <c r="N33" i="17" s="1"/>
  <c r="Q24" i="2" s="1"/>
  <c r="I42" i="18"/>
  <c r="A167" i="18"/>
  <c r="I167" i="18" s="1"/>
  <c r="I166" i="18"/>
  <c r="R34" i="19"/>
  <c r="R36" i="19" s="1"/>
  <c r="U39" i="2" s="1"/>
  <c r="N34" i="19"/>
  <c r="N36" i="19" s="1"/>
  <c r="Q39" i="2" s="1"/>
  <c r="S34" i="19"/>
  <c r="S36" i="19" s="1"/>
  <c r="V39" i="2" s="1"/>
  <c r="A166" i="20"/>
  <c r="I166" i="20" s="1"/>
  <c r="I165" i="20"/>
  <c r="I319" i="13"/>
  <c r="N36" i="14"/>
  <c r="N38" i="14" s="1"/>
  <c r="Q12" i="2" s="1"/>
  <c r="I55" i="14"/>
  <c r="I172" i="14"/>
  <c r="AJ12" i="2" s="1"/>
  <c r="M4" i="15"/>
  <c r="R36" i="15"/>
  <c r="R38" i="15" s="1"/>
  <c r="U13" i="2" s="1"/>
  <c r="I126" i="15"/>
  <c r="O32" i="16"/>
  <c r="O34" i="16" s="1"/>
  <c r="R15" i="2" s="1"/>
  <c r="I68" i="16"/>
  <c r="Q68" i="16" s="1"/>
  <c r="T15" i="2" s="1"/>
  <c r="A40" i="17"/>
  <c r="I40" i="17" s="1"/>
  <c r="I38" i="17"/>
  <c r="I145" i="17"/>
  <c r="AJ24" i="2" s="1"/>
  <c r="I44" i="18"/>
  <c r="A59" i="18"/>
  <c r="A62" i="18" s="1"/>
  <c r="I62" i="18" s="1"/>
  <c r="I66" i="18" s="1"/>
  <c r="I126" i="18"/>
  <c r="I172" i="18"/>
  <c r="AJ37" i="2" s="1"/>
  <c r="I179" i="18"/>
  <c r="AM37" i="2" s="1"/>
  <c r="M4" i="19"/>
  <c r="O34" i="19"/>
  <c r="O36" i="19" s="1"/>
  <c r="R39" i="2" s="1"/>
  <c r="R34" i="20"/>
  <c r="R36" i="20" s="1"/>
  <c r="U41" i="2" s="1"/>
  <c r="O34" i="20"/>
  <c r="O36" i="20" s="1"/>
  <c r="R41" i="2" s="1"/>
  <c r="R43" i="21"/>
  <c r="R45" i="21" s="1"/>
  <c r="U42" i="2" s="1"/>
  <c r="H68" i="12"/>
  <c r="I68" i="12" s="1"/>
  <c r="U70" i="12"/>
  <c r="H72" i="12"/>
  <c r="I72" i="12" s="1"/>
  <c r="S72" i="12"/>
  <c r="U74" i="12"/>
  <c r="H76" i="12"/>
  <c r="I76" i="12" s="1"/>
  <c r="S76" i="12"/>
  <c r="U78" i="12"/>
  <c r="H80" i="12"/>
  <c r="I80" i="12" s="1"/>
  <c r="S80" i="12"/>
  <c r="U82" i="12"/>
  <c r="H84" i="12"/>
  <c r="I84" i="12" s="1"/>
  <c r="S84" i="12"/>
  <c r="U86" i="12"/>
  <c r="H88" i="12"/>
  <c r="I88" i="12" s="1"/>
  <c r="S88" i="12"/>
  <c r="U90" i="12"/>
  <c r="S92" i="12"/>
  <c r="U94" i="12"/>
  <c r="H96" i="12"/>
  <c r="I96" i="12" s="1"/>
  <c r="S96" i="12"/>
  <c r="U98" i="12"/>
  <c r="H100" i="12"/>
  <c r="I100" i="12" s="1"/>
  <c r="S100" i="12"/>
  <c r="R32" i="16"/>
  <c r="R34" i="16" s="1"/>
  <c r="U15" i="2" s="1"/>
  <c r="N32" i="16"/>
  <c r="N34" i="16" s="1"/>
  <c r="Q15" i="2" s="1"/>
  <c r="S34" i="16"/>
  <c r="V15" i="2" s="1"/>
  <c r="S31" i="17"/>
  <c r="S33" i="17" s="1"/>
  <c r="V24" i="2" s="1"/>
  <c r="I126" i="17"/>
  <c r="Q126" i="17" s="1"/>
  <c r="Q33" i="17" s="1"/>
  <c r="T24" i="2" s="1"/>
  <c r="O35" i="18"/>
  <c r="O37" i="18" s="1"/>
  <c r="R37" i="2" s="1"/>
  <c r="I57" i="18"/>
  <c r="S34" i="20"/>
  <c r="S36" i="20" s="1"/>
  <c r="V41" i="2" s="1"/>
  <c r="I379" i="13"/>
  <c r="I381" i="13"/>
  <c r="K385" i="13"/>
  <c r="K387" i="13"/>
  <c r="K390" i="13"/>
  <c r="A15" i="15"/>
  <c r="I15" i="15" s="1"/>
  <c r="O15" i="15" s="1"/>
  <c r="O36" i="15" s="1"/>
  <c r="O38" i="15" s="1"/>
  <c r="R13" i="2" s="1"/>
  <c r="I11" i="17"/>
  <c r="O11" i="17" s="1"/>
  <c r="O31" i="17" s="1"/>
  <c r="O33" i="17" s="1"/>
  <c r="R24" i="2" s="1"/>
  <c r="I168" i="18"/>
  <c r="A43" i="20"/>
  <c r="I43" i="20" s="1"/>
  <c r="A41" i="20"/>
  <c r="F6" i="20"/>
  <c r="C53" i="21"/>
  <c r="A53" i="21" s="1"/>
  <c r="F6" i="21"/>
  <c r="J6" i="22"/>
  <c r="H6" i="22"/>
  <c r="I6" i="22" s="1"/>
  <c r="M6" i="22" s="1"/>
  <c r="R35" i="22"/>
  <c r="R37" i="22" s="1"/>
  <c r="U38" i="2" s="1"/>
  <c r="A170" i="22"/>
  <c r="I170" i="22" s="1"/>
  <c r="I169" i="22"/>
  <c r="I41" i="23"/>
  <c r="M4" i="29"/>
  <c r="I153" i="29"/>
  <c r="Y55" i="2" s="1"/>
  <c r="AB55" i="2" s="1"/>
  <c r="J148" i="29"/>
  <c r="S37" i="31"/>
  <c r="S39" i="31" s="1"/>
  <c r="I45" i="31"/>
  <c r="I53" i="31"/>
  <c r="I57" i="31"/>
  <c r="S37" i="32"/>
  <c r="S39" i="32" s="1"/>
  <c r="V57" i="2" s="1"/>
  <c r="A15" i="14"/>
  <c r="I15" i="14" s="1"/>
  <c r="O15" i="14" s="1"/>
  <c r="O36" i="14" s="1"/>
  <c r="O38" i="14" s="1"/>
  <c r="R12" i="2" s="1"/>
  <c r="F6" i="15"/>
  <c r="A43" i="15"/>
  <c r="A45" i="15"/>
  <c r="I45" i="15" s="1"/>
  <c r="A12" i="18"/>
  <c r="I12" i="18" s="1"/>
  <c r="R12" i="18" s="1"/>
  <c r="R35" i="18" s="1"/>
  <c r="R37" i="18" s="1"/>
  <c r="U37" i="2" s="1"/>
  <c r="F6" i="19"/>
  <c r="H104" i="19"/>
  <c r="I104" i="19" s="1"/>
  <c r="H103" i="19"/>
  <c r="I103" i="19" s="1"/>
  <c r="H81" i="19"/>
  <c r="I81" i="19" s="1"/>
  <c r="I126" i="19" s="1"/>
  <c r="I21" i="21"/>
  <c r="O21" i="21" s="1"/>
  <c r="O43" i="21" s="1"/>
  <c r="O45" i="21" s="1"/>
  <c r="R42" i="2" s="1"/>
  <c r="I52" i="21"/>
  <c r="I63" i="21"/>
  <c r="I69" i="21"/>
  <c r="I73" i="21"/>
  <c r="I182" i="21"/>
  <c r="A183" i="21"/>
  <c r="I183" i="21" s="1"/>
  <c r="I195" i="21"/>
  <c r="AM42" i="2" s="1"/>
  <c r="AS42" i="2" s="1"/>
  <c r="N35" i="22"/>
  <c r="N37" i="22" s="1"/>
  <c r="Q38" i="2" s="1"/>
  <c r="I42" i="22"/>
  <c r="A59" i="22"/>
  <c r="A62" i="22" s="1"/>
  <c r="I62" i="22" s="1"/>
  <c r="I66" i="22" s="1"/>
  <c r="P66" i="22" s="1"/>
  <c r="P37" i="22" s="1"/>
  <c r="S38" i="2" s="1"/>
  <c r="M4" i="23"/>
  <c r="R34" i="23"/>
  <c r="R36" i="23" s="1"/>
  <c r="U45" i="2" s="1"/>
  <c r="I153" i="23"/>
  <c r="Y45" i="2" s="1"/>
  <c r="AB45" i="2" s="1"/>
  <c r="J148" i="23"/>
  <c r="I43" i="25"/>
  <c r="I19" i="25"/>
  <c r="O19" i="25" s="1"/>
  <c r="N36" i="25"/>
  <c r="N38" i="25" s="1"/>
  <c r="Q47" i="2" s="1"/>
  <c r="S36" i="25"/>
  <c r="S38" i="25" s="1"/>
  <c r="V47" i="2" s="1"/>
  <c r="I41" i="26"/>
  <c r="I179" i="27"/>
  <c r="AM53" i="2" s="1"/>
  <c r="N36" i="28"/>
  <c r="N38" i="28" s="1"/>
  <c r="Q54" i="2" s="1"/>
  <c r="I172" i="28"/>
  <c r="AJ54" i="2" s="1"/>
  <c r="I167" i="28"/>
  <c r="R35" i="29"/>
  <c r="R37" i="29" s="1"/>
  <c r="U55" i="2" s="1"/>
  <c r="I172" i="30"/>
  <c r="AJ56" i="2" s="1"/>
  <c r="I167" i="30"/>
  <c r="I37" i="31"/>
  <c r="I39" i="31" s="1"/>
  <c r="N37" i="31"/>
  <c r="N39" i="31" s="1"/>
  <c r="O37" i="32"/>
  <c r="O39" i="32" s="1"/>
  <c r="R57" i="2" s="1"/>
  <c r="M4" i="14"/>
  <c r="M36" i="14" s="1"/>
  <c r="M38" i="14" s="1"/>
  <c r="P12" i="2" s="1"/>
  <c r="F5" i="17"/>
  <c r="H5" i="17" s="1"/>
  <c r="I5" i="17" s="1"/>
  <c r="I6" i="18"/>
  <c r="M6" i="18" s="1"/>
  <c r="A43" i="19"/>
  <c r="I43" i="19" s="1"/>
  <c r="I164" i="20"/>
  <c r="A169" i="20"/>
  <c r="I169" i="20" s="1"/>
  <c r="I61" i="21"/>
  <c r="I68" i="21"/>
  <c r="I72" i="21"/>
  <c r="J4" i="22"/>
  <c r="H4" i="22"/>
  <c r="I4" i="22" s="1"/>
  <c r="I15" i="22"/>
  <c r="O15" i="22" s="1"/>
  <c r="O35" i="22" s="1"/>
  <c r="O37" i="22" s="1"/>
  <c r="R38" i="2" s="1"/>
  <c r="S34" i="23"/>
  <c r="S36" i="23" s="1"/>
  <c r="V45" i="2" s="1"/>
  <c r="S36" i="24"/>
  <c r="S38" i="24" s="1"/>
  <c r="V46" i="2" s="1"/>
  <c r="I126" i="24"/>
  <c r="Q126" i="24" s="1"/>
  <c r="Q38" i="24" s="1"/>
  <c r="T46" i="2" s="1"/>
  <c r="M4" i="25"/>
  <c r="R36" i="25"/>
  <c r="R38" i="25" s="1"/>
  <c r="U47" i="2" s="1"/>
  <c r="M4" i="26"/>
  <c r="R34" i="26"/>
  <c r="R36" i="26" s="1"/>
  <c r="U48" i="2" s="1"/>
  <c r="N34" i="26"/>
  <c r="N36" i="26" s="1"/>
  <c r="Q48" i="2" s="1"/>
  <c r="S34" i="26"/>
  <c r="S36" i="26" s="1"/>
  <c r="V48" i="2" s="1"/>
  <c r="I126" i="26"/>
  <c r="Q126" i="26" s="1"/>
  <c r="Q36" i="26" s="1"/>
  <c r="T48" i="2" s="1"/>
  <c r="O36" i="27"/>
  <c r="O38" i="27" s="1"/>
  <c r="R53" i="2" s="1"/>
  <c r="S36" i="27"/>
  <c r="S38" i="27" s="1"/>
  <c r="V53" i="2" s="1"/>
  <c r="I172" i="27"/>
  <c r="AJ53" i="2" s="1"/>
  <c r="R36" i="28"/>
  <c r="R38" i="28" s="1"/>
  <c r="U54" i="2" s="1"/>
  <c r="N35" i="29"/>
  <c r="N37" i="29" s="1"/>
  <c r="Q55" i="2" s="1"/>
  <c r="I182" i="29"/>
  <c r="AJ55" i="2" s="1"/>
  <c r="I177" i="29"/>
  <c r="R36" i="30"/>
  <c r="R38" i="30" s="1"/>
  <c r="U56" i="2" s="1"/>
  <c r="A43" i="14"/>
  <c r="I56" i="19"/>
  <c r="H4" i="20"/>
  <c r="I4" i="20" s="1"/>
  <c r="J4" i="20"/>
  <c r="I171" i="20"/>
  <c r="AJ41" i="2" s="1"/>
  <c r="C54" i="21"/>
  <c r="A54" i="21" s="1"/>
  <c r="I54" i="21" s="1"/>
  <c r="H119" i="21"/>
  <c r="I119" i="21" s="1"/>
  <c r="H97" i="21"/>
  <c r="I97" i="21" s="1"/>
  <c r="I142" i="21" s="1"/>
  <c r="Q142" i="21" s="1"/>
  <c r="Q45" i="21" s="1"/>
  <c r="T42" i="2" s="1"/>
  <c r="H120" i="21"/>
  <c r="I120" i="21" s="1"/>
  <c r="A185" i="21"/>
  <c r="I166" i="22"/>
  <c r="A167" i="22"/>
  <c r="I167" i="22" s="1"/>
  <c r="I36" i="24"/>
  <c r="I38" i="24" s="1"/>
  <c r="M4" i="24"/>
  <c r="M36" i="24" s="1"/>
  <c r="M38" i="24" s="1"/>
  <c r="P46" i="2" s="1"/>
  <c r="M9" i="24"/>
  <c r="J9" i="24"/>
  <c r="R36" i="24"/>
  <c r="R38" i="24" s="1"/>
  <c r="U46" i="2" s="1"/>
  <c r="O36" i="24"/>
  <c r="O38" i="24" s="1"/>
  <c r="R46" i="2" s="1"/>
  <c r="I174" i="25"/>
  <c r="AM47" i="2" s="1"/>
  <c r="I14" i="26"/>
  <c r="O14" i="26" s="1"/>
  <c r="I153" i="26"/>
  <c r="Y48" i="2" s="1"/>
  <c r="AB48" i="2" s="1"/>
  <c r="J148" i="26"/>
  <c r="R36" i="27"/>
  <c r="R38" i="27" s="1"/>
  <c r="U53" i="2" s="1"/>
  <c r="I179" i="28"/>
  <c r="AM54" i="2" s="1"/>
  <c r="AS54" i="2" s="1"/>
  <c r="S35" i="29"/>
  <c r="S37" i="29" s="1"/>
  <c r="V55" i="2" s="1"/>
  <c r="J157" i="29"/>
  <c r="I160" i="29"/>
  <c r="AF55" i="2" s="1"/>
  <c r="M4" i="30"/>
  <c r="I179" i="30"/>
  <c r="AM56" i="2" s="1"/>
  <c r="R37" i="31"/>
  <c r="R39" i="31" s="1"/>
  <c r="I179" i="31"/>
  <c r="C57" i="21"/>
  <c r="A57" i="21" s="1"/>
  <c r="I165" i="22"/>
  <c r="I172" i="22" s="1"/>
  <c r="AJ38" i="2" s="1"/>
  <c r="F6" i="23"/>
  <c r="A14" i="23"/>
  <c r="I14" i="23" s="1"/>
  <c r="O14" i="23" s="1"/>
  <c r="O34" i="23" s="1"/>
  <c r="O36" i="23" s="1"/>
  <c r="R45" i="2" s="1"/>
  <c r="H105" i="23"/>
  <c r="I105" i="23" s="1"/>
  <c r="I127" i="23" s="1"/>
  <c r="J4" i="24"/>
  <c r="A43" i="24"/>
  <c r="J9" i="25"/>
  <c r="I18" i="25"/>
  <c r="O18" i="25" s="1"/>
  <c r="O36" i="25" s="1"/>
  <c r="O38" i="25" s="1"/>
  <c r="R47" i="2" s="1"/>
  <c r="H104" i="25"/>
  <c r="I104" i="25" s="1"/>
  <c r="I13" i="26"/>
  <c r="O13" i="26" s="1"/>
  <c r="L1" i="27"/>
  <c r="K53" i="2" s="1"/>
  <c r="A6" i="27"/>
  <c r="J6" i="27"/>
  <c r="H81" i="27"/>
  <c r="I81" i="27" s="1"/>
  <c r="H103" i="27"/>
  <c r="I103" i="27" s="1"/>
  <c r="A17" i="28"/>
  <c r="I17" i="28" s="1"/>
  <c r="O17" i="28" s="1"/>
  <c r="O36" i="28" s="1"/>
  <c r="O38" i="28" s="1"/>
  <c r="R54" i="2" s="1"/>
  <c r="A170" i="28"/>
  <c r="I170" i="28" s="1"/>
  <c r="I13" i="29"/>
  <c r="O13" i="29" s="1"/>
  <c r="I15" i="29"/>
  <c r="O15" i="29" s="1"/>
  <c r="M25" i="29"/>
  <c r="A54" i="29"/>
  <c r="I54" i="29" s="1"/>
  <c r="H81" i="29"/>
  <c r="I81" i="29" s="1"/>
  <c r="I126" i="29" s="1"/>
  <c r="Q126" i="29" s="1"/>
  <c r="Q37" i="29" s="1"/>
  <c r="T55" i="2" s="1"/>
  <c r="H103" i="29"/>
  <c r="I103" i="29" s="1"/>
  <c r="L1" i="30"/>
  <c r="K56" i="2" s="1"/>
  <c r="F6" i="30"/>
  <c r="I43" i="30"/>
  <c r="A45" i="30"/>
  <c r="I45" i="30" s="1"/>
  <c r="A170" i="30"/>
  <c r="I170" i="30" s="1"/>
  <c r="J6" i="31"/>
  <c r="A174" i="31"/>
  <c r="I174" i="31" s="1"/>
  <c r="I55" i="32"/>
  <c r="I172" i="33"/>
  <c r="AJ63" i="2" s="1"/>
  <c r="I15" i="34"/>
  <c r="O15" i="34" s="1"/>
  <c r="I153" i="34"/>
  <c r="Y64" i="2" s="1"/>
  <c r="AB64" i="2" s="1"/>
  <c r="J148" i="34"/>
  <c r="S39" i="35"/>
  <c r="S41" i="35" s="1"/>
  <c r="V65" i="2" s="1"/>
  <c r="C21" i="36"/>
  <c r="C20" i="36"/>
  <c r="D36" i="37"/>
  <c r="I6" i="25"/>
  <c r="M6" i="25" s="1"/>
  <c r="I15" i="26"/>
  <c r="O15" i="26" s="1"/>
  <c r="A43" i="26"/>
  <c r="I43" i="26" s="1"/>
  <c r="J4" i="29"/>
  <c r="J6" i="29"/>
  <c r="A59" i="29"/>
  <c r="A62" i="29" s="1"/>
  <c r="I62" i="29" s="1"/>
  <c r="I66" i="29" s="1"/>
  <c r="P66" i="29" s="1"/>
  <c r="P37" i="29" s="1"/>
  <c r="S55" i="2" s="1"/>
  <c r="I176" i="29"/>
  <c r="I186" i="31"/>
  <c r="R37" i="32"/>
  <c r="R39" i="32" s="1"/>
  <c r="U57" i="2" s="1"/>
  <c r="C44" i="32"/>
  <c r="A44" i="32" s="1"/>
  <c r="I44" i="32" s="1"/>
  <c r="I132" i="32"/>
  <c r="Q132" i="32" s="1"/>
  <c r="Q39" i="32" s="1"/>
  <c r="T57" i="2" s="1"/>
  <c r="O36" i="34"/>
  <c r="O38" i="34" s="1"/>
  <c r="R64" i="2" s="1"/>
  <c r="I51" i="35"/>
  <c r="I53" i="35"/>
  <c r="I175" i="35"/>
  <c r="AJ65" i="2" s="1"/>
  <c r="D18" i="36"/>
  <c r="F17" i="36"/>
  <c r="D21" i="36"/>
  <c r="D20" i="36"/>
  <c r="A43" i="23"/>
  <c r="I43" i="23" s="1"/>
  <c r="A45" i="25"/>
  <c r="I45" i="25" s="1"/>
  <c r="H81" i="25"/>
  <c r="I81" i="25" s="1"/>
  <c r="I126" i="25" s="1"/>
  <c r="Q126" i="25" s="1"/>
  <c r="Q38" i="25" s="1"/>
  <c r="T47" i="2" s="1"/>
  <c r="F6" i="26"/>
  <c r="F6" i="32"/>
  <c r="C48" i="32"/>
  <c r="A48" i="32" s="1"/>
  <c r="I48" i="32" s="1"/>
  <c r="I186" i="32"/>
  <c r="AM57" i="2" s="1"/>
  <c r="I36" i="33"/>
  <c r="I38" i="33" s="1"/>
  <c r="M4" i="33"/>
  <c r="M36" i="33" s="1"/>
  <c r="M38" i="33" s="1"/>
  <c r="P63" i="2" s="1"/>
  <c r="O36" i="33"/>
  <c r="O38" i="33" s="1"/>
  <c r="R63" i="2" s="1"/>
  <c r="H103" i="33"/>
  <c r="I103" i="33" s="1"/>
  <c r="H81" i="33"/>
  <c r="I81" i="33" s="1"/>
  <c r="H104" i="33"/>
  <c r="I104" i="33" s="1"/>
  <c r="I6" i="34"/>
  <c r="M6" i="34" s="1"/>
  <c r="M36" i="34" s="1"/>
  <c r="M38" i="34" s="1"/>
  <c r="P64" i="2" s="1"/>
  <c r="N36" i="34"/>
  <c r="N38" i="34" s="1"/>
  <c r="Q64" i="2" s="1"/>
  <c r="S36" i="34"/>
  <c r="S38" i="34" s="1"/>
  <c r="V64" i="2" s="1"/>
  <c r="I175" i="34"/>
  <c r="AJ64" i="2" s="1"/>
  <c r="M4" i="35"/>
  <c r="J148" i="35"/>
  <c r="I153" i="35"/>
  <c r="AJ64" i="38"/>
  <c r="AJ62" i="38" s="1"/>
  <c r="AJ61" i="38" s="1"/>
  <c r="AI20" i="38"/>
  <c r="I4" i="27"/>
  <c r="M4" i="28"/>
  <c r="M36" i="28" s="1"/>
  <c r="M38" i="28" s="1"/>
  <c r="P54" i="2" s="1"/>
  <c r="M4" i="32"/>
  <c r="I43" i="32"/>
  <c r="I56" i="32"/>
  <c r="A174" i="32"/>
  <c r="I174" i="32" s="1"/>
  <c r="R36" i="33"/>
  <c r="R38" i="33" s="1"/>
  <c r="U63" i="2" s="1"/>
  <c r="H6" i="34"/>
  <c r="J6" i="34"/>
  <c r="N39" i="35"/>
  <c r="N41" i="35" s="1"/>
  <c r="Q65" i="2" s="1"/>
  <c r="I50" i="35"/>
  <c r="I52" i="35"/>
  <c r="E44" i="36"/>
  <c r="E45" i="36" s="1"/>
  <c r="C66" i="36"/>
  <c r="BD14" i="38"/>
  <c r="BD15" i="38" s="1"/>
  <c r="BD16" i="38" s="1"/>
  <c r="BD17" i="38" s="1"/>
  <c r="BD18" i="38" s="1"/>
  <c r="BD19" i="38" s="1"/>
  <c r="BD20" i="38" s="1"/>
  <c r="BD21" i="38" s="1"/>
  <c r="BD22" i="38" s="1"/>
  <c r="BD23" i="38" s="1"/>
  <c r="BD24" i="38" s="1"/>
  <c r="BD25" i="38" s="1"/>
  <c r="BD12" i="38"/>
  <c r="BD13" i="38" s="1"/>
  <c r="I43" i="34"/>
  <c r="A45" i="34"/>
  <c r="I45" i="34" s="1"/>
  <c r="A173" i="34"/>
  <c r="I173" i="34" s="1"/>
  <c r="I13" i="35"/>
  <c r="O13" i="35" s="1"/>
  <c r="O39" i="35" s="1"/>
  <c r="O41" i="35" s="1"/>
  <c r="R65" i="2" s="1"/>
  <c r="I15" i="35"/>
  <c r="O15" i="35" s="1"/>
  <c r="A170" i="35"/>
  <c r="I170" i="35" s="1"/>
  <c r="E15" i="36"/>
  <c r="E22" i="36" s="1"/>
  <c r="E23" i="36" s="1"/>
  <c r="E19" i="36"/>
  <c r="F19" i="36" s="1"/>
  <c r="O10" i="38"/>
  <c r="S10" i="38"/>
  <c r="W10" i="38"/>
  <c r="AA10" i="38"/>
  <c r="AE10" i="38"/>
  <c r="AI10" i="38"/>
  <c r="AI7" i="38" s="1"/>
  <c r="AM10" i="38"/>
  <c r="H12" i="38"/>
  <c r="M12" i="38"/>
  <c r="M7" i="38" s="1"/>
  <c r="S12" i="38"/>
  <c r="AA12" i="38"/>
  <c r="O21" i="38"/>
  <c r="W21" i="38"/>
  <c r="AE21" i="38"/>
  <c r="AM21" i="38"/>
  <c r="AT46" i="38"/>
  <c r="AP53" i="38"/>
  <c r="G8" i="40"/>
  <c r="G7" i="40"/>
  <c r="H7" i="40" s="1"/>
  <c r="I7" i="40" s="1"/>
  <c r="M7" i="40" s="1"/>
  <c r="H6" i="40"/>
  <c r="I6" i="40" s="1"/>
  <c r="P6" i="40" s="1"/>
  <c r="I97" i="40"/>
  <c r="Q97" i="40" s="1"/>
  <c r="T7" i="2" s="1"/>
  <c r="J4" i="35"/>
  <c r="A49" i="35"/>
  <c r="I49" i="35" s="1"/>
  <c r="C14" i="36"/>
  <c r="G65" i="38"/>
  <c r="R20" i="38"/>
  <c r="Z20" i="38"/>
  <c r="AH20" i="38"/>
  <c r="AI64" i="38"/>
  <c r="AI62" i="38" s="1"/>
  <c r="AI61" i="38" s="1"/>
  <c r="AT40" i="38"/>
  <c r="AT50" i="38"/>
  <c r="H6" i="41"/>
  <c r="I6" i="41" s="1"/>
  <c r="P6" i="41" s="1"/>
  <c r="G8" i="41"/>
  <c r="G7" i="41"/>
  <c r="H7" i="41" s="1"/>
  <c r="I7" i="41" s="1"/>
  <c r="M7" i="41" s="1"/>
  <c r="I169" i="33"/>
  <c r="F6" i="35"/>
  <c r="D14" i="36"/>
  <c r="C15" i="36"/>
  <c r="C22" i="36" s="1"/>
  <c r="D44" i="36"/>
  <c r="H6" i="38"/>
  <c r="AN12" i="38"/>
  <c r="AN7" i="38" s="1"/>
  <c r="AJ12" i="38"/>
  <c r="AF12" i="38"/>
  <c r="AF7" i="38" s="1"/>
  <c r="AB12" i="38"/>
  <c r="AB7" i="38" s="1"/>
  <c r="X12" i="38"/>
  <c r="X7" i="38" s="1"/>
  <c r="T12" i="38"/>
  <c r="T7" i="38" s="1"/>
  <c r="P12" i="38"/>
  <c r="P7" i="38" s="1"/>
  <c r="L12" i="38"/>
  <c r="AO12" i="38"/>
  <c r="AO7" i="38" s="1"/>
  <c r="AK12" i="38"/>
  <c r="AK7" i="38" s="1"/>
  <c r="AG12" i="38"/>
  <c r="AG7" i="38" s="1"/>
  <c r="AC12" i="38"/>
  <c r="AC7" i="38" s="1"/>
  <c r="Y12" i="38"/>
  <c r="Y7" i="38" s="1"/>
  <c r="U12" i="38"/>
  <c r="U7" i="38" s="1"/>
  <c r="Q12" i="38"/>
  <c r="Q7" i="38" s="1"/>
  <c r="J12" i="38"/>
  <c r="O12" i="38"/>
  <c r="W12" i="38"/>
  <c r="AE12" i="38"/>
  <c r="AM12" i="38"/>
  <c r="S21" i="38"/>
  <c r="AA21" i="38"/>
  <c r="AT52" i="38"/>
  <c r="I118" i="40"/>
  <c r="AJ7" i="2" s="1"/>
  <c r="I112" i="41"/>
  <c r="AJ8" i="2" s="1"/>
  <c r="G8" i="42"/>
  <c r="G7" i="42"/>
  <c r="H7" i="42" s="1"/>
  <c r="I7" i="42" s="1"/>
  <c r="M7" i="42" s="1"/>
  <c r="H6" i="42"/>
  <c r="I6" i="42" s="1"/>
  <c r="P6" i="42" s="1"/>
  <c r="I43" i="33"/>
  <c r="H81" i="34"/>
  <c r="I81" i="34" s="1"/>
  <c r="I126" i="34" s="1"/>
  <c r="Q126" i="34" s="1"/>
  <c r="Q38" i="34" s="1"/>
  <c r="T64" i="2" s="1"/>
  <c r="H81" i="35"/>
  <c r="I81" i="35" s="1"/>
  <c r="I126" i="35" s="1"/>
  <c r="Q126" i="35" s="1"/>
  <c r="Q41" i="35" s="1"/>
  <c r="T65" i="2" s="1"/>
  <c r="D15" i="36"/>
  <c r="D22" i="36" s="1"/>
  <c r="D23" i="36" s="1"/>
  <c r="J10" i="38"/>
  <c r="N10" i="38"/>
  <c r="N7" i="38" s="1"/>
  <c r="R10" i="38"/>
  <c r="V10" i="38"/>
  <c r="V7" i="38" s="1"/>
  <c r="Z10" i="38"/>
  <c r="AD10" i="38"/>
  <c r="AD7" i="38" s="1"/>
  <c r="AH10" i="38"/>
  <c r="AH7" i="38" s="1"/>
  <c r="AL10" i="38"/>
  <c r="AL7" i="38" s="1"/>
  <c r="G12" i="38"/>
  <c r="K12" i="38"/>
  <c r="R12" i="38"/>
  <c r="Z12" i="38"/>
  <c r="AH12" i="38"/>
  <c r="AP12" i="38"/>
  <c r="AP7" i="38" s="1"/>
  <c r="AR14" i="38"/>
  <c r="AT14" i="38" s="1"/>
  <c r="AN21" i="38"/>
  <c r="AJ21" i="38"/>
  <c r="AF21" i="38"/>
  <c r="AB21" i="38"/>
  <c r="X21" i="38"/>
  <c r="T21" i="38"/>
  <c r="P21" i="38"/>
  <c r="AO21" i="38"/>
  <c r="AK21" i="38"/>
  <c r="AG21" i="38"/>
  <c r="AC21" i="38"/>
  <c r="Y21" i="38"/>
  <c r="U21" i="38"/>
  <c r="Q21" i="38"/>
  <c r="M21" i="38"/>
  <c r="I21" i="38"/>
  <c r="N21" i="38"/>
  <c r="V21" i="38"/>
  <c r="AD21" i="38"/>
  <c r="AL21" i="38"/>
  <c r="AT45" i="38"/>
  <c r="S53" i="40"/>
  <c r="S61" i="40" s="1"/>
  <c r="V7" i="2" s="1"/>
  <c r="I57" i="40"/>
  <c r="P65" i="41"/>
  <c r="A65" i="41" s="1"/>
  <c r="G47" i="38"/>
  <c r="G56" i="38"/>
  <c r="G53" i="38" s="1"/>
  <c r="K56" i="38"/>
  <c r="K53" i="38" s="1"/>
  <c r="O56" i="38"/>
  <c r="O53" i="38" s="1"/>
  <c r="S56" i="38"/>
  <c r="S53" i="38" s="1"/>
  <c r="W56" i="38"/>
  <c r="W53" i="38" s="1"/>
  <c r="AA56" i="38"/>
  <c r="AA53" i="38" s="1"/>
  <c r="AE56" i="38"/>
  <c r="AE53" i="38" s="1"/>
  <c r="AI56" i="38"/>
  <c r="AI53" i="38" s="1"/>
  <c r="AM56" i="38"/>
  <c r="AM53" i="38" s="1"/>
  <c r="I57" i="38"/>
  <c r="M57" i="38"/>
  <c r="Q57" i="38"/>
  <c r="U57" i="38"/>
  <c r="Y57" i="38"/>
  <c r="AC57" i="38"/>
  <c r="AG57" i="38"/>
  <c r="AK57" i="38"/>
  <c r="AO57" i="38"/>
  <c r="H5" i="40"/>
  <c r="I5" i="40" s="1"/>
  <c r="H5" i="42"/>
  <c r="I5" i="42" s="1"/>
  <c r="G8" i="43"/>
  <c r="H8" i="43" s="1"/>
  <c r="I8" i="43" s="1"/>
  <c r="M8" i="43" s="1"/>
  <c r="I57" i="43"/>
  <c r="S53" i="43"/>
  <c r="S61" i="43" s="1"/>
  <c r="V10" i="2" s="1"/>
  <c r="I112" i="43"/>
  <c r="AJ10" i="2" s="1"/>
  <c r="O31" i="44"/>
  <c r="O33" i="44" s="1"/>
  <c r="R11" i="2" s="1"/>
  <c r="N31" i="44"/>
  <c r="N33" i="44" s="1"/>
  <c r="Q11" i="2" s="1"/>
  <c r="I40" i="44"/>
  <c r="R32" i="45"/>
  <c r="R34" i="45" s="1"/>
  <c r="U14" i="2" s="1"/>
  <c r="S34" i="45"/>
  <c r="V14" i="2" s="1"/>
  <c r="M33" i="46"/>
  <c r="M35" i="46" s="1"/>
  <c r="P16" i="2" s="1"/>
  <c r="S35" i="46"/>
  <c r="V16" i="2" s="1"/>
  <c r="I70" i="46"/>
  <c r="Q70" i="46" s="1"/>
  <c r="M31" i="47"/>
  <c r="M33" i="47" s="1"/>
  <c r="P22" i="2" s="1"/>
  <c r="R31" i="47"/>
  <c r="R33" i="47" s="1"/>
  <c r="U22" i="2" s="1"/>
  <c r="H56" i="38"/>
  <c r="L56" i="38"/>
  <c r="P56" i="38"/>
  <c r="T56" i="38"/>
  <c r="X56" i="38"/>
  <c r="AB56" i="38"/>
  <c r="AF56" i="38"/>
  <c r="AJ56" i="38"/>
  <c r="AN56" i="38"/>
  <c r="AN53" i="38" s="1"/>
  <c r="J57" i="38"/>
  <c r="N57" i="38"/>
  <c r="R57" i="38"/>
  <c r="V57" i="38"/>
  <c r="Z57" i="38"/>
  <c r="AD57" i="38"/>
  <c r="AH57" i="38"/>
  <c r="AL57" i="38"/>
  <c r="P65" i="43"/>
  <c r="A65" i="43" s="1"/>
  <c r="I11" i="47"/>
  <c r="O11" i="47" s="1"/>
  <c r="I56" i="38"/>
  <c r="I53" i="38" s="1"/>
  <c r="M56" i="38"/>
  <c r="M53" i="38" s="1"/>
  <c r="Q56" i="38"/>
  <c r="Q53" i="38" s="1"/>
  <c r="U56" i="38"/>
  <c r="U53" i="38" s="1"/>
  <c r="Y56" i="38"/>
  <c r="Y53" i="38" s="1"/>
  <c r="AC56" i="38"/>
  <c r="AC53" i="38" s="1"/>
  <c r="AG56" i="38"/>
  <c r="AG53" i="38" s="1"/>
  <c r="AK56" i="38"/>
  <c r="AK53" i="38" s="1"/>
  <c r="AO56" i="38"/>
  <c r="AO53" i="38" s="1"/>
  <c r="I57" i="41"/>
  <c r="J56" i="38"/>
  <c r="J53" i="38" s="1"/>
  <c r="N56" i="38"/>
  <c r="N53" i="38" s="1"/>
  <c r="R56" i="38"/>
  <c r="R53" i="38" s="1"/>
  <c r="V56" i="38"/>
  <c r="V53" i="38" s="1"/>
  <c r="Z56" i="38"/>
  <c r="Z53" i="38" s="1"/>
  <c r="AD56" i="38"/>
  <c r="AD53" i="38" s="1"/>
  <c r="AH56" i="38"/>
  <c r="AH53" i="38" s="1"/>
  <c r="AL56" i="38"/>
  <c r="AL53" i="38" s="1"/>
  <c r="H57" i="38"/>
  <c r="L57" i="38"/>
  <c r="P57" i="38"/>
  <c r="T57" i="38"/>
  <c r="X57" i="38"/>
  <c r="AB57" i="38"/>
  <c r="AF57" i="38"/>
  <c r="AJ57" i="38"/>
  <c r="G7" i="43"/>
  <c r="I31" i="44"/>
  <c r="I33" i="44" s="1"/>
  <c r="M4" i="44"/>
  <c r="I83" i="45"/>
  <c r="Q83" i="45" s="1"/>
  <c r="T14" i="2" s="1"/>
  <c r="W14" i="2" s="1"/>
  <c r="I101" i="45"/>
  <c r="AJ14" i="2" s="1"/>
  <c r="I33" i="46"/>
  <c r="I35" i="46" s="1"/>
  <c r="I107" i="46"/>
  <c r="AM16" i="2" s="1"/>
  <c r="AS16" i="2" s="1"/>
  <c r="E14" i="65" s="1"/>
  <c r="L1" i="44"/>
  <c r="I38" i="47"/>
  <c r="M4" i="48"/>
  <c r="M31" i="48" s="1"/>
  <c r="M33" i="48" s="1"/>
  <c r="P23" i="2" s="1"/>
  <c r="N31" i="48"/>
  <c r="N33" i="48" s="1"/>
  <c r="Q23" i="2" s="1"/>
  <c r="M4" i="49"/>
  <c r="N29" i="49"/>
  <c r="N31" i="49" s="1"/>
  <c r="Q27" i="2" s="1"/>
  <c r="S31" i="49"/>
  <c r="V27" i="2" s="1"/>
  <c r="S30" i="50"/>
  <c r="V28" i="2" s="1"/>
  <c r="N31" i="51"/>
  <c r="N33" i="51" s="1"/>
  <c r="N32" i="52"/>
  <c r="N34" i="52" s="1"/>
  <c r="Q29" i="2" s="1"/>
  <c r="S34" i="52"/>
  <c r="V29" i="2" s="1"/>
  <c r="N31" i="53"/>
  <c r="N33" i="53" s="1"/>
  <c r="F5" i="44"/>
  <c r="H5" i="44" s="1"/>
  <c r="I5" i="44" s="1"/>
  <c r="M5" i="44" s="1"/>
  <c r="I39" i="44"/>
  <c r="I12" i="47"/>
  <c r="O12" i="47" s="1"/>
  <c r="F128" i="47"/>
  <c r="H126" i="47"/>
  <c r="I90" i="48"/>
  <c r="Y23" i="2" s="1"/>
  <c r="AB23" i="2" s="1"/>
  <c r="I109" i="48"/>
  <c r="AM23" i="2" s="1"/>
  <c r="AS23" i="2" s="1"/>
  <c r="O29" i="49"/>
  <c r="O31" i="49" s="1"/>
  <c r="I84" i="49"/>
  <c r="AJ27" i="2" s="1"/>
  <c r="I28" i="50"/>
  <c r="I30" i="50" s="1"/>
  <c r="R31" i="51"/>
  <c r="R33" i="51" s="1"/>
  <c r="O31" i="51"/>
  <c r="O33" i="51" s="1"/>
  <c r="A54" i="51"/>
  <c r="A57" i="51" s="1"/>
  <c r="I57" i="51" s="1"/>
  <c r="I61" i="51" s="1"/>
  <c r="P61" i="51" s="1"/>
  <c r="I68" i="52"/>
  <c r="Q68" i="52" s="1"/>
  <c r="T29" i="2" s="1"/>
  <c r="I32" i="45"/>
  <c r="I34" i="45" s="1"/>
  <c r="A40" i="48"/>
  <c r="I40" i="48" s="1"/>
  <c r="A38" i="48"/>
  <c r="S31" i="48"/>
  <c r="S33" i="48" s="1"/>
  <c r="V23" i="2" s="1"/>
  <c r="V25" i="2" s="1"/>
  <c r="V26" i="2" s="1"/>
  <c r="I83" i="48"/>
  <c r="Q83" i="48" s="1"/>
  <c r="Q33" i="48" s="1"/>
  <c r="T23" i="2" s="1"/>
  <c r="I91" i="49"/>
  <c r="AM27" i="2" s="1"/>
  <c r="R28" i="50"/>
  <c r="R30" i="50" s="1"/>
  <c r="U28" i="2" s="1"/>
  <c r="M4" i="52"/>
  <c r="M32" i="52" s="1"/>
  <c r="M34" i="52" s="1"/>
  <c r="P29" i="2" s="1"/>
  <c r="I32" i="52"/>
  <c r="I34" i="52" s="1"/>
  <c r="A10" i="48"/>
  <c r="I10" i="48" s="1"/>
  <c r="O10" i="48" s="1"/>
  <c r="O31" i="48" s="1"/>
  <c r="O33" i="48" s="1"/>
  <c r="R23" i="2" s="1"/>
  <c r="I13" i="48"/>
  <c r="O13" i="48" s="1"/>
  <c r="M4" i="50"/>
  <c r="M28" i="50" s="1"/>
  <c r="M30" i="50" s="1"/>
  <c r="P28" i="2" s="1"/>
  <c r="W28" i="2" s="1"/>
  <c r="AC28" i="2" s="1"/>
  <c r="I35" i="50"/>
  <c r="I85" i="52"/>
  <c r="AJ29" i="2" s="1"/>
  <c r="R31" i="53"/>
  <c r="R33" i="53" s="1"/>
  <c r="I60" i="53"/>
  <c r="P60" i="53" s="1"/>
  <c r="I28" i="54"/>
  <c r="I30" i="54" s="1"/>
  <c r="R28" i="54"/>
  <c r="R30" i="54" s="1"/>
  <c r="U30" i="2" s="1"/>
  <c r="R31" i="55"/>
  <c r="R33" i="55" s="1"/>
  <c r="U31" i="2" s="1"/>
  <c r="O31" i="55"/>
  <c r="O33" i="55" s="1"/>
  <c r="R31" i="2" s="1"/>
  <c r="I104" i="56"/>
  <c r="AJ32" i="2" s="1"/>
  <c r="I32" i="57"/>
  <c r="I34" i="57" s="1"/>
  <c r="M4" i="57"/>
  <c r="M32" i="57" s="1"/>
  <c r="M34" i="57" s="1"/>
  <c r="P35" i="2" s="1"/>
  <c r="R32" i="57"/>
  <c r="R34" i="57" s="1"/>
  <c r="U35" i="2" s="1"/>
  <c r="R33" i="58"/>
  <c r="R35" i="58" s="1"/>
  <c r="U36" i="2" s="1"/>
  <c r="M28" i="54"/>
  <c r="M30" i="54" s="1"/>
  <c r="P30" i="2" s="1"/>
  <c r="I68" i="55"/>
  <c r="Q68" i="55" s="1"/>
  <c r="T31" i="2" s="1"/>
  <c r="I91" i="55"/>
  <c r="AM31" i="2" s="1"/>
  <c r="N32" i="57"/>
  <c r="N34" i="57" s="1"/>
  <c r="Q35" i="2" s="1"/>
  <c r="I85" i="57"/>
  <c r="AJ35" i="2" s="1"/>
  <c r="S33" i="58"/>
  <c r="S35" i="58" s="1"/>
  <c r="V36" i="2" s="1"/>
  <c r="L1" i="51"/>
  <c r="M4" i="51"/>
  <c r="I39" i="51"/>
  <c r="A54" i="52"/>
  <c r="A57" i="52" s="1"/>
  <c r="I57" i="52" s="1"/>
  <c r="I61" i="52" s="1"/>
  <c r="P61" i="52" s="1"/>
  <c r="S29" i="2" s="1"/>
  <c r="I92" i="52"/>
  <c r="AM29" i="2" s="1"/>
  <c r="I67" i="53"/>
  <c r="Q67" i="53" s="1"/>
  <c r="N28" i="54"/>
  <c r="N30" i="54" s="1"/>
  <c r="Q30" i="2" s="1"/>
  <c r="I57" i="54"/>
  <c r="P57" i="54" s="1"/>
  <c r="S30" i="2" s="1"/>
  <c r="I90" i="54"/>
  <c r="AM30" i="2" s="1"/>
  <c r="I31" i="55"/>
  <c r="I33" i="55" s="1"/>
  <c r="I84" i="55"/>
  <c r="AJ31" i="2" s="1"/>
  <c r="I33" i="56"/>
  <c r="I35" i="56" s="1"/>
  <c r="M4" i="56"/>
  <c r="M33" i="56" s="1"/>
  <c r="M35" i="56" s="1"/>
  <c r="P32" i="2" s="1"/>
  <c r="O33" i="56"/>
  <c r="O35" i="56" s="1"/>
  <c r="R32" i="2" s="1"/>
  <c r="I60" i="56"/>
  <c r="I64" i="56" s="1"/>
  <c r="P64" i="56" s="1"/>
  <c r="S32" i="2" s="1"/>
  <c r="I86" i="56"/>
  <c r="Q86" i="56" s="1"/>
  <c r="T32" i="2" s="1"/>
  <c r="I69" i="57"/>
  <c r="Q69" i="57" s="1"/>
  <c r="T35" i="2" s="1"/>
  <c r="F5" i="51"/>
  <c r="H5" i="51" s="1"/>
  <c r="I5" i="51" s="1"/>
  <c r="M5" i="51" s="1"/>
  <c r="I31" i="53"/>
  <c r="I33" i="53" s="1"/>
  <c r="M4" i="53"/>
  <c r="M31" i="53" s="1"/>
  <c r="M33" i="53" s="1"/>
  <c r="I83" i="53"/>
  <c r="O28" i="54"/>
  <c r="O30" i="54" s="1"/>
  <c r="I33" i="58"/>
  <c r="I35" i="58" s="1"/>
  <c r="M4" i="58"/>
  <c r="M33" i="58" s="1"/>
  <c r="M35" i="58" s="1"/>
  <c r="P36" i="2" s="1"/>
  <c r="O33" i="58"/>
  <c r="O35" i="58" s="1"/>
  <c r="R36" i="2" s="1"/>
  <c r="J6" i="58"/>
  <c r="I120" i="58"/>
  <c r="BJ36" i="2" s="1"/>
  <c r="R34" i="60"/>
  <c r="R36" i="60" s="1"/>
  <c r="I86" i="58"/>
  <c r="M4" i="60"/>
  <c r="M34" i="60" s="1"/>
  <c r="M36" i="60" s="1"/>
  <c r="M4" i="55"/>
  <c r="M31" i="55" s="1"/>
  <c r="M33" i="55" s="1"/>
  <c r="P31" i="2" s="1"/>
  <c r="W31" i="2" s="1"/>
  <c r="N33" i="59"/>
  <c r="N35" i="59" s="1"/>
  <c r="Q44" i="2" s="1"/>
  <c r="A126" i="59"/>
  <c r="I126" i="59" s="1"/>
  <c r="I125" i="59"/>
  <c r="I40" i="59"/>
  <c r="S33" i="59"/>
  <c r="S35" i="59" s="1"/>
  <c r="V44" i="2" s="1"/>
  <c r="I86" i="59"/>
  <c r="Q86" i="59" s="1"/>
  <c r="T44" i="2" s="1"/>
  <c r="I87" i="60"/>
  <c r="Q87" i="60" s="1"/>
  <c r="Q36" i="60" s="1"/>
  <c r="I122" i="60"/>
  <c r="N35" i="61"/>
  <c r="N37" i="61" s="1"/>
  <c r="Q49" i="2" s="1"/>
  <c r="L1" i="59"/>
  <c r="M4" i="59"/>
  <c r="F6" i="59"/>
  <c r="I123" i="59"/>
  <c r="I131" i="59" s="1"/>
  <c r="AJ44" i="2" s="1"/>
  <c r="I128" i="59"/>
  <c r="I13" i="60"/>
  <c r="O13" i="60" s="1"/>
  <c r="A14" i="60"/>
  <c r="I14" i="60" s="1"/>
  <c r="O14" i="60" s="1"/>
  <c r="I41" i="60"/>
  <c r="I13" i="61"/>
  <c r="O13" i="61" s="1"/>
  <c r="I15" i="61"/>
  <c r="O15" i="61" s="1"/>
  <c r="I54" i="61"/>
  <c r="I14" i="62"/>
  <c r="R14" i="62" s="1"/>
  <c r="A13" i="59"/>
  <c r="I13" i="59" s="1"/>
  <c r="O13" i="59" s="1"/>
  <c r="O33" i="59" s="1"/>
  <c r="O35" i="59" s="1"/>
  <c r="R44" i="2" s="1"/>
  <c r="I129" i="60"/>
  <c r="I42" i="61"/>
  <c r="I143" i="61"/>
  <c r="AJ49" i="2" s="1"/>
  <c r="N38" i="62"/>
  <c r="N40" i="62" s="1"/>
  <c r="Q51" i="2" s="1"/>
  <c r="N36" i="64"/>
  <c r="N38" i="64" s="1"/>
  <c r="Q52" i="2" s="1"/>
  <c r="A42" i="59"/>
  <c r="I42" i="59" s="1"/>
  <c r="I124" i="59"/>
  <c r="I145" i="59"/>
  <c r="BJ44" i="2" s="1"/>
  <c r="I52" i="60"/>
  <c r="H6" i="61"/>
  <c r="I16" i="61"/>
  <c r="O16" i="61" s="1"/>
  <c r="R38" i="62"/>
  <c r="R40" i="62" s="1"/>
  <c r="U51" i="2" s="1"/>
  <c r="I16" i="62"/>
  <c r="O16" i="62" s="1"/>
  <c r="I45" i="62"/>
  <c r="A62" i="62"/>
  <c r="A65" i="62" s="1"/>
  <c r="I65" i="62" s="1"/>
  <c r="I69" i="62" s="1"/>
  <c r="P69" i="62" s="1"/>
  <c r="P40" i="62" s="1"/>
  <c r="S51" i="2" s="1"/>
  <c r="I154" i="62"/>
  <c r="AM51" i="2" s="1"/>
  <c r="M4" i="64"/>
  <c r="M36" i="64" s="1"/>
  <c r="M38" i="64" s="1"/>
  <c r="P52" i="2" s="1"/>
  <c r="R36" i="64"/>
  <c r="R38" i="64" s="1"/>
  <c r="U52" i="2" s="1"/>
  <c r="A43" i="60"/>
  <c r="I43" i="60" s="1"/>
  <c r="S35" i="61"/>
  <c r="S37" i="61" s="1"/>
  <c r="V49" i="2" s="1"/>
  <c r="A141" i="61"/>
  <c r="I141" i="61" s="1"/>
  <c r="S38" i="63"/>
  <c r="S40" i="63" s="1"/>
  <c r="V50" i="2" s="1"/>
  <c r="J7" i="63"/>
  <c r="J4" i="63"/>
  <c r="J6" i="63"/>
  <c r="M4" i="63"/>
  <c r="M38" i="63" s="1"/>
  <c r="M40" i="63" s="1"/>
  <c r="P50" i="2" s="1"/>
  <c r="A45" i="64"/>
  <c r="I45" i="64" s="1"/>
  <c r="A43" i="64"/>
  <c r="I99" i="64"/>
  <c r="Q99" i="64" s="1"/>
  <c r="Q38" i="64" s="1"/>
  <c r="T52" i="2" s="1"/>
  <c r="I4" i="62"/>
  <c r="J7" i="62"/>
  <c r="I15" i="62"/>
  <c r="O15" i="62" s="1"/>
  <c r="O38" i="62" s="1"/>
  <c r="O40" i="62" s="1"/>
  <c r="R51" i="2" s="1"/>
  <c r="I141" i="62"/>
  <c r="L1" i="63"/>
  <c r="K50" i="2" s="1"/>
  <c r="A47" i="63"/>
  <c r="I47" i="63" s="1"/>
  <c r="I45" i="63"/>
  <c r="I153" i="63"/>
  <c r="O36" i="64"/>
  <c r="O38" i="64" s="1"/>
  <c r="R52" i="2" s="1"/>
  <c r="I151" i="64"/>
  <c r="AM52" i="2" s="1"/>
  <c r="I6" i="61"/>
  <c r="M6" i="61" s="1"/>
  <c r="M35" i="61" s="1"/>
  <c r="M37" i="61" s="1"/>
  <c r="P49" i="2" s="1"/>
  <c r="L1" i="62"/>
  <c r="K51" i="2" s="1"/>
  <c r="I14" i="63"/>
  <c r="R14" i="63" s="1"/>
  <c r="R38" i="63" s="1"/>
  <c r="R40" i="63" s="1"/>
  <c r="U50" i="2" s="1"/>
  <c r="I15" i="64"/>
  <c r="O15" i="64" s="1"/>
  <c r="N38" i="63"/>
  <c r="N40" i="63" s="1"/>
  <c r="Q50" i="2" s="1"/>
  <c r="I102" i="63"/>
  <c r="Q102" i="63" s="1"/>
  <c r="Q40" i="63" s="1"/>
  <c r="T50" i="2" s="1"/>
  <c r="A151" i="63"/>
  <c r="I151" i="63" s="1"/>
  <c r="I150" i="63"/>
  <c r="I60" i="62"/>
  <c r="I15" i="63"/>
  <c r="O15" i="63" s="1"/>
  <c r="O38" i="63" s="1"/>
  <c r="O40" i="63" s="1"/>
  <c r="R50" i="2" s="1"/>
  <c r="I50" i="63"/>
  <c r="J4" i="64"/>
  <c r="A139" i="64"/>
  <c r="I139" i="64" s="1"/>
  <c r="I16" i="64"/>
  <c r="O16" i="64" s="1"/>
  <c r="I58" i="64"/>
  <c r="BC90" i="2" l="1"/>
  <c r="T24" i="3" s="1"/>
  <c r="F10" i="11" s="1"/>
  <c r="AA10" i="11" s="1"/>
  <c r="AS57" i="2"/>
  <c r="AS52" i="2"/>
  <c r="AH85" i="2"/>
  <c r="BE85" i="2" s="1"/>
  <c r="AH67" i="2"/>
  <c r="BE67" i="2" s="1"/>
  <c r="AS64" i="2"/>
  <c r="J14" i="65"/>
  <c r="AS47" i="2"/>
  <c r="AS37" i="2"/>
  <c r="E31" i="65" s="1"/>
  <c r="J31" i="65" s="1"/>
  <c r="AS45" i="2"/>
  <c r="E36" i="65" s="1"/>
  <c r="J36" i="65" s="1"/>
  <c r="AS38" i="2"/>
  <c r="E32" i="65" s="1"/>
  <c r="J32" i="65" s="1"/>
  <c r="AS55" i="2"/>
  <c r="L92" i="2"/>
  <c r="AS39" i="2"/>
  <c r="E33" i="65" s="1"/>
  <c r="J33" i="65" s="1"/>
  <c r="AS32" i="2"/>
  <c r="E28" i="65" s="1"/>
  <c r="J28" i="65" s="1"/>
  <c r="AR27" i="2"/>
  <c r="AS27" i="2" s="1"/>
  <c r="E25" i="65" s="1"/>
  <c r="J25" i="65" s="1"/>
  <c r="BF82" i="2"/>
  <c r="AH71" i="2"/>
  <c r="BE71" i="2" s="1"/>
  <c r="BF86" i="2"/>
  <c r="AH75" i="2"/>
  <c r="BE75" i="2" s="1"/>
  <c r="BF87" i="2"/>
  <c r="AH79" i="2"/>
  <c r="BE79" i="2" s="1"/>
  <c r="AR29" i="2"/>
  <c r="AS29" i="2" s="1"/>
  <c r="AS11" i="2"/>
  <c r="E11" i="65" s="1"/>
  <c r="J11" i="65" s="1"/>
  <c r="AS65" i="2"/>
  <c r="AS12" i="2"/>
  <c r="AS48" i="2"/>
  <c r="AS15" i="2"/>
  <c r="E13" i="65" s="1"/>
  <c r="J13" i="65" s="1"/>
  <c r="AR28" i="2"/>
  <c r="AS28" i="2" s="1"/>
  <c r="M5" i="17"/>
  <c r="I31" i="17"/>
  <c r="I33" i="17" s="1"/>
  <c r="E15" i="65"/>
  <c r="J15" i="65" s="1"/>
  <c r="E18" i="65"/>
  <c r="J18" i="65" s="1"/>
  <c r="I188" i="21"/>
  <c r="AJ42" i="2" s="1"/>
  <c r="I183" i="4"/>
  <c r="AJ40" i="2" s="1"/>
  <c r="AJ90" i="2" s="1"/>
  <c r="D17" i="3" s="1"/>
  <c r="E41" i="65"/>
  <c r="J41" i="65" s="1"/>
  <c r="E40" i="65"/>
  <c r="J40" i="65" s="1"/>
  <c r="J29" i="38"/>
  <c r="AS29" i="38"/>
  <c r="G29" i="38"/>
  <c r="AR29" i="38" s="1"/>
  <c r="E23" i="37"/>
  <c r="C12" i="65"/>
  <c r="H12" i="65" s="1"/>
  <c r="AC14" i="2"/>
  <c r="BG14" i="2"/>
  <c r="B44" i="65"/>
  <c r="BC50" i="2"/>
  <c r="N50" i="2"/>
  <c r="J50" i="2"/>
  <c r="AR50" i="2"/>
  <c r="AP50" i="2"/>
  <c r="AY50" i="2"/>
  <c r="F44" i="65" s="1"/>
  <c r="AG50" i="2"/>
  <c r="I38" i="62"/>
  <c r="I40" i="62" s="1"/>
  <c r="M4" i="62"/>
  <c r="M38" i="62" s="1"/>
  <c r="M40" i="62" s="1"/>
  <c r="P51" i="2" s="1"/>
  <c r="W51" i="2" s="1"/>
  <c r="I38" i="63"/>
  <c r="I40" i="63" s="1"/>
  <c r="I35" i="61"/>
  <c r="I37" i="61" s="1"/>
  <c r="Q86" i="58"/>
  <c r="T36" i="2"/>
  <c r="W36" i="2"/>
  <c r="W35" i="2"/>
  <c r="I38" i="48"/>
  <c r="A54" i="48"/>
  <c r="A57" i="48" s="1"/>
  <c r="I57" i="48" s="1"/>
  <c r="I61" i="48" s="1"/>
  <c r="P61" i="48" s="1"/>
  <c r="P33" i="48" s="1"/>
  <c r="S23" i="2" s="1"/>
  <c r="I65" i="43"/>
  <c r="AB53" i="38"/>
  <c r="L53" i="38"/>
  <c r="Q35" i="46"/>
  <c r="T16" i="2"/>
  <c r="T17" i="2" s="1"/>
  <c r="P5" i="42"/>
  <c r="N20" i="38"/>
  <c r="N19" i="38" s="1"/>
  <c r="O64" i="38"/>
  <c r="O62" i="38" s="1"/>
  <c r="O61" i="38" s="1"/>
  <c r="V64" i="38"/>
  <c r="V62" i="38" s="1"/>
  <c r="V61" i="38" s="1"/>
  <c r="U20" i="38"/>
  <c r="U19" i="38" s="1"/>
  <c r="AK20" i="38"/>
  <c r="Q64" i="38"/>
  <c r="Q62" i="38" s="1"/>
  <c r="Q61" i="38" s="1"/>
  <c r="P20" i="38"/>
  <c r="AG64" i="38"/>
  <c r="AG62" i="38" s="1"/>
  <c r="AG61" i="38" s="1"/>
  <c r="AF20" i="38"/>
  <c r="G9" i="42"/>
  <c r="H8" i="42"/>
  <c r="I8" i="42" s="1"/>
  <c r="M8" i="42" s="1"/>
  <c r="H65" i="38"/>
  <c r="I6" i="38"/>
  <c r="H6" i="35"/>
  <c r="I6" i="35" s="1"/>
  <c r="J6" i="35"/>
  <c r="H8" i="41"/>
  <c r="I8" i="41" s="1"/>
  <c r="G9" i="41"/>
  <c r="P64" i="38"/>
  <c r="P62" i="38" s="1"/>
  <c r="P61" i="38" s="1"/>
  <c r="O20" i="38"/>
  <c r="O19" i="38" s="1"/>
  <c r="AE7" i="38"/>
  <c r="O7" i="38"/>
  <c r="W54" i="2"/>
  <c r="AC54" i="2" s="1"/>
  <c r="F21" i="36"/>
  <c r="A36" i="49" s="1"/>
  <c r="O35" i="29"/>
  <c r="O37" i="29" s="1"/>
  <c r="R55" i="2" s="1"/>
  <c r="I126" i="27"/>
  <c r="Q126" i="27" s="1"/>
  <c r="Q38" i="27" s="1"/>
  <c r="T53" i="2" s="1"/>
  <c r="O34" i="26"/>
  <c r="O36" i="26" s="1"/>
  <c r="R48" i="2" s="1"/>
  <c r="A60" i="30"/>
  <c r="A63" i="30" s="1"/>
  <c r="I63" i="30" s="1"/>
  <c r="I67" i="30" s="1"/>
  <c r="P67" i="30" s="1"/>
  <c r="P38" i="30" s="1"/>
  <c r="S56" i="2" s="1"/>
  <c r="Q126" i="19"/>
  <c r="T39" i="2"/>
  <c r="I35" i="29"/>
  <c r="I37" i="29" s="1"/>
  <c r="A58" i="23"/>
  <c r="A61" i="23" s="1"/>
  <c r="I61" i="23" s="1"/>
  <c r="I65" i="23" s="1"/>
  <c r="P65" i="23" s="1"/>
  <c r="P36" i="23" s="1"/>
  <c r="S45" i="2" s="1"/>
  <c r="A58" i="20"/>
  <c r="A61" i="20" s="1"/>
  <c r="I61" i="20" s="1"/>
  <c r="I65" i="20" s="1"/>
  <c r="P65" i="20" s="1"/>
  <c r="P36" i="20" s="1"/>
  <c r="S41" i="2" s="1"/>
  <c r="I41" i="20"/>
  <c r="A54" i="17"/>
  <c r="A57" i="17" s="1"/>
  <c r="I57" i="17" s="1"/>
  <c r="I61" i="17" s="1"/>
  <c r="P61" i="17" s="1"/>
  <c r="P33" i="17" s="1"/>
  <c r="S24" i="2" s="1"/>
  <c r="I35" i="18"/>
  <c r="I37" i="18" s="1"/>
  <c r="S22" i="12"/>
  <c r="U99" i="12"/>
  <c r="U95" i="12"/>
  <c r="U87" i="12"/>
  <c r="U81" i="12"/>
  <c r="U97" i="12"/>
  <c r="U93" i="12"/>
  <c r="U89" i="12"/>
  <c r="U83" i="12"/>
  <c r="U75" i="12"/>
  <c r="U71" i="12"/>
  <c r="U51" i="12"/>
  <c r="V13" i="12"/>
  <c r="K12" i="4"/>
  <c r="M41" i="4"/>
  <c r="P40" i="2" s="1"/>
  <c r="AR9" i="38"/>
  <c r="AA17" i="11"/>
  <c r="E19" i="37"/>
  <c r="U15" i="3"/>
  <c r="U19" i="3" s="1"/>
  <c r="M4" i="6"/>
  <c r="AZ13" i="2"/>
  <c r="N13" i="2"/>
  <c r="N90" i="2"/>
  <c r="AS58" i="2"/>
  <c r="F38" i="65"/>
  <c r="F39" i="65"/>
  <c r="AS59" i="2"/>
  <c r="L16" i="12"/>
  <c r="H16" i="12"/>
  <c r="I16" i="12" s="1"/>
  <c r="M16" i="12"/>
  <c r="J43" i="65"/>
  <c r="B45" i="65"/>
  <c r="BC51" i="2"/>
  <c r="AR51" i="2"/>
  <c r="N51" i="2"/>
  <c r="J51" i="2"/>
  <c r="BN51" i="2" s="1"/>
  <c r="AY51" i="2"/>
  <c r="F45" i="65" s="1"/>
  <c r="AP51" i="2"/>
  <c r="AS51" i="2" s="1"/>
  <c r="E45" i="65" s="1"/>
  <c r="J6" i="59"/>
  <c r="H6" i="59"/>
  <c r="I6" i="59" s="1"/>
  <c r="A58" i="60"/>
  <c r="A61" i="60" s="1"/>
  <c r="I61" i="60" s="1"/>
  <c r="I65" i="60" s="1"/>
  <c r="P65" i="60" s="1"/>
  <c r="P36" i="60" s="1"/>
  <c r="BJ92" i="2"/>
  <c r="W30" i="2"/>
  <c r="W23" i="2"/>
  <c r="I31" i="47"/>
  <c r="I33" i="47" s="1"/>
  <c r="H7" i="43"/>
  <c r="I7" i="43" s="1"/>
  <c r="G9" i="43"/>
  <c r="X53" i="38"/>
  <c r="H53" i="38"/>
  <c r="V92" i="2"/>
  <c r="AL20" i="38"/>
  <c r="AL19" i="38" s="1"/>
  <c r="AM64" i="38"/>
  <c r="AM62" i="38" s="1"/>
  <c r="AM61" i="38" s="1"/>
  <c r="Y20" i="38"/>
  <c r="AP64" i="38"/>
  <c r="AP62" i="38" s="1"/>
  <c r="AP61" i="38" s="1"/>
  <c r="AO20" i="38"/>
  <c r="AO19" i="38" s="1"/>
  <c r="U64" i="38"/>
  <c r="U62" i="38" s="1"/>
  <c r="U61" i="38" s="1"/>
  <c r="T20" i="38"/>
  <c r="AJ20" i="38"/>
  <c r="AR12" i="38"/>
  <c r="AT12" i="38" s="1"/>
  <c r="Z7" i="38"/>
  <c r="J7" i="38"/>
  <c r="AB64" i="38"/>
  <c r="AB62" i="38" s="1"/>
  <c r="AB61" i="38" s="1"/>
  <c r="AA20" i="38"/>
  <c r="AA19" i="38" s="1"/>
  <c r="AH19" i="38"/>
  <c r="F14" i="36"/>
  <c r="AN64" i="38"/>
  <c r="AN62" i="38" s="1"/>
  <c r="AN61" i="38" s="1"/>
  <c r="AM20" i="38"/>
  <c r="AM19" i="38" s="1"/>
  <c r="AA7" i="38"/>
  <c r="M4" i="27"/>
  <c r="A60" i="34"/>
  <c r="A63" i="34" s="1"/>
  <c r="I63" i="34" s="1"/>
  <c r="I67" i="34" s="1"/>
  <c r="P67" i="34" s="1"/>
  <c r="P38" i="34" s="1"/>
  <c r="S64" i="2" s="1"/>
  <c r="W64" i="2" s="1"/>
  <c r="H6" i="32"/>
  <c r="I6" i="32" s="1"/>
  <c r="J6" i="32"/>
  <c r="A64" i="35"/>
  <c r="A67" i="35" s="1"/>
  <c r="I67" i="35" s="1"/>
  <c r="I71" i="35" s="1"/>
  <c r="P71" i="35" s="1"/>
  <c r="P41" i="35" s="1"/>
  <c r="S65" i="2" s="1"/>
  <c r="J6" i="30"/>
  <c r="H6" i="30"/>
  <c r="I6" i="30" s="1"/>
  <c r="A60" i="24"/>
  <c r="A63" i="24" s="1"/>
  <c r="I63" i="24" s="1"/>
  <c r="I67" i="24" s="1"/>
  <c r="P67" i="24" s="1"/>
  <c r="P38" i="24" s="1"/>
  <c r="S46" i="2" s="1"/>
  <c r="A45" i="24"/>
  <c r="I45" i="24" s="1"/>
  <c r="I43" i="24"/>
  <c r="J6" i="23"/>
  <c r="H6" i="23"/>
  <c r="I6" i="23" s="1"/>
  <c r="I43" i="14"/>
  <c r="A60" i="14"/>
  <c r="A63" i="14" s="1"/>
  <c r="I63" i="14" s="1"/>
  <c r="I67" i="14" s="1"/>
  <c r="P67" i="14" s="1"/>
  <c r="P38" i="14" s="1"/>
  <c r="S12" i="2" s="1"/>
  <c r="A58" i="26"/>
  <c r="A61" i="26" s="1"/>
  <c r="I61" i="26" s="1"/>
  <c r="I65" i="26" s="1"/>
  <c r="P65" i="26" s="1"/>
  <c r="P36" i="26" s="1"/>
  <c r="S48" i="2" s="1"/>
  <c r="M35" i="29"/>
  <c r="M37" i="29" s="1"/>
  <c r="P55" i="2" s="1"/>
  <c r="W55" i="2" s="1"/>
  <c r="H6" i="10"/>
  <c r="I6" i="10" s="1"/>
  <c r="J6" i="10"/>
  <c r="H6" i="7"/>
  <c r="I6" i="7" s="1"/>
  <c r="J6" i="7"/>
  <c r="C36" i="11"/>
  <c r="C29" i="11"/>
  <c r="A181" i="4"/>
  <c r="I181" i="4" s="1"/>
  <c r="I180" i="4"/>
  <c r="M37" i="12"/>
  <c r="L37" i="12"/>
  <c r="H37" i="12"/>
  <c r="F18" i="65"/>
  <c r="F15" i="65"/>
  <c r="K95" i="2"/>
  <c r="A9" i="1"/>
  <c r="E8" i="1"/>
  <c r="A76" i="5"/>
  <c r="A79" i="5" s="1"/>
  <c r="I79" i="5" s="1"/>
  <c r="I83" i="5" s="1"/>
  <c r="P83" i="5" s="1"/>
  <c r="P46" i="5" s="1"/>
  <c r="S43" i="2" s="1"/>
  <c r="I27" i="38"/>
  <c r="J64" i="38" s="1"/>
  <c r="J62" i="38" s="1"/>
  <c r="J61" i="38" s="1"/>
  <c r="AS27" i="38"/>
  <c r="H27" i="38"/>
  <c r="E22" i="37"/>
  <c r="BG28" i="2"/>
  <c r="M40" i="12"/>
  <c r="L40" i="12"/>
  <c r="H40" i="12"/>
  <c r="I40" i="12" s="1"/>
  <c r="W25" i="2"/>
  <c r="AR31" i="38"/>
  <c r="AT31" i="38" s="1"/>
  <c r="I43" i="64"/>
  <c r="A60" i="64"/>
  <c r="A63" i="64" s="1"/>
  <c r="I63" i="64" s="1"/>
  <c r="I67" i="64" s="1"/>
  <c r="P67" i="64" s="1"/>
  <c r="P38" i="64" s="1"/>
  <c r="S52" i="2" s="1"/>
  <c r="W52" i="2" s="1"/>
  <c r="I36" i="64"/>
  <c r="I38" i="64" s="1"/>
  <c r="O34" i="60"/>
  <c r="O36" i="60" s="1"/>
  <c r="I34" i="60"/>
  <c r="I36" i="60" s="1"/>
  <c r="M31" i="51"/>
  <c r="M33" i="51" s="1"/>
  <c r="I31" i="51"/>
  <c r="I33" i="51" s="1"/>
  <c r="I31" i="48"/>
  <c r="I33" i="48" s="1"/>
  <c r="M31" i="44"/>
  <c r="M33" i="44" s="1"/>
  <c r="P11" i="2" s="1"/>
  <c r="W11" i="2" s="1"/>
  <c r="O31" i="47"/>
  <c r="O33" i="47" s="1"/>
  <c r="R22" i="2" s="1"/>
  <c r="AJ53" i="38"/>
  <c r="T53" i="38"/>
  <c r="W16" i="2"/>
  <c r="P5" i="40"/>
  <c r="I65" i="41"/>
  <c r="AD20" i="38"/>
  <c r="M20" i="38"/>
  <c r="AD64" i="38"/>
  <c r="AD62" i="38" s="1"/>
  <c r="AD61" i="38" s="1"/>
  <c r="AC20" i="38"/>
  <c r="AC19" i="38" s="1"/>
  <c r="X20" i="38"/>
  <c r="AO64" i="38"/>
  <c r="AO62" i="38" s="1"/>
  <c r="AO61" i="38" s="1"/>
  <c r="AN20" i="38"/>
  <c r="AN19" i="38" s="1"/>
  <c r="T64" i="38"/>
  <c r="T62" i="38" s="1"/>
  <c r="T61" i="38" s="1"/>
  <c r="S20" i="38"/>
  <c r="S19" i="38" s="1"/>
  <c r="C23" i="36"/>
  <c r="F22" i="36"/>
  <c r="AF64" i="38"/>
  <c r="AF62" i="38" s="1"/>
  <c r="AF61" i="38" s="1"/>
  <c r="AE20" i="38"/>
  <c r="AE19" i="38" s="1"/>
  <c r="AM7" i="38"/>
  <c r="W7" i="38"/>
  <c r="I36" i="34"/>
  <c r="I38" i="34" s="1"/>
  <c r="AI19" i="38"/>
  <c r="I126" i="33"/>
  <c r="Q126" i="33" s="1"/>
  <c r="Q38" i="33" s="1"/>
  <c r="T63" i="2" s="1"/>
  <c r="W63" i="2" s="1"/>
  <c r="H6" i="26"/>
  <c r="I6" i="26" s="1"/>
  <c r="J6" i="26"/>
  <c r="F5" i="49"/>
  <c r="H5" i="49" s="1"/>
  <c r="I5" i="49" s="1"/>
  <c r="G149" i="13"/>
  <c r="I149" i="13" s="1"/>
  <c r="AZ56" i="2"/>
  <c r="AR56" i="2"/>
  <c r="AS56" i="2" s="1"/>
  <c r="BC56" i="2"/>
  <c r="AP56" i="2"/>
  <c r="J56" i="2"/>
  <c r="BN56" i="2" s="1"/>
  <c r="AY56" i="2"/>
  <c r="N56" i="2"/>
  <c r="I6" i="27"/>
  <c r="M6" i="27" s="1"/>
  <c r="A43" i="27"/>
  <c r="A45" i="27"/>
  <c r="I45" i="27" s="1"/>
  <c r="AG55" i="2"/>
  <c r="BN55" i="2"/>
  <c r="E39" i="65"/>
  <c r="J39" i="65" s="1"/>
  <c r="E38" i="65"/>
  <c r="J38" i="65" s="1"/>
  <c r="M4" i="20"/>
  <c r="A66" i="32"/>
  <c r="A69" i="32" s="1"/>
  <c r="I69" i="32" s="1"/>
  <c r="I73" i="32" s="1"/>
  <c r="P73" i="32" s="1"/>
  <c r="P39" i="32" s="1"/>
  <c r="S57" i="2" s="1"/>
  <c r="M36" i="25"/>
  <c r="M38" i="25" s="1"/>
  <c r="P47" i="2" s="1"/>
  <c r="I35" i="22"/>
  <c r="I37" i="22" s="1"/>
  <c r="M4" i="22"/>
  <c r="M35" i="22" s="1"/>
  <c r="M37" i="22" s="1"/>
  <c r="P38" i="2" s="1"/>
  <c r="W38" i="2" s="1"/>
  <c r="A58" i="19"/>
  <c r="A61" i="19" s="1"/>
  <c r="I61" i="19" s="1"/>
  <c r="I65" i="19" s="1"/>
  <c r="W12" i="2"/>
  <c r="A60" i="25"/>
  <c r="A63" i="25" s="1"/>
  <c r="I63" i="25" s="1"/>
  <c r="I67" i="25" s="1"/>
  <c r="P67" i="25" s="1"/>
  <c r="P38" i="25" s="1"/>
  <c r="S47" i="2" s="1"/>
  <c r="A60" i="15"/>
  <c r="A63" i="15" s="1"/>
  <c r="I63" i="15" s="1"/>
  <c r="I67" i="15" s="1"/>
  <c r="P67" i="15" s="1"/>
  <c r="P38" i="15" s="1"/>
  <c r="S13" i="2" s="1"/>
  <c r="I43" i="15"/>
  <c r="I36" i="28"/>
  <c r="I38" i="28" s="1"/>
  <c r="J6" i="21"/>
  <c r="H6" i="21"/>
  <c r="I6" i="21" s="1"/>
  <c r="Q126" i="18"/>
  <c r="T37" i="2"/>
  <c r="W15" i="2"/>
  <c r="I36" i="14"/>
  <c r="I38" i="14" s="1"/>
  <c r="T22" i="12"/>
  <c r="U45" i="12"/>
  <c r="U41" i="12"/>
  <c r="U22" i="12" s="1"/>
  <c r="AT17" i="38"/>
  <c r="H6" i="9"/>
  <c r="I6" i="9" s="1"/>
  <c r="J6" i="9"/>
  <c r="H6" i="5"/>
  <c r="I6" i="5" s="1"/>
  <c r="J6" i="5"/>
  <c r="F56" i="11"/>
  <c r="F40" i="65"/>
  <c r="F41" i="65"/>
  <c r="L13" i="12"/>
  <c r="H13" i="12"/>
  <c r="F12" i="12"/>
  <c r="M13" i="12"/>
  <c r="F70" i="12"/>
  <c r="AZ90" i="2"/>
  <c r="L14" i="12"/>
  <c r="H14" i="12"/>
  <c r="I14" i="12" s="1"/>
  <c r="M14" i="12"/>
  <c r="AT41" i="38"/>
  <c r="L15" i="12"/>
  <c r="H15" i="12"/>
  <c r="I15" i="12" s="1"/>
  <c r="M15" i="12"/>
  <c r="U90" i="2"/>
  <c r="D12" i="3" s="1"/>
  <c r="AF92" i="2"/>
  <c r="K92" i="2"/>
  <c r="A62" i="63"/>
  <c r="A65" i="63" s="1"/>
  <c r="I65" i="63" s="1"/>
  <c r="I69" i="63" s="1"/>
  <c r="P69" i="63" s="1"/>
  <c r="P40" i="63" s="1"/>
  <c r="S50" i="2" s="1"/>
  <c r="W50" i="2" s="1"/>
  <c r="O35" i="61"/>
  <c r="O37" i="61" s="1"/>
  <c r="R49" i="2" s="1"/>
  <c r="W49" i="2" s="1"/>
  <c r="A57" i="59"/>
  <c r="A60" i="59" s="1"/>
  <c r="I60" i="59" s="1"/>
  <c r="I64" i="59" s="1"/>
  <c r="P64" i="59" s="1"/>
  <c r="S44" i="2" s="1"/>
  <c r="C27" i="65"/>
  <c r="H27" i="65" s="1"/>
  <c r="AC31" i="2"/>
  <c r="J113" i="58"/>
  <c r="W32" i="2"/>
  <c r="AH28" i="2"/>
  <c r="BF28" i="2"/>
  <c r="W29" i="2"/>
  <c r="E21" i="65"/>
  <c r="J21" i="65" s="1"/>
  <c r="E19" i="65"/>
  <c r="J19" i="65" s="1"/>
  <c r="E16" i="65"/>
  <c r="J16" i="65" s="1"/>
  <c r="E20" i="65"/>
  <c r="J20" i="65" s="1"/>
  <c r="AF53" i="38"/>
  <c r="P53" i="38"/>
  <c r="W22" i="2"/>
  <c r="V20" i="38"/>
  <c r="V19" i="38" s="1"/>
  <c r="W64" i="38"/>
  <c r="W62" i="38" s="1"/>
  <c r="W61" i="38" s="1"/>
  <c r="R64" i="38"/>
  <c r="R62" i="38" s="1"/>
  <c r="R61" i="38" s="1"/>
  <c r="Q20" i="38"/>
  <c r="Q19" i="38" s="1"/>
  <c r="AH64" i="38"/>
  <c r="AH62" i="38" s="1"/>
  <c r="AH61" i="38" s="1"/>
  <c r="AG20" i="38"/>
  <c r="AG19" i="38" s="1"/>
  <c r="AC64" i="38"/>
  <c r="AC62" i="38" s="1"/>
  <c r="AC61" i="38" s="1"/>
  <c r="AB20" i="38"/>
  <c r="R7" i="38"/>
  <c r="Z19" i="38"/>
  <c r="G9" i="40"/>
  <c r="H8" i="40"/>
  <c r="I8" i="40" s="1"/>
  <c r="M8" i="40" s="1"/>
  <c r="X64" i="38"/>
  <c r="X62" i="38" s="1"/>
  <c r="X61" i="38" s="1"/>
  <c r="W20" i="38"/>
  <c r="W19" i="38" s="1"/>
  <c r="S7" i="38"/>
  <c r="E21" i="36"/>
  <c r="E20" i="36"/>
  <c r="AY53" i="2"/>
  <c r="AP53" i="2"/>
  <c r="AS53" i="2" s="1"/>
  <c r="N53" i="2"/>
  <c r="AZ53" i="2"/>
  <c r="J53" i="2"/>
  <c r="BC53" i="2"/>
  <c r="AR53" i="2"/>
  <c r="W46" i="2"/>
  <c r="A186" i="21"/>
  <c r="I186" i="21" s="1"/>
  <c r="I185" i="21"/>
  <c r="I36" i="25"/>
  <c r="I38" i="25" s="1"/>
  <c r="H6" i="19"/>
  <c r="I6" i="19" s="1"/>
  <c r="J6" i="19"/>
  <c r="H6" i="15"/>
  <c r="I6" i="15" s="1"/>
  <c r="J6" i="15"/>
  <c r="I53" i="21"/>
  <c r="A75" i="21"/>
  <c r="A78" i="21" s="1"/>
  <c r="I78" i="21" s="1"/>
  <c r="I82" i="21" s="1"/>
  <c r="P82" i="21" s="1"/>
  <c r="P45" i="21" s="1"/>
  <c r="S42" i="2" s="1"/>
  <c r="J6" i="20"/>
  <c r="H6" i="20"/>
  <c r="I6" i="20" s="1"/>
  <c r="M6" i="20" s="1"/>
  <c r="P66" i="18"/>
  <c r="S37" i="2"/>
  <c r="Q126" i="15"/>
  <c r="Q38" i="15" s="1"/>
  <c r="T13" i="2"/>
  <c r="M31" i="17"/>
  <c r="M33" i="17" s="1"/>
  <c r="P24" i="2" s="1"/>
  <c r="W24" i="2" s="1"/>
  <c r="M35" i="18"/>
  <c r="M37" i="18" s="1"/>
  <c r="P37" i="2" s="1"/>
  <c r="H6" i="8"/>
  <c r="I6" i="8" s="1"/>
  <c r="J6" i="8"/>
  <c r="AT9" i="38"/>
  <c r="G32" i="11"/>
  <c r="H4" i="11"/>
  <c r="G26" i="11"/>
  <c r="G56" i="11" s="1"/>
  <c r="C44" i="6"/>
  <c r="A44" i="6" s="1"/>
  <c r="F6" i="6"/>
  <c r="A70" i="4"/>
  <c r="A73" i="4" s="1"/>
  <c r="I73" i="4" s="1"/>
  <c r="I77" i="4" s="1"/>
  <c r="P77" i="4" s="1"/>
  <c r="P43" i="4" s="1"/>
  <c r="S40" i="2" s="1"/>
  <c r="S90" i="2" s="1"/>
  <c r="D8" i="3" s="1"/>
  <c r="AS34" i="38"/>
  <c r="K34" i="38"/>
  <c r="AR34" i="38" s="1"/>
  <c r="E25" i="37"/>
  <c r="L38" i="12"/>
  <c r="H38" i="12"/>
  <c r="I38" i="12" s="1"/>
  <c r="M38" i="12"/>
  <c r="AM92" i="2"/>
  <c r="A67" i="7"/>
  <c r="A70" i="7" s="1"/>
  <c r="I70" i="7" s="1"/>
  <c r="I74" i="7" s="1"/>
  <c r="P74" i="7" s="1"/>
  <c r="P39" i="7" s="1"/>
  <c r="S59" i="2" s="1"/>
  <c r="I44" i="7"/>
  <c r="AZ59" i="2"/>
  <c r="BG31" i="2"/>
  <c r="M39" i="12"/>
  <c r="L39" i="12"/>
  <c r="H39" i="12"/>
  <c r="I39" i="12" s="1"/>
  <c r="AS40" i="2"/>
  <c r="E34" i="65" s="1"/>
  <c r="J34" i="65" s="1"/>
  <c r="AM90" i="2"/>
  <c r="M8" i="3" s="1"/>
  <c r="AR30" i="2"/>
  <c r="AS30" i="2" s="1"/>
  <c r="E26" i="65" s="1"/>
  <c r="J26" i="65" s="1"/>
  <c r="AQ31" i="2"/>
  <c r="J42" i="65"/>
  <c r="F18" i="3" l="1"/>
  <c r="G15" i="38" s="1"/>
  <c r="AT29" i="38"/>
  <c r="AS50" i="2"/>
  <c r="E44" i="65" s="1"/>
  <c r="J44" i="65" s="1"/>
  <c r="AZ50" i="2"/>
  <c r="AZ51" i="2"/>
  <c r="J92" i="2"/>
  <c r="M12" i="12"/>
  <c r="L6" i="12" s="1"/>
  <c r="J45" i="65"/>
  <c r="BC92" i="2"/>
  <c r="AC64" i="2"/>
  <c r="BG64" i="2"/>
  <c r="AC52" i="2"/>
  <c r="BG52" i="2"/>
  <c r="C43" i="65"/>
  <c r="H43" i="65" s="1"/>
  <c r="C42" i="65"/>
  <c r="H42" i="65" s="1"/>
  <c r="BG49" i="2"/>
  <c r="AC49" i="2"/>
  <c r="BG63" i="2"/>
  <c r="AC63" i="2"/>
  <c r="C44" i="65"/>
  <c r="H44" i="65" s="1"/>
  <c r="AC50" i="2"/>
  <c r="BG50" i="2"/>
  <c r="C37" i="65"/>
  <c r="H37" i="65" s="1"/>
  <c r="AC46" i="2"/>
  <c r="BG46" i="2"/>
  <c r="BF31" i="2"/>
  <c r="AH31" i="2"/>
  <c r="C32" i="65"/>
  <c r="H32" i="65" s="1"/>
  <c r="AC38" i="2"/>
  <c r="BG38" i="2"/>
  <c r="C14" i="65"/>
  <c r="H14" i="65" s="1"/>
  <c r="AC16" i="2"/>
  <c r="BG16" i="2"/>
  <c r="C23" i="65"/>
  <c r="H23" i="65" s="1"/>
  <c r="AC25" i="2"/>
  <c r="BG25" i="2"/>
  <c r="H32" i="11"/>
  <c r="I4" i="11"/>
  <c r="H26" i="11"/>
  <c r="H56" i="11" s="1"/>
  <c r="AC29" i="2"/>
  <c r="BG29" i="2"/>
  <c r="I34" i="20"/>
  <c r="I36" i="20" s="1"/>
  <c r="F6" i="11"/>
  <c r="E9" i="1"/>
  <c r="A10" i="1"/>
  <c r="V100" i="12"/>
  <c r="V96" i="12"/>
  <c r="V92" i="12"/>
  <c r="V88" i="12"/>
  <c r="V86" i="12"/>
  <c r="V82" i="12"/>
  <c r="V74" i="12"/>
  <c r="V70" i="12"/>
  <c r="V64" i="12"/>
  <c r="V60" i="12"/>
  <c r="V56" i="12"/>
  <c r="V52" i="12"/>
  <c r="V47" i="12"/>
  <c r="V43" i="12"/>
  <c r="V39" i="12"/>
  <c r="V84" i="12"/>
  <c r="V76" i="12"/>
  <c r="V72" i="12"/>
  <c r="V63" i="12"/>
  <c r="V59" i="12"/>
  <c r="V55" i="12"/>
  <c r="V51" i="12"/>
  <c r="V50" i="12"/>
  <c r="V46" i="12"/>
  <c r="V42" i="12"/>
  <c r="V38" i="12"/>
  <c r="W13" i="12"/>
  <c r="V78" i="12"/>
  <c r="V66" i="12"/>
  <c r="V37" i="12"/>
  <c r="V98" i="12"/>
  <c r="V94" i="12"/>
  <c r="V90" i="12"/>
  <c r="V80" i="12"/>
  <c r="V68" i="12"/>
  <c r="V53" i="12"/>
  <c r="V57" i="12"/>
  <c r="V61" i="12"/>
  <c r="V65" i="12"/>
  <c r="V75" i="12"/>
  <c r="V41" i="12"/>
  <c r="V58" i="12"/>
  <c r="V95" i="12"/>
  <c r="V79" i="12"/>
  <c r="V99" i="12"/>
  <c r="V77" i="12"/>
  <c r="V83" i="12"/>
  <c r="V89" i="12"/>
  <c r="V93" i="12"/>
  <c r="V97" i="12"/>
  <c r="V45" i="12"/>
  <c r="V62" i="12"/>
  <c r="V87" i="12"/>
  <c r="V73" i="12"/>
  <c r="V71" i="12"/>
  <c r="V49" i="12"/>
  <c r="V91" i="12"/>
  <c r="V85" i="12"/>
  <c r="V40" i="12"/>
  <c r="V44" i="12"/>
  <c r="V48" i="12"/>
  <c r="V54" i="12"/>
  <c r="V81" i="12"/>
  <c r="V67" i="12"/>
  <c r="V69" i="12"/>
  <c r="AF19" i="38"/>
  <c r="T18" i="2"/>
  <c r="W17" i="2"/>
  <c r="C29" i="65"/>
  <c r="H29" i="65" s="1"/>
  <c r="AC35" i="2"/>
  <c r="BG35" i="2"/>
  <c r="AT34" i="38"/>
  <c r="W37" i="2"/>
  <c r="X30" i="11"/>
  <c r="H30" i="11"/>
  <c r="W30" i="11"/>
  <c r="K30" i="11"/>
  <c r="G30" i="11"/>
  <c r="N30" i="11"/>
  <c r="J30" i="11"/>
  <c r="Y30" i="11"/>
  <c r="I30" i="11"/>
  <c r="M6" i="8"/>
  <c r="M37" i="8" s="1"/>
  <c r="M39" i="8" s="1"/>
  <c r="P60" i="2" s="1"/>
  <c r="W60" i="2" s="1"/>
  <c r="I37" i="8"/>
  <c r="I39" i="8" s="1"/>
  <c r="C22" i="65"/>
  <c r="H22" i="65" s="1"/>
  <c r="AC24" i="2"/>
  <c r="BG24" i="2"/>
  <c r="M6" i="19"/>
  <c r="M34" i="19" s="1"/>
  <c r="M36" i="19" s="1"/>
  <c r="P39" i="2" s="1"/>
  <c r="I34" i="19"/>
  <c r="I36" i="19" s="1"/>
  <c r="BE28" i="2"/>
  <c r="BH28" i="2"/>
  <c r="L70" i="12"/>
  <c r="L36" i="12" s="1"/>
  <c r="K30" i="12" s="1"/>
  <c r="H70" i="12"/>
  <c r="I70" i="12" s="1"/>
  <c r="M70" i="12"/>
  <c r="L12" i="12"/>
  <c r="K6" i="12" s="1"/>
  <c r="M6" i="21"/>
  <c r="M43" i="21" s="1"/>
  <c r="M45" i="21" s="1"/>
  <c r="P42" i="2" s="1"/>
  <c r="W42" i="2" s="1"/>
  <c r="I43" i="21"/>
  <c r="I45" i="21" s="1"/>
  <c r="P65" i="19"/>
  <c r="S39" i="2"/>
  <c r="A60" i="27"/>
  <c r="A63" i="27" s="1"/>
  <c r="I63" i="27" s="1"/>
  <c r="I67" i="27" s="1"/>
  <c r="P67" i="27" s="1"/>
  <c r="P38" i="27" s="1"/>
  <c r="S53" i="2" s="1"/>
  <c r="I43" i="27"/>
  <c r="M5" i="49"/>
  <c r="M29" i="49" s="1"/>
  <c r="M31" i="49" s="1"/>
  <c r="P27" i="2" s="1"/>
  <c r="I29" i="49"/>
  <c r="I31" i="49" s="1"/>
  <c r="I37" i="12"/>
  <c r="H36" i="12"/>
  <c r="K28" i="12" s="1"/>
  <c r="I20" i="38"/>
  <c r="I19" i="38" s="1"/>
  <c r="M7" i="43"/>
  <c r="BN92" i="2"/>
  <c r="BN90" i="2"/>
  <c r="W40" i="2"/>
  <c r="BG40" i="2" s="1"/>
  <c r="H9" i="41"/>
  <c r="I9" i="41" s="1"/>
  <c r="M9" i="41" s="1"/>
  <c r="G10" i="41"/>
  <c r="I65" i="38"/>
  <c r="J6" i="38"/>
  <c r="P19" i="38"/>
  <c r="AH14" i="2"/>
  <c r="BF14" i="2"/>
  <c r="H6" i="6"/>
  <c r="I6" i="6" s="1"/>
  <c r="J6" i="6"/>
  <c r="BG55" i="2"/>
  <c r="AC55" i="2"/>
  <c r="I36" i="27"/>
  <c r="I38" i="27" s="1"/>
  <c r="A52" i="49"/>
  <c r="A55" i="49" s="1"/>
  <c r="I55" i="49" s="1"/>
  <c r="I59" i="49" s="1"/>
  <c r="P59" i="49" s="1"/>
  <c r="S27" i="2" s="1"/>
  <c r="I36" i="49"/>
  <c r="M8" i="41"/>
  <c r="P67" i="42"/>
  <c r="A67" i="42" s="1"/>
  <c r="C45" i="65"/>
  <c r="H45" i="65" s="1"/>
  <c r="AC51" i="2"/>
  <c r="G33" i="38"/>
  <c r="AR33" i="38" s="1"/>
  <c r="AS33" i="38"/>
  <c r="E26" i="37"/>
  <c r="AS38" i="38"/>
  <c r="AJ38" i="38"/>
  <c r="AJ35" i="38" s="1"/>
  <c r="AK64" i="38" s="1"/>
  <c r="AK62" i="38" s="1"/>
  <c r="AK61" i="38" s="1"/>
  <c r="X38" i="38"/>
  <c r="X35" i="38" s="1"/>
  <c r="Y64" i="38" s="1"/>
  <c r="Y62" i="38" s="1"/>
  <c r="Y61" i="38" s="1"/>
  <c r="L38" i="38"/>
  <c r="AP38" i="38"/>
  <c r="AD38" i="38"/>
  <c r="R38" i="38"/>
  <c r="U35" i="12"/>
  <c r="U24" i="12"/>
  <c r="G10" i="40"/>
  <c r="H9" i="40"/>
  <c r="I9" i="40" s="1"/>
  <c r="M9" i="40" s="1"/>
  <c r="T35" i="12"/>
  <c r="T24" i="12"/>
  <c r="M34" i="20"/>
  <c r="M36" i="20" s="1"/>
  <c r="P41" i="2" s="1"/>
  <c r="W41" i="2" s="1"/>
  <c r="M6" i="15"/>
  <c r="M36" i="15" s="1"/>
  <c r="M38" i="15" s="1"/>
  <c r="P13" i="2" s="1"/>
  <c r="W13" i="2" s="1"/>
  <c r="I36" i="15"/>
  <c r="I38" i="15" s="1"/>
  <c r="M6" i="26"/>
  <c r="M34" i="26" s="1"/>
  <c r="M36" i="26" s="1"/>
  <c r="P48" i="2" s="1"/>
  <c r="W48" i="2" s="1"/>
  <c r="I34" i="26"/>
  <c r="I36" i="26" s="1"/>
  <c r="M36" i="12"/>
  <c r="L30" i="12" s="1"/>
  <c r="C37" i="11"/>
  <c r="C59" i="11"/>
  <c r="D13" i="11"/>
  <c r="M6" i="30"/>
  <c r="M36" i="30" s="1"/>
  <c r="M38" i="30" s="1"/>
  <c r="P56" i="2" s="1"/>
  <c r="W56" i="2" s="1"/>
  <c r="I36" i="30"/>
  <c r="I38" i="30" s="1"/>
  <c r="M36" i="27"/>
  <c r="M38" i="27" s="1"/>
  <c r="P53" i="2" s="1"/>
  <c r="W53" i="2" s="1"/>
  <c r="C19" i="65"/>
  <c r="H19" i="65" s="1"/>
  <c r="C21" i="65"/>
  <c r="H21" i="65" s="1"/>
  <c r="C20" i="65"/>
  <c r="H20" i="65" s="1"/>
  <c r="C16" i="65"/>
  <c r="H16" i="65" s="1"/>
  <c r="BG23" i="2"/>
  <c r="AC23" i="2"/>
  <c r="S24" i="12"/>
  <c r="S35" i="12"/>
  <c r="AP92" i="2"/>
  <c r="G25" i="38"/>
  <c r="J25" i="38"/>
  <c r="AS25" i="38"/>
  <c r="E21" i="37"/>
  <c r="M6" i="9"/>
  <c r="M37" i="9" s="1"/>
  <c r="M39" i="9" s="1"/>
  <c r="P61" i="2" s="1"/>
  <c r="W61" i="2" s="1"/>
  <c r="I37" i="9"/>
  <c r="I39" i="9" s="1"/>
  <c r="C11" i="65"/>
  <c r="H11" i="65" s="1"/>
  <c r="AC11" i="2"/>
  <c r="BG11" i="2"/>
  <c r="M6" i="7"/>
  <c r="M37" i="7" s="1"/>
  <c r="M39" i="7" s="1"/>
  <c r="P59" i="2" s="1"/>
  <c r="W59" i="2" s="1"/>
  <c r="I37" i="7"/>
  <c r="I39" i="7" s="1"/>
  <c r="M6" i="23"/>
  <c r="M34" i="23" s="1"/>
  <c r="M36" i="23" s="1"/>
  <c r="P45" i="2" s="1"/>
  <c r="W45" i="2" s="1"/>
  <c r="I34" i="23"/>
  <c r="I36" i="23" s="1"/>
  <c r="I44" i="6"/>
  <c r="A66" i="6"/>
  <c r="A69" i="6" s="1"/>
  <c r="I69" i="6" s="1"/>
  <c r="I73" i="6" s="1"/>
  <c r="P73" i="6" s="1"/>
  <c r="P39" i="6" s="1"/>
  <c r="S58" i="2" s="1"/>
  <c r="M6" i="32"/>
  <c r="M37" i="32" s="1"/>
  <c r="M39" i="32" s="1"/>
  <c r="P57" i="2" s="1"/>
  <c r="W57" i="2" s="1"/>
  <c r="I37" i="32"/>
  <c r="I39" i="32" s="1"/>
  <c r="T19" i="38"/>
  <c r="M6" i="59"/>
  <c r="M33" i="59" s="1"/>
  <c r="M35" i="59" s="1"/>
  <c r="P44" i="2" s="1"/>
  <c r="W44" i="2" s="1"/>
  <c r="I33" i="59"/>
  <c r="I35" i="59" s="1"/>
  <c r="AH54" i="2"/>
  <c r="BE54" i="2" s="1"/>
  <c r="BF54" i="2"/>
  <c r="AQ35" i="2"/>
  <c r="AR35" i="2" s="1"/>
  <c r="AS35" i="2" s="1"/>
  <c r="E29" i="65" s="1"/>
  <c r="J29" i="65" s="1"/>
  <c r="AR31" i="2"/>
  <c r="AB19" i="38"/>
  <c r="C15" i="65"/>
  <c r="H15" i="65" s="1"/>
  <c r="C18" i="65"/>
  <c r="H18" i="65" s="1"/>
  <c r="AC22" i="2"/>
  <c r="BG22" i="2"/>
  <c r="C28" i="65"/>
  <c r="H28" i="65" s="1"/>
  <c r="AC32" i="2"/>
  <c r="BG32" i="2"/>
  <c r="F8" i="11"/>
  <c r="T23" i="3"/>
  <c r="AS8" i="38" s="1"/>
  <c r="A14" i="1"/>
  <c r="E17" i="1"/>
  <c r="I13" i="12"/>
  <c r="I12" i="12" s="1"/>
  <c r="L4" i="12" s="1"/>
  <c r="H12" i="12"/>
  <c r="K4" i="12" s="1"/>
  <c r="M6" i="5"/>
  <c r="M44" i="5" s="1"/>
  <c r="M46" i="5" s="1"/>
  <c r="P43" i="2" s="1"/>
  <c r="W43" i="2" s="1"/>
  <c r="I44" i="5"/>
  <c r="I46" i="5" s="1"/>
  <c r="C13" i="65"/>
  <c r="H13" i="65" s="1"/>
  <c r="AC15" i="2"/>
  <c r="BG15" i="2"/>
  <c r="AC12" i="2"/>
  <c r="BG12" i="2"/>
  <c r="W47" i="2"/>
  <c r="AJ92" i="2"/>
  <c r="P65" i="40"/>
  <c r="A65" i="40" s="1"/>
  <c r="AR27" i="38"/>
  <c r="AT27" i="38" s="1"/>
  <c r="N92" i="2"/>
  <c r="F36" i="12"/>
  <c r="M6" i="10"/>
  <c r="M37" i="10" s="1"/>
  <c r="M39" i="10" s="1"/>
  <c r="P62" i="2" s="1"/>
  <c r="W62" i="2" s="1"/>
  <c r="I37" i="10"/>
  <c r="I39" i="10" s="1"/>
  <c r="H9" i="43"/>
  <c r="I9" i="43" s="1"/>
  <c r="M9" i="43" s="1"/>
  <c r="G10" i="43"/>
  <c r="C26" i="65"/>
  <c r="H26" i="65" s="1"/>
  <c r="BG30" i="2"/>
  <c r="AC30" i="2"/>
  <c r="BG51" i="2"/>
  <c r="M6" i="35"/>
  <c r="M39" i="35" s="1"/>
  <c r="M41" i="35" s="1"/>
  <c r="P65" i="2" s="1"/>
  <c r="W65" i="2" s="1"/>
  <c r="I39" i="35"/>
  <c r="I41" i="35" s="1"/>
  <c r="G10" i="42"/>
  <c r="H9" i="42"/>
  <c r="I9" i="42" s="1"/>
  <c r="M9" i="42" s="1"/>
  <c r="C30" i="65"/>
  <c r="H30" i="65" s="1"/>
  <c r="AC36" i="2"/>
  <c r="BG36" i="2"/>
  <c r="AG92" i="2"/>
  <c r="L15" i="38" l="1"/>
  <c r="L7" i="38" s="1"/>
  <c r="AS15" i="38"/>
  <c r="T30" i="11"/>
  <c r="Q30" i="11"/>
  <c r="M30" i="11"/>
  <c r="R30" i="11"/>
  <c r="O30" i="11"/>
  <c r="L30" i="11"/>
  <c r="E14" i="37"/>
  <c r="I15" i="38"/>
  <c r="I7" i="38" s="1"/>
  <c r="U30" i="11"/>
  <c r="F30" i="11"/>
  <c r="V30" i="11"/>
  <c r="S30" i="11"/>
  <c r="P30" i="11"/>
  <c r="T36" i="12"/>
  <c r="S36" i="12"/>
  <c r="AZ92" i="2"/>
  <c r="U36" i="12"/>
  <c r="I36" i="12"/>
  <c r="L28" i="12" s="1"/>
  <c r="AR25" i="38"/>
  <c r="AT25" i="38" s="1"/>
  <c r="AC43" i="2"/>
  <c r="BG43" i="2"/>
  <c r="E92" i="12"/>
  <c r="AC62" i="2"/>
  <c r="BG62" i="2"/>
  <c r="AC65" i="2"/>
  <c r="BG65" i="2"/>
  <c r="AH12" i="2"/>
  <c r="BF12" i="2"/>
  <c r="AJ8" i="38"/>
  <c r="F49" i="11"/>
  <c r="I8" i="11"/>
  <c r="H8" i="11"/>
  <c r="F16" i="11"/>
  <c r="G8" i="11"/>
  <c r="AC57" i="2"/>
  <c r="BG57" i="2"/>
  <c r="AC41" i="2"/>
  <c r="BG41" i="2"/>
  <c r="G11" i="40"/>
  <c r="H10" i="40"/>
  <c r="I10" i="40" s="1"/>
  <c r="M10" i="40" s="1"/>
  <c r="I67" i="42"/>
  <c r="J65" i="38"/>
  <c r="K6" i="38"/>
  <c r="AJ19" i="38"/>
  <c r="AC42" i="2"/>
  <c r="BG42" i="2"/>
  <c r="C31" i="65"/>
  <c r="H31" i="65" s="1"/>
  <c r="AC37" i="2"/>
  <c r="BG37" i="2"/>
  <c r="BF25" i="2"/>
  <c r="AH25" i="2"/>
  <c r="BF46" i="2"/>
  <c r="AH46" i="2"/>
  <c r="AH50" i="2"/>
  <c r="BF50" i="2"/>
  <c r="AH63" i="2"/>
  <c r="BF63" i="2"/>
  <c r="AH22" i="2"/>
  <c r="BF22" i="2"/>
  <c r="C36" i="65"/>
  <c r="H36" i="65" s="1"/>
  <c r="AC45" i="2"/>
  <c r="BG45" i="2"/>
  <c r="BG61" i="2"/>
  <c r="AC61" i="2"/>
  <c r="BF23" i="2"/>
  <c r="AH23" i="2"/>
  <c r="AC56" i="2"/>
  <c r="BG56" i="2"/>
  <c r="AC13" i="2"/>
  <c r="BG13" i="2"/>
  <c r="AH51" i="2"/>
  <c r="BF51" i="2"/>
  <c r="D12" i="65"/>
  <c r="I12" i="65" s="1"/>
  <c r="BE14" i="2"/>
  <c r="BH14" i="2"/>
  <c r="C34" i="65"/>
  <c r="H34" i="65" s="1"/>
  <c r="E70" i="12"/>
  <c r="AC40" i="2"/>
  <c r="W39" i="2"/>
  <c r="BG17" i="2"/>
  <c r="AC17" i="2"/>
  <c r="X19" i="38"/>
  <c r="D27" i="65"/>
  <c r="I27" i="65" s="1"/>
  <c r="BE31" i="2"/>
  <c r="BH31" i="2"/>
  <c r="AR92" i="2"/>
  <c r="AS92" i="2" s="1"/>
  <c r="AS31" i="2"/>
  <c r="E27" i="65" s="1"/>
  <c r="J27" i="65" s="1"/>
  <c r="G11" i="42"/>
  <c r="H10" i="42"/>
  <c r="I10" i="42" s="1"/>
  <c r="M10" i="42" s="1"/>
  <c r="H10" i="43"/>
  <c r="I10" i="43" s="1"/>
  <c r="M10" i="43" s="1"/>
  <c r="G11" i="43"/>
  <c r="C39" i="65"/>
  <c r="H39" i="65" s="1"/>
  <c r="C38" i="65"/>
  <c r="H38" i="65" s="1"/>
  <c r="AC47" i="2"/>
  <c r="BG47" i="2"/>
  <c r="AH15" i="2"/>
  <c r="BF15" i="2"/>
  <c r="BF32" i="2"/>
  <c r="AH32" i="2"/>
  <c r="BF11" i="2"/>
  <c r="AH11" i="2"/>
  <c r="D50" i="11"/>
  <c r="D51" i="11" s="1"/>
  <c r="D54" i="11" s="1"/>
  <c r="D57" i="11" s="1"/>
  <c r="D14" i="11"/>
  <c r="D15" i="11" s="1"/>
  <c r="D18" i="11" s="1"/>
  <c r="D23" i="11" s="1"/>
  <c r="D28" i="11" s="1"/>
  <c r="L35" i="38"/>
  <c r="AR38" i="38"/>
  <c r="AT38" i="38" s="1"/>
  <c r="H10" i="41"/>
  <c r="I10" i="41" s="1"/>
  <c r="G11" i="41"/>
  <c r="P90" i="2"/>
  <c r="D7" i="3" s="1"/>
  <c r="W27" i="2"/>
  <c r="AC60" i="2"/>
  <c r="BG60" i="2"/>
  <c r="W18" i="2"/>
  <c r="T19" i="2"/>
  <c r="W98" i="12"/>
  <c r="W94" i="12"/>
  <c r="W90" i="12"/>
  <c r="W86" i="12"/>
  <c r="W74" i="12"/>
  <c r="W97" i="12"/>
  <c r="W93" i="12"/>
  <c r="W89" i="12"/>
  <c r="W83" i="12"/>
  <c r="W75" i="12"/>
  <c r="W71" i="12"/>
  <c r="W63" i="12"/>
  <c r="W59" i="12"/>
  <c r="W55" i="12"/>
  <c r="W51" i="12"/>
  <c r="W50" i="12"/>
  <c r="W46" i="12"/>
  <c r="W42" i="12"/>
  <c r="W38" i="12"/>
  <c r="X13" i="12"/>
  <c r="W66" i="12"/>
  <c r="W62" i="12"/>
  <c r="W58" i="12"/>
  <c r="W54" i="12"/>
  <c r="W49" i="12"/>
  <c r="W45" i="12"/>
  <c r="W41" i="12"/>
  <c r="W37" i="12"/>
  <c r="W91" i="12"/>
  <c r="W44" i="12"/>
  <c r="W61" i="12"/>
  <c r="W69" i="12"/>
  <c r="W85" i="12"/>
  <c r="W72" i="12"/>
  <c r="W88" i="12"/>
  <c r="W92" i="12"/>
  <c r="W48" i="12"/>
  <c r="W65" i="12"/>
  <c r="W67" i="12"/>
  <c r="W79" i="12"/>
  <c r="W77" i="12"/>
  <c r="W82" i="12"/>
  <c r="W76" i="12"/>
  <c r="W96" i="12"/>
  <c r="W39" i="12"/>
  <c r="W43" i="12"/>
  <c r="W47" i="12"/>
  <c r="W81" i="12"/>
  <c r="W53" i="12"/>
  <c r="W73" i="12"/>
  <c r="W99" i="12"/>
  <c r="W70" i="12"/>
  <c r="W78" i="12"/>
  <c r="W80" i="12"/>
  <c r="W100" i="12"/>
  <c r="W52" i="12"/>
  <c r="W56" i="12"/>
  <c r="W60" i="12"/>
  <c r="W64" i="12"/>
  <c r="W87" i="12"/>
  <c r="W95" i="12"/>
  <c r="W40" i="12"/>
  <c r="W57" i="12"/>
  <c r="W68" i="12"/>
  <c r="W84" i="12"/>
  <c r="AH49" i="2"/>
  <c r="BF49" i="2"/>
  <c r="AH52" i="2"/>
  <c r="BF52" i="2"/>
  <c r="BF36" i="2"/>
  <c r="AH36" i="2"/>
  <c r="AH30" i="2"/>
  <c r="BF30" i="2"/>
  <c r="I65" i="40"/>
  <c r="C35" i="65"/>
  <c r="H35" i="65" s="1"/>
  <c r="AC44" i="2"/>
  <c r="BG44" i="2"/>
  <c r="AC59" i="2"/>
  <c r="BG59" i="2"/>
  <c r="AC53" i="2"/>
  <c r="BG53" i="2"/>
  <c r="C41" i="65"/>
  <c r="H41" i="65" s="1"/>
  <c r="C40" i="65"/>
  <c r="H40" i="65" s="1"/>
  <c r="AC48" i="2"/>
  <c r="BG48" i="2"/>
  <c r="AT33" i="38"/>
  <c r="BF55" i="2"/>
  <c r="AH55" i="2"/>
  <c r="M6" i="6"/>
  <c r="M37" i="6" s="1"/>
  <c r="M39" i="6" s="1"/>
  <c r="P58" i="2" s="1"/>
  <c r="W58" i="2" s="1"/>
  <c r="I37" i="6"/>
  <c r="I39" i="6" s="1"/>
  <c r="BF24" i="2"/>
  <c r="AH24" i="2"/>
  <c r="BF35" i="2"/>
  <c r="AH35" i="2"/>
  <c r="V22" i="12"/>
  <c r="G6" i="11"/>
  <c r="I6" i="11"/>
  <c r="H6" i="11"/>
  <c r="BF29" i="2"/>
  <c r="AH29" i="2"/>
  <c r="I26" i="11"/>
  <c r="I32" i="11"/>
  <c r="J4" i="11"/>
  <c r="J6" i="11" s="1"/>
  <c r="BF16" i="2"/>
  <c r="AH16" i="2"/>
  <c r="AH38" i="2"/>
  <c r="BF38" i="2"/>
  <c r="BF64" i="2"/>
  <c r="AH64" i="2"/>
  <c r="AR15" i="38" l="1"/>
  <c r="AT15" i="38" s="1"/>
  <c r="D36" i="11"/>
  <c r="D29" i="11"/>
  <c r="BE64" i="2"/>
  <c r="BH64" i="2"/>
  <c r="D14" i="65"/>
  <c r="I14" i="65" s="1"/>
  <c r="BE16" i="2"/>
  <c r="BH16" i="2"/>
  <c r="BE29" i="2"/>
  <c r="BH29" i="2"/>
  <c r="D29" i="65"/>
  <c r="I29" i="65" s="1"/>
  <c r="BE35" i="2"/>
  <c r="BH35" i="2"/>
  <c r="AC58" i="2"/>
  <c r="BG58" i="2"/>
  <c r="BF59" i="2"/>
  <c r="AH59" i="2"/>
  <c r="D13" i="65"/>
  <c r="I13" i="65" s="1"/>
  <c r="BE15" i="2"/>
  <c r="BH15" i="2"/>
  <c r="G13" i="42"/>
  <c r="H11" i="42"/>
  <c r="I11" i="42" s="1"/>
  <c r="P11" i="42" s="1"/>
  <c r="AH61" i="2"/>
  <c r="BF61" i="2"/>
  <c r="BE63" i="2"/>
  <c r="BH63" i="2"/>
  <c r="AH37" i="2"/>
  <c r="BF37" i="2"/>
  <c r="BF42" i="2"/>
  <c r="AH42" i="2"/>
  <c r="BF57" i="2"/>
  <c r="AH57" i="2"/>
  <c r="H49" i="11"/>
  <c r="H16" i="11"/>
  <c r="BE12" i="2"/>
  <c r="BH12" i="2"/>
  <c r="AH62" i="2"/>
  <c r="BF62" i="2"/>
  <c r="BF43" i="2"/>
  <c r="AH43" i="2"/>
  <c r="BE55" i="2"/>
  <c r="BH55" i="2"/>
  <c r="D26" i="65"/>
  <c r="I26" i="65" s="1"/>
  <c r="BE30" i="2"/>
  <c r="BH30" i="2"/>
  <c r="BE52" i="2"/>
  <c r="BH52" i="2"/>
  <c r="W22" i="12"/>
  <c r="X84" i="12"/>
  <c r="X76" i="12"/>
  <c r="X72" i="12"/>
  <c r="X66" i="12"/>
  <c r="X62" i="12"/>
  <c r="X58" i="12"/>
  <c r="X54" i="12"/>
  <c r="X49" i="12"/>
  <c r="X45" i="12"/>
  <c r="X41" i="12"/>
  <c r="X37" i="12"/>
  <c r="X100" i="12"/>
  <c r="X78" i="12"/>
  <c r="X98" i="12"/>
  <c r="X94" i="12"/>
  <c r="X90" i="12"/>
  <c r="X80" i="12"/>
  <c r="X68" i="12"/>
  <c r="X96" i="12"/>
  <c r="X92" i="12"/>
  <c r="X88" i="12"/>
  <c r="X86" i="12"/>
  <c r="X82" i="12"/>
  <c r="X74" i="12"/>
  <c r="X70" i="12"/>
  <c r="X51" i="12"/>
  <c r="Y13" i="12"/>
  <c r="X55" i="12"/>
  <c r="X59" i="12"/>
  <c r="X63" i="12"/>
  <c r="X71" i="12"/>
  <c r="X56" i="12"/>
  <c r="X81" i="12"/>
  <c r="X69" i="12"/>
  <c r="X91" i="12"/>
  <c r="X38" i="12"/>
  <c r="X43" i="12"/>
  <c r="X60" i="12"/>
  <c r="X40" i="12"/>
  <c r="X48" i="12"/>
  <c r="X57" i="12"/>
  <c r="X65" i="12"/>
  <c r="X67" i="12"/>
  <c r="X99" i="12"/>
  <c r="X77" i="12"/>
  <c r="X75" i="12"/>
  <c r="X89" i="12"/>
  <c r="X93" i="12"/>
  <c r="X97" i="12"/>
  <c r="X39" i="12"/>
  <c r="X47" i="12"/>
  <c r="X64" i="12"/>
  <c r="X95" i="12"/>
  <c r="X79" i="12"/>
  <c r="X73" i="12"/>
  <c r="X42" i="12"/>
  <c r="X46" i="12"/>
  <c r="X50" i="12"/>
  <c r="X83" i="12"/>
  <c r="X52" i="12"/>
  <c r="X87" i="12"/>
  <c r="X44" i="12"/>
  <c r="X53" i="12"/>
  <c r="X61" i="12"/>
  <c r="X85" i="12"/>
  <c r="T20" i="2"/>
  <c r="W19" i="2"/>
  <c r="AH60" i="2"/>
  <c r="BF60" i="2"/>
  <c r="AS21" i="38"/>
  <c r="E18" i="37"/>
  <c r="C67" i="3"/>
  <c r="K21" i="38"/>
  <c r="L21" i="38"/>
  <c r="H21" i="38"/>
  <c r="G21" i="38"/>
  <c r="D28" i="65"/>
  <c r="I28" i="65" s="1"/>
  <c r="BE32" i="2"/>
  <c r="BH32" i="2"/>
  <c r="H11" i="43"/>
  <c r="I11" i="43" s="1"/>
  <c r="P11" i="43" s="1"/>
  <c r="G12" i="43"/>
  <c r="D45" i="65"/>
  <c r="I45" i="65" s="1"/>
  <c r="BE51" i="2"/>
  <c r="BH51" i="2"/>
  <c r="AH56" i="2"/>
  <c r="BF56" i="2"/>
  <c r="D23" i="65"/>
  <c r="I23" i="65" s="1"/>
  <c r="BE25" i="2"/>
  <c r="BH25" i="2"/>
  <c r="BF41" i="2"/>
  <c r="AH41" i="2"/>
  <c r="I16" i="11"/>
  <c r="I49" i="11"/>
  <c r="AJ7" i="38"/>
  <c r="AR8" i="38"/>
  <c r="J92" i="12"/>
  <c r="K92" i="12"/>
  <c r="J32" i="11"/>
  <c r="K4" i="11"/>
  <c r="J26" i="11"/>
  <c r="J56" i="11" s="1"/>
  <c r="V35" i="12"/>
  <c r="V24" i="12"/>
  <c r="BF48" i="2"/>
  <c r="AH48" i="2"/>
  <c r="BF53" i="2"/>
  <c r="AH53" i="2"/>
  <c r="AH44" i="2"/>
  <c r="BF44" i="2"/>
  <c r="D30" i="65"/>
  <c r="I30" i="65" s="1"/>
  <c r="BE36" i="2"/>
  <c r="BH36" i="2"/>
  <c r="BG18" i="2"/>
  <c r="AC18" i="2"/>
  <c r="C25" i="65"/>
  <c r="H25" i="65" s="1"/>
  <c r="AC27" i="2"/>
  <c r="BG27" i="2"/>
  <c r="H11" i="41"/>
  <c r="I11" i="41" s="1"/>
  <c r="P11" i="41" s="1"/>
  <c r="G12" i="41"/>
  <c r="AH47" i="2"/>
  <c r="BF47" i="2"/>
  <c r="C33" i="65"/>
  <c r="H33" i="65" s="1"/>
  <c r="AC39" i="2"/>
  <c r="BG39" i="2"/>
  <c r="AH40" i="2"/>
  <c r="BH40" i="2" s="1"/>
  <c r="BF40" i="2"/>
  <c r="D20" i="65"/>
  <c r="I20" i="65" s="1"/>
  <c r="D16" i="65"/>
  <c r="I16" i="65" s="1"/>
  <c r="D19" i="65"/>
  <c r="I19" i="65" s="1"/>
  <c r="D21" i="65"/>
  <c r="I21" i="65" s="1"/>
  <c r="BE23" i="2"/>
  <c r="BH23" i="2"/>
  <c r="D18" i="65"/>
  <c r="I18" i="65" s="1"/>
  <c r="D15" i="65"/>
  <c r="I15" i="65" s="1"/>
  <c r="BE22" i="2"/>
  <c r="BH22" i="2"/>
  <c r="D44" i="65"/>
  <c r="I44" i="65" s="1"/>
  <c r="BE50" i="2"/>
  <c r="BH50" i="2"/>
  <c r="K65" i="38"/>
  <c r="L6" i="38"/>
  <c r="G49" i="11"/>
  <c r="G16" i="11"/>
  <c r="BF65" i="2"/>
  <c r="AH65" i="2"/>
  <c r="D32" i="65"/>
  <c r="I32" i="65" s="1"/>
  <c r="BE38" i="2"/>
  <c r="BH38" i="2"/>
  <c r="I56" i="11"/>
  <c r="D22" i="65"/>
  <c r="I22" i="65" s="1"/>
  <c r="BE24" i="2"/>
  <c r="BH24" i="2"/>
  <c r="D42" i="65"/>
  <c r="I42" i="65" s="1"/>
  <c r="D43" i="65"/>
  <c r="I43" i="65" s="1"/>
  <c r="BE49" i="2"/>
  <c r="BH49" i="2"/>
  <c r="M10" i="41"/>
  <c r="D11" i="65"/>
  <c r="I11" i="65" s="1"/>
  <c r="BE11" i="2"/>
  <c r="BH11" i="2"/>
  <c r="BF17" i="2"/>
  <c r="AH17" i="2"/>
  <c r="J70" i="12"/>
  <c r="K70" i="12"/>
  <c r="BF13" i="2"/>
  <c r="AH13" i="2"/>
  <c r="AH45" i="2"/>
  <c r="BF45" i="2"/>
  <c r="D37" i="65"/>
  <c r="I37" i="65" s="1"/>
  <c r="BE46" i="2"/>
  <c r="BH46" i="2"/>
  <c r="G12" i="40"/>
  <c r="H11" i="40"/>
  <c r="I11" i="40" s="1"/>
  <c r="P11" i="40" s="1"/>
  <c r="J8" i="11"/>
  <c r="BE13" i="2" l="1"/>
  <c r="BH13" i="2"/>
  <c r="BH17" i="2"/>
  <c r="BE17" i="2"/>
  <c r="H12" i="41"/>
  <c r="I12" i="41" s="1"/>
  <c r="G13" i="41"/>
  <c r="BE53" i="2"/>
  <c r="BH53" i="2"/>
  <c r="V36" i="12"/>
  <c r="AR21" i="38"/>
  <c r="AT21" i="38" s="1"/>
  <c r="T21" i="2"/>
  <c r="W20" i="2"/>
  <c r="BE57" i="2"/>
  <c r="BH57" i="2"/>
  <c r="H13" i="42"/>
  <c r="I13" i="42" s="1"/>
  <c r="P13" i="42" s="1"/>
  <c r="G14" i="42"/>
  <c r="BF58" i="2"/>
  <c r="AH58" i="2"/>
  <c r="L65" i="38"/>
  <c r="M6" i="38"/>
  <c r="D34" i="65"/>
  <c r="I34" i="65" s="1"/>
  <c r="BE40" i="2"/>
  <c r="AH18" i="2"/>
  <c r="BF18" i="2"/>
  <c r="BE56" i="2"/>
  <c r="BH56" i="2"/>
  <c r="H12" i="43"/>
  <c r="I12" i="43" s="1"/>
  <c r="P12" i="43" s="1"/>
  <c r="P68" i="43" s="1"/>
  <c r="A68" i="43" s="1"/>
  <c r="I68" i="43" s="1"/>
  <c r="G13" i="43"/>
  <c r="I64" i="38"/>
  <c r="I62" i="38" s="1"/>
  <c r="H20" i="38"/>
  <c r="H19" i="38" s="1"/>
  <c r="D31" i="65"/>
  <c r="I31" i="65" s="1"/>
  <c r="BE37" i="2"/>
  <c r="BH37" i="2"/>
  <c r="BE61" i="2"/>
  <c r="BH61" i="2"/>
  <c r="BE59" i="2"/>
  <c r="BH59" i="2"/>
  <c r="G13" i="40"/>
  <c r="H12" i="40"/>
  <c r="I12" i="40" s="1"/>
  <c r="P12" i="40" s="1"/>
  <c r="P68" i="40" s="1"/>
  <c r="A68" i="40" s="1"/>
  <c r="I68" i="40" s="1"/>
  <c r="D40" i="65"/>
  <c r="I40" i="65" s="1"/>
  <c r="D41" i="65"/>
  <c r="I41" i="65" s="1"/>
  <c r="BE48" i="2"/>
  <c r="BH48" i="2"/>
  <c r="AS63" i="38"/>
  <c r="AT8" i="38"/>
  <c r="M64" i="38"/>
  <c r="M62" i="38" s="1"/>
  <c r="M61" i="38" s="1"/>
  <c r="L20" i="38"/>
  <c r="L19" i="38" s="1"/>
  <c r="BE60" i="2"/>
  <c r="BH60" i="2"/>
  <c r="W24" i="12"/>
  <c r="W35" i="12"/>
  <c r="BE62" i="2"/>
  <c r="BH62" i="2"/>
  <c r="BE42" i="2"/>
  <c r="BH42" i="2"/>
  <c r="J49" i="11"/>
  <c r="J16" i="11"/>
  <c r="D36" i="65"/>
  <c r="I36" i="65" s="1"/>
  <c r="BE45" i="2"/>
  <c r="BH45" i="2"/>
  <c r="BE65" i="2"/>
  <c r="BH65" i="2"/>
  <c r="AH39" i="2"/>
  <c r="BF39" i="2"/>
  <c r="D38" i="65"/>
  <c r="I38" i="65" s="1"/>
  <c r="D39" i="65"/>
  <c r="I39" i="65" s="1"/>
  <c r="BE47" i="2"/>
  <c r="BH47" i="2"/>
  <c r="AH27" i="2"/>
  <c r="BF27" i="2"/>
  <c r="D35" i="65"/>
  <c r="I35" i="65" s="1"/>
  <c r="BE44" i="2"/>
  <c r="BH44" i="2"/>
  <c r="K32" i="11"/>
  <c r="L4" i="11"/>
  <c r="K26" i="11"/>
  <c r="K6" i="11"/>
  <c r="K8" i="11"/>
  <c r="BE41" i="2"/>
  <c r="BH41" i="2"/>
  <c r="L64" i="38"/>
  <c r="L62" i="38" s="1"/>
  <c r="L61" i="38" s="1"/>
  <c r="K20" i="38"/>
  <c r="K19" i="38" s="1"/>
  <c r="C17" i="65"/>
  <c r="H17" i="65" s="1"/>
  <c r="BG19" i="2"/>
  <c r="AC19" i="2"/>
  <c r="Y51" i="12"/>
  <c r="Z13" i="12"/>
  <c r="Y71" i="12"/>
  <c r="Y89" i="12"/>
  <c r="Y93" i="12"/>
  <c r="Y97" i="12"/>
  <c r="Y55" i="12"/>
  <c r="Y91" i="12"/>
  <c r="Y44" i="12"/>
  <c r="Y73" i="12"/>
  <c r="Y76" i="12"/>
  <c r="Y92" i="12"/>
  <c r="Y74" i="12"/>
  <c r="Y90" i="12"/>
  <c r="Y94" i="12"/>
  <c r="Y37" i="12"/>
  <c r="Y42" i="12"/>
  <c r="Y59" i="12"/>
  <c r="Y39" i="12"/>
  <c r="Y47" i="12"/>
  <c r="Y56" i="12"/>
  <c r="Y64" i="12"/>
  <c r="Y67" i="12"/>
  <c r="Y48" i="12"/>
  <c r="Y61" i="12"/>
  <c r="Y85" i="12"/>
  <c r="Y68" i="12"/>
  <c r="Y96" i="12"/>
  <c r="Y78" i="12"/>
  <c r="Y98" i="12"/>
  <c r="Y99" i="12"/>
  <c r="Y41" i="12"/>
  <c r="Y45" i="12"/>
  <c r="Y49" i="12"/>
  <c r="Y75" i="12"/>
  <c r="Y38" i="12"/>
  <c r="Y46" i="12"/>
  <c r="Y63" i="12"/>
  <c r="Y81" i="12"/>
  <c r="Y95" i="12"/>
  <c r="Y69" i="12"/>
  <c r="Y79" i="12"/>
  <c r="Y53" i="12"/>
  <c r="Y84" i="12"/>
  <c r="Y100" i="12"/>
  <c r="Y82" i="12"/>
  <c r="Y54" i="12"/>
  <c r="Y58" i="12"/>
  <c r="Y62" i="12"/>
  <c r="Y66" i="12"/>
  <c r="Y83" i="12"/>
  <c r="Y50" i="12"/>
  <c r="Y87" i="12"/>
  <c r="Y43" i="12"/>
  <c r="Y52" i="12"/>
  <c r="Y60" i="12"/>
  <c r="Y40" i="12"/>
  <c r="Y57" i="12"/>
  <c r="Y65" i="12"/>
  <c r="Y77" i="12"/>
  <c r="Y72" i="12"/>
  <c r="Y80" i="12"/>
  <c r="Y88" i="12"/>
  <c r="Y70" i="12"/>
  <c r="Y86" i="12"/>
  <c r="X22" i="12"/>
  <c r="BE43" i="2"/>
  <c r="BH43" i="2"/>
  <c r="D59" i="11"/>
  <c r="E13" i="11"/>
  <c r="D37" i="11"/>
  <c r="W36" i="12" l="1"/>
  <c r="K49" i="11"/>
  <c r="K16" i="11"/>
  <c r="L32" i="11"/>
  <c r="M4" i="11"/>
  <c r="L26" i="11"/>
  <c r="L56" i="11" s="1"/>
  <c r="L6" i="11"/>
  <c r="L8" i="11"/>
  <c r="D25" i="65"/>
  <c r="I25" i="65" s="1"/>
  <c r="BE27" i="2"/>
  <c r="BH27" i="2"/>
  <c r="H13" i="43"/>
  <c r="I13" i="43" s="1"/>
  <c r="M13" i="43" s="1"/>
  <c r="G14" i="43"/>
  <c r="P12" i="41"/>
  <c r="X35" i="12"/>
  <c r="X24" i="12"/>
  <c r="Z100" i="12"/>
  <c r="Z78" i="12"/>
  <c r="Z64" i="12"/>
  <c r="Z60" i="12"/>
  <c r="Z56" i="12"/>
  <c r="Z52" i="12"/>
  <c r="Z47" i="12"/>
  <c r="Z43" i="12"/>
  <c r="Z39" i="12"/>
  <c r="Z98" i="12"/>
  <c r="Z94" i="12"/>
  <c r="Z90" i="12"/>
  <c r="Z80" i="12"/>
  <c r="Z68" i="12"/>
  <c r="Z63" i="12"/>
  <c r="Z59" i="12"/>
  <c r="Z55" i="12"/>
  <c r="Z51" i="12"/>
  <c r="Z50" i="12"/>
  <c r="Z46" i="12"/>
  <c r="Z42" i="12"/>
  <c r="Z38" i="12"/>
  <c r="AA13" i="12"/>
  <c r="Z96" i="12"/>
  <c r="Z92" i="12"/>
  <c r="Z88" i="12"/>
  <c r="Z86" i="12"/>
  <c r="Z82" i="12"/>
  <c r="Z74" i="12"/>
  <c r="Z70" i="12"/>
  <c r="Z37" i="12"/>
  <c r="Z84" i="12"/>
  <c r="Z76" i="12"/>
  <c r="Z72" i="12"/>
  <c r="Z40" i="12"/>
  <c r="Z44" i="12"/>
  <c r="Z48" i="12"/>
  <c r="Z83" i="12"/>
  <c r="Z89" i="12"/>
  <c r="Z93" i="12"/>
  <c r="Z97" i="12"/>
  <c r="Z54" i="12"/>
  <c r="Z87" i="12"/>
  <c r="Z73" i="12"/>
  <c r="Z53" i="12"/>
  <c r="Z57" i="12"/>
  <c r="Z61" i="12"/>
  <c r="Z65" i="12"/>
  <c r="Z71" i="12"/>
  <c r="Z41" i="12"/>
  <c r="Z58" i="12"/>
  <c r="Z66" i="12"/>
  <c r="Z91" i="12"/>
  <c r="Z85" i="12"/>
  <c r="Z45" i="12"/>
  <c r="Z62" i="12"/>
  <c r="Z81" i="12"/>
  <c r="Z67" i="12"/>
  <c r="Z69" i="12"/>
  <c r="Z75" i="12"/>
  <c r="Z49" i="12"/>
  <c r="Z95" i="12"/>
  <c r="Z79" i="12"/>
  <c r="Z99" i="12"/>
  <c r="Z77" i="12"/>
  <c r="BE18" i="2"/>
  <c r="BH18" i="2"/>
  <c r="D33" i="65"/>
  <c r="I33" i="65" s="1"/>
  <c r="BE39" i="2"/>
  <c r="BH39" i="2"/>
  <c r="L68" i="38"/>
  <c r="G14" i="40"/>
  <c r="H13" i="40"/>
  <c r="I13" i="40" s="1"/>
  <c r="M13" i="40" s="1"/>
  <c r="H14" i="42"/>
  <c r="I14" i="42" s="1"/>
  <c r="M14" i="42" s="1"/>
  <c r="G16" i="42"/>
  <c r="AC20" i="2"/>
  <c r="BG20" i="2"/>
  <c r="Y22" i="12"/>
  <c r="BF19" i="2"/>
  <c r="AH19" i="2"/>
  <c r="K56" i="11"/>
  <c r="I61" i="38"/>
  <c r="I68" i="38"/>
  <c r="M65" i="38"/>
  <c r="N6" i="38"/>
  <c r="BE58" i="2"/>
  <c r="BH58" i="2"/>
  <c r="T90" i="2"/>
  <c r="W21" i="2"/>
  <c r="T92" i="2"/>
  <c r="H13" i="41"/>
  <c r="I13" i="41" s="1"/>
  <c r="M13" i="41" s="1"/>
  <c r="G14" i="41"/>
  <c r="G17" i="41" l="1"/>
  <c r="H14" i="41"/>
  <c r="I14" i="41" s="1"/>
  <c r="P14" i="41" s="1"/>
  <c r="P66" i="41" s="1"/>
  <c r="A66" i="41" s="1"/>
  <c r="G19" i="42"/>
  <c r="H16" i="42"/>
  <c r="I16" i="42" s="1"/>
  <c r="L49" i="11"/>
  <c r="L16" i="11"/>
  <c r="E51" i="12"/>
  <c r="BG21" i="2"/>
  <c r="AC21" i="2"/>
  <c r="W90" i="2"/>
  <c r="E14" i="1" s="1"/>
  <c r="N65" i="38"/>
  <c r="O6" i="38"/>
  <c r="Y35" i="12"/>
  <c r="Y24" i="12"/>
  <c r="Y36" i="12" s="1"/>
  <c r="I15" i="41"/>
  <c r="M26" i="11"/>
  <c r="N4" i="11"/>
  <c r="M32" i="11"/>
  <c r="M8" i="11"/>
  <c r="M6" i="11"/>
  <c r="D11" i="3"/>
  <c r="M19" i="11" s="1"/>
  <c r="M52" i="11" s="1"/>
  <c r="E16" i="1"/>
  <c r="X36" i="12"/>
  <c r="P68" i="41"/>
  <c r="A68" i="41" s="1"/>
  <c r="I68" i="41" s="1"/>
  <c r="D17" i="65"/>
  <c r="I17" i="65" s="1"/>
  <c r="BE19" i="2"/>
  <c r="BH19" i="2"/>
  <c r="BF20" i="2"/>
  <c r="AH20" i="2"/>
  <c r="G17" i="40"/>
  <c r="H14" i="40"/>
  <c r="I14" i="40" s="1"/>
  <c r="Z22" i="12"/>
  <c r="AA98" i="12"/>
  <c r="AA94" i="12"/>
  <c r="AA90" i="12"/>
  <c r="AA86" i="12"/>
  <c r="AA74" i="12"/>
  <c r="AA91" i="12"/>
  <c r="AA79" i="12"/>
  <c r="AA69" i="12"/>
  <c r="AA67" i="12"/>
  <c r="AA63" i="12"/>
  <c r="AA59" i="12"/>
  <c r="AA55" i="12"/>
  <c r="AA51" i="12"/>
  <c r="AA50" i="12"/>
  <c r="AA46" i="12"/>
  <c r="AA42" i="12"/>
  <c r="AA38" i="12"/>
  <c r="AB13" i="12"/>
  <c r="AA87" i="12"/>
  <c r="AA81" i="12"/>
  <c r="AA66" i="12"/>
  <c r="AA62" i="12"/>
  <c r="AA58" i="12"/>
  <c r="AA54" i="12"/>
  <c r="AA49" i="12"/>
  <c r="AA45" i="12"/>
  <c r="AA41" i="12"/>
  <c r="AA37" i="12"/>
  <c r="AA97" i="12"/>
  <c r="AA93" i="12"/>
  <c r="AA89" i="12"/>
  <c r="AA83" i="12"/>
  <c r="AA52" i="12"/>
  <c r="AA56" i="12"/>
  <c r="AA60" i="12"/>
  <c r="AA64" i="12"/>
  <c r="AA73" i="12"/>
  <c r="AA40" i="12"/>
  <c r="AA57" i="12"/>
  <c r="AA68" i="12"/>
  <c r="AA84" i="12"/>
  <c r="AA44" i="12"/>
  <c r="AA61" i="12"/>
  <c r="AA75" i="12"/>
  <c r="AA95" i="12"/>
  <c r="AA99" i="12"/>
  <c r="AA72" i="12"/>
  <c r="AA88" i="12"/>
  <c r="AA92" i="12"/>
  <c r="AA77" i="12"/>
  <c r="AA48" i="12"/>
  <c r="AA65" i="12"/>
  <c r="AA82" i="12"/>
  <c r="AA76" i="12"/>
  <c r="AA96" i="12"/>
  <c r="AA39" i="12"/>
  <c r="AA43" i="12"/>
  <c r="AA47" i="12"/>
  <c r="AA85" i="12"/>
  <c r="AA53" i="12"/>
  <c r="AA71" i="12"/>
  <c r="AA70" i="12"/>
  <c r="AA78" i="12"/>
  <c r="AA80" i="12"/>
  <c r="AA100" i="12"/>
  <c r="G17" i="43"/>
  <c r="H14" i="43"/>
  <c r="I14" i="43" s="1"/>
  <c r="P14" i="43" l="1"/>
  <c r="I15" i="43"/>
  <c r="P14" i="40"/>
  <c r="I15" i="40"/>
  <c r="AC90" i="2"/>
  <c r="BF21" i="2"/>
  <c r="AH21" i="2"/>
  <c r="P16" i="42"/>
  <c r="I17" i="42"/>
  <c r="G18" i="43"/>
  <c r="H17" i="43"/>
  <c r="I17" i="43" s="1"/>
  <c r="AB100" i="12"/>
  <c r="AB98" i="12"/>
  <c r="AB94" i="12"/>
  <c r="AB90" i="12"/>
  <c r="AB80" i="12"/>
  <c r="AB68" i="12"/>
  <c r="AB66" i="12"/>
  <c r="AB62" i="12"/>
  <c r="AB58" i="12"/>
  <c r="AB54" i="12"/>
  <c r="AB49" i="12"/>
  <c r="AB45" i="12"/>
  <c r="AB41" i="12"/>
  <c r="AB37" i="12"/>
  <c r="AB96" i="12"/>
  <c r="AB92" i="12"/>
  <c r="AB88" i="12"/>
  <c r="AB86" i="12"/>
  <c r="AB82" i="12"/>
  <c r="AB74" i="12"/>
  <c r="AB70" i="12"/>
  <c r="AB84" i="12"/>
  <c r="AB76" i="12"/>
  <c r="AB72" i="12"/>
  <c r="AB78" i="12"/>
  <c r="AB51" i="12"/>
  <c r="AC13" i="12"/>
  <c r="AB42" i="12"/>
  <c r="AB46" i="12"/>
  <c r="AB50" i="12"/>
  <c r="AB52" i="12"/>
  <c r="AB44" i="12"/>
  <c r="AB53" i="12"/>
  <c r="AB61" i="12"/>
  <c r="AB67" i="12"/>
  <c r="AB99" i="12"/>
  <c r="AB77" i="12"/>
  <c r="AB55" i="12"/>
  <c r="AB59" i="12"/>
  <c r="AB63" i="12"/>
  <c r="AB75" i="12"/>
  <c r="AB89" i="12"/>
  <c r="AB93" i="12"/>
  <c r="AB97" i="12"/>
  <c r="AB56" i="12"/>
  <c r="AB95" i="12"/>
  <c r="AB79" i="12"/>
  <c r="AB73" i="12"/>
  <c r="AB38" i="12"/>
  <c r="AB83" i="12"/>
  <c r="AB43" i="12"/>
  <c r="AB60" i="12"/>
  <c r="AB87" i="12"/>
  <c r="AB40" i="12"/>
  <c r="AB48" i="12"/>
  <c r="AB57" i="12"/>
  <c r="AB65" i="12"/>
  <c r="AB85" i="12"/>
  <c r="AB71" i="12"/>
  <c r="AB39" i="12"/>
  <c r="AB47" i="12"/>
  <c r="AB64" i="12"/>
  <c r="AB81" i="12"/>
  <c r="AB69" i="12"/>
  <c r="AB91" i="12"/>
  <c r="H17" i="40"/>
  <c r="I17" i="40" s="1"/>
  <c r="G18" i="40"/>
  <c r="J23" i="38"/>
  <c r="AS23" i="38"/>
  <c r="G23" i="38"/>
  <c r="E20" i="37"/>
  <c r="E33" i="37" s="1"/>
  <c r="I19" i="11"/>
  <c r="I52" i="11" s="1"/>
  <c r="G19" i="11"/>
  <c r="G52" i="11" s="1"/>
  <c r="J19" i="11"/>
  <c r="J52" i="11" s="1"/>
  <c r="D18" i="3"/>
  <c r="C58" i="3" s="1"/>
  <c r="H19" i="11"/>
  <c r="H52" i="11" s="1"/>
  <c r="F19" i="11"/>
  <c r="K19" i="11"/>
  <c r="K52" i="11" s="1"/>
  <c r="L19" i="11"/>
  <c r="L52" i="11" s="1"/>
  <c r="N19" i="11"/>
  <c r="N52" i="11" s="1"/>
  <c r="N41" i="11"/>
  <c r="N24" i="11"/>
  <c r="N55" i="11" s="1"/>
  <c r="N32" i="11"/>
  <c r="O4" i="11"/>
  <c r="N26" i="11"/>
  <c r="N56" i="11" s="1"/>
  <c r="N6" i="11"/>
  <c r="N8" i="11"/>
  <c r="M56" i="11"/>
  <c r="O65" i="38"/>
  <c r="O68" i="38" s="1"/>
  <c r="P6" i="38"/>
  <c r="H19" i="42"/>
  <c r="I19" i="42" s="1"/>
  <c r="G20" i="42"/>
  <c r="BE20" i="2"/>
  <c r="BH20" i="2"/>
  <c r="K51" i="12"/>
  <c r="R51" i="12"/>
  <c r="R22" i="12" s="1"/>
  <c r="J51" i="12"/>
  <c r="I66" i="41"/>
  <c r="AA22" i="12"/>
  <c r="Z35" i="12"/>
  <c r="Z24" i="12"/>
  <c r="Z36" i="12" s="1"/>
  <c r="M16" i="11"/>
  <c r="M49" i="11"/>
  <c r="H17" i="41"/>
  <c r="I17" i="41" s="1"/>
  <c r="G18" i="41"/>
  <c r="N19" i="42" l="1"/>
  <c r="F52" i="11"/>
  <c r="P68" i="42"/>
  <c r="A68" i="42" s="1"/>
  <c r="AA24" i="12"/>
  <c r="AA35" i="12"/>
  <c r="R35" i="12"/>
  <c r="R24" i="12"/>
  <c r="O41" i="11"/>
  <c r="O24" i="11"/>
  <c r="O55" i="11" s="1"/>
  <c r="O32" i="11"/>
  <c r="P4" i="11"/>
  <c r="O26" i="11"/>
  <c r="O56" i="11" s="1"/>
  <c r="O19" i="11"/>
  <c r="O52" i="11" s="1"/>
  <c r="O6" i="11"/>
  <c r="O8" i="11"/>
  <c r="J20" i="38"/>
  <c r="J19" i="38" s="1"/>
  <c r="J68" i="38" s="1"/>
  <c r="K64" i="38"/>
  <c r="K62" i="38" s="1"/>
  <c r="K61" i="38" s="1"/>
  <c r="N17" i="43"/>
  <c r="AH90" i="2"/>
  <c r="BH21" i="2"/>
  <c r="BE21" i="2"/>
  <c r="P66" i="40"/>
  <c r="A66" i="40" s="1"/>
  <c r="N17" i="41"/>
  <c r="H20" i="42"/>
  <c r="I20" i="42" s="1"/>
  <c r="N20" i="42" s="1"/>
  <c r="G21" i="42"/>
  <c r="H18" i="41"/>
  <c r="I18" i="41" s="1"/>
  <c r="N18" i="41" s="1"/>
  <c r="G19" i="41"/>
  <c r="P65" i="38"/>
  <c r="P68" i="38" s="1"/>
  <c r="Q6" i="38"/>
  <c r="N49" i="11"/>
  <c r="N16" i="11"/>
  <c r="D19" i="3"/>
  <c r="H18" i="40"/>
  <c r="I18" i="40" s="1"/>
  <c r="N18" i="40" s="1"/>
  <c r="G19" i="40"/>
  <c r="AC95" i="12"/>
  <c r="AC87" i="12"/>
  <c r="AC81" i="12"/>
  <c r="AC97" i="12"/>
  <c r="AC93" i="12"/>
  <c r="AC89" i="12"/>
  <c r="AC83" i="12"/>
  <c r="AC75" i="12"/>
  <c r="AC71" i="12"/>
  <c r="AC99" i="12"/>
  <c r="AC51" i="12"/>
  <c r="AD13" i="12"/>
  <c r="AC54" i="12"/>
  <c r="AC58" i="12"/>
  <c r="AC62" i="12"/>
  <c r="AC66" i="12"/>
  <c r="AC50" i="12"/>
  <c r="AC73" i="12"/>
  <c r="AC43" i="12"/>
  <c r="AC52" i="12"/>
  <c r="AC60" i="12"/>
  <c r="AC40" i="12"/>
  <c r="AC57" i="12"/>
  <c r="AC65" i="12"/>
  <c r="AC72" i="12"/>
  <c r="AC80" i="12"/>
  <c r="AC88" i="12"/>
  <c r="AC70" i="12"/>
  <c r="AC86" i="12"/>
  <c r="AC55" i="12"/>
  <c r="AC85" i="12"/>
  <c r="AC44" i="12"/>
  <c r="AC76" i="12"/>
  <c r="AC92" i="12"/>
  <c r="AC74" i="12"/>
  <c r="AC90" i="12"/>
  <c r="AC94" i="12"/>
  <c r="AC37" i="12"/>
  <c r="AC69" i="12"/>
  <c r="AC42" i="12"/>
  <c r="AC59" i="12"/>
  <c r="AC77" i="12"/>
  <c r="AC39" i="12"/>
  <c r="AC47" i="12"/>
  <c r="AC56" i="12"/>
  <c r="AC64" i="12"/>
  <c r="AC48" i="12"/>
  <c r="AC61" i="12"/>
  <c r="AC68" i="12"/>
  <c r="AC96" i="12"/>
  <c r="AC78" i="12"/>
  <c r="AC98" i="12"/>
  <c r="AC41" i="12"/>
  <c r="AC45" i="12"/>
  <c r="AC49" i="12"/>
  <c r="AC67" i="12"/>
  <c r="AC79" i="12"/>
  <c r="AC91" i="12"/>
  <c r="AC38" i="12"/>
  <c r="AC46" i="12"/>
  <c r="AC63" i="12"/>
  <c r="AC53" i="12"/>
  <c r="AC84" i="12"/>
  <c r="AC100" i="12"/>
  <c r="AC82" i="12"/>
  <c r="G19" i="43"/>
  <c r="H18" i="43"/>
  <c r="I18" i="43" s="1"/>
  <c r="N18" i="43" s="1"/>
  <c r="AR23" i="38"/>
  <c r="AT23" i="38" s="1"/>
  <c r="H64" i="38"/>
  <c r="G20" i="38"/>
  <c r="G19" i="38" s="1"/>
  <c r="N17" i="40"/>
  <c r="AB22" i="12"/>
  <c r="P66" i="43"/>
  <c r="A66" i="43" s="1"/>
  <c r="I66" i="43" l="1"/>
  <c r="AD100" i="12"/>
  <c r="AD96" i="12"/>
  <c r="AD92" i="12"/>
  <c r="AD88" i="12"/>
  <c r="AD86" i="12"/>
  <c r="AD82" i="12"/>
  <c r="AD74" i="12"/>
  <c r="AD70" i="12"/>
  <c r="AD64" i="12"/>
  <c r="AD60" i="12"/>
  <c r="AD56" i="12"/>
  <c r="AD52" i="12"/>
  <c r="AD47" i="12"/>
  <c r="AD43" i="12"/>
  <c r="AD39" i="12"/>
  <c r="AD84" i="12"/>
  <c r="AD76" i="12"/>
  <c r="AD72" i="12"/>
  <c r="AD63" i="12"/>
  <c r="AD59" i="12"/>
  <c r="AD55" i="12"/>
  <c r="AD51" i="12"/>
  <c r="AD50" i="12"/>
  <c r="AD46" i="12"/>
  <c r="AD42" i="12"/>
  <c r="AD38" i="12"/>
  <c r="AE13" i="12"/>
  <c r="AD78" i="12"/>
  <c r="AD37" i="12"/>
  <c r="AD98" i="12"/>
  <c r="AD94" i="12"/>
  <c r="AD90" i="12"/>
  <c r="AD80" i="12"/>
  <c r="AD68" i="12"/>
  <c r="AD66" i="12"/>
  <c r="AD71" i="12"/>
  <c r="AD49" i="12"/>
  <c r="AD91" i="12"/>
  <c r="AD85" i="12"/>
  <c r="AD40" i="12"/>
  <c r="AD44" i="12"/>
  <c r="AD48" i="12"/>
  <c r="AD54" i="12"/>
  <c r="AD81" i="12"/>
  <c r="AD67" i="12"/>
  <c r="AD69" i="12"/>
  <c r="AD53" i="12"/>
  <c r="AD57" i="12"/>
  <c r="AD61" i="12"/>
  <c r="AD65" i="12"/>
  <c r="AD75" i="12"/>
  <c r="AD41" i="12"/>
  <c r="AD58" i="12"/>
  <c r="AD95" i="12"/>
  <c r="AD79" i="12"/>
  <c r="AD99" i="12"/>
  <c r="AD77" i="12"/>
  <c r="AD83" i="12"/>
  <c r="AD89" i="12"/>
  <c r="AD93" i="12"/>
  <c r="AD97" i="12"/>
  <c r="AD45" i="12"/>
  <c r="AD62" i="12"/>
  <c r="AD87" i="12"/>
  <c r="AD73" i="12"/>
  <c r="H19" i="40"/>
  <c r="I19" i="40" s="1"/>
  <c r="G20" i="40"/>
  <c r="I66" i="40"/>
  <c r="O49" i="11"/>
  <c r="O16" i="11"/>
  <c r="P41" i="11"/>
  <c r="P32" i="11"/>
  <c r="Q4" i="11"/>
  <c r="P26" i="11"/>
  <c r="P56" i="11" s="1"/>
  <c r="P19" i="11"/>
  <c r="P52" i="11" s="1"/>
  <c r="P24" i="11"/>
  <c r="P55" i="11" s="1"/>
  <c r="P6" i="11"/>
  <c r="P8" i="11"/>
  <c r="R36" i="12"/>
  <c r="G20" i="43"/>
  <c r="H19" i="43"/>
  <c r="I19" i="43" s="1"/>
  <c r="N19" i="43" s="1"/>
  <c r="AB35" i="12"/>
  <c r="AB24" i="12"/>
  <c r="AB36" i="12" s="1"/>
  <c r="H62" i="38"/>
  <c r="H61" i="38" s="1"/>
  <c r="H19" i="41"/>
  <c r="I19" i="41" s="1"/>
  <c r="N19" i="41" s="1"/>
  <c r="G20" i="41"/>
  <c r="AC22" i="12"/>
  <c r="I37" i="3"/>
  <c r="S42" i="3"/>
  <c r="D37" i="3"/>
  <c r="C68" i="3"/>
  <c r="I68" i="42"/>
  <c r="Q65" i="38"/>
  <c r="Q68" i="38" s="1"/>
  <c r="R6" i="38"/>
  <c r="H21" i="42"/>
  <c r="I21" i="42" s="1"/>
  <c r="N21" i="42" s="1"/>
  <c r="G22" i="42"/>
  <c r="E15" i="1"/>
  <c r="E13" i="1"/>
  <c r="A13" i="1"/>
  <c r="AA36" i="12"/>
  <c r="H22" i="42" l="1"/>
  <c r="I22" i="42" s="1"/>
  <c r="N22" i="42" s="1"/>
  <c r="G23" i="42"/>
  <c r="Q26" i="11"/>
  <c r="Q56" i="11" s="1"/>
  <c r="Q19" i="11"/>
  <c r="Q41" i="11"/>
  <c r="Q24" i="11"/>
  <c r="Q55" i="11" s="1"/>
  <c r="R4" i="11"/>
  <c r="Q32" i="11"/>
  <c r="Q8" i="11"/>
  <c r="Q6" i="11"/>
  <c r="AD22" i="12"/>
  <c r="AC35" i="12"/>
  <c r="AC24" i="12"/>
  <c r="H20" i="41"/>
  <c r="I20" i="41" s="1"/>
  <c r="N20" i="41" s="1"/>
  <c r="G21" i="41"/>
  <c r="G21" i="43"/>
  <c r="H20" i="43"/>
  <c r="I20" i="43" s="1"/>
  <c r="R65" i="38"/>
  <c r="S6" i="38"/>
  <c r="H20" i="40"/>
  <c r="I20" i="40" s="1"/>
  <c r="N20" i="40" s="1"/>
  <c r="G21" i="40"/>
  <c r="AE98" i="12"/>
  <c r="AE94" i="12"/>
  <c r="AE90" i="12"/>
  <c r="AE86" i="12"/>
  <c r="AE74" i="12"/>
  <c r="AE97" i="12"/>
  <c r="AE93" i="12"/>
  <c r="AE89" i="12"/>
  <c r="AE83" i="12"/>
  <c r="AE75" i="12"/>
  <c r="AE71" i="12"/>
  <c r="AE63" i="12"/>
  <c r="AE59" i="12"/>
  <c r="AE55" i="12"/>
  <c r="AE51" i="12"/>
  <c r="AE50" i="12"/>
  <c r="AE46" i="12"/>
  <c r="AE42" i="12"/>
  <c r="AE38" i="12"/>
  <c r="AF13" i="12"/>
  <c r="AE62" i="12"/>
  <c r="AE58" i="12"/>
  <c r="AE54" i="12"/>
  <c r="AE49" i="12"/>
  <c r="AE45" i="12"/>
  <c r="AE41" i="12"/>
  <c r="AE37" i="12"/>
  <c r="AE91" i="12"/>
  <c r="AE77" i="12"/>
  <c r="AE69" i="12"/>
  <c r="AE39" i="12"/>
  <c r="AE43" i="12"/>
  <c r="AE47" i="12"/>
  <c r="AE53" i="12"/>
  <c r="AE99" i="12"/>
  <c r="AE70" i="12"/>
  <c r="AE78" i="12"/>
  <c r="AE80" i="12"/>
  <c r="AE100" i="12"/>
  <c r="AE79" i="12"/>
  <c r="AE95" i="12"/>
  <c r="AE85" i="12"/>
  <c r="AE73" i="12"/>
  <c r="AE52" i="12"/>
  <c r="AE56" i="12"/>
  <c r="AE60" i="12"/>
  <c r="AE64" i="12"/>
  <c r="AE40" i="12"/>
  <c r="AE57" i="12"/>
  <c r="AE68" i="12"/>
  <c r="AE84" i="12"/>
  <c r="AE81" i="12"/>
  <c r="AE87" i="12"/>
  <c r="AE44" i="12"/>
  <c r="AE61" i="12"/>
  <c r="AE66" i="12"/>
  <c r="AE72" i="12"/>
  <c r="AE88" i="12"/>
  <c r="AE92" i="12"/>
  <c r="AE67" i="12"/>
  <c r="AE48" i="12"/>
  <c r="AE65" i="12"/>
  <c r="AE82" i="12"/>
  <c r="AE76" i="12"/>
  <c r="AE96" i="12"/>
  <c r="A20" i="1"/>
  <c r="B42" i="3"/>
  <c r="B43" i="3"/>
  <c r="P49" i="11"/>
  <c r="P16" i="11"/>
  <c r="N19" i="40"/>
  <c r="AC36" i="12" l="1"/>
  <c r="L41" i="11"/>
  <c r="M41" i="11"/>
  <c r="S65" i="38"/>
  <c r="T6" i="38"/>
  <c r="G22" i="43"/>
  <c r="H21" i="43"/>
  <c r="I21" i="43" s="1"/>
  <c r="N21" i="43" s="1"/>
  <c r="Q16" i="11"/>
  <c r="Q49" i="11"/>
  <c r="H23" i="42"/>
  <c r="I23" i="42" s="1"/>
  <c r="G24" i="42"/>
  <c r="H21" i="41"/>
  <c r="I21" i="41" s="1"/>
  <c r="N21" i="41" s="1"/>
  <c r="G22" i="41"/>
  <c r="Q52" i="11"/>
  <c r="AF84" i="12"/>
  <c r="AF76" i="12"/>
  <c r="AF72" i="12"/>
  <c r="AF62" i="12"/>
  <c r="AF58" i="12"/>
  <c r="AF54" i="12"/>
  <c r="AF49" i="12"/>
  <c r="AF45" i="12"/>
  <c r="AF41" i="12"/>
  <c r="AF37" i="12"/>
  <c r="AF78" i="12"/>
  <c r="AF66" i="12"/>
  <c r="AF98" i="12"/>
  <c r="AF94" i="12"/>
  <c r="AF90" i="12"/>
  <c r="AF80" i="12"/>
  <c r="AF68" i="12"/>
  <c r="AF100" i="12"/>
  <c r="AF96" i="12"/>
  <c r="AF92" i="12"/>
  <c r="AF88" i="12"/>
  <c r="AF86" i="12"/>
  <c r="AF82" i="12"/>
  <c r="AF74" i="12"/>
  <c r="AF70" i="12"/>
  <c r="AF51" i="12"/>
  <c r="AG13" i="12"/>
  <c r="AF75" i="12"/>
  <c r="AF89" i="12"/>
  <c r="AF93" i="12"/>
  <c r="AF97" i="12"/>
  <c r="AF39" i="12"/>
  <c r="AF47" i="12"/>
  <c r="AF64" i="12"/>
  <c r="AF95" i="12"/>
  <c r="AF79" i="12"/>
  <c r="AF73" i="12"/>
  <c r="AF42" i="12"/>
  <c r="AF46" i="12"/>
  <c r="AF50" i="12"/>
  <c r="AF83" i="12"/>
  <c r="AF52" i="12"/>
  <c r="AF87" i="12"/>
  <c r="AF44" i="12"/>
  <c r="AF53" i="12"/>
  <c r="AF61" i="12"/>
  <c r="AF85" i="12"/>
  <c r="AF55" i="12"/>
  <c r="AF59" i="12"/>
  <c r="AF63" i="12"/>
  <c r="AF71" i="12"/>
  <c r="AF56" i="12"/>
  <c r="AF81" i="12"/>
  <c r="AF69" i="12"/>
  <c r="AF91" i="12"/>
  <c r="AF38" i="12"/>
  <c r="AF43" i="12"/>
  <c r="AF60" i="12"/>
  <c r="AF40" i="12"/>
  <c r="AF48" i="12"/>
  <c r="AF57" i="12"/>
  <c r="AF65" i="12"/>
  <c r="AF67" i="12"/>
  <c r="AF99" i="12"/>
  <c r="AF77" i="12"/>
  <c r="H21" i="40"/>
  <c r="I21" i="40" s="1"/>
  <c r="G22" i="40"/>
  <c r="AD35" i="12"/>
  <c r="AD24" i="12"/>
  <c r="R19" i="11"/>
  <c r="R52" i="11" s="1"/>
  <c r="R41" i="11"/>
  <c r="R24" i="11"/>
  <c r="R55" i="11" s="1"/>
  <c r="R32" i="11"/>
  <c r="S4" i="11"/>
  <c r="R26" i="11"/>
  <c r="R56" i="11" s="1"/>
  <c r="R6" i="11"/>
  <c r="R8" i="11"/>
  <c r="M28" i="37"/>
  <c r="I28" i="37"/>
  <c r="L28" i="37"/>
  <c r="H28" i="37"/>
  <c r="K28" i="37"/>
  <c r="G28" i="37"/>
  <c r="J28" i="37"/>
  <c r="F28" i="37"/>
  <c r="B44" i="3"/>
  <c r="F24" i="11"/>
  <c r="G24" i="11"/>
  <c r="G55" i="11" s="1"/>
  <c r="H24" i="11"/>
  <c r="H55" i="11" s="1"/>
  <c r="I24" i="11"/>
  <c r="I55" i="11" s="1"/>
  <c r="J24" i="11"/>
  <c r="J55" i="11" s="1"/>
  <c r="K24" i="11"/>
  <c r="K55" i="11" s="1"/>
  <c r="L24" i="11"/>
  <c r="L55" i="11" s="1"/>
  <c r="M24" i="11"/>
  <c r="M55" i="11" s="1"/>
  <c r="AE22" i="12"/>
  <c r="N20" i="43"/>
  <c r="N59" i="43" s="1"/>
  <c r="N61" i="43" s="1"/>
  <c r="Q10" i="2" s="1"/>
  <c r="AD36" i="12" l="1"/>
  <c r="AS10" i="38"/>
  <c r="B49" i="3"/>
  <c r="S41" i="11"/>
  <c r="S24" i="11"/>
  <c r="S55" i="11" s="1"/>
  <c r="S32" i="11"/>
  <c r="T4" i="11"/>
  <c r="S26" i="11"/>
  <c r="S56" i="11" s="1"/>
  <c r="S19" i="11"/>
  <c r="S52" i="11" s="1"/>
  <c r="S8" i="11"/>
  <c r="S6" i="11"/>
  <c r="N21" i="40"/>
  <c r="I23" i="40"/>
  <c r="AF22" i="12"/>
  <c r="N23" i="42"/>
  <c r="P72" i="43"/>
  <c r="A72" i="43" s="1"/>
  <c r="I72" i="43" s="1"/>
  <c r="AE24" i="12"/>
  <c r="AE35" i="12"/>
  <c r="D59" i="3"/>
  <c r="F33" i="37"/>
  <c r="F35" i="37" s="1"/>
  <c r="R49" i="11"/>
  <c r="R16" i="11"/>
  <c r="G25" i="41"/>
  <c r="H22" i="41"/>
  <c r="I22" i="41" s="1"/>
  <c r="G25" i="43"/>
  <c r="H22" i="43"/>
  <c r="I22" i="43" s="1"/>
  <c r="F55" i="11"/>
  <c r="P72" i="41"/>
  <c r="A72" i="41" s="1"/>
  <c r="I72" i="41" s="1"/>
  <c r="T65" i="38"/>
  <c r="T68" i="38" s="1"/>
  <c r="U6" i="38"/>
  <c r="G25" i="40"/>
  <c r="H22" i="40"/>
  <c r="I22" i="40" s="1"/>
  <c r="O22" i="40" s="1"/>
  <c r="AG51" i="12"/>
  <c r="AH13" i="12"/>
  <c r="AG41" i="12"/>
  <c r="AG45" i="12"/>
  <c r="AG49" i="12"/>
  <c r="AG83" i="12"/>
  <c r="AG38" i="12"/>
  <c r="AG46" i="12"/>
  <c r="AG63" i="12"/>
  <c r="AG87" i="12"/>
  <c r="AG53" i="12"/>
  <c r="AG77" i="12"/>
  <c r="AG84" i="12"/>
  <c r="AG100" i="12"/>
  <c r="AG82" i="12"/>
  <c r="AG54" i="12"/>
  <c r="AG58" i="12"/>
  <c r="AG62" i="12"/>
  <c r="AG71" i="12"/>
  <c r="AG89" i="12"/>
  <c r="AG93" i="12"/>
  <c r="AG97" i="12"/>
  <c r="AG50" i="12"/>
  <c r="AG43" i="12"/>
  <c r="AG52" i="12"/>
  <c r="AG60" i="12"/>
  <c r="AG91" i="12"/>
  <c r="AG40" i="12"/>
  <c r="AG57" i="12"/>
  <c r="AG65" i="12"/>
  <c r="AG73" i="12"/>
  <c r="AG72" i="12"/>
  <c r="AG80" i="12"/>
  <c r="AG88" i="12"/>
  <c r="AG70" i="12"/>
  <c r="AG86" i="12"/>
  <c r="AG55" i="12"/>
  <c r="AG67" i="12"/>
  <c r="AG99" i="12"/>
  <c r="AG44" i="12"/>
  <c r="AG85" i="12"/>
  <c r="AG76" i="12"/>
  <c r="AG92" i="12"/>
  <c r="AG74" i="12"/>
  <c r="AG90" i="12"/>
  <c r="AG94" i="12"/>
  <c r="AG37" i="12"/>
  <c r="AG66" i="12"/>
  <c r="AG75" i="12"/>
  <c r="AG42" i="12"/>
  <c r="AG59" i="12"/>
  <c r="AG81" i="12"/>
  <c r="AG95" i="12"/>
  <c r="AG39" i="12"/>
  <c r="AG47" i="12"/>
  <c r="AG56" i="12"/>
  <c r="AG64" i="12"/>
  <c r="AG69" i="12"/>
  <c r="AG79" i="12"/>
  <c r="AG48" i="12"/>
  <c r="AG61" i="12"/>
  <c r="AG68" i="12"/>
  <c r="AG96" i="12"/>
  <c r="AG78" i="12"/>
  <c r="AG98" i="12"/>
  <c r="G27" i="42"/>
  <c r="H24" i="42"/>
  <c r="I24" i="42" s="1"/>
  <c r="O24" i="42" s="1"/>
  <c r="N59" i="41"/>
  <c r="N61" i="41" s="1"/>
  <c r="Q8" i="2" s="1"/>
  <c r="AE36" i="12" l="1"/>
  <c r="U65" i="38"/>
  <c r="U68" i="38" s="1"/>
  <c r="V6" i="38"/>
  <c r="O22" i="43"/>
  <c r="I23" i="43"/>
  <c r="H25" i="41"/>
  <c r="I25" i="41" s="1"/>
  <c r="G26" i="41"/>
  <c r="P74" i="42"/>
  <c r="A74" i="42" s="1"/>
  <c r="I74" i="42" s="1"/>
  <c r="N61" i="42"/>
  <c r="N63" i="42" s="1"/>
  <c r="Q9" i="2" s="1"/>
  <c r="Q26" i="2" s="1"/>
  <c r="T41" i="11"/>
  <c r="T32" i="11"/>
  <c r="U4" i="11"/>
  <c r="T26" i="11"/>
  <c r="T56" i="11" s="1"/>
  <c r="T19" i="11"/>
  <c r="T24" i="11"/>
  <c r="T8" i="11"/>
  <c r="T6" i="11"/>
  <c r="G28" i="42"/>
  <c r="H27" i="42"/>
  <c r="I27" i="42" s="1"/>
  <c r="AG22" i="12"/>
  <c r="H25" i="40"/>
  <c r="I25" i="40" s="1"/>
  <c r="G26" i="40"/>
  <c r="H25" i="43"/>
  <c r="I25" i="43" s="1"/>
  <c r="G26" i="43"/>
  <c r="AF35" i="12"/>
  <c r="AF24" i="12"/>
  <c r="S49" i="11"/>
  <c r="S16" i="11"/>
  <c r="AH100" i="12"/>
  <c r="AH78" i="12"/>
  <c r="AH66" i="12"/>
  <c r="AH64" i="12"/>
  <c r="AH60" i="12"/>
  <c r="AH56" i="12"/>
  <c r="AH52" i="12"/>
  <c r="AH47" i="12"/>
  <c r="AH43" i="12"/>
  <c r="AH39" i="12"/>
  <c r="AH98" i="12"/>
  <c r="AH94" i="12"/>
  <c r="AH90" i="12"/>
  <c r="AH80" i="12"/>
  <c r="AH68" i="12"/>
  <c r="AH63" i="12"/>
  <c r="AH59" i="12"/>
  <c r="AH55" i="12"/>
  <c r="AH51" i="12"/>
  <c r="AH50" i="12"/>
  <c r="AH46" i="12"/>
  <c r="AH42" i="12"/>
  <c r="AH38" i="12"/>
  <c r="AI13" i="12"/>
  <c r="AH96" i="12"/>
  <c r="AH92" i="12"/>
  <c r="AH88" i="12"/>
  <c r="AH86" i="12"/>
  <c r="AH82" i="12"/>
  <c r="AH74" i="12"/>
  <c r="AH70" i="12"/>
  <c r="AH37" i="12"/>
  <c r="AH84" i="12"/>
  <c r="AH76" i="12"/>
  <c r="AH72" i="12"/>
  <c r="AH45" i="12"/>
  <c r="AH62" i="12"/>
  <c r="AH81" i="12"/>
  <c r="AH67" i="12"/>
  <c r="AH69" i="12"/>
  <c r="AH75" i="12"/>
  <c r="AH49" i="12"/>
  <c r="AH95" i="12"/>
  <c r="AH79" i="12"/>
  <c r="AH99" i="12"/>
  <c r="AH77" i="12"/>
  <c r="AH40" i="12"/>
  <c r="AH44" i="12"/>
  <c r="AH48" i="12"/>
  <c r="AH83" i="12"/>
  <c r="AH89" i="12"/>
  <c r="AH93" i="12"/>
  <c r="AH97" i="12"/>
  <c r="AH54" i="12"/>
  <c r="AH87" i="12"/>
  <c r="AH73" i="12"/>
  <c r="AH53" i="12"/>
  <c r="AH57" i="12"/>
  <c r="AH61" i="12"/>
  <c r="AH65" i="12"/>
  <c r="AH71" i="12"/>
  <c r="AH41" i="12"/>
  <c r="AH58" i="12"/>
  <c r="AH91" i="12"/>
  <c r="AH85" i="12"/>
  <c r="E11" i="37"/>
  <c r="E15" i="37" s="1"/>
  <c r="E35" i="37" s="1"/>
  <c r="E36" i="37" s="1"/>
  <c r="F36" i="37" s="1"/>
  <c r="H10" i="38"/>
  <c r="H7" i="38" s="1"/>
  <c r="H68" i="38" s="1"/>
  <c r="I49" i="3"/>
  <c r="B50" i="3"/>
  <c r="A22" i="1"/>
  <c r="E22" i="1"/>
  <c r="G10" i="38"/>
  <c r="K10" i="38"/>
  <c r="K7" i="38" s="1"/>
  <c r="K68" i="38" s="1"/>
  <c r="C63" i="3"/>
  <c r="O22" i="41"/>
  <c r="I23" i="41"/>
  <c r="I25" i="42"/>
  <c r="P72" i="40"/>
  <c r="A72" i="40" s="1"/>
  <c r="I72" i="40" s="1"/>
  <c r="N59" i="40"/>
  <c r="N61" i="40" s="1"/>
  <c r="Q7" i="2" s="1"/>
  <c r="Q92" i="2" l="1"/>
  <c r="AF36" i="12"/>
  <c r="AR10" i="38"/>
  <c r="AT10" i="38" s="1"/>
  <c r="G7" i="38"/>
  <c r="G68" i="38" s="1"/>
  <c r="G69" i="38" s="1"/>
  <c r="H69" i="38" s="1"/>
  <c r="I69" i="38" s="1"/>
  <c r="J69" i="38" s="1"/>
  <c r="K69" i="38" s="1"/>
  <c r="L69" i="38" s="1"/>
  <c r="H26" i="40"/>
  <c r="I26" i="40" s="1"/>
  <c r="R26" i="40" s="1"/>
  <c r="G27" i="40"/>
  <c r="G29" i="42"/>
  <c r="H28" i="42"/>
  <c r="I28" i="42" s="1"/>
  <c r="R28" i="42" s="1"/>
  <c r="T52" i="11"/>
  <c r="H26" i="41"/>
  <c r="I26" i="41" s="1"/>
  <c r="R26" i="41" s="1"/>
  <c r="G27" i="41"/>
  <c r="V65" i="38"/>
  <c r="V68" i="38" s="1"/>
  <c r="W6" i="38"/>
  <c r="H26" i="43"/>
  <c r="I26" i="43" s="1"/>
  <c r="R26" i="43" s="1"/>
  <c r="G27" i="43"/>
  <c r="R25" i="40"/>
  <c r="R59" i="40" s="1"/>
  <c r="R61" i="40" s="1"/>
  <c r="U7" i="2" s="1"/>
  <c r="R25" i="41"/>
  <c r="R25" i="43"/>
  <c r="AG35" i="12"/>
  <c r="AG24" i="12"/>
  <c r="T49" i="11"/>
  <c r="T16" i="11"/>
  <c r="U26" i="11"/>
  <c r="U56" i="11" s="1"/>
  <c r="U19" i="11"/>
  <c r="U52" i="11" s="1"/>
  <c r="U41" i="11"/>
  <c r="U24" i="11"/>
  <c r="U55" i="11" s="1"/>
  <c r="U32" i="11"/>
  <c r="V4" i="11"/>
  <c r="U6" i="11"/>
  <c r="U8" i="11"/>
  <c r="G62" i="3"/>
  <c r="AH22" i="12"/>
  <c r="AI98" i="12"/>
  <c r="AI94" i="12"/>
  <c r="AI90" i="12"/>
  <c r="AI86" i="12"/>
  <c r="AI74" i="12"/>
  <c r="AI91" i="12"/>
  <c r="AI79" i="12"/>
  <c r="AI69" i="12"/>
  <c r="AI67" i="12"/>
  <c r="AI63" i="12"/>
  <c r="AI59" i="12"/>
  <c r="AI55" i="12"/>
  <c r="AI51" i="12"/>
  <c r="AI50" i="12"/>
  <c r="AI46" i="12"/>
  <c r="AI42" i="12"/>
  <c r="AI38" i="12"/>
  <c r="AJ13" i="12"/>
  <c r="AI87" i="12"/>
  <c r="AI81" i="12"/>
  <c r="AI62" i="12"/>
  <c r="AI58" i="12"/>
  <c r="AI54" i="12"/>
  <c r="AI49" i="12"/>
  <c r="AI45" i="12"/>
  <c r="AI41" i="12"/>
  <c r="AI37" i="12"/>
  <c r="AI97" i="12"/>
  <c r="AI93" i="12"/>
  <c r="AI89" i="12"/>
  <c r="AI83" i="12"/>
  <c r="AI85" i="12"/>
  <c r="AI88" i="12"/>
  <c r="AI92" i="12"/>
  <c r="AI96" i="12"/>
  <c r="AI48" i="12"/>
  <c r="AI65" i="12"/>
  <c r="AI71" i="12"/>
  <c r="AI72" i="12"/>
  <c r="AI82" i="12"/>
  <c r="AI39" i="12"/>
  <c r="AI43" i="12"/>
  <c r="AI47" i="12"/>
  <c r="AI66" i="12"/>
  <c r="AI73" i="12"/>
  <c r="AI53" i="12"/>
  <c r="AI84" i="12"/>
  <c r="AI100" i="12"/>
  <c r="AI70" i="12"/>
  <c r="AI78" i="12"/>
  <c r="AI52" i="12"/>
  <c r="AI56" i="12"/>
  <c r="AI60" i="12"/>
  <c r="AI64" i="12"/>
  <c r="AI40" i="12"/>
  <c r="AI57" i="12"/>
  <c r="AI68" i="12"/>
  <c r="AI75" i="12"/>
  <c r="AI80" i="12"/>
  <c r="AI95" i="12"/>
  <c r="AI77" i="12"/>
  <c r="AI44" i="12"/>
  <c r="AI61" i="12"/>
  <c r="AI99" i="12"/>
  <c r="AI76" i="12"/>
  <c r="R27" i="42"/>
  <c r="R61" i="42" s="1"/>
  <c r="R63" i="42" s="1"/>
  <c r="U9" i="2" s="1"/>
  <c r="U26" i="2" s="1"/>
  <c r="T55" i="11"/>
  <c r="AG36" i="12" l="1"/>
  <c r="AH35" i="12"/>
  <c r="AH24" i="12"/>
  <c r="AH36" i="12" s="1"/>
  <c r="H27" i="41"/>
  <c r="I27" i="41" s="1"/>
  <c r="G31" i="41"/>
  <c r="AI22" i="12"/>
  <c r="C27" i="3"/>
  <c r="D56" i="3" s="1"/>
  <c r="D57" i="3" s="1"/>
  <c r="G63" i="3"/>
  <c r="U16" i="11"/>
  <c r="U49" i="11"/>
  <c r="G31" i="43"/>
  <c r="H27" i="43"/>
  <c r="I27" i="43" s="1"/>
  <c r="G33" i="42"/>
  <c r="H29" i="42"/>
  <c r="I29" i="42" s="1"/>
  <c r="AJ98" i="12"/>
  <c r="AJ94" i="12"/>
  <c r="AJ90" i="12"/>
  <c r="AJ80" i="12"/>
  <c r="AJ68" i="12"/>
  <c r="AJ62" i="12"/>
  <c r="AJ58" i="12"/>
  <c r="AJ54" i="12"/>
  <c r="AJ49" i="12"/>
  <c r="AJ45" i="12"/>
  <c r="AJ41" i="12"/>
  <c r="AJ37" i="12"/>
  <c r="AJ96" i="12"/>
  <c r="AJ92" i="12"/>
  <c r="AJ88" i="12"/>
  <c r="AJ86" i="12"/>
  <c r="AJ82" i="12"/>
  <c r="AJ74" i="12"/>
  <c r="AJ70" i="12"/>
  <c r="AJ100" i="12"/>
  <c r="AJ84" i="12"/>
  <c r="AJ76" i="12"/>
  <c r="AJ72" i="12"/>
  <c r="AJ78" i="12"/>
  <c r="AJ51" i="12"/>
  <c r="AK13" i="12"/>
  <c r="AJ38" i="12"/>
  <c r="AJ83" i="12"/>
  <c r="AJ43" i="12"/>
  <c r="AJ60" i="12"/>
  <c r="AJ87" i="12"/>
  <c r="AJ40" i="12"/>
  <c r="AJ48" i="12"/>
  <c r="AJ57" i="12"/>
  <c r="AJ65" i="12"/>
  <c r="AJ85" i="12"/>
  <c r="AJ66" i="12"/>
  <c r="AJ71" i="12"/>
  <c r="AJ39" i="12"/>
  <c r="AJ47" i="12"/>
  <c r="AJ64" i="12"/>
  <c r="AJ81" i="12"/>
  <c r="AJ69" i="12"/>
  <c r="AJ91" i="12"/>
  <c r="AJ42" i="12"/>
  <c r="AJ46" i="12"/>
  <c r="AJ50" i="12"/>
  <c r="AJ52" i="12"/>
  <c r="AJ44" i="12"/>
  <c r="AJ53" i="12"/>
  <c r="AJ61" i="12"/>
  <c r="AJ67" i="12"/>
  <c r="AJ99" i="12"/>
  <c r="AJ77" i="12"/>
  <c r="AJ55" i="12"/>
  <c r="AJ59" i="12"/>
  <c r="AJ63" i="12"/>
  <c r="AJ75" i="12"/>
  <c r="AJ89" i="12"/>
  <c r="AJ93" i="12"/>
  <c r="AJ97" i="12"/>
  <c r="AJ56" i="12"/>
  <c r="AJ95" i="12"/>
  <c r="AJ79" i="12"/>
  <c r="AJ73" i="12"/>
  <c r="R59" i="41"/>
  <c r="R61" i="41" s="1"/>
  <c r="U8" i="2" s="1"/>
  <c r="W65" i="38"/>
  <c r="W68" i="38" s="1"/>
  <c r="X6" i="38"/>
  <c r="H27" i="40"/>
  <c r="I27" i="40" s="1"/>
  <c r="G31" i="40"/>
  <c r="V19" i="11"/>
  <c r="V52" i="11" s="1"/>
  <c r="V41" i="11"/>
  <c r="V24" i="11"/>
  <c r="V32" i="11"/>
  <c r="W4" i="11"/>
  <c r="V26" i="11"/>
  <c r="V56" i="11" s="1"/>
  <c r="V6" i="11"/>
  <c r="V8" i="11"/>
  <c r="W41" i="11" l="1"/>
  <c r="W24" i="11"/>
  <c r="W55" i="11" s="1"/>
  <c r="W32" i="11"/>
  <c r="X4" i="11"/>
  <c r="W26" i="11"/>
  <c r="W56" i="11" s="1"/>
  <c r="W19" i="11"/>
  <c r="W52" i="11" s="1"/>
  <c r="W8" i="11"/>
  <c r="W6" i="11"/>
  <c r="V55" i="11"/>
  <c r="P27" i="40"/>
  <c r="I29" i="40"/>
  <c r="G32" i="43"/>
  <c r="H31" i="43"/>
  <c r="I31" i="43" s="1"/>
  <c r="H31" i="41"/>
  <c r="I31" i="41" s="1"/>
  <c r="G32" i="41"/>
  <c r="AJ22" i="12"/>
  <c r="P29" i="42"/>
  <c r="I31" i="42"/>
  <c r="E61" i="11"/>
  <c r="P27" i="41"/>
  <c r="I29" i="41"/>
  <c r="X65" i="38"/>
  <c r="X68" i="38" s="1"/>
  <c r="Y6" i="38"/>
  <c r="H33" i="42"/>
  <c r="I33" i="42" s="1"/>
  <c r="G34" i="42"/>
  <c r="AI24" i="12"/>
  <c r="AI35" i="12"/>
  <c r="V49" i="11"/>
  <c r="V16" i="11"/>
  <c r="H31" i="40"/>
  <c r="I31" i="40" s="1"/>
  <c r="G32" i="40"/>
  <c r="AK99" i="12"/>
  <c r="AK95" i="12"/>
  <c r="AK87" i="12"/>
  <c r="AK81" i="12"/>
  <c r="AK97" i="12"/>
  <c r="AK93" i="12"/>
  <c r="AK89" i="12"/>
  <c r="AK83" i="12"/>
  <c r="AK75" i="12"/>
  <c r="AK71" i="12"/>
  <c r="AK51" i="12"/>
  <c r="AL13" i="12"/>
  <c r="AK39" i="12"/>
  <c r="AK53" i="12"/>
  <c r="AK46" i="12"/>
  <c r="AK60" i="12"/>
  <c r="AK38" i="12"/>
  <c r="AK47" i="12"/>
  <c r="AK67" i="12"/>
  <c r="AK70" i="12"/>
  <c r="AK79" i="12"/>
  <c r="AK68" i="12"/>
  <c r="AK96" i="12"/>
  <c r="AK42" i="12"/>
  <c r="AK59" i="12"/>
  <c r="AK61" i="12"/>
  <c r="AK43" i="12"/>
  <c r="AK48" i="12"/>
  <c r="AK41" i="12"/>
  <c r="AK45" i="12"/>
  <c r="AK49" i="12"/>
  <c r="AK86" i="12"/>
  <c r="AK73" i="12"/>
  <c r="AK98" i="12"/>
  <c r="AK84" i="12"/>
  <c r="AK100" i="12"/>
  <c r="AK63" i="12"/>
  <c r="AK37" i="12"/>
  <c r="AK56" i="12"/>
  <c r="AK64" i="12"/>
  <c r="AK44" i="12"/>
  <c r="AK55" i="12"/>
  <c r="AK91" i="12"/>
  <c r="AK54" i="12"/>
  <c r="AK58" i="12"/>
  <c r="AK62" i="12"/>
  <c r="AK66" i="12"/>
  <c r="AK74" i="12"/>
  <c r="AK85" i="12"/>
  <c r="AK94" i="12"/>
  <c r="AK78" i="12"/>
  <c r="AK72" i="12"/>
  <c r="AK80" i="12"/>
  <c r="AK88" i="12"/>
  <c r="AK52" i="12"/>
  <c r="AK40" i="12"/>
  <c r="AK57" i="12"/>
  <c r="AK65" i="12"/>
  <c r="AK50" i="12"/>
  <c r="AK69" i="12"/>
  <c r="AK82" i="12"/>
  <c r="AK77" i="12"/>
  <c r="AK90" i="12"/>
  <c r="AK76" i="12"/>
  <c r="AK92" i="12"/>
  <c r="P27" i="43"/>
  <c r="I29" i="43"/>
  <c r="AI36" i="12" l="1"/>
  <c r="AK22" i="12"/>
  <c r="Y65" i="38"/>
  <c r="Z6" i="38"/>
  <c r="O31" i="41"/>
  <c r="P71" i="40"/>
  <c r="A71" i="40" s="1"/>
  <c r="W49" i="11"/>
  <c r="W16" i="11"/>
  <c r="H34" i="42"/>
  <c r="I34" i="42" s="1"/>
  <c r="O34" i="42" s="1"/>
  <c r="G35" i="42"/>
  <c r="P73" i="42"/>
  <c r="A73" i="42" s="1"/>
  <c r="O31" i="43"/>
  <c r="P71" i="43"/>
  <c r="A71" i="43" s="1"/>
  <c r="AL100" i="12"/>
  <c r="AL96" i="12"/>
  <c r="AL92" i="12"/>
  <c r="AL88" i="12"/>
  <c r="AL86" i="12"/>
  <c r="AL82" i="12"/>
  <c r="AL74" i="12"/>
  <c r="AL70" i="12"/>
  <c r="AL64" i="12"/>
  <c r="AL60" i="12"/>
  <c r="AL56" i="12"/>
  <c r="AL52" i="12"/>
  <c r="AL47" i="12"/>
  <c r="AL43" i="12"/>
  <c r="AL39" i="12"/>
  <c r="AL84" i="12"/>
  <c r="AL76" i="12"/>
  <c r="AL72" i="12"/>
  <c r="AL63" i="12"/>
  <c r="AL59" i="12"/>
  <c r="AL55" i="12"/>
  <c r="AL51" i="12"/>
  <c r="AL50" i="12"/>
  <c r="AL46" i="12"/>
  <c r="AL42" i="12"/>
  <c r="AL38" i="12"/>
  <c r="AL78" i="12"/>
  <c r="AL37" i="12"/>
  <c r="AL98" i="12"/>
  <c r="AL94" i="12"/>
  <c r="AL90" i="12"/>
  <c r="AL80" i="12"/>
  <c r="AL68" i="12"/>
  <c r="AL54" i="12"/>
  <c r="AL62" i="12"/>
  <c r="AL53" i="12"/>
  <c r="AL57" i="12"/>
  <c r="AL61" i="12"/>
  <c r="AL65" i="12"/>
  <c r="AL75" i="12"/>
  <c r="AL95" i="12"/>
  <c r="AL79" i="12"/>
  <c r="AL99" i="12"/>
  <c r="AL77" i="12"/>
  <c r="AL49" i="12"/>
  <c r="AL83" i="12"/>
  <c r="AL89" i="12"/>
  <c r="AL93" i="12"/>
  <c r="AL97" i="12"/>
  <c r="AL87" i="12"/>
  <c r="AL73" i="12"/>
  <c r="AL45" i="12"/>
  <c r="AL71" i="12"/>
  <c r="AL91" i="12"/>
  <c r="AL85" i="12"/>
  <c r="AL41" i="12"/>
  <c r="AL58" i="12"/>
  <c r="AL40" i="12"/>
  <c r="AL44" i="12"/>
  <c r="AL48" i="12"/>
  <c r="AL66" i="12"/>
  <c r="AL81" i="12"/>
  <c r="AL67" i="12"/>
  <c r="AL69" i="12"/>
  <c r="H32" i="40"/>
  <c r="I32" i="40" s="1"/>
  <c r="O32" i="40" s="1"/>
  <c r="G33" i="40"/>
  <c r="O33" i="42"/>
  <c r="AJ35" i="12"/>
  <c r="AJ24" i="12"/>
  <c r="G33" i="43"/>
  <c r="H32" i="43"/>
  <c r="I32" i="43" s="1"/>
  <c r="O32" i="43" s="1"/>
  <c r="O31" i="40"/>
  <c r="P71" i="41"/>
  <c r="A71" i="41" s="1"/>
  <c r="H32" i="41"/>
  <c r="I32" i="41" s="1"/>
  <c r="O32" i="41" s="1"/>
  <c r="G33" i="41"/>
  <c r="X41" i="11"/>
  <c r="X32" i="11"/>
  <c r="Y4" i="11"/>
  <c r="X26" i="11"/>
  <c r="X19" i="11"/>
  <c r="X24" i="11"/>
  <c r="X6" i="11"/>
  <c r="AA6" i="11" s="1"/>
  <c r="X8" i="11"/>
  <c r="AJ36" i="12" l="1"/>
  <c r="X55" i="11"/>
  <c r="AA24" i="11"/>
  <c r="I71" i="43"/>
  <c r="I73" i="42"/>
  <c r="H33" i="40"/>
  <c r="I33" i="40" s="1"/>
  <c r="G34" i="40"/>
  <c r="I71" i="40"/>
  <c r="Z65" i="38"/>
  <c r="AA6" i="38"/>
  <c r="X52" i="11"/>
  <c r="AA19" i="11"/>
  <c r="X49" i="11"/>
  <c r="X16" i="11"/>
  <c r="AA16" i="11" s="1"/>
  <c r="AA8" i="11"/>
  <c r="X56" i="11"/>
  <c r="AA26" i="11"/>
  <c r="I71" i="41"/>
  <c r="H35" i="42"/>
  <c r="I35" i="42" s="1"/>
  <c r="G36" i="42"/>
  <c r="Y26" i="11"/>
  <c r="Y56" i="11" s="1"/>
  <c r="Y19" i="11"/>
  <c r="Y52" i="11" s="1"/>
  <c r="Y41" i="11"/>
  <c r="Y24" i="11"/>
  <c r="Y55" i="11" s="1"/>
  <c r="Y32" i="11"/>
  <c r="Y6" i="11"/>
  <c r="Y8" i="11"/>
  <c r="G34" i="41"/>
  <c r="H33" i="41"/>
  <c r="I33" i="41" s="1"/>
  <c r="O33" i="41" s="1"/>
  <c r="G34" i="43"/>
  <c r="H33" i="43"/>
  <c r="I33" i="43" s="1"/>
  <c r="R33" i="43" s="1"/>
  <c r="R59" i="43" s="1"/>
  <c r="R61" i="43" s="1"/>
  <c r="U10" i="2" s="1"/>
  <c r="U92" i="2" s="1"/>
  <c r="AL22" i="12"/>
  <c r="AK35" i="12"/>
  <c r="AK24" i="12"/>
  <c r="AK36" i="12" s="1"/>
  <c r="G35" i="43" l="1"/>
  <c r="H34" i="43"/>
  <c r="I34" i="43" s="1"/>
  <c r="P34" i="43" s="1"/>
  <c r="G35" i="41"/>
  <c r="H34" i="41"/>
  <c r="I34" i="41" s="1"/>
  <c r="O33" i="40"/>
  <c r="Y16" i="11"/>
  <c r="Y49" i="11"/>
  <c r="H36" i="42"/>
  <c r="I36" i="42" s="1"/>
  <c r="P36" i="42" s="1"/>
  <c r="G37" i="42"/>
  <c r="O35" i="42"/>
  <c r="AA65" i="38"/>
  <c r="AA68" i="38" s="1"/>
  <c r="AB6" i="38"/>
  <c r="AL35" i="12"/>
  <c r="AL24" i="12"/>
  <c r="H34" i="40"/>
  <c r="I34" i="40" s="1"/>
  <c r="P34" i="40" s="1"/>
  <c r="P77" i="40" s="1"/>
  <c r="A77" i="40" s="1"/>
  <c r="I77" i="40" s="1"/>
  <c r="G35" i="40"/>
  <c r="AB65" i="38" l="1"/>
  <c r="AB68" i="38" s="1"/>
  <c r="AC6" i="38"/>
  <c r="H37" i="42"/>
  <c r="I37" i="42" s="1"/>
  <c r="O37" i="42" s="1"/>
  <c r="G38" i="42"/>
  <c r="H35" i="41"/>
  <c r="I35" i="41" s="1"/>
  <c r="O35" i="41" s="1"/>
  <c r="G36" i="41"/>
  <c r="H35" i="40"/>
  <c r="I35" i="40" s="1"/>
  <c r="O35" i="40" s="1"/>
  <c r="G36" i="40"/>
  <c r="P79" i="42"/>
  <c r="A79" i="42" s="1"/>
  <c r="I79" i="42" s="1"/>
  <c r="P77" i="43"/>
  <c r="A77" i="43" s="1"/>
  <c r="I77" i="43" s="1"/>
  <c r="AL36" i="12"/>
  <c r="G36" i="43"/>
  <c r="H35" i="43"/>
  <c r="I35" i="43" s="1"/>
  <c r="P34" i="41"/>
  <c r="G39" i="41" l="1"/>
  <c r="H36" i="41"/>
  <c r="I36" i="41" s="1"/>
  <c r="AC65" i="38"/>
  <c r="AC68" i="38" s="1"/>
  <c r="AD6" i="38"/>
  <c r="G39" i="43"/>
  <c r="H36" i="43"/>
  <c r="I36" i="43" s="1"/>
  <c r="O36" i="43" s="1"/>
  <c r="P77" i="41"/>
  <c r="A77" i="41" s="1"/>
  <c r="I77" i="41" s="1"/>
  <c r="O35" i="43"/>
  <c r="O59" i="43" s="1"/>
  <c r="O61" i="43" s="1"/>
  <c r="R10" i="2" s="1"/>
  <c r="I37" i="43"/>
  <c r="I39" i="42"/>
  <c r="G39" i="40"/>
  <c r="H36" i="40"/>
  <c r="I36" i="40" s="1"/>
  <c r="O36" i="40" s="1"/>
  <c r="O59" i="40" s="1"/>
  <c r="O61" i="40" s="1"/>
  <c r="R7" i="2" s="1"/>
  <c r="G41" i="42"/>
  <c r="H38" i="42"/>
  <c r="I38" i="42" s="1"/>
  <c r="O38" i="42" s="1"/>
  <c r="O61" i="42" s="1"/>
  <c r="O63" i="42" s="1"/>
  <c r="R9" i="2" s="1"/>
  <c r="R26" i="2" s="1"/>
  <c r="G44" i="42" l="1"/>
  <c r="H41" i="42"/>
  <c r="I41" i="42" s="1"/>
  <c r="R92" i="2"/>
  <c r="G42" i="40"/>
  <c r="H39" i="40"/>
  <c r="I39" i="40" s="1"/>
  <c r="O36" i="41"/>
  <c r="O59" i="41" s="1"/>
  <c r="O61" i="41" s="1"/>
  <c r="R8" i="2" s="1"/>
  <c r="I37" i="41"/>
  <c r="AD65" i="38"/>
  <c r="AE6" i="38"/>
  <c r="I37" i="40"/>
  <c r="G42" i="43"/>
  <c r="H39" i="43"/>
  <c r="I39" i="43" s="1"/>
  <c r="G42" i="41"/>
  <c r="H39" i="41"/>
  <c r="I39" i="41" s="1"/>
  <c r="H42" i="40" l="1"/>
  <c r="I42" i="40" s="1"/>
  <c r="G43" i="40"/>
  <c r="H42" i="41"/>
  <c r="I42" i="41" s="1"/>
  <c r="G43" i="41"/>
  <c r="I40" i="40"/>
  <c r="P39" i="40"/>
  <c r="P73" i="40" s="1"/>
  <c r="A73" i="40" s="1"/>
  <c r="P39" i="43"/>
  <c r="P73" i="43" s="1"/>
  <c r="A73" i="43" s="1"/>
  <c r="I40" i="43"/>
  <c r="G43" i="43"/>
  <c r="H42" i="43"/>
  <c r="I42" i="43" s="1"/>
  <c r="I42" i="42"/>
  <c r="P41" i="42"/>
  <c r="P75" i="42" s="1"/>
  <c r="A75" i="42" s="1"/>
  <c r="AE65" i="38"/>
  <c r="AF6" i="38"/>
  <c r="I40" i="41"/>
  <c r="P39" i="41"/>
  <c r="P73" i="41" s="1"/>
  <c r="A73" i="41" s="1"/>
  <c r="H44" i="42"/>
  <c r="I44" i="42" s="1"/>
  <c r="G45" i="42"/>
  <c r="H43" i="41" l="1"/>
  <c r="I43" i="41" s="1"/>
  <c r="M43" i="41" s="1"/>
  <c r="G44" i="41"/>
  <c r="M44" i="42"/>
  <c r="I73" i="43"/>
  <c r="M42" i="41"/>
  <c r="M42" i="43"/>
  <c r="I73" i="40"/>
  <c r="H43" i="40"/>
  <c r="I43" i="40" s="1"/>
  <c r="M43" i="40" s="1"/>
  <c r="G44" i="40"/>
  <c r="H45" i="42"/>
  <c r="I45" i="42" s="1"/>
  <c r="M45" i="42" s="1"/>
  <c r="G46" i="42"/>
  <c r="AF65" i="38"/>
  <c r="AF68" i="38" s="1"/>
  <c r="AG6" i="38"/>
  <c r="I73" i="41"/>
  <c r="I75" i="42"/>
  <c r="G44" i="43"/>
  <c r="H43" i="43"/>
  <c r="I43" i="43" s="1"/>
  <c r="M43" i="43" s="1"/>
  <c r="M42" i="40"/>
  <c r="G49" i="42" l="1"/>
  <c r="H46" i="42"/>
  <c r="I46" i="42" s="1"/>
  <c r="M46" i="42" s="1"/>
  <c r="M61" i="42" s="1"/>
  <c r="M63" i="42" s="1"/>
  <c r="P9" i="2" s="1"/>
  <c r="G47" i="43"/>
  <c r="H44" i="43"/>
  <c r="I44" i="43" s="1"/>
  <c r="M44" i="43" s="1"/>
  <c r="M59" i="43" s="1"/>
  <c r="M61" i="43" s="1"/>
  <c r="P10" i="2" s="1"/>
  <c r="AG65" i="38"/>
  <c r="AG68" i="38" s="1"/>
  <c r="AH6" i="38"/>
  <c r="G47" i="40"/>
  <c r="H44" i="40"/>
  <c r="I44" i="40" s="1"/>
  <c r="I47" i="42"/>
  <c r="G47" i="41"/>
  <c r="H44" i="41"/>
  <c r="I44" i="41" s="1"/>
  <c r="M44" i="41" s="1"/>
  <c r="M59" i="41" s="1"/>
  <c r="M61" i="41" s="1"/>
  <c r="P8" i="2" s="1"/>
  <c r="AH65" i="38" l="1"/>
  <c r="AH68" i="38" s="1"/>
  <c r="AI6" i="38"/>
  <c r="H47" i="43"/>
  <c r="I47" i="43" s="1"/>
  <c r="G48" i="43"/>
  <c r="P26" i="2"/>
  <c r="I45" i="43"/>
  <c r="G48" i="40"/>
  <c r="H47" i="40"/>
  <c r="I47" i="40" s="1"/>
  <c r="H47" i="41"/>
  <c r="I47" i="41" s="1"/>
  <c r="G48" i="41"/>
  <c r="M44" i="40"/>
  <c r="M59" i="40" s="1"/>
  <c r="M61" i="40" s="1"/>
  <c r="P7" i="2" s="1"/>
  <c r="I45" i="40"/>
  <c r="I45" i="41"/>
  <c r="H49" i="42"/>
  <c r="I49" i="42" s="1"/>
  <c r="G50" i="42"/>
  <c r="H50" i="42" l="1"/>
  <c r="I50" i="42" s="1"/>
  <c r="G51" i="42"/>
  <c r="G49" i="41"/>
  <c r="H49" i="41" s="1"/>
  <c r="I49" i="41" s="1"/>
  <c r="P49" i="41" s="1"/>
  <c r="H48" i="41"/>
  <c r="I48" i="41" s="1"/>
  <c r="H48" i="40"/>
  <c r="I48" i="40" s="1"/>
  <c r="G49" i="40"/>
  <c r="AI65" i="38"/>
  <c r="AI68" i="38" s="1"/>
  <c r="AJ6" i="38"/>
  <c r="P92" i="2"/>
  <c r="I51" i="41"/>
  <c r="I59" i="41" s="1"/>
  <c r="I61" i="41" s="1"/>
  <c r="I50" i="41"/>
  <c r="G49" i="43"/>
  <c r="H49" i="43" s="1"/>
  <c r="I49" i="43" s="1"/>
  <c r="P49" i="43" s="1"/>
  <c r="H48" i="43"/>
  <c r="I48" i="43" s="1"/>
  <c r="I50" i="43" s="1"/>
  <c r="I51" i="43" s="1"/>
  <c r="I59" i="43" s="1"/>
  <c r="I61" i="43" s="1"/>
  <c r="H49" i="40" l="1"/>
  <c r="I49" i="40" s="1"/>
  <c r="P49" i="40" s="1"/>
  <c r="G101" i="40"/>
  <c r="P75" i="43"/>
  <c r="A75" i="43" s="1"/>
  <c r="P59" i="43"/>
  <c r="AJ65" i="38"/>
  <c r="AJ68" i="38" s="1"/>
  <c r="AK6" i="38"/>
  <c r="G103" i="42"/>
  <c r="H51" i="42"/>
  <c r="I51" i="42" s="1"/>
  <c r="P75" i="41"/>
  <c r="A75" i="41" s="1"/>
  <c r="P59" i="41"/>
  <c r="AK65" i="38" l="1"/>
  <c r="AL6" i="38"/>
  <c r="G102" i="40"/>
  <c r="H101" i="40"/>
  <c r="I101" i="40" s="1"/>
  <c r="P75" i="40"/>
  <c r="A75" i="40" s="1"/>
  <c r="P59" i="40"/>
  <c r="P61" i="40" s="1"/>
  <c r="S7" i="2" s="1"/>
  <c r="P61" i="41"/>
  <c r="S8" i="2" s="1"/>
  <c r="W8" i="2" s="1"/>
  <c r="Q66" i="41"/>
  <c r="H103" i="42"/>
  <c r="I103" i="42" s="1"/>
  <c r="G104" i="42"/>
  <c r="I75" i="43"/>
  <c r="A81" i="43"/>
  <c r="A84" i="43" s="1"/>
  <c r="I84" i="43" s="1"/>
  <c r="I88" i="43" s="1"/>
  <c r="I75" i="41"/>
  <c r="A81" i="41"/>
  <c r="A84" i="41" s="1"/>
  <c r="I84" i="41" s="1"/>
  <c r="I88" i="41" s="1"/>
  <c r="P51" i="42"/>
  <c r="I52" i="42"/>
  <c r="I53" i="42" s="1"/>
  <c r="I61" i="42" s="1"/>
  <c r="I63" i="42" s="1"/>
  <c r="P61" i="43"/>
  <c r="S10" i="2" s="1"/>
  <c r="W10" i="2" s="1"/>
  <c r="Q66" i="43"/>
  <c r="I50" i="40"/>
  <c r="I51" i="40" s="1"/>
  <c r="I59" i="40" s="1"/>
  <c r="I61" i="40" s="1"/>
  <c r="G105" i="42" l="1"/>
  <c r="H104" i="42"/>
  <c r="I104" i="42" s="1"/>
  <c r="W7" i="2"/>
  <c r="G103" i="40"/>
  <c r="H102" i="40"/>
  <c r="I102" i="40" s="1"/>
  <c r="C8" i="65"/>
  <c r="H8" i="65" s="1"/>
  <c r="E38" i="12"/>
  <c r="E14" i="12"/>
  <c r="BG8" i="2"/>
  <c r="AC8" i="2"/>
  <c r="C10" i="65"/>
  <c r="H10" i="65" s="1"/>
  <c r="E40" i="12"/>
  <c r="E16" i="12"/>
  <c r="AC10" i="2"/>
  <c r="BG10" i="2"/>
  <c r="I75" i="40"/>
  <c r="A81" i="40"/>
  <c r="A84" i="40" s="1"/>
  <c r="I84" i="40" s="1"/>
  <c r="I88" i="40" s="1"/>
  <c r="AL65" i="38"/>
  <c r="AM6" i="38"/>
  <c r="P77" i="42"/>
  <c r="A77" i="42" s="1"/>
  <c r="P61" i="42"/>
  <c r="I77" i="42" l="1"/>
  <c r="A83" i="42"/>
  <c r="A86" i="42" s="1"/>
  <c r="I86" i="42" s="1"/>
  <c r="I90" i="42" s="1"/>
  <c r="K16" i="12"/>
  <c r="J16" i="12"/>
  <c r="AH8" i="2"/>
  <c r="BF8" i="2"/>
  <c r="AM65" i="38"/>
  <c r="AM68" i="38" s="1"/>
  <c r="AN6" i="38"/>
  <c r="J40" i="12"/>
  <c r="K40" i="12"/>
  <c r="K14" i="12"/>
  <c r="J14" i="12"/>
  <c r="H103" i="40"/>
  <c r="I103" i="40" s="1"/>
  <c r="G104" i="40"/>
  <c r="G106" i="42"/>
  <c r="H105" i="42"/>
  <c r="I105" i="42" s="1"/>
  <c r="P63" i="42"/>
  <c r="S9" i="2" s="1"/>
  <c r="Q68" i="42"/>
  <c r="BF10" i="2"/>
  <c r="AH10" i="2"/>
  <c r="K38" i="12"/>
  <c r="J38" i="12"/>
  <c r="C7" i="65"/>
  <c r="H7" i="65" s="1"/>
  <c r="E37" i="12"/>
  <c r="E13" i="12"/>
  <c r="BG7" i="2"/>
  <c r="H104" i="40" l="1"/>
  <c r="I104" i="40" s="1"/>
  <c r="G105" i="40"/>
  <c r="K13" i="12"/>
  <c r="J13" i="12"/>
  <c r="K37" i="12"/>
  <c r="J37" i="12"/>
  <c r="S26" i="2"/>
  <c r="W26" i="2" s="1"/>
  <c r="W9" i="2"/>
  <c r="D8" i="65"/>
  <c r="I8" i="65" s="1"/>
  <c r="BH8" i="2"/>
  <c r="BE8" i="2"/>
  <c r="H106" i="42"/>
  <c r="I106" i="42" s="1"/>
  <c r="G107" i="42"/>
  <c r="D10" i="65"/>
  <c r="I10" i="65" s="1"/>
  <c r="BE10" i="2"/>
  <c r="BH10" i="2"/>
  <c r="AN65" i="38"/>
  <c r="AN68" i="38" s="1"/>
  <c r="AO6" i="38"/>
  <c r="AO65" i="38" l="1"/>
  <c r="AO68" i="38" s="1"/>
  <c r="AP6" i="38"/>
  <c r="AP65" i="38" s="1"/>
  <c r="C9" i="65"/>
  <c r="H9" i="65" s="1"/>
  <c r="E39" i="12"/>
  <c r="E15" i="12"/>
  <c r="AC9" i="2"/>
  <c r="BG9" i="2"/>
  <c r="W92" i="2"/>
  <c r="C24" i="65"/>
  <c r="H24" i="65" s="1"/>
  <c r="AC26" i="2"/>
  <c r="BG26" i="2"/>
  <c r="G106" i="40"/>
  <c r="H105" i="40"/>
  <c r="I105" i="40" s="1"/>
  <c r="H107" i="42"/>
  <c r="I107" i="42" s="1"/>
  <c r="G108" i="42"/>
  <c r="S92" i="2"/>
  <c r="K39" i="12" l="1"/>
  <c r="J39" i="12"/>
  <c r="E36" i="12"/>
  <c r="I111" i="42"/>
  <c r="G110" i="42"/>
  <c r="H110" i="42" s="1"/>
  <c r="I110" i="42" s="1"/>
  <c r="H108" i="42"/>
  <c r="I108" i="42" s="1"/>
  <c r="BF26" i="2"/>
  <c r="AH26" i="2"/>
  <c r="AH9" i="2"/>
  <c r="BF9" i="2"/>
  <c r="G108" i="40"/>
  <c r="H108" i="40" s="1"/>
  <c r="I108" i="40" s="1"/>
  <c r="H106" i="40"/>
  <c r="I106" i="40" s="1"/>
  <c r="K15" i="12"/>
  <c r="J15" i="12"/>
  <c r="E12" i="12"/>
  <c r="K36" i="12" l="1"/>
  <c r="L29" i="12" s="1"/>
  <c r="L31" i="12" s="1"/>
  <c r="J36" i="12"/>
  <c r="K29" i="12" s="1"/>
  <c r="K31" i="12" s="1"/>
  <c r="D24" i="65"/>
  <c r="I24" i="65" s="1"/>
  <c r="BE26" i="2"/>
  <c r="BH26" i="2"/>
  <c r="K12" i="12"/>
  <c r="L5" i="12" s="1"/>
  <c r="L7" i="12" s="1"/>
  <c r="B23" i="12" s="1"/>
  <c r="J12" i="12"/>
  <c r="K5" i="12" s="1"/>
  <c r="K7" i="12" s="1"/>
  <c r="I109" i="40"/>
  <c r="Y7" i="2" s="1"/>
  <c r="D9" i="65"/>
  <c r="I9" i="65" s="1"/>
  <c r="BE9" i="2"/>
  <c r="BH9" i="2"/>
  <c r="Y92" i="2" l="1"/>
  <c r="AB7" i="2"/>
  <c r="B22" i="12"/>
  <c r="B24" i="12" s="1"/>
  <c r="AL90" i="2"/>
  <c r="AB92" i="2" l="1"/>
  <c r="AC7" i="2"/>
  <c r="M7" i="3"/>
  <c r="AS90" i="2"/>
  <c r="AS36" i="38" l="1"/>
  <c r="AP36" i="38"/>
  <c r="AP35" i="38" s="1"/>
  <c r="AP19" i="38" s="1"/>
  <c r="AP68" i="38" s="1"/>
  <c r="AD36" i="38"/>
  <c r="AD35" i="38" s="1"/>
  <c r="R36" i="38"/>
  <c r="R35" i="38" s="1"/>
  <c r="AK36" i="38"/>
  <c r="AK35" i="38" s="1"/>
  <c r="Y36" i="38"/>
  <c r="Y35" i="38" s="1"/>
  <c r="M36" i="38"/>
  <c r="M19" i="3"/>
  <c r="AC92" i="2"/>
  <c r="BF7" i="2"/>
  <c r="AH7" i="2"/>
  <c r="S64" i="38" l="1"/>
  <c r="S62" i="38" s="1"/>
  <c r="R19" i="38"/>
  <c r="R68" i="38" s="1"/>
  <c r="D7" i="65"/>
  <c r="I7" i="65" s="1"/>
  <c r="AH92" i="2"/>
  <c r="BH7" i="2"/>
  <c r="BE7" i="2"/>
  <c r="M35" i="38"/>
  <c r="AR36" i="38"/>
  <c r="AE64" i="38"/>
  <c r="AE62" i="38" s="1"/>
  <c r="AD19" i="38"/>
  <c r="AD68" i="38" s="1"/>
  <c r="Y12" i="11"/>
  <c r="U12" i="11"/>
  <c r="Q12" i="11"/>
  <c r="M12" i="11"/>
  <c r="I12" i="11"/>
  <c r="E12" i="11"/>
  <c r="X12" i="11"/>
  <c r="T12" i="11"/>
  <c r="P12" i="11"/>
  <c r="L12" i="11"/>
  <c r="H12" i="11"/>
  <c r="W12" i="11"/>
  <c r="S12" i="11"/>
  <c r="O12" i="11"/>
  <c r="K12" i="11"/>
  <c r="G12" i="11"/>
  <c r="J12" i="11"/>
  <c r="V12" i="11"/>
  <c r="F12" i="11"/>
  <c r="R12" i="11"/>
  <c r="N12" i="11"/>
  <c r="E18" i="1"/>
  <c r="A15" i="1"/>
  <c r="Z64" i="38"/>
  <c r="Z62" i="38" s="1"/>
  <c r="Y19" i="38"/>
  <c r="Y68" i="38" s="1"/>
  <c r="AL64" i="38"/>
  <c r="AL62" i="38" s="1"/>
  <c r="AK19" i="38"/>
  <c r="AK68" i="38" s="1"/>
  <c r="Z61" i="38" l="1"/>
  <c r="Z68" i="38"/>
  <c r="N64" i="38"/>
  <c r="M19" i="38"/>
  <c r="M68" i="38" s="1"/>
  <c r="M69" i="38" s="1"/>
  <c r="AL61" i="38"/>
  <c r="AL68" i="38"/>
  <c r="E50" i="11"/>
  <c r="E51" i="11" s="1"/>
  <c r="E54" i="11" s="1"/>
  <c r="E57" i="11" s="1"/>
  <c r="E15" i="11"/>
  <c r="AA12" i="11"/>
  <c r="AS64" i="38"/>
  <c r="AT36" i="38"/>
  <c r="AE61" i="38"/>
  <c r="AE68" i="38"/>
  <c r="S61" i="38"/>
  <c r="S68" i="38"/>
  <c r="N62" i="38" l="1"/>
  <c r="AR64" i="38"/>
  <c r="E18" i="11"/>
  <c r="E41" i="11" l="1"/>
  <c r="E23" i="11"/>
  <c r="N61" i="38"/>
  <c r="N68" i="38"/>
  <c r="N69" i="38" s="1"/>
  <c r="E45" i="11" l="1"/>
  <c r="E28" i="11"/>
  <c r="O69" i="38"/>
  <c r="P69" i="38" s="1"/>
  <c r="Q69" i="38" s="1"/>
  <c r="R69" i="38" s="1"/>
  <c r="S69" i="38" s="1"/>
  <c r="T69" i="38" s="1"/>
  <c r="U69" i="38" s="1"/>
  <c r="V69" i="38" s="1"/>
  <c r="W69" i="38" s="1"/>
  <c r="X69" i="38" s="1"/>
  <c r="Y69" i="38" s="1"/>
  <c r="Z69" i="38" s="1"/>
  <c r="AA69" i="38" s="1"/>
  <c r="AB69" i="38" s="1"/>
  <c r="AC69" i="38" s="1"/>
  <c r="AD69" i="38" s="1"/>
  <c r="AE69" i="38" s="1"/>
  <c r="AF69" i="38" s="1"/>
  <c r="AG69" i="38" s="1"/>
  <c r="AH69" i="38" s="1"/>
  <c r="AI69" i="38" s="1"/>
  <c r="AJ69" i="38" s="1"/>
  <c r="AK69" i="38" s="1"/>
  <c r="AL69" i="38" s="1"/>
  <c r="AM69" i="38" s="1"/>
  <c r="AN69" i="38" s="1"/>
  <c r="AO69" i="38" s="1"/>
  <c r="AP69" i="38" s="1"/>
  <c r="O46" i="3" l="1"/>
  <c r="E36" i="11"/>
  <c r="E29" i="11"/>
  <c r="E59" i="11" l="1"/>
  <c r="E42" i="11"/>
  <c r="F13" i="11"/>
  <c r="E46" i="11"/>
  <c r="E37" i="11"/>
  <c r="G31" i="37" l="1"/>
  <c r="G33" i="37" s="1"/>
  <c r="E60" i="11"/>
  <c r="E43" i="11"/>
  <c r="F50" i="11"/>
  <c r="F51" i="11" s="1"/>
  <c r="F54" i="11" s="1"/>
  <c r="F57" i="11" s="1"/>
  <c r="F15" i="11"/>
  <c r="F18" i="11" l="1"/>
  <c r="F23" i="11" l="1"/>
  <c r="F41" i="11"/>
  <c r="F45" i="11" l="1"/>
  <c r="F28" i="11"/>
  <c r="F34" i="11" l="1"/>
  <c r="F35" i="11" s="1"/>
  <c r="F29" i="11"/>
  <c r="F58" i="11" l="1"/>
  <c r="F36" i="11"/>
  <c r="F59" i="11" l="1"/>
  <c r="F42" i="11"/>
  <c r="F38" i="11"/>
  <c r="F46" i="11"/>
  <c r="G13" i="11"/>
  <c r="F37" i="11"/>
  <c r="G13" i="37" l="1"/>
  <c r="G15" i="37" s="1"/>
  <c r="G35" i="37" s="1"/>
  <c r="G36" i="37" s="1"/>
  <c r="F39" i="11"/>
  <c r="E58" i="3"/>
  <c r="E59" i="3"/>
  <c r="E56" i="3"/>
  <c r="E57" i="3" s="1"/>
  <c r="H31" i="37"/>
  <c r="H33" i="37" s="1"/>
  <c r="F60" i="11"/>
  <c r="F43" i="11"/>
  <c r="G15" i="11"/>
  <c r="G50" i="11"/>
  <c r="G51" i="11" s="1"/>
  <c r="G54" i="11" s="1"/>
  <c r="G57" i="11" s="1"/>
  <c r="F61" i="11" l="1"/>
  <c r="G18" i="11"/>
  <c r="G23" i="11" l="1"/>
  <c r="G41" i="11"/>
  <c r="G45" i="11" l="1"/>
  <c r="G28" i="11"/>
  <c r="G34" i="11" l="1"/>
  <c r="G35" i="11" s="1"/>
  <c r="G29" i="11"/>
  <c r="G58" i="11" l="1"/>
  <c r="G36" i="11"/>
  <c r="G46" i="11" l="1"/>
  <c r="G37" i="11"/>
  <c r="G59" i="11"/>
  <c r="G42" i="11"/>
  <c r="G38" i="11"/>
  <c r="H13" i="11"/>
  <c r="H50" i="11" l="1"/>
  <c r="H51" i="11" s="1"/>
  <c r="H54" i="11" s="1"/>
  <c r="H57" i="11" s="1"/>
  <c r="H15" i="11"/>
  <c r="I31" i="37"/>
  <c r="I33" i="37" s="1"/>
  <c r="G60" i="11"/>
  <c r="G43" i="11"/>
  <c r="H13" i="37"/>
  <c r="H15" i="37" s="1"/>
  <c r="H35" i="37" s="1"/>
  <c r="H36" i="37" s="1"/>
  <c r="G39" i="11"/>
  <c r="F58" i="3"/>
  <c r="F59" i="3"/>
  <c r="F56" i="3"/>
  <c r="F57" i="3" s="1"/>
  <c r="H18" i="11" l="1"/>
  <c r="G61" i="11"/>
  <c r="H23" i="11" l="1"/>
  <c r="H41" i="11"/>
  <c r="H45" i="11" l="1"/>
  <c r="H28" i="11"/>
  <c r="H34" i="11" l="1"/>
  <c r="H35" i="11" s="1"/>
  <c r="H36" i="11" s="1"/>
  <c r="H29" i="11"/>
  <c r="H46" i="11" l="1"/>
  <c r="H37" i="11"/>
  <c r="H59" i="11"/>
  <c r="H42" i="11"/>
  <c r="H38" i="11"/>
  <c r="I13" i="11"/>
  <c r="H58" i="11"/>
  <c r="J31" i="37" l="1"/>
  <c r="J33" i="37" s="1"/>
  <c r="H43" i="11"/>
  <c r="H60" i="11"/>
  <c r="I15" i="11"/>
  <c r="I50" i="11"/>
  <c r="I51" i="11" s="1"/>
  <c r="I54" i="11" s="1"/>
  <c r="I57" i="11" s="1"/>
  <c r="I13" i="37"/>
  <c r="I15" i="37" s="1"/>
  <c r="I35" i="37" s="1"/>
  <c r="I36" i="37" s="1"/>
  <c r="H39" i="11"/>
  <c r="G58" i="3"/>
  <c r="G59" i="3"/>
  <c r="G56" i="3"/>
  <c r="G57" i="3" s="1"/>
  <c r="H61" i="11" l="1"/>
  <c r="I18" i="11"/>
  <c r="I23" i="11" l="1"/>
  <c r="I41" i="11"/>
  <c r="I45" i="11" l="1"/>
  <c r="I28" i="11"/>
  <c r="I34" i="11" l="1"/>
  <c r="I35" i="11" s="1"/>
  <c r="I29" i="11"/>
  <c r="I58" i="11" l="1"/>
  <c r="I36" i="11"/>
  <c r="I59" i="11" l="1"/>
  <c r="I42" i="11"/>
  <c r="I38" i="11"/>
  <c r="J13" i="11"/>
  <c r="I46" i="11"/>
  <c r="I37" i="11"/>
  <c r="J50" i="11" l="1"/>
  <c r="J51" i="11" s="1"/>
  <c r="J54" i="11" s="1"/>
  <c r="J57" i="11" s="1"/>
  <c r="J15" i="11"/>
  <c r="J18" i="11" s="1"/>
  <c r="J13" i="37"/>
  <c r="J15" i="37" s="1"/>
  <c r="J35" i="37" s="1"/>
  <c r="J36" i="37" s="1"/>
  <c r="I39" i="11"/>
  <c r="H59" i="3"/>
  <c r="H56" i="3"/>
  <c r="H57" i="3" s="1"/>
  <c r="H58" i="3"/>
  <c r="K31" i="37"/>
  <c r="K33" i="37" s="1"/>
  <c r="I60" i="11"/>
  <c r="I43" i="11"/>
  <c r="I61" i="11" l="1"/>
  <c r="J23" i="11"/>
  <c r="J41" i="11"/>
  <c r="J45" i="11" l="1"/>
  <c r="J28" i="11"/>
  <c r="J34" i="11" l="1"/>
  <c r="J35" i="11" s="1"/>
  <c r="J29" i="11"/>
  <c r="J58" i="11" l="1"/>
  <c r="J36" i="11"/>
  <c r="J59" i="11" l="1"/>
  <c r="J42" i="11"/>
  <c r="J38" i="11"/>
  <c r="J46" i="11"/>
  <c r="J37" i="11"/>
  <c r="K13" i="11"/>
  <c r="K13" i="37" l="1"/>
  <c r="K15" i="37" s="1"/>
  <c r="K35" i="37" s="1"/>
  <c r="K36" i="37" s="1"/>
  <c r="J39" i="11"/>
  <c r="I58" i="3"/>
  <c r="I59" i="3"/>
  <c r="I56" i="3"/>
  <c r="I57" i="3" s="1"/>
  <c r="L31" i="37"/>
  <c r="L33" i="37" s="1"/>
  <c r="J60" i="11"/>
  <c r="J43" i="11"/>
  <c r="K15" i="11"/>
  <c r="K18" i="11" s="1"/>
  <c r="K50" i="11"/>
  <c r="K51" i="11" s="1"/>
  <c r="K54" i="11" s="1"/>
  <c r="K57" i="11" s="1"/>
  <c r="K23" i="11" l="1"/>
  <c r="K41" i="11"/>
  <c r="J61" i="11"/>
  <c r="AA41" i="11" l="1"/>
  <c r="C63" i="11"/>
  <c r="K45" i="11"/>
  <c r="K28" i="11"/>
  <c r="K34" i="11" l="1"/>
  <c r="K35" i="11" s="1"/>
  <c r="K58" i="11" s="1"/>
  <c r="K29" i="11"/>
  <c r="K36" i="11" l="1"/>
  <c r="K46" i="11" l="1"/>
  <c r="K37" i="11"/>
  <c r="K59" i="11"/>
  <c r="K42" i="11"/>
  <c r="K38" i="11"/>
  <c r="L13" i="11"/>
  <c r="M31" i="37" l="1"/>
  <c r="M33" i="37" s="1"/>
  <c r="K60" i="11"/>
  <c r="K43" i="11"/>
  <c r="L50" i="11"/>
  <c r="L51" i="11" s="1"/>
  <c r="L54" i="11" s="1"/>
  <c r="L57" i="11" s="1"/>
  <c r="L15" i="11"/>
  <c r="L18" i="11" s="1"/>
  <c r="L23" i="11" s="1"/>
  <c r="L13" i="37"/>
  <c r="L15" i="37" s="1"/>
  <c r="L35" i="37" s="1"/>
  <c r="L36" i="37" s="1"/>
  <c r="K39" i="11"/>
  <c r="J58" i="3"/>
  <c r="J59" i="3"/>
  <c r="J56" i="3"/>
  <c r="J57" i="3" s="1"/>
  <c r="K61" i="11" l="1"/>
  <c r="L45" i="11"/>
  <c r="L28" i="11"/>
  <c r="L34" i="11" l="1"/>
  <c r="L35" i="11" s="1"/>
  <c r="L58" i="11" s="1"/>
  <c r="L29" i="11"/>
  <c r="L36" i="11" l="1"/>
  <c r="L46" i="11" l="1"/>
  <c r="L37" i="11"/>
  <c r="L59" i="11"/>
  <c r="L42" i="11"/>
  <c r="L38" i="11"/>
  <c r="M13" i="11"/>
  <c r="N31" i="37" l="1"/>
  <c r="N33" i="37" s="1"/>
  <c r="L43" i="11"/>
  <c r="L60" i="11"/>
  <c r="M50" i="11"/>
  <c r="M51" i="11" s="1"/>
  <c r="M54" i="11" s="1"/>
  <c r="M57" i="11" s="1"/>
  <c r="M15" i="11"/>
  <c r="M18" i="11" s="1"/>
  <c r="M23" i="11" s="1"/>
  <c r="M13" i="37"/>
  <c r="M15" i="37" s="1"/>
  <c r="M35" i="37" s="1"/>
  <c r="M36" i="37" s="1"/>
  <c r="L39" i="11"/>
  <c r="K58" i="3"/>
  <c r="K59" i="3"/>
  <c r="K56" i="3"/>
  <c r="K57" i="3" s="1"/>
  <c r="L61" i="11" l="1"/>
  <c r="M45" i="11"/>
  <c r="M28" i="11"/>
  <c r="M34" i="11" l="1"/>
  <c r="M35" i="11" s="1"/>
  <c r="M58" i="11" s="1"/>
  <c r="M29" i="11"/>
  <c r="M36" i="11" l="1"/>
  <c r="M59" i="11" l="1"/>
  <c r="M42" i="11"/>
  <c r="M38" i="11"/>
  <c r="N13" i="11"/>
  <c r="M46" i="11"/>
  <c r="M37" i="11"/>
  <c r="N15" i="11" l="1"/>
  <c r="N18" i="11" s="1"/>
  <c r="N23" i="11" s="1"/>
  <c r="N50" i="11"/>
  <c r="N51" i="11" s="1"/>
  <c r="N54" i="11" s="1"/>
  <c r="N57" i="11" s="1"/>
  <c r="N13" i="37"/>
  <c r="N15" i="37" s="1"/>
  <c r="N35" i="37" s="1"/>
  <c r="N36" i="37" s="1"/>
  <c r="M39" i="11"/>
  <c r="L59" i="3"/>
  <c r="L56" i="3"/>
  <c r="L57" i="3" s="1"/>
  <c r="L58" i="3"/>
  <c r="O31" i="37"/>
  <c r="O33" i="37" s="1"/>
  <c r="M60" i="11"/>
  <c r="M43" i="11"/>
  <c r="M61" i="11" l="1"/>
  <c r="N45" i="11"/>
  <c r="N28" i="11"/>
  <c r="N34" i="11" l="1"/>
  <c r="N35" i="11" s="1"/>
  <c r="N58" i="11" s="1"/>
  <c r="N29" i="11"/>
  <c r="N36" i="11" l="1"/>
  <c r="N59" i="11" l="1"/>
  <c r="N42" i="11"/>
  <c r="N38" i="11"/>
  <c r="N46" i="11"/>
  <c r="N37" i="11"/>
  <c r="O13" i="11"/>
  <c r="O13" i="37" l="1"/>
  <c r="O15" i="37" s="1"/>
  <c r="O35" i="37" s="1"/>
  <c r="O36" i="37" s="1"/>
  <c r="N39" i="11"/>
  <c r="M58" i="3"/>
  <c r="M59" i="3"/>
  <c r="M56" i="3"/>
  <c r="M57" i="3" s="1"/>
  <c r="P31" i="37"/>
  <c r="P33" i="37" s="1"/>
  <c r="N60" i="11"/>
  <c r="N43" i="11"/>
  <c r="O15" i="11"/>
  <c r="O18" i="11" s="1"/>
  <c r="O23" i="11" s="1"/>
  <c r="O50" i="11"/>
  <c r="O51" i="11" s="1"/>
  <c r="O54" i="11" s="1"/>
  <c r="O57" i="11" s="1"/>
  <c r="O45" i="11" l="1"/>
  <c r="O28" i="11"/>
  <c r="N61" i="11"/>
  <c r="O34" i="11" l="1"/>
  <c r="O35" i="11" s="1"/>
  <c r="O58" i="11" s="1"/>
  <c r="O29" i="11"/>
  <c r="O36" i="11" l="1"/>
  <c r="O46" i="11" l="1"/>
  <c r="O37" i="11"/>
  <c r="O59" i="11"/>
  <c r="O42" i="11"/>
  <c r="O38" i="11"/>
  <c r="P13" i="11"/>
  <c r="P50" i="11" l="1"/>
  <c r="P51" i="11" s="1"/>
  <c r="P54" i="11" s="1"/>
  <c r="P57" i="11" s="1"/>
  <c r="P15" i="11"/>
  <c r="P18" i="11" s="1"/>
  <c r="P23" i="11" s="1"/>
  <c r="Q31" i="37"/>
  <c r="Q33" i="37" s="1"/>
  <c r="O60" i="11"/>
  <c r="O43" i="11"/>
  <c r="P13" i="37"/>
  <c r="P15" i="37" s="1"/>
  <c r="P35" i="37" s="1"/>
  <c r="P36" i="37" s="1"/>
  <c r="O39" i="11"/>
  <c r="N58" i="3"/>
  <c r="N59" i="3"/>
  <c r="N56" i="3"/>
  <c r="N57" i="3" s="1"/>
  <c r="O61" i="11" l="1"/>
  <c r="P45" i="11"/>
  <c r="P28" i="11"/>
  <c r="P34" i="11" l="1"/>
  <c r="P35" i="11" s="1"/>
  <c r="P58" i="11" s="1"/>
  <c r="P29" i="11"/>
  <c r="P36" i="11" l="1"/>
  <c r="P46" i="11" l="1"/>
  <c r="P37" i="11"/>
  <c r="P59" i="11"/>
  <c r="P42" i="11"/>
  <c r="P38" i="11"/>
  <c r="Q13" i="11"/>
  <c r="R31" i="37" l="1"/>
  <c r="R33" i="37" s="1"/>
  <c r="P43" i="11"/>
  <c r="P60" i="11"/>
  <c r="Q50" i="11"/>
  <c r="Q51" i="11" s="1"/>
  <c r="Q54" i="11" s="1"/>
  <c r="Q57" i="11" s="1"/>
  <c r="Q15" i="11"/>
  <c r="Q18" i="11" s="1"/>
  <c r="Q23" i="11" s="1"/>
  <c r="Q13" i="37"/>
  <c r="Q15" i="37" s="1"/>
  <c r="Q35" i="37" s="1"/>
  <c r="Q36" i="37" s="1"/>
  <c r="P39" i="11"/>
  <c r="O58" i="3"/>
  <c r="O59" i="3"/>
  <c r="O56" i="3"/>
  <c r="O57" i="3" s="1"/>
  <c r="P61" i="11" l="1"/>
  <c r="Q45" i="11"/>
  <c r="Q28" i="11"/>
  <c r="Q34" i="11" l="1"/>
  <c r="Q35" i="11" s="1"/>
  <c r="Q58" i="11" s="1"/>
  <c r="Q29" i="11"/>
  <c r="Q36" i="11" l="1"/>
  <c r="Q59" i="11" l="1"/>
  <c r="Q42" i="11"/>
  <c r="Q38" i="11"/>
  <c r="R13" i="11"/>
  <c r="Q46" i="11"/>
  <c r="Q37" i="11"/>
  <c r="R50" i="11" l="1"/>
  <c r="R51" i="11" s="1"/>
  <c r="R54" i="11" s="1"/>
  <c r="R57" i="11" s="1"/>
  <c r="R15" i="11"/>
  <c r="R18" i="11" s="1"/>
  <c r="R23" i="11" s="1"/>
  <c r="R13" i="37"/>
  <c r="R15" i="37" s="1"/>
  <c r="R35" i="37" s="1"/>
  <c r="R36" i="37" s="1"/>
  <c r="Q39" i="11"/>
  <c r="P59" i="3"/>
  <c r="P56" i="3"/>
  <c r="P57" i="3" s="1"/>
  <c r="P58" i="3"/>
  <c r="S31" i="37"/>
  <c r="S33" i="37" s="1"/>
  <c r="Q60" i="11"/>
  <c r="Q43" i="11"/>
  <c r="R45" i="11" l="1"/>
  <c r="R28" i="11"/>
  <c r="Q61" i="11"/>
  <c r="R34" i="11" l="1"/>
  <c r="R35" i="11" s="1"/>
  <c r="R58" i="11" s="1"/>
  <c r="R29" i="11"/>
  <c r="R36" i="11" l="1"/>
  <c r="R59" i="11" l="1"/>
  <c r="R42" i="11"/>
  <c r="R38" i="11"/>
  <c r="R46" i="11"/>
  <c r="R37" i="11"/>
  <c r="S13" i="11"/>
  <c r="S13" i="37" l="1"/>
  <c r="S15" i="37" s="1"/>
  <c r="S35" i="37" s="1"/>
  <c r="S36" i="37" s="1"/>
  <c r="R39" i="11"/>
  <c r="Q58" i="3"/>
  <c r="Q59" i="3"/>
  <c r="Q56" i="3"/>
  <c r="Q57" i="3" s="1"/>
  <c r="T31" i="37"/>
  <c r="T33" i="37" s="1"/>
  <c r="R60" i="11"/>
  <c r="R43" i="11"/>
  <c r="S15" i="11"/>
  <c r="S18" i="11" s="1"/>
  <c r="S23" i="11" s="1"/>
  <c r="S50" i="11"/>
  <c r="S51" i="11" s="1"/>
  <c r="S54" i="11" s="1"/>
  <c r="S57" i="11" s="1"/>
  <c r="S45" i="11" l="1"/>
  <c r="S28" i="11"/>
  <c r="R61" i="11"/>
  <c r="S34" i="11" l="1"/>
  <c r="S35" i="11" s="1"/>
  <c r="S58" i="11" s="1"/>
  <c r="S29" i="11"/>
  <c r="S36" i="11" l="1"/>
  <c r="S46" i="11" l="1"/>
  <c r="S37" i="11"/>
  <c r="S59" i="11"/>
  <c r="S42" i="11"/>
  <c r="S38" i="11"/>
  <c r="T13" i="11"/>
  <c r="U31" i="37" l="1"/>
  <c r="U33" i="37" s="1"/>
  <c r="S60" i="11"/>
  <c r="S43" i="11"/>
  <c r="T15" i="11"/>
  <c r="T18" i="11" s="1"/>
  <c r="T23" i="11" s="1"/>
  <c r="T50" i="11"/>
  <c r="T51" i="11" s="1"/>
  <c r="T54" i="11" s="1"/>
  <c r="T57" i="11" s="1"/>
  <c r="T13" i="37"/>
  <c r="T15" i="37" s="1"/>
  <c r="T35" i="37" s="1"/>
  <c r="T36" i="37" s="1"/>
  <c r="S39" i="11"/>
  <c r="R58" i="3"/>
  <c r="R59" i="3"/>
  <c r="R56" i="3"/>
  <c r="R57" i="3" s="1"/>
  <c r="T45" i="11" l="1"/>
  <c r="T28" i="11"/>
  <c r="S61" i="11"/>
  <c r="T34" i="11" l="1"/>
  <c r="T35" i="11" s="1"/>
  <c r="T58" i="11" s="1"/>
  <c r="T29" i="11"/>
  <c r="T36" i="11" l="1"/>
  <c r="T46" i="11" l="1"/>
  <c r="T37" i="11"/>
  <c r="T59" i="11"/>
  <c r="T42" i="11"/>
  <c r="T38" i="11"/>
  <c r="U13" i="11"/>
  <c r="V31" i="37" l="1"/>
  <c r="V33" i="37" s="1"/>
  <c r="T43" i="11"/>
  <c r="T60" i="11"/>
  <c r="U15" i="11"/>
  <c r="U18" i="11" s="1"/>
  <c r="U23" i="11" s="1"/>
  <c r="U50" i="11"/>
  <c r="U51" i="11" s="1"/>
  <c r="U54" i="11" s="1"/>
  <c r="U57" i="11" s="1"/>
  <c r="U13" i="37"/>
  <c r="U15" i="37" s="1"/>
  <c r="U35" i="37" s="1"/>
  <c r="U36" i="37" s="1"/>
  <c r="T39" i="11"/>
  <c r="S58" i="3"/>
  <c r="S59" i="3"/>
  <c r="S56" i="3"/>
  <c r="S57" i="3" s="1"/>
  <c r="U45" i="11" l="1"/>
  <c r="U28" i="11"/>
  <c r="T61" i="11"/>
  <c r="U34" i="11" l="1"/>
  <c r="U35" i="11" s="1"/>
  <c r="U58" i="11" s="1"/>
  <c r="U29" i="11"/>
  <c r="U36" i="11" l="1"/>
  <c r="U59" i="11" l="1"/>
  <c r="U42" i="11"/>
  <c r="U38" i="11"/>
  <c r="V13" i="11"/>
  <c r="U46" i="11"/>
  <c r="U37" i="11"/>
  <c r="V50" i="11" l="1"/>
  <c r="V51" i="11" s="1"/>
  <c r="V54" i="11" s="1"/>
  <c r="V57" i="11" s="1"/>
  <c r="V15" i="11"/>
  <c r="V18" i="11" s="1"/>
  <c r="V23" i="11" s="1"/>
  <c r="W31" i="37"/>
  <c r="W33" i="37" s="1"/>
  <c r="U60" i="11"/>
  <c r="U43" i="11"/>
  <c r="V13" i="37"/>
  <c r="V15" i="37" s="1"/>
  <c r="V35" i="37" s="1"/>
  <c r="V36" i="37" s="1"/>
  <c r="U39" i="11"/>
  <c r="T59" i="3"/>
  <c r="T56" i="3"/>
  <c r="T57" i="3" s="1"/>
  <c r="T58" i="3"/>
  <c r="V45" i="11" l="1"/>
  <c r="V28" i="11"/>
  <c r="U61" i="11"/>
  <c r="V34" i="11" l="1"/>
  <c r="V35" i="11" s="1"/>
  <c r="V58" i="11" s="1"/>
  <c r="V29" i="11"/>
  <c r="V36" i="11" l="1"/>
  <c r="V59" i="11" l="1"/>
  <c r="V42" i="11"/>
  <c r="V38" i="11"/>
  <c r="V46" i="11"/>
  <c r="V37" i="11"/>
  <c r="W13" i="11"/>
  <c r="W50" i="11" l="1"/>
  <c r="W51" i="11" s="1"/>
  <c r="W54" i="11" s="1"/>
  <c r="W57" i="11" s="1"/>
  <c r="W15" i="11"/>
  <c r="W18" i="11" s="1"/>
  <c r="W23" i="11" s="1"/>
  <c r="W13" i="37"/>
  <c r="W15" i="37" s="1"/>
  <c r="W35" i="37" s="1"/>
  <c r="W36" i="37" s="1"/>
  <c r="V39" i="11"/>
  <c r="U58" i="3"/>
  <c r="U59" i="3"/>
  <c r="U56" i="3"/>
  <c r="U57" i="3" s="1"/>
  <c r="X31" i="37"/>
  <c r="X33" i="37" s="1"/>
  <c r="V60" i="11"/>
  <c r="V43" i="11"/>
  <c r="V61" i="11" l="1"/>
  <c r="W45" i="11"/>
  <c r="W28" i="11"/>
  <c r="W34" i="11" l="1"/>
  <c r="W35" i="11" s="1"/>
  <c r="W58" i="11" s="1"/>
  <c r="W29" i="11"/>
  <c r="W36" i="11" l="1"/>
  <c r="W46" i="11" l="1"/>
  <c r="W37" i="11"/>
  <c r="W59" i="11"/>
  <c r="W42" i="11"/>
  <c r="W38" i="11"/>
  <c r="X13" i="11"/>
  <c r="Y31" i="37" l="1"/>
  <c r="Y33" i="37" s="1"/>
  <c r="W60" i="11"/>
  <c r="W43" i="11"/>
  <c r="X15" i="11"/>
  <c r="X50" i="11"/>
  <c r="X51" i="11" s="1"/>
  <c r="X54" i="11" s="1"/>
  <c r="X57" i="11" s="1"/>
  <c r="X13" i="37"/>
  <c r="X15" i="37" s="1"/>
  <c r="X35" i="37" s="1"/>
  <c r="X36" i="37" s="1"/>
  <c r="W39" i="11"/>
  <c r="V58" i="3"/>
  <c r="V59" i="3"/>
  <c r="V56" i="3"/>
  <c r="V57" i="3" s="1"/>
  <c r="X18" i="11" l="1"/>
  <c r="AA15" i="11"/>
  <c r="W61" i="11"/>
  <c r="X23" i="11" l="1"/>
  <c r="AA18" i="11"/>
  <c r="X45" i="11" l="1"/>
  <c r="AA45" i="11" s="1"/>
  <c r="X28" i="11"/>
  <c r="AA23" i="11"/>
  <c r="X34" i="11" l="1"/>
  <c r="X35" i="11" s="1"/>
  <c r="X58" i="11" s="1"/>
  <c r="AA28" i="11"/>
  <c r="X29" i="11"/>
  <c r="X36" i="11" l="1"/>
  <c r="AA29" i="11"/>
  <c r="X46" i="11" l="1"/>
  <c r="AA46" i="11" s="1"/>
  <c r="X37" i="11"/>
  <c r="AA37" i="11" s="1"/>
  <c r="X59" i="11"/>
  <c r="X42" i="11"/>
  <c r="X38" i="11"/>
  <c r="Y13" i="11"/>
  <c r="AA36" i="11"/>
  <c r="X43" i="11" l="1"/>
  <c r="AA43" i="11" s="1"/>
  <c r="X60" i="11"/>
  <c r="AA42" i="11"/>
  <c r="Y50" i="11"/>
  <c r="Y51" i="11" s="1"/>
  <c r="Y54" i="11" s="1"/>
  <c r="Y57" i="11" s="1"/>
  <c r="Y15" i="11"/>
  <c r="Y18" i="11" s="1"/>
  <c r="Y23" i="11" s="1"/>
  <c r="Y13" i="37"/>
  <c r="Y15" i="37" s="1"/>
  <c r="Y35" i="37" s="1"/>
  <c r="Y36" i="37" s="1"/>
  <c r="S46" i="3" s="1"/>
  <c r="X39" i="11"/>
  <c r="AA39" i="11" s="1"/>
  <c r="W58" i="3"/>
  <c r="W59" i="3"/>
  <c r="W56" i="3"/>
  <c r="W57" i="3" s="1"/>
  <c r="AA38" i="11"/>
  <c r="X61" i="11" l="1"/>
  <c r="Y45" i="11"/>
  <c r="M66" i="3" s="1"/>
  <c r="Y28" i="11"/>
  <c r="N66" i="3" l="1"/>
  <c r="O75" i="3"/>
  <c r="P75" i="3" s="1"/>
  <c r="Y34" i="11"/>
  <c r="Y35" i="11" s="1"/>
  <c r="Y29" i="11"/>
  <c r="Y58" i="11" l="1"/>
  <c r="AA35" i="11"/>
  <c r="Y36" i="11"/>
  <c r="Y59" i="11" l="1"/>
  <c r="Y42" i="11"/>
  <c r="Y38" i="11"/>
  <c r="Y46" i="11"/>
  <c r="M65" i="3" s="1"/>
  <c r="Y37" i="11"/>
  <c r="A26" i="1" l="1"/>
  <c r="O74" i="3"/>
  <c r="P74" i="3" s="1"/>
  <c r="Y39" i="11"/>
  <c r="X59" i="3"/>
  <c r="M63" i="3" s="1"/>
  <c r="X56" i="3"/>
  <c r="X57" i="3" s="1"/>
  <c r="X58" i="3"/>
  <c r="M64" i="3" s="1"/>
  <c r="O73" i="3" s="1"/>
  <c r="P73" i="3" s="1"/>
  <c r="Y60" i="11"/>
  <c r="Y43" i="11"/>
  <c r="M68" i="3" s="1"/>
  <c r="E26" i="1" l="1"/>
  <c r="O72" i="3"/>
  <c r="N68" i="3"/>
  <c r="O77" i="3"/>
  <c r="N64" i="3"/>
  <c r="E25" i="1"/>
  <c r="Y61" i="11"/>
  <c r="M62" i="3"/>
  <c r="M67" i="3"/>
  <c r="P77" i="3" l="1"/>
  <c r="N67" i="3"/>
  <c r="O76" i="3"/>
  <c r="N62" i="3"/>
  <c r="O71" i="3"/>
  <c r="P71" i="3" s="1"/>
</calcChain>
</file>

<file path=xl/comments1.xml><?xml version="1.0" encoding="utf-8"?>
<comments xmlns="http://schemas.openxmlformats.org/spreadsheetml/2006/main">
  <authors>
    <author>tc={00620017-0073-48D5-8D3F-006C00A60027}</author>
    <author>tc={00BA002D-00CA-49E1-B346-002700850047}</author>
  </authors>
  <commentList>
    <comment ref="D3" authorId="0">
      <text>
        <r>
          <rPr>
            <b/>
            <sz val="9"/>
            <rFont val="Tahoma"/>
          </rPr>
          <t xml:space="preserve"> :</t>
        </r>
        <r>
          <rPr>
            <sz val="9"/>
            <rFont val="Tahoma"/>
          </rPr>
          <t xml:space="preserve">
Comment:
Comment:
 :
MGL:
MGL:
saisir le nom
</t>
        </r>
      </text>
    </comment>
    <comment ref="A8" authorId="1">
      <text>
        <r>
          <rPr>
            <b/>
            <sz val="9"/>
            <rFont val="Tahoma"/>
          </rPr>
          <t xml:space="preserve"> :</t>
        </r>
        <r>
          <rPr>
            <sz val="9"/>
            <rFont val="Tahoma"/>
          </rPr>
          <t xml:space="preserve">
Comment:
Comment:
 :
MGL:
MGL:
cliquer sur Ctrl+Shift+Entrer pour la mise à jour du chiffre
</t>
        </r>
      </text>
    </comment>
  </commentList>
</comments>
</file>

<file path=xl/comments10.xml><?xml version="1.0" encoding="utf-8"?>
<comments xmlns="http://schemas.openxmlformats.org/spreadsheetml/2006/main">
  <authors>
    <author>tc={00500064-0085-4028-8E60-007000D2007A}</author>
    <author>tc={00B000CB-0061-4874-B4E6-001600CA00A7}</author>
    <author>tc={00540061-008F-4961-AA2F-00B400D60005}</author>
    <author>tc={00150084-005D-4E10-8BF9-00C7008F0058}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1.xml><?xml version="1.0" encoding="utf-8"?>
<comments xmlns="http://schemas.openxmlformats.org/spreadsheetml/2006/main">
  <authors>
    <author>tc={982CB671-99E7-3B69-764E-6699E23EDB4B}</author>
    <author>tc={29A6A55B-F5E1-4E7E-DCFE-BC3D9434C4B1}</author>
    <author>tc={14F4E815-5871-D784-28F6-5284CC6CEC55}</author>
    <author>tc={FCD67B2E-6309-5B9B-6838-5A97AD4D1ABC}</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2.xml><?xml version="1.0" encoding="utf-8"?>
<comments xmlns="http://schemas.openxmlformats.org/spreadsheetml/2006/main">
  <authors>
    <author>tc={00D00053-000E-4F34-8389-000B00B000B9}</author>
    <author>tc={00A9003D-008B-49F3-B384-005100580062}</author>
    <author>tc={00AE008E-00D9-4EC9-9B71-0068002A004A}</author>
    <author>tc={00CD00B5-009A-4783-A3DE-000F001D00A2}</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3.xml><?xml version="1.0" encoding="utf-8"?>
<comments xmlns="http://schemas.openxmlformats.org/spreadsheetml/2006/main">
  <authors>
    <author>tc={007100F4-00F6-4DCE-9C48-00A300C000F0}</author>
    <author>tc={00D100B5-0040-4018-AEC4-0002008D0018}</author>
    <author>tc={0059003B-00C0-4AF7-B5A1-0032001E00C4}</author>
    <author>tc={00630064-00C1-4A9E-8710-000B00040013}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4.xml><?xml version="1.0" encoding="utf-8"?>
<comments xmlns="http://schemas.openxmlformats.org/spreadsheetml/2006/main">
  <authors>
    <author>tc={00500031-007A-4C3C-996F-0086004600F1}</author>
    <author>tc={006200A3-0031-4972-9445-007B003200B9}</author>
    <author>tc={006F002F-002C-4957-817E-00F0009600DF}</author>
    <author>tc={00DC0080-004A-4EFD-8108-00E6003C007E}</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5.xml><?xml version="1.0" encoding="utf-8"?>
<comments xmlns="http://schemas.openxmlformats.org/spreadsheetml/2006/main">
  <authors>
    <author>tc={0067009C-0036-4CE8-81D8-0005006E0010}</author>
    <author>tc={004500E8-00CA-4954-8D74-002700230014}</author>
    <author>tc={005500A7-00E2-479C-981D-00B2007000E1}</author>
    <author>tc={00AE004D-0004-42CD-A09F-008400830073}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6.xml><?xml version="1.0" encoding="utf-8"?>
<comments xmlns="http://schemas.openxmlformats.org/spreadsheetml/2006/main">
  <authors>
    <author>tc={001400FB-009B-4356-AB9B-0007003D005B}</author>
    <author>tc={006C0045-00C6-4857-A4B0-00E40093009A}</author>
    <author>tc={006A0019-0091-4148-9412-000400B300E0}</author>
    <author>tc={00DF00BB-00FF-4CFF-8CDA-007B0055009A}</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7.xml><?xml version="1.0" encoding="utf-8"?>
<comments xmlns="http://schemas.openxmlformats.org/spreadsheetml/2006/main">
  <authors>
    <author>tc={00F90021-0050-4886-B4AC-00B4005000D1}</author>
    <author>tc={0067004A-0063-4D57-85F0-007B008D00B1}</author>
    <author>tc={00F50066-008E-4EE1-A947-00E600FF0074}</author>
    <author>tc={001D004F-00B7-45A9-ABA0-006A00A500D3}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8.xml><?xml version="1.0" encoding="utf-8"?>
<comments xmlns="http://schemas.openxmlformats.org/spreadsheetml/2006/main">
  <authors>
    <author>tc={00C100B0-00E9-4697-99E3-00EA009800B4}</author>
    <author>tc={007900B3-001A-46C9-866B-00E900A70028}</author>
    <author>tc={00660056-005D-4224-B8CE-00D400F100AE}</author>
    <author>tc={00F0000C-00C9-4A41-9419-003E00110068}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7"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19.xml><?xml version="1.0" encoding="utf-8"?>
<comments xmlns="http://schemas.openxmlformats.org/spreadsheetml/2006/main">
  <authors>
    <author>tc={002E00FB-008F-48C6-B35E-00DE00DD00A3}</author>
    <author>tc={00FC00F3-000B-4747-A10B-0058002D00B0}</author>
    <author>tc={00650044-0009-4E3D-A48E-00B300E000BA}</author>
    <author>tc={00BD00D1-00C6-4303-BF87-00BA003A00A0}</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4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xml><?xml version="1.0" encoding="utf-8"?>
<comments xmlns="http://schemas.openxmlformats.org/spreadsheetml/2006/main">
  <authors>
    <author>tc={000000E7-0090-4B6E-9729-009500160095}</author>
    <author>tc={00E50009-00B6-427A-A10B-008900B0006E}</author>
    <author>tc={00350089-00E8-4CED-93A6-00D1007A0052}</author>
    <author>tc={00AA0053-000C-4AB5-B56E-003C00B7006D}</author>
    <author>tc={00BE000E-00AC-4A97-B942-00D6000700F5}</author>
    <author>tc={00B500CF-00FE-4130-9938-00AD00B7006B}</author>
    <author>tc={000D00D0-00A5-4952-8E7A-007F002B00A0}</author>
    <author>tc={00AE00D2-00FE-4741-A035-0042000F007F}</author>
    <author>tc={001500BC-0032-4D3E-A1C5-004200E8003D}</author>
    <author>tc={00C30028-000B-41C6-AF87-000B00F400B6}</author>
    <author>tc={00A90047-0063-4121-9CB3-003000490092}</author>
    <author>tc={00430000-00D2-4B2F-88B2-007F002300A1}</author>
    <author>tc={00E100E7-00EA-4B73-8EB8-00E100BD0088}</author>
    <author>tc={0097006C-00C3-454A-AFE2-009700140004}</author>
    <author>tc={009800EE-00A4-41E2-A4D9-002F00500026}</author>
    <author>tc={00910033-00D8-4323-A7FB-004F003B0011}</author>
    <author>tc={00280069-0097-4ED6-94A1-0089002A0013}</author>
    <author>tc={0057008B-00C1-4247-9025-005E008700A5}</author>
    <author>tc={00200055-00D5-46F9-8102-004A00CB0052}</author>
    <author>tc={00D300FA-0011-4ECF-B2B3-004C008100DE}</author>
    <author>tc={00360015-00E6-4823-8B09-00E0009800C7}</author>
    <author>tc={00F90006-008B-4754-97EF-001F00910025}</author>
    <author>tc={003D0026-0027-49F2-BDBB-0011000C00CD}</author>
    <author>tc={00F5002B-0034-442E-8EE0-00BB00F8006D}</author>
    <author>tc={00060062-00C0-48E0-AA41-001B00E2004D}</author>
    <author>tc={00AE00EF-0055-49D0-84BD-000000FB00D5}</author>
    <author>tc={007300E8-0041-4E9E-9EDB-00900094004B}</author>
    <author>tc={008E001A-0094-40C1-874A-0068008D00F6}</author>
    <author>tc={003500CC-0096-48F8-9F82-00AE00B600BB}</author>
    <author>tc={0020002B-0036-4E47-AAD8-004F00B700BD}</author>
    <author>tc={006C00C5-004D-4BAF-9561-002C00090027}</author>
    <author>tc={007800B1-000A-4C25-8263-007E00640012}</author>
    <author>tc={00CD008B-002E-4535-AEDC-004000910010}</author>
    <author>tc={009B00A4-00FE-457A-ADD6-00B6001700D9}</author>
    <author>tc={00710079-0036-434C-A658-003C003B00D7}</author>
    <author>tc={003100FA-0057-4D20-BEE5-00EE008900FC}</author>
    <author>tc={00B40075-0092-4313-9032-00AB00280020}</author>
    <author>tc={00990021-00A6-4F04-8437-007E00F90098}</author>
  </authors>
  <commentList>
    <comment ref="X4" authorId="0">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 ref="AU4" authorId="1">
      <text>
        <r>
          <rPr>
            <b/>
            <sz val="9"/>
            <rFont val="Tahoma"/>
          </rPr>
          <t xml:space="preserve"> :</t>
        </r>
        <r>
          <rPr>
            <sz val="9"/>
            <rFont val="Tahoma"/>
          </rPr>
          <t xml:space="preserve">
Comment:
Comment:
 :
MGL:
MGL:
voir Explication donnée dans l'AIDE
</t>
        </r>
      </text>
    </comment>
    <comment ref="AV4" authorId="2">
      <text>
        <r>
          <rPr>
            <b/>
            <sz val="9"/>
            <rFont val="Tahoma"/>
          </rPr>
          <t xml:space="preserve"> :</t>
        </r>
        <r>
          <rPr>
            <sz val="9"/>
            <rFont val="Tahoma"/>
          </rPr>
          <t xml:space="preserve">
Comment:
Comment:
 :
MGL:
MGL:
ne pas oublier de remplir
</t>
        </r>
      </text>
    </comment>
    <comment ref="AY4" authorId="3">
      <text>
        <r>
          <rPr>
            <b/>
            <sz val="9"/>
            <rFont val="Tahoma"/>
          </rPr>
          <t xml:space="preserve"> :</t>
        </r>
        <r>
          <rPr>
            <sz val="9"/>
            <rFont val="Tahoma"/>
          </rPr>
          <t xml:space="preserve">
Comment:
Comment:
 :
MGL:
MGL:
le tarif d'achat change tous les trimestres. Se reporter aux valeurs en ligne sur www.centralesvillageoises.fr (Actualités)
</t>
        </r>
      </text>
    </comment>
    <comment ref="BE4" authorId="4">
      <text>
        <r>
          <rPr>
            <b/>
            <sz val="9"/>
            <rFont val="Tahoma"/>
          </rPr>
          <t xml:space="preserve"> :</t>
        </r>
        <r>
          <rPr>
            <sz val="9"/>
            <rFont val="Tahoma"/>
          </rPr>
          <t xml:space="preserve">
Comment:
Comment:
 :
MGL:
MGL:
RECETTES divisées par l'investissement total (tous coûts confondus)
</t>
        </r>
      </text>
    </comment>
    <comment ref="BF4" authorId="5">
      <text>
        <r>
          <rPr>
            <b/>
            <sz val="9"/>
            <rFont val="Tahoma"/>
          </rPr>
          <t xml:space="preserve"> :</t>
        </r>
        <r>
          <rPr>
            <sz val="9"/>
            <rFont val="Tahoma"/>
          </rPr>
          <t xml:space="preserve">
Comment:
Comment:
 :
MGL:
MGL:
RECETTES divisées par l'investissement photovoltaïque (direct + induit)
</t>
        </r>
      </text>
    </comment>
    <comment ref="D5" authorId="6">
      <text>
        <r>
          <rPr>
            <b/>
            <sz val="9"/>
            <rFont val="Tahoma"/>
          </rPr>
          <t xml:space="preserve"> :</t>
        </r>
        <r>
          <rPr>
            <sz val="9"/>
            <rFont val="Tahoma"/>
          </rPr>
          <t xml:space="preserve">
Comment:
Comment:
 :
MGL:
MGL:
désigner chaque bâtiment par un nom caractéristique
</t>
        </r>
      </text>
    </comment>
    <comment ref="H5" authorId="7">
      <text>
        <r>
          <rPr>
            <b/>
            <sz val="9"/>
            <rFont val="Tahoma"/>
          </rPr>
          <t xml:space="preserve"> :</t>
        </r>
        <r>
          <rPr>
            <sz val="9"/>
            <rFont val="Tahoma"/>
          </rPr>
          <t xml:space="preserve">
Comment:
Comment:
 :
MGL:
Débuter par Prélim ou Final
</t>
        </r>
      </text>
    </comment>
    <comment ref="J5" authorId="8">
      <text>
        <r>
          <rPr>
            <b/>
            <sz val="9"/>
            <rFont val="Tahoma"/>
          </rPr>
          <t xml:space="preserve"> :</t>
        </r>
        <r>
          <rPr>
            <sz val="9"/>
            <rFont val="Tahoma"/>
          </rPr>
          <t xml:space="preserve">
Comment:
Comment:
 :
MGL:
MGL:
il s'agit de la surface d'emprise du photovoltaïque
</t>
        </r>
      </text>
    </comment>
    <comment ref="S5" authorId="9">
      <text>
        <r>
          <rPr>
            <b/>
            <sz val="9"/>
            <rFont val="Tahoma"/>
          </rPr>
          <t xml:space="preserve"> :</t>
        </r>
        <r>
          <rPr>
            <sz val="9"/>
            <rFont val="Tahoma"/>
          </rPr>
          <t xml:space="preserve">
Comment:
Comment:
 :
MGL:
MGL:
il est important de distinguer les coûts de pose pour pouvoir chiffrer l'assurance
</t>
        </r>
      </text>
    </comment>
    <comment ref="T5" authorId="10">
      <text>
        <r>
          <rPr>
            <b/>
            <sz val="9"/>
            <rFont val="Tahoma"/>
          </rPr>
          <t xml:space="preserve"> :</t>
        </r>
        <r>
          <rPr>
            <sz val="9"/>
            <rFont val="Tahoma"/>
          </rPr>
          <t xml:space="preserve">
Comment:
Comment:
 :
MGL:
MGL:
Selon devis ENEDIS fournis dans les PDR
</t>
        </r>
      </text>
    </comment>
    <comment ref="V5" authorId="11">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X5" authorId="12">
      <text>
        <r>
          <rPr>
            <b/>
            <sz val="9"/>
            <rFont val="Tahoma"/>
          </rPr>
          <t xml:space="preserve"> :</t>
        </r>
        <r>
          <rPr>
            <sz val="9"/>
            <rFont val="Tahoma"/>
          </rPr>
          <t xml:space="preserve">
Comment:
Comment:
 :
MGL:
MGL:
texte à remplir pour info
</t>
        </r>
      </text>
    </comment>
    <comment ref="Z5" authorId="13">
      <text>
        <r>
          <rPr>
            <b/>
            <sz val="9"/>
            <rFont val="Tahoma"/>
          </rPr>
          <t xml:space="preserve"> :</t>
        </r>
        <r>
          <rPr>
            <sz val="9"/>
            <rFont val="Tahoma"/>
          </rPr>
          <t xml:space="preserve">
Comment:
Comment:
 :
MGL:
MGL:
A priori la société locale doit prendre 100% du cout en charge, sauf cas particulier où le coût est partagé avec le propriétaire (dans ce cas, diminuer le %)
</t>
        </r>
      </text>
    </comment>
    <comment ref="AA5" authorId="14">
      <text>
        <r>
          <rPr>
            <b/>
            <sz val="9"/>
            <rFont val="Tahoma"/>
          </rPr>
          <t xml:space="preserve"> :</t>
        </r>
        <r>
          <rPr>
            <sz val="9"/>
            <rFont val="Tahoma"/>
          </rPr>
          <t xml:space="preserve">
Comment:
Comment:
 :
MGL:
MGL:
Dans le cas où le propriétaire partage cet investissement, il peut déduire sa contribution des loyers
</t>
        </r>
      </text>
    </comment>
    <comment ref="AB5" authorId="15">
      <text>
        <r>
          <rPr>
            <b/>
            <sz val="9"/>
            <rFont val="Tahoma"/>
          </rPr>
          <t xml:space="preserve"> :</t>
        </r>
        <r>
          <rPr>
            <sz val="9"/>
            <rFont val="Tahoma"/>
          </rPr>
          <t xml:space="preserve">
Comment:
Comment:
 :
MGL:
MGL:
Couts d'investissement pour la société
</t>
        </r>
      </text>
    </comment>
    <comment ref="AD5" authorId="16">
      <text>
        <r>
          <rPr>
            <b/>
            <sz val="9"/>
            <rFont val="Tahoma"/>
          </rPr>
          <t xml:space="preserve"> :</t>
        </r>
        <r>
          <rPr>
            <sz val="9"/>
            <rFont val="Tahoma"/>
          </rPr>
          <t xml:space="preserve">
Comment:
Comment:
 :
MGL:
MGL:
Texte à saisir pour information
</t>
        </r>
      </text>
    </comment>
    <comment ref="AE5" authorId="17">
      <text>
        <r>
          <rPr>
            <b/>
            <sz val="9"/>
            <rFont val="Tahoma"/>
          </rPr>
          <t xml:space="preserve"> :</t>
        </r>
        <r>
          <rPr>
            <sz val="9"/>
            <rFont val="Tahoma"/>
          </rPr>
          <t xml:space="preserve">
Comment:
Comment:
 :
MGL:
MGL:
colonne doit rester par défaut à "non" pour que les formules marchent. A basculer en "oui" si déduction effective des loyers
</t>
        </r>
      </text>
    </comment>
    <comment ref="AN5" authorId="18">
      <text>
        <r>
          <rPr>
            <b/>
            <sz val="9"/>
            <rFont val="Tahoma"/>
          </rPr>
          <t xml:space="preserve"> :</t>
        </r>
        <r>
          <rPr>
            <sz val="9"/>
            <rFont val="Tahoma"/>
          </rPr>
          <t xml:space="preserve">
Comment:
Comment:
 :
MGL:
MGL:
Tarif d'Utilisation du Réseau Public d'Electricité, dû annuellement par tous les producteurs d'électricité
</t>
        </r>
      </text>
    </comment>
    <comment ref="AR5" authorId="19">
      <text>
        <r>
          <rPr>
            <b/>
            <sz val="9"/>
            <rFont val="Tahoma"/>
          </rPr>
          <t xml:space="preserve"> :</t>
        </r>
        <r>
          <rPr>
            <sz val="9"/>
            <rFont val="Tahoma"/>
          </rPr>
          <t xml:space="preserve">
Comment:
Comment:
 :
MGL:
MGL:
prend en compte la base de calcul du loyer ET les investisements éventuellement déduits
</t>
        </r>
      </text>
    </comment>
    <comment ref="M17" authorId="20">
      <text>
        <r>
          <rPr>
            <b/>
            <sz val="9"/>
            <rFont val="Tahoma"/>
          </rPr>
          <t xml:space="preserve"> :</t>
        </r>
        <r>
          <rPr>
            <sz val="9"/>
            <rFont val="Tahoma"/>
          </rPr>
          <t xml:space="preserve">
Comment:
mgl:
PVSYST confirme 1181h/an avec des modules SUNPOWER PERFOMANCE, masque compris, au lieu des 1196h/an avancé par pvgis et repris par DNE.
</t>
        </r>
      </text>
    </comment>
    <comment ref="M18" authorId="21">
      <text>
        <r>
          <rPr>
            <b/>
            <sz val="9"/>
            <rFont val="Tahoma"/>
          </rPr>
          <t xml:space="preserve"> :</t>
        </r>
        <r>
          <rPr>
            <sz val="9"/>
            <rFont val="Tahoma"/>
          </rPr>
          <t xml:space="preserve">
Comment:
mgl:
PVSYST confirme 1181h/an avec des modules SUNPOWER PERFOMANCE, masque compris, au lieu des 1196h/an avancé par pvgis et repris par DNE.
</t>
        </r>
      </text>
    </comment>
    <comment ref="M20" authorId="22">
      <text>
        <r>
          <rPr>
            <b/>
            <sz val="9"/>
            <rFont val="Tahoma"/>
          </rPr>
          <t xml:space="preserve"> :</t>
        </r>
        <r>
          <rPr>
            <sz val="9"/>
            <rFont val="Tahoma"/>
          </rPr>
          <t xml:space="preserve">
Comment:
mgl:
Non confirm par SOLARTEC mais selon pvsyst
</t>
        </r>
      </text>
    </comment>
    <comment ref="M21" authorId="23">
      <text>
        <r>
          <rPr>
            <b/>
            <sz val="9"/>
            <rFont val="Tahoma"/>
          </rPr>
          <t xml:space="preserve"> :</t>
        </r>
        <r>
          <rPr>
            <sz val="9"/>
            <rFont val="Tahoma"/>
          </rPr>
          <t xml:space="preserve">
Comment:
mgl:
Selon pvsyst, y/c masques proches
</t>
        </r>
      </text>
    </comment>
    <comment ref="M22" authorId="24">
      <text>
        <r>
          <rPr>
            <b/>
            <sz val="9"/>
            <rFont val="Tahoma"/>
          </rPr>
          <t xml:space="preserve"> :</t>
        </r>
        <r>
          <rPr>
            <sz val="9"/>
            <rFont val="Tahoma"/>
          </rPr>
          <t xml:space="preserve">
Comment:
Comment:
 :
MGL:
1050 à l’égout, 1100 au faîte
</t>
        </r>
      </text>
    </comment>
    <comment ref="P25" authorId="25">
      <text>
        <r>
          <rPr>
            <b/>
            <sz val="9"/>
            <rFont val="Tahoma"/>
          </rPr>
          <t xml:space="preserve"> :</t>
        </r>
        <r>
          <rPr>
            <sz val="9"/>
            <rFont val="Tahoma"/>
          </rPr>
          <t xml:space="preserve">
Comment:
Comment:
 :
MGL:
MGL:
Ofre EKLOR et pro rata de la puissance
</t>
        </r>
      </text>
    </comment>
    <comment ref="Q25" authorId="26">
      <text>
        <r>
          <rPr>
            <b/>
            <sz val="9"/>
            <rFont val="Tahoma"/>
          </rPr>
          <t xml:space="preserve"> :</t>
        </r>
        <r>
          <rPr>
            <sz val="9"/>
            <rFont val="Tahoma"/>
          </rPr>
          <t xml:space="preserve">
Comment:
Comment:
 :
MGL:
MGL:
EKLOR FRONIUS SYMO 15
</t>
        </r>
      </text>
    </comment>
    <comment ref="R25" authorId="27">
      <text>
        <r>
          <rPr>
            <b/>
            <sz val="9"/>
            <rFont val="Tahoma"/>
          </rPr>
          <t xml:space="preserve"> :</t>
        </r>
        <r>
          <rPr>
            <sz val="9"/>
            <rFont val="Tahoma"/>
          </rPr>
          <t xml:space="preserve">
Comment:
Comment:
 :
MGL:
MGL:
Budget du réseau des CV
</t>
        </r>
      </text>
    </comment>
    <comment ref="S25" authorId="28">
      <text>
        <r>
          <rPr>
            <b/>
            <sz val="9"/>
            <rFont val="Tahoma"/>
          </rPr>
          <t xml:space="preserve"> :</t>
        </r>
        <r>
          <rPr>
            <sz val="9"/>
            <rFont val="Tahoma"/>
          </rPr>
          <t xml:space="preserve">
Comment:
Comment:
 :
MGL:
MGL:
Budget du réseau des CV
</t>
        </r>
      </text>
    </comment>
    <comment ref="T25" authorId="29">
      <text>
        <r>
          <rPr>
            <b/>
            <sz val="9"/>
            <rFont val="Tahoma"/>
          </rPr>
          <t xml:space="preserve"> :</t>
        </r>
        <r>
          <rPr>
            <sz val="9"/>
            <rFont val="Tahoma"/>
          </rPr>
          <t xml:space="preserve">
Comment:
Comment:
 :
MGL:
MGL:
Tarif révisé 2019
</t>
        </r>
      </text>
    </comment>
    <comment ref="U25" authorId="30">
      <text>
        <r>
          <rPr>
            <b/>
            <sz val="9"/>
            <rFont val="Tahoma"/>
          </rPr>
          <t xml:space="preserve"> :</t>
        </r>
        <r>
          <rPr>
            <sz val="9"/>
            <rFont val="Tahoma"/>
          </rPr>
          <t xml:space="preserve">
Comment:
Comment:
 :
MGL:
MGL:
250€ pour coffret DC
</t>
        </r>
      </text>
    </comment>
    <comment ref="AM25" authorId="31">
      <text>
        <r>
          <rPr>
            <b/>
            <sz val="9"/>
            <rFont val="Tahoma"/>
          </rPr>
          <t xml:space="preserve"> :</t>
        </r>
        <r>
          <rPr>
            <sz val="9"/>
            <rFont val="Tahoma"/>
          </rPr>
          <t xml:space="preserve">
Comment:
Comment:
 :
MGL:
500E d’entretien PV et 300E pour contrôle technique en ERP
</t>
        </r>
      </text>
    </comment>
    <comment ref="P26" authorId="32">
      <text>
        <r>
          <rPr>
            <b/>
            <sz val="9"/>
            <rFont val="Tahoma"/>
          </rPr>
          <t xml:space="preserve"> :</t>
        </r>
        <r>
          <rPr>
            <sz val="9"/>
            <rFont val="Tahoma"/>
          </rPr>
          <t xml:space="preserve">
Comment:
Comment:
 :
MGL:
MGL:
Offre Deliot + 3 %
</t>
        </r>
      </text>
    </comment>
    <comment ref="Q26" authorId="33">
      <text>
        <r>
          <rPr>
            <b/>
            <sz val="9"/>
            <rFont val="Tahoma"/>
          </rPr>
          <t xml:space="preserve"> :</t>
        </r>
        <r>
          <rPr>
            <sz val="9"/>
            <rFont val="Tahoma"/>
          </rPr>
          <t xml:space="preserve">
Comment:
Comment:
 :
MGL:
MGL:
Offre Deliot + 3 %
</t>
        </r>
      </text>
    </comment>
    <comment ref="S26" authorId="34">
      <text>
        <r>
          <rPr>
            <b/>
            <sz val="9"/>
            <rFont val="Tahoma"/>
          </rPr>
          <t xml:space="preserve"> :</t>
        </r>
        <r>
          <rPr>
            <sz val="9"/>
            <rFont val="Tahoma"/>
          </rPr>
          <t xml:space="preserve">
Comment:
Comment:
 :
MGL:
MGL:
Offre Deliot + 3 %
</t>
        </r>
      </text>
    </comment>
    <comment ref="T26" authorId="35">
      <text>
        <r>
          <rPr>
            <b/>
            <sz val="9"/>
            <rFont val="Tahoma"/>
          </rPr>
          <t xml:space="preserve"> :</t>
        </r>
        <r>
          <rPr>
            <sz val="9"/>
            <rFont val="Tahoma"/>
          </rPr>
          <t xml:space="preserve">
Comment:
Comment:
 :
MGL:
MGL:
Tarif révisé 2019
</t>
        </r>
      </text>
    </comment>
    <comment ref="U26" authorId="36">
      <text>
        <r>
          <rPr>
            <b/>
            <sz val="9"/>
            <rFont val="Tahoma"/>
          </rPr>
          <t xml:space="preserve"> :</t>
        </r>
        <r>
          <rPr>
            <sz val="9"/>
            <rFont val="Tahoma"/>
          </rPr>
          <t xml:space="preserve">
Comment:
Comment:
 :
MGL:
MGL:
Offre Deliot + 3 %
</t>
        </r>
      </text>
    </comment>
    <comment ref="P29" authorId="37">
      <text>
        <r>
          <rPr>
            <b/>
            <sz val="9"/>
            <rFont val="Tahoma"/>
          </rPr>
          <t xml:space="preserve"> :</t>
        </r>
        <r>
          <rPr>
            <sz val="9"/>
            <rFont val="Tahoma"/>
          </rPr>
          <t xml:space="preserve">
Comment:
Comment:
 :
MGL:
Offre EKLOR pour salle polyvalente 
LRV
</t>
        </r>
      </text>
    </comment>
  </commentList>
</comments>
</file>

<file path=xl/comments20.xml><?xml version="1.0" encoding="utf-8"?>
<comments xmlns="http://schemas.openxmlformats.org/spreadsheetml/2006/main">
  <authors>
    <author>tc={00B90094-0019-40E6-B46C-00F800950014}</author>
    <author>tc={003E00E1-00C4-4C6C-9BDA-007A00090022}</author>
    <author>tc={0075008D-0095-4FC4-A5C1-002E003600B6}</author>
    <author>tc={006C0084-00AA-4DB5-B5D8-005A00FE00BE}</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1.xml><?xml version="1.0" encoding="utf-8"?>
<comments xmlns="http://schemas.openxmlformats.org/spreadsheetml/2006/main">
  <authors>
    <author>tc={002F00DE-00A7-4695-9A14-00AC00FA0074}</author>
    <author>tc={006B00F3-0037-480F-8E7E-00F20049002F}</author>
    <author>tc={00EB0065-009C-4851-B7B9-008300BF00B2}</author>
    <author>tc={000B00DC-003A-4059-8C59-007F005900FD}</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2.xml><?xml version="1.0" encoding="utf-8"?>
<comments xmlns="http://schemas.openxmlformats.org/spreadsheetml/2006/main">
  <authors>
    <author>tc={00800064-007E-4983-B50A-009F00DB009F}</author>
    <author>tc={00D5002F-00A5-4860-8960-00B2002900B4}</author>
    <author>tc={002B0036-006B-4FFC-82F2-0006005F00FA}</author>
    <author>tc={0018003C-0058-431E-9CCC-007C00E300D7}</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3.xml><?xml version="1.0" encoding="utf-8"?>
<comments xmlns="http://schemas.openxmlformats.org/spreadsheetml/2006/main">
  <authors>
    <author>tc={00ED0033-0070-4115-8C6B-000C00970030}</author>
    <author>tc={00D700F8-0054-4F37-877E-0025009200C2}</author>
    <author>tc={006100DF-0099-4BAD-B21A-0063004200B8}</author>
    <author>tc={00C0008A-0059-4308-8071-001D00AF0054}</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4.xml><?xml version="1.0" encoding="utf-8"?>
<comments xmlns="http://schemas.openxmlformats.org/spreadsheetml/2006/main">
  <authors>
    <author>tc={00C400FE-003A-4070-8B69-0007000000FB}</author>
    <author>tc={005400F4-0064-4C24-99C1-006C00CF00E5}</author>
    <author>tc={004900AA-0053-4086-B558-007400ED009B}</author>
    <author>tc={001000B1-00C0-4F75-84E3-0036001B00E9}</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5.xml><?xml version="1.0" encoding="utf-8"?>
<comments xmlns="http://schemas.openxmlformats.org/spreadsheetml/2006/main">
  <authors>
    <author>tc={007500A4-0057-4D8B-988C-00590051006F}</author>
    <author>tc={0048004A-006F-484D-AEAD-007B00E900D2}</author>
    <author>tc={005E007D-0003-4679-A41C-0059002500AD}</author>
    <author>tc={004900F8-0018-459B-B5DE-006600DB0073}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6.xml><?xml version="1.0" encoding="utf-8"?>
<comments xmlns="http://schemas.openxmlformats.org/spreadsheetml/2006/main">
  <authors>
    <author>tc={009C00BA-00F4-4929-AE7D-004F00D200B9}</author>
    <author>tc={006F0078-0068-4600-A70C-001D009000E3}</author>
    <author>tc={00270015-00FA-4754-B4C4-007D0051003D}</author>
    <author>tc={007600B3-007D-4038-8602-0084002000CF}</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7.xml><?xml version="1.0" encoding="utf-8"?>
<comments xmlns="http://schemas.openxmlformats.org/spreadsheetml/2006/main">
  <authors>
    <author>tc={0054004E-0088-4885-8380-00CE00910088}</author>
    <author>tc={00890041-00B6-4DCF-B611-003D006700D2}</author>
    <author>tc={000D004A-0041-432A-BC97-002C003000CE}</author>
    <author>tc={001E0057-0072-4D4F-89D0-00BE00D200A8}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8.xml><?xml version="1.0" encoding="utf-8"?>
<comments xmlns="http://schemas.openxmlformats.org/spreadsheetml/2006/main">
  <authors>
    <author>tc={00490014-0055-4AA1-BEBB-00070019003B}</author>
    <author>tc={0056004B-00AA-42CE-8C42-0069001800F2}</author>
    <author>tc={009700DA-008B-47C5-8028-0041008300A2}</author>
    <author>tc={00E70095-0081-4F45-B815-002A00D30028}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29.xml><?xml version="1.0" encoding="utf-8"?>
<comments xmlns="http://schemas.openxmlformats.org/spreadsheetml/2006/main">
  <authors>
    <author>tc={E4C6176E-411A-0FD2-E10A-9B5B0144ADD7}</author>
    <author>tc={20E77720-7C58-3F73-ED39-8B64EDD50660}</author>
    <author>tc={DAC1DED2-C778-30A1-9A3D-A1C8716788C6}</author>
    <author>tc={DD769B93-5C5D-ADDE-F106-AC09DCEDE40F}</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xml><?xml version="1.0" encoding="utf-8"?>
<comments xmlns="http://schemas.openxmlformats.org/spreadsheetml/2006/main">
  <authors>
    <author>tc={004D006D-00A7-4DC5-87CD-005800190072}</author>
    <author>tc={00E00060-001C-4570-AB71-008C001A004E}</author>
    <author>tc={003E0049-00DF-418E-9DB9-009B008400A6}</author>
    <author>tc={005D007D-0084-49BD-9672-0089002E0088}</author>
    <author>tc={007200ED-0064-4123-A77A-003F0053007F}</author>
    <author>tc={00040061-00D1-49F8-B974-008800190094}</author>
    <author>tc={009900CF-0070-4E95-B14B-00100079007F}</author>
    <author>tc={004F004F-00AB-46AC-821F-00B800A1000C}</author>
    <author>tc={00D300F8-0096-4C8E-A181-001400400004}</author>
    <author>tc={00C20090-0056-454F-A432-00F5007E0093}</author>
    <author>tc={002F0012-0025-467A-8A20-002D00E400B0}</author>
    <author>tc={00650082-004E-438F-B351-00E000E8006F}</author>
    <author>tc={009A0048-00FF-4B85-99E6-00ED005F009E}</author>
    <author>tc={00AE0032-00BA-47FD-9900-00EA008D0003}</author>
    <author>tc={00000025-00D0-476D-B2E9-00DB00F40015}</author>
    <author>tc={00A5007E-0010-4BFE-877F-003E003800BE}</author>
    <author>tc={00FB007D-008A-4A7C-A950-009C001700E8}</author>
    <author>tc={008A00F9-00E7-4238-AF04-00F7001E0044}</author>
    <author>tc={00AF00D8-0095-4B30-B0E6-001D00A40015}</author>
    <author>tc={00EC0078-008B-46D7-B1C2-009200F000B5}</author>
    <author>tc={003900EF-001A-427B-A358-009C00F600D5}</author>
    <author>tc={00D200F5-0079-463E-B85C-00FB002E0052}</author>
  </authors>
  <commentList>
    <comment ref="F13" authorId="0">
      <text>
        <r>
          <rPr>
            <b/>
            <sz val="9"/>
            <rFont val="Tahoma"/>
          </rPr>
          <t xml:space="preserve"> :</t>
        </r>
        <r>
          <rPr>
            <sz val="9"/>
            <rFont val="Tahoma"/>
          </rPr>
          <t xml:space="preserve">
Comment:
mgl:
dans le cas des boîtiers RTONE : dépend de la durée d'abonnement
</t>
        </r>
      </text>
    </comment>
    <comment ref="M14" authorId="1">
      <text>
        <r>
          <rPr>
            <b/>
            <sz val="9"/>
            <rFont val="Tahoma"/>
          </rPr>
          <t xml:space="preserve"> :</t>
        </r>
        <r>
          <rPr>
            <sz val="9"/>
            <rFont val="Tahoma"/>
          </rPr>
          <t xml:space="preserve">
Comment:
mgl:
Supporté par le lot 2018
</t>
        </r>
      </text>
    </comment>
    <comment ref="M15" authorId="2">
      <text>
        <r>
          <rPr>
            <b/>
            <sz val="9"/>
            <rFont val="Tahoma"/>
          </rPr>
          <t xml:space="preserve"> :</t>
        </r>
        <r>
          <rPr>
            <sz val="9"/>
            <rFont val="Tahoma"/>
          </rPr>
          <t xml:space="preserve">
Comment:
mgl:
MGL:
Supporté par le lot 2018
</t>
        </r>
      </text>
    </comment>
    <comment ref="M16" authorId="3">
      <text>
        <r>
          <rPr>
            <b/>
            <sz val="9"/>
            <rFont val="Tahoma"/>
          </rPr>
          <t xml:space="preserve"> :</t>
        </r>
        <r>
          <rPr>
            <sz val="9"/>
            <rFont val="Tahoma"/>
          </rPr>
          <t xml:space="preserve">
Comment:
mgl:
Supporté par le lot 2018
</t>
        </r>
      </text>
    </comment>
    <comment ref="E18" authorId="4">
      <text>
        <r>
          <rPr>
            <b/>
            <sz val="9"/>
            <rFont val="Tahoma"/>
          </rPr>
          <t xml:space="preserve"> :</t>
        </r>
        <r>
          <rPr>
            <sz val="9"/>
            <rFont val="Tahoma"/>
          </rPr>
          <t xml:space="preserve">
Comment:
mgl:
subvention d'équipement hors équipement PV (bon pour renforcement charpente, etc.)
</t>
        </r>
      </text>
    </comment>
    <comment ref="H19" authorId="5">
      <text>
        <r>
          <rPr>
            <b/>
            <sz val="9"/>
            <rFont val="Tahoma"/>
          </rPr>
          <t xml:space="preserve"> :</t>
        </r>
        <r>
          <rPr>
            <sz val="9"/>
            <rFont val="Tahoma"/>
          </rPr>
          <t xml:space="preserve">
Comment:
mgl:
hors frais de personnel
</t>
        </r>
      </text>
    </comment>
    <comment ref="C22" authorId="6">
      <text>
        <r>
          <rPr>
            <b/>
            <sz val="9"/>
            <rFont val="Tahoma"/>
          </rPr>
          <t xml:space="preserve"> :</t>
        </r>
        <r>
          <rPr>
            <sz val="9"/>
            <rFont val="Tahoma"/>
          </rPr>
          <t xml:space="preserve">
Comment:
mgl:
on prend en compte des interruptions de production (décrochage onduleurs) au cours de l'année
</t>
        </r>
      </text>
    </comment>
    <comment ref="J22" authorId="7">
      <text>
        <r>
          <rPr>
            <b/>
            <sz val="9"/>
            <rFont val="Tahoma"/>
          </rPr>
          <t xml:space="preserve"> :</t>
        </r>
        <r>
          <rPr>
            <sz val="9"/>
            <rFont val="Tahoma"/>
          </rPr>
          <t xml:space="preserve">
Comment:
mgl:
indiquer ici le TMO à prendre en compte pour limiter le montant des dividendes pour les SCIC (cf fiche dividendes)
</t>
        </r>
      </text>
    </comment>
    <comment ref="C23" authorId="8">
      <text>
        <r>
          <rPr>
            <b/>
            <sz val="9"/>
            <rFont val="Tahoma"/>
          </rPr>
          <t xml:space="preserve"> :</t>
        </r>
        <r>
          <rPr>
            <sz val="9"/>
            <rFont val="Tahoma"/>
          </rPr>
          <t xml:space="preserve">
Comment:
mgl:
Pour modules DUALSUN FLASH, prendre 0,7%
Pour modules modules LG NEON2, prendre 0,40%
Si modules SUNPOWER PERFORMANCE, prendre 0,512%
Si modules TRINA VERTEXS, prendre 0,608%
</t>
        </r>
      </text>
    </comment>
    <comment ref="E23" authorId="9">
      <text>
        <r>
          <rPr>
            <b/>
            <sz val="9"/>
            <rFont val="Tahoma"/>
          </rPr>
          <t xml:space="preserve"> :</t>
        </r>
        <r>
          <rPr>
            <sz val="9"/>
            <rFont val="Tahoma"/>
          </rPr>
          <t xml:space="preserve">
Comment:
mgl:
npoize:
Les Zones de Revitalisation Rurale disposent d'une fiscalité spécifique. Voir ici : http://www.datar.gouv.fr/ma-commune-est-elle-classee-en-zrr
</t>
        </r>
      </text>
    </comment>
    <comment ref="M24" authorId="10">
      <text>
        <r>
          <rPr>
            <b/>
            <sz val="9"/>
            <rFont val="Tahoma"/>
          </rPr>
          <t xml:space="preserve"> :</t>
        </r>
        <r>
          <rPr>
            <sz val="9"/>
            <rFont val="Tahoma"/>
          </rPr>
          <t xml:space="preserve">
Comment:
mgl:
on considère qu'elle s'applique une fois la réserve légale déduite
</t>
        </r>
      </text>
    </comment>
    <comment ref="E25" authorId="11">
      <text>
        <r>
          <rPr>
            <b/>
            <sz val="9"/>
            <rFont val="Tahoma"/>
          </rPr>
          <t xml:space="preserve"> :</t>
        </r>
        <r>
          <rPr>
            <sz val="9"/>
            <rFont val="Tahoma"/>
          </rPr>
          <t xml:space="preserve">
Comment:
mgl:
Se renseigner auprès de sa commune
</t>
        </r>
      </text>
    </comment>
    <comment ref="A34" authorId="12">
      <text>
        <r>
          <rPr>
            <b/>
            <sz val="9"/>
            <rFont val="Tahoma"/>
          </rPr>
          <t xml:space="preserve"> :</t>
        </r>
        <r>
          <rPr>
            <sz val="9"/>
            <rFont val="Tahoma"/>
          </rPr>
          <t xml:space="preserve">
Comment:
mgl:
npoize:
assimilés = sociétés détenues par des personnes physiques
</t>
        </r>
      </text>
    </comment>
    <comment ref="A37" authorId="13">
      <text>
        <r>
          <rPr>
            <b/>
            <sz val="9"/>
            <rFont val="Tahoma"/>
          </rPr>
          <t xml:space="preserve"> :</t>
        </r>
        <r>
          <rPr>
            <sz val="9"/>
            <rFont val="Tahoma"/>
          </rPr>
          <t xml:space="preserve">
Comment:
Comment:
 :
MGL:
MGL:
Idéalement, doit être supérieur à 25%
</t>
        </r>
      </text>
    </comment>
    <comment ref="G41" authorId="14">
      <text>
        <r>
          <rPr>
            <b/>
            <sz val="9"/>
            <rFont val="Tahoma"/>
          </rPr>
          <t xml:space="preserve"> :</t>
        </r>
        <r>
          <rPr>
            <sz val="9"/>
            <rFont val="Tahoma"/>
          </rPr>
          <t xml:space="preserve">
Comment:
Comment:
 :
MGL:
MGL:
Case obligatoire. S'il y a un seul prêtur, mettre 100%
</t>
        </r>
      </text>
    </comment>
    <comment ref="H41" authorId="15">
      <text>
        <r>
          <rPr>
            <b/>
            <sz val="9"/>
            <rFont val="Tahoma"/>
          </rPr>
          <t xml:space="preserve"> :</t>
        </r>
        <r>
          <rPr>
            <sz val="9"/>
            <rFont val="Tahoma"/>
          </rPr>
          <t xml:space="preserve">
Comment:
Comment:
 :
MGL:
MGL:
case obligatoire
</t>
        </r>
      </text>
    </comment>
    <comment ref="B56" authorId="16">
      <text>
        <r>
          <rPr>
            <b/>
            <sz val="9"/>
            <rFont val="Tahoma"/>
          </rPr>
          <t xml:space="preserve"> :</t>
        </r>
        <r>
          <rPr>
            <sz val="9"/>
            <rFont val="Tahoma"/>
          </rPr>
          <t xml:space="preserve">
Comment:
Comment:
 :
 :
='file:///home/mgl/Bureau/CVSSB/Economique/CVSSB_Simulation_Lot_2018.ods'#$Ana_eco.C55
</t>
        </r>
      </text>
    </comment>
    <comment ref="C56" authorId="17">
      <text>
        <r>
          <rPr>
            <b/>
            <sz val="9"/>
            <rFont val="Tahoma"/>
          </rPr>
          <t xml:space="preserve"> :</t>
        </r>
        <r>
          <rPr>
            <sz val="9"/>
            <rFont val="Tahoma"/>
          </rPr>
          <t xml:space="preserve">
Comment:
Comment:
 :
 :
='file:///home/mgl/Bureau/CVSSB/Economique/CVSSB_Simulation_Lot_2018.ods'#$Ana_eco.D55
</t>
        </r>
      </text>
    </comment>
    <comment ref="B57" authorId="18">
      <text>
        <r>
          <rPr>
            <b/>
            <sz val="9"/>
            <rFont val="Tahoma"/>
          </rPr>
          <t xml:space="preserve"> :</t>
        </r>
        <r>
          <rPr>
            <sz val="9"/>
            <rFont val="Tahoma"/>
          </rPr>
          <t xml:space="preserve">
Comment:
mgl:
='file:///home/mgl/Bureau/CVSSB/Economique/CVSSB_Simulation_Lot_2018.ods'#$Ana_eco.C56
</t>
        </r>
      </text>
    </comment>
    <comment ref="C57" authorId="19">
      <text>
        <r>
          <rPr>
            <b/>
            <sz val="9"/>
            <rFont val="Tahoma"/>
          </rPr>
          <t xml:space="preserve"> :</t>
        </r>
        <r>
          <rPr>
            <sz val="9"/>
            <rFont val="Tahoma"/>
          </rPr>
          <t xml:space="preserve">
Comment:
Comment:
 :
 :
='file:///home/mgl/Bureau/CVSSB/Economique/CVSSB_Simulation_Lot_2018.ods'#$Ana_eco.D56
</t>
        </r>
      </text>
    </comment>
    <comment ref="E62" authorId="20">
      <text>
        <r>
          <rPr>
            <b/>
            <sz val="9"/>
            <rFont val="Tahoma"/>
          </rPr>
          <t xml:space="preserve"> :</t>
        </r>
        <r>
          <rPr>
            <sz val="9"/>
            <rFont val="Tahoma"/>
          </rPr>
          <t xml:space="preserve">
Comment:
Comment:
 :
MGL:
MGL:
CMPC = Coût moyen pondéré du capital - La formule, un peu simplifiée, prend en compte un impôt sur les sociétés de 15%
</t>
        </r>
      </text>
    </comment>
    <comment ref="E63" authorId="21">
      <text>
        <r>
          <rPr>
            <b/>
            <sz val="9"/>
            <rFont val="Tahoma"/>
          </rPr>
          <t xml:space="preserve"> :</t>
        </r>
        <r>
          <rPr>
            <sz val="9"/>
            <rFont val="Tahoma"/>
          </rPr>
          <t xml:space="preserve">
Comment:
Comment:
 :
MGL:
MGL:
npoize:
avec l'inflation
</t>
        </r>
      </text>
    </comment>
  </commentList>
</comments>
</file>

<file path=xl/comments30.xml><?xml version="1.0" encoding="utf-8"?>
<comments xmlns="http://schemas.openxmlformats.org/spreadsheetml/2006/main">
  <authors>
    <author>tc={AF7C5245-0639-9EC4-2961-90FA4C7BF4B3}</author>
    <author>tc={BA88B928-9772-4965-FED6-A6B0A868B6CA}</author>
    <author>tc={18675C2E-0916-9101-79C8-4DF44012A68F}</author>
    <author>tc={F8DA9416-B369-F8A1-795C-839E9BE9ABA4}</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1.xml><?xml version="1.0" encoding="utf-8"?>
<comments xmlns="http://schemas.openxmlformats.org/spreadsheetml/2006/main">
  <authors>
    <author>tc={007C00F9-0059-4C24-A7A7-00F5009F0081}</author>
    <author>tc={00DA002F-00AF-4960-B380-00E400FF000A}</author>
    <author>tc={006F00E9-0040-41C8-835B-00DF00390033}</author>
    <author>tc={0051000E-009E-471E-893C-001900C100E8}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2.xml><?xml version="1.0" encoding="utf-8"?>
<comments xmlns="http://schemas.openxmlformats.org/spreadsheetml/2006/main">
  <authors>
    <author>tc={003F0027-00C5-4157-94BA-00CC00FD0086}</author>
    <author>tc={00220008-00E7-46A1-8112-00B800F200CE}</author>
    <author>tc={0039000E-00CF-442E-B483-00E600EE00D7}</author>
    <author>tc={00B600F6-0047-4ADF-9195-003800410086}</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3.xml><?xml version="1.0" encoding="utf-8"?>
<comments xmlns="http://schemas.openxmlformats.org/spreadsheetml/2006/main">
  <authors>
    <author>tc={00300045-0094-45AA-9421-006D00E400AF}</author>
    <author>tc={00C20018-00B1-453B-A011-00A900540055}</author>
    <author>tc={007A009C-0063-48AC-A42C-005500DC0035}</author>
    <author>tc={00FA006A-00CB-43C5-A012-00D5007E00D5}</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2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4.xml><?xml version="1.0" encoding="utf-8"?>
<comments xmlns="http://schemas.openxmlformats.org/spreadsheetml/2006/main">
  <authors>
    <author>tc={002000DE-008C-411F-8675-002C00DD006D}</author>
    <author>tc={00F90025-00DC-4F8F-AFEC-009000090025}</author>
    <author>tc={0006009B-00AE-4DB7-A95B-00E000BD0001}</author>
    <author>tc={008C0060-0042-4FE5-BF9B-00D7001A00A1}</author>
    <author>tc={00230045-0023-444D-B0D5-00DD00B9006A}</author>
    <author>tc={00D7004C-0086-4828-A982-006D0077004E}</author>
    <author>tc={00C60005-0053-4725-A0A4-000E00020095}</author>
    <author>tc={007700CE-00FA-4122-B573-005D00BF00A7}</author>
  </authors>
  <commentList>
    <comment ref="C9" authorId="0">
      <text>
        <r>
          <rPr>
            <b/>
            <sz val="9"/>
            <rFont val="Tahoma"/>
          </rPr>
          <t xml:space="preserve"> :</t>
        </r>
        <r>
          <rPr>
            <sz val="9"/>
            <rFont val="Tahoma"/>
          </rPr>
          <t xml:space="preserve">
Comment:
Comment:
 :
 :
='file:///home/mgl/Bureau/CVSSB/Economique/CVSSB_Simulation_Lot_2018.ods'#$'Plan de trésorerie'.C8
</t>
        </r>
      </text>
    </comment>
    <comment ref="C10" authorId="1">
      <text>
        <r>
          <rPr>
            <b/>
            <sz val="9"/>
            <rFont val="Tahoma"/>
          </rPr>
          <t xml:space="preserve"> :</t>
        </r>
        <r>
          <rPr>
            <sz val="9"/>
            <rFont val="Tahoma"/>
          </rPr>
          <t xml:space="preserve">
Comment:
Comment:
 :
 :
='file:///home/mgl/Bureau/CVSSB/Economique/CVSSB_Simulation_Lot_2018.ods'#$'Plan de trésorerie'.C9
</t>
        </r>
      </text>
    </comment>
    <comment ref="C14" authorId="2">
      <text>
        <r>
          <rPr>
            <b/>
            <sz val="9"/>
            <rFont val="Tahoma"/>
          </rPr>
          <t xml:space="preserve"> :</t>
        </r>
        <r>
          <rPr>
            <sz val="9"/>
            <rFont val="Tahoma"/>
          </rPr>
          <t xml:space="preserve">
Comment:
Comment:
 :
 :
='file:///home/mgl/Bureau/CVSSB/Economique/CVSSB_Simulation_Lot_2018.ods'#$'Plan de trésorerie'.C13
</t>
        </r>
      </text>
    </comment>
    <comment ref="C18" authorId="3">
      <text>
        <r>
          <rPr>
            <b/>
            <sz val="9"/>
            <rFont val="Tahoma"/>
          </rPr>
          <t xml:space="preserve"> :</t>
        </r>
        <r>
          <rPr>
            <sz val="9"/>
            <rFont val="Tahoma"/>
          </rPr>
          <t xml:space="preserve">
Comment:
Comment:
 :
 :
='file:///home/mgl/Bureau/CVSSB/Economique/CVSSB_Simulation_Lot_2018.ods'#$'Plan de trésorerie'.C17
</t>
        </r>
      </text>
    </comment>
    <comment ref="C19" authorId="4">
      <text>
        <r>
          <rPr>
            <b/>
            <sz val="9"/>
            <rFont val="Tahoma"/>
          </rPr>
          <t xml:space="preserve"> :</t>
        </r>
        <r>
          <rPr>
            <sz val="9"/>
            <rFont val="Tahoma"/>
          </rPr>
          <t xml:space="preserve">
Comment:
Comment:
 :
 :
='file:///home/mgl/Bureau/CVSSB/Economique/CVSSB_Simulation_Lot_2018.ods'#$'Plan de trésorerie'.C18
</t>
        </r>
      </text>
    </comment>
    <comment ref="C20" authorId="5">
      <text>
        <r>
          <rPr>
            <b/>
            <sz val="9"/>
            <rFont val="Tahoma"/>
          </rPr>
          <t xml:space="preserve"> :</t>
        </r>
        <r>
          <rPr>
            <sz val="9"/>
            <rFont val="Tahoma"/>
          </rPr>
          <t xml:space="preserve">
Comment:
Comment:
 :
 :
='file:///home/mgl/Bureau/CVSSB/Economique/CVSSB_Simulation_Lot_2018.ods'#$'Plan de trésorerie'.C19
</t>
        </r>
      </text>
    </comment>
    <comment ref="C21" authorId="6">
      <text>
        <r>
          <rPr>
            <b/>
            <sz val="9"/>
            <rFont val="Tahoma"/>
          </rPr>
          <t xml:space="preserve"> :</t>
        </r>
        <r>
          <rPr>
            <sz val="9"/>
            <rFont val="Tahoma"/>
          </rPr>
          <t xml:space="preserve">
Comment:
Comment:
 :
 :
='file:///home/mgl/Bureau/CVSSB/Economique/CVSSB_Simulation_Lot_2018.ods'#$'Plan de trésorerie'.C20
</t>
        </r>
      </text>
    </comment>
    <comment ref="C22" authorId="7">
      <text>
        <r>
          <rPr>
            <b/>
            <sz val="9"/>
            <rFont val="Tahoma"/>
          </rPr>
          <t xml:space="preserve"> :</t>
        </r>
        <r>
          <rPr>
            <sz val="9"/>
            <rFont val="Tahoma"/>
          </rPr>
          <t xml:space="preserve">
Comment:
Comment:
 :
 :
='file:///home/mgl/Bureau/CVSSB/Economique/CVSSB_Simulation_Lot_2018.ods'#$'Plan de trésorerie'.C21
</t>
        </r>
      </text>
    </comment>
  </commentList>
</comments>
</file>

<file path=xl/comments35.xml><?xml version="1.0" encoding="utf-8"?>
<comments xmlns="http://schemas.openxmlformats.org/spreadsheetml/2006/main">
  <authors>
    <author>tc={00F5000D-0070-4EAB-AE42-0091001F00CD}</author>
    <author>tc={003F00F2-00F0-4AD2-A776-00EB007F0006}</author>
    <author>tc={00080071-0004-4F73-96C6-00DF009700E9}</author>
    <author>tc={00910007-00E0-406C-8224-004400BE004A}</author>
  </authors>
  <commentList>
    <comment ref="AR9" authorId="0">
      <text>
        <r>
          <rPr>
            <b/>
            <sz val="9"/>
            <rFont val="Tahoma"/>
          </rPr>
          <t xml:space="preserve"> :</t>
        </r>
        <r>
          <rPr>
            <sz val="9"/>
            <rFont val="Tahoma"/>
          </rPr>
          <t xml:space="preserve">
Comment:
Comment:
 :
MGL:
MGL:
somme sur 12 mois
</t>
        </r>
      </text>
    </comment>
    <comment ref="AR10" authorId="1">
      <text>
        <r>
          <rPr>
            <b/>
            <sz val="9"/>
            <rFont val="Tahoma"/>
          </rPr>
          <t xml:space="preserve"> :</t>
        </r>
        <r>
          <rPr>
            <sz val="9"/>
            <rFont val="Tahoma"/>
          </rPr>
          <t xml:space="preserve">
Comment:
Comment:
 :
MGL:
MGL:
somme sur 12 mois
</t>
        </r>
      </text>
    </comment>
    <comment ref="AR12" authorId="2">
      <text>
        <r>
          <rPr>
            <b/>
            <sz val="9"/>
            <rFont val="Tahoma"/>
          </rPr>
          <t xml:space="preserve"> :</t>
        </r>
        <r>
          <rPr>
            <sz val="9"/>
            <rFont val="Tahoma"/>
          </rPr>
          <t xml:space="preserve">
Comment:
Comment:
 :
MGL:
MGL:
somme sur 12 mois
</t>
        </r>
      </text>
    </comment>
    <comment ref="AR21" authorId="3">
      <text>
        <r>
          <rPr>
            <b/>
            <sz val="9"/>
            <rFont val="Tahoma"/>
          </rPr>
          <t xml:space="preserve"> :</t>
        </r>
        <r>
          <rPr>
            <sz val="9"/>
            <rFont val="Tahoma"/>
          </rPr>
          <t xml:space="preserve">
Comment:
Comment:
 :
MGL:
MGL:
somme sur 12 mois
</t>
        </r>
      </text>
    </comment>
  </commentList>
</comments>
</file>

<file path=xl/comments36.xml><?xml version="1.0" encoding="utf-8"?>
<comments xmlns="http://schemas.openxmlformats.org/spreadsheetml/2006/main">
  <authors>
    <author>tc={00BB0095-0034-43ED-9F68-004200FD0083}</author>
    <author>tc={00160012-0004-490F-8FD7-0092000B0096}</author>
    <author>tc={001A002C-00FE-4D31-9AA9-00F70051002E}</author>
    <author>tc={00C500F4-00B4-4397-9140-00A700270053}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9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7.xml><?xml version="1.0" encoding="utf-8"?>
<comments xmlns="http://schemas.openxmlformats.org/spreadsheetml/2006/main">
  <authors>
    <author>tc={00880041-0057-4D34-BE83-00C200000098}</author>
    <author>tc={006C00BE-009B-41E8-A4D9-008900E40098}</author>
    <author>tc={00800052-008D-4DEA-AD4B-006000EB0006}</author>
    <author>tc={00A300DB-007B-489D-A2E0-008700E8007E}</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9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8.xml><?xml version="1.0" encoding="utf-8"?>
<comments xmlns="http://schemas.openxmlformats.org/spreadsheetml/2006/main">
  <authors>
    <author>tc={008E0065-00C7-46F6-8573-0009005A0011}</author>
    <author>tc={00FD0083-0055-477F-B29A-0014002700C7}</author>
    <author>tc={006100D1-002C-4CC8-8252-00DA003B0067}</author>
    <author>tc={00ED007E-00EE-4786-A0FA-0013000A003E}</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01"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39.xml><?xml version="1.0" encoding="utf-8"?>
<comments xmlns="http://schemas.openxmlformats.org/spreadsheetml/2006/main">
  <authors>
    <author>tc={00960099-0069-4D58-A97C-00E50002001C}</author>
    <author>tc={00EA00EE-00F5-4B23-BA3A-008F005C0069}</author>
    <author>tc={00960053-000F-4E85-8615-003E00580029}</author>
    <author>tc={00C300E6-00EF-499A-A3AF-007100AC0073}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9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xml><?xml version="1.0" encoding="utf-8"?>
<comments xmlns="http://schemas.openxmlformats.org/spreadsheetml/2006/main">
  <authors>
    <author>tc={00CE00FF-00FF-4E2E-BB47-00E5009A00AF}</author>
    <author>tc={00C00031-0022-47CA-92F4-005000CB0042}</author>
    <author>tc={00930089-0033-4014-BE37-0066007E005C}</author>
    <author>tc={0080008A-0030-4324-AB20-0060007E002A}</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0.xml><?xml version="1.0" encoding="utf-8"?>
<comments xmlns="http://schemas.openxmlformats.org/spreadsheetml/2006/main">
  <authors>
    <author>tc={003300DB-0038-46C0-9CB0-009F005700ED}</author>
    <author>tc={00030071-00EA-44E7-A9A2-00FC00F20064}</author>
    <author>tc={009D0062-0008-4833-8237-00B500240047}</author>
    <author>tc={00820041-0013-403B-A75D-002D004C00E4}</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1.xml><?xml version="1.0" encoding="utf-8"?>
<comments xmlns="http://schemas.openxmlformats.org/spreadsheetml/2006/main">
  <authors>
    <author>tc={004900A7-00FC-4965-AF97-0021002D00B4}</author>
    <author>tc={00DC008E-005D-4BEF-BB9C-00EB000500A3}</author>
    <author>tc={00640008-00B1-45FF-9768-004F00F70038}</author>
    <author>tc={00200006-0008-4DE8-8331-00C700D40048}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5"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2.xml><?xml version="1.0" encoding="utf-8"?>
<comments xmlns="http://schemas.openxmlformats.org/spreadsheetml/2006/main">
  <authors>
    <author>tc={00CB009D-007B-4283-8C70-00D3008600EF}</author>
    <author>tc={005F0065-00C2-4BAB-9CF3-0034004E0099}</author>
    <author>tc={00AA0063-0094-4B06-9774-008B005500FF}</author>
    <author>tc={006C0057-0055-4E6D-B7A4-004F0064004F}</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2"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3.xml><?xml version="1.0" encoding="utf-8"?>
<comments xmlns="http://schemas.openxmlformats.org/spreadsheetml/2006/main">
  <authors>
    <author>tc={00410028-00FD-4B51-B024-0098008F001D}</author>
    <author>tc={0010005A-00CE-4677-BCC6-006B00E300AA}</author>
    <author>tc={00C600D2-0033-4676-B864-009500FB0084}</author>
    <author>tc={00200071-0055-4776-B497-00FD00210097}</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93"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4.xml><?xml version="1.0" encoding="utf-8"?>
<comments xmlns="http://schemas.openxmlformats.org/spreadsheetml/2006/main">
  <authors>
    <author>tc={00AD00F0-00B2-4415-955C-00E000E200B4}</author>
    <author>tc={00D9004D-00B8-4B55-853D-0090005700BA}</author>
    <author>tc={00C800BF-002B-48AB-86B0-00D100DC0038}</author>
    <author>tc={007B006B-0022-4543-8520-00B100EE00D4}</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5"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5.xml><?xml version="1.0" encoding="utf-8"?>
<comments xmlns="http://schemas.openxmlformats.org/spreadsheetml/2006/main">
  <authors>
    <author>tc={00D50020-008A-4501-81CE-0099004E005D}</author>
    <author>tc={006F006E-007B-41BB-B5BA-002E00020040}</author>
    <author>tc={00220072-00E9-4E67-AC2E-002A003C00FF}</author>
    <author>tc={00F30036-008A-43F4-A46B-001F00D10078}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6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6.xml><?xml version="1.0" encoding="utf-8"?>
<comments xmlns="http://schemas.openxmlformats.org/spreadsheetml/2006/main">
  <authors>
    <author>tc={00D700B2-00E9-455F-9665-00C900D500DC}</author>
    <author>tc={0056003B-008D-4AF9-AA7C-001F007E0011}</author>
    <author>tc={00890050-000F-4F49-B2AE-009D006000C6}</author>
    <author>tc={002200A2-00C8-425C-8408-009200D100BB}</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66"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7.xml><?xml version="1.0" encoding="utf-8"?>
<comments xmlns="http://schemas.openxmlformats.org/spreadsheetml/2006/main">
  <authors>
    <author>tc={00DC0072-0012-4921-9805-00600037003C}</author>
    <author>tc={0083006E-0067-49A7-A8CD-002C0019001E}</author>
    <author>tc={005F00FA-00A0-494E-97E7-0050003F0028}</author>
    <author>tc={00F40062-002D-4ECC-A4A7-008B000400E3}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8.xml><?xml version="1.0" encoding="utf-8"?>
<comments xmlns="http://schemas.openxmlformats.org/spreadsheetml/2006/main">
  <authors>
    <author>tc={00F9002B-00F7-4115-8367-00850003002E}</author>
    <author>tc={00E900A3-00F7-4DAD-844E-008900450079}</author>
    <author>tc={00710019-0060-4153-AA87-006500B2006C}</author>
    <author>tc={004F00BD-009A-42E3-9CDE-003800B600FC}</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49.xml><?xml version="1.0" encoding="utf-8"?>
<comments xmlns="http://schemas.openxmlformats.org/spreadsheetml/2006/main">
  <authors>
    <author>tc={007700D2-003B-447B-B6A2-000F008400C3}</author>
    <author>tc={00C000FF-00C0-4C91-9368-001C009A0068}</author>
    <author>tc={00FC0011-0023-4A82-8C6B-00090022004D}</author>
    <author>tc={00F20024-00FD-4AA5-B44E-0040000A00F1}</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6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xml><?xml version="1.0" encoding="utf-8"?>
<comments xmlns="http://schemas.openxmlformats.org/spreadsheetml/2006/main">
  <authors>
    <author>tc={00820003-0084-4918-AC13-0072002D00B6}</author>
    <author>tc={00290070-009F-481A-9F39-009F00E40023}</author>
    <author>tc={00A10011-00EB-49AB-9E7C-00F3001A004E}</author>
    <author>tc={00230000-0036-482A-97A6-004800BF00A9}</author>
    <author>tc={003300F7-0091-4890-B185-0049009100D8}</author>
    <author>tc={005500D2-008A-40DE-860A-0007007E00F6}</author>
    <author>tc={004C009C-0063-4AA2-8225-009100180069}</author>
    <author>tc={009600D1-00BD-49BE-A543-00190046000E}</author>
    <author>tc={003000A4-0078-4592-9A84-004600D800F8}</author>
    <author>tc={00AD00EE-006B-4FA9-800C-00ED001F0077}</author>
    <author>tc={00E20083-005F-4CFA-9124-0087006500A3}</author>
    <author>tc={0094003A-009B-4F46-BD11-00CA008900E5}</author>
    <author>tc={001B008B-0066-40F8-BA3D-00C90094009C}</author>
  </authors>
  <commentList>
    <comment ref="C9" authorId="0">
      <text>
        <r>
          <rPr>
            <b/>
            <sz val="9"/>
            <rFont val="Tahoma"/>
          </rPr>
          <t xml:space="preserve"> :</t>
        </r>
        <r>
          <rPr>
            <sz val="9"/>
            <rFont val="Tahoma"/>
          </rPr>
          <t xml:space="preserve">
Comment:
Comment:
 :
 :
='file:///home/mgl/Bureau/CVSSB/Economique/CVSSB_Simulation_Lot_2018.ods'#$SIG.D17
</t>
        </r>
      </text>
    </comment>
    <comment ref="C11" authorId="1">
      <text>
        <r>
          <rPr>
            <b/>
            <sz val="9"/>
            <rFont val="Tahoma"/>
          </rPr>
          <t xml:space="preserve"> :</t>
        </r>
        <r>
          <rPr>
            <sz val="9"/>
            <rFont val="Tahoma"/>
          </rPr>
          <t xml:space="preserve">
Comment:
Comment:
 :
 :
='file:///home/mgl/Bureau/CVSSB/Economique/CVSSB_Simulation_Lot_2018.ods'#$SIG.D19
</t>
        </r>
      </text>
    </comment>
    <comment ref="C14" authorId="2">
      <text>
        <r>
          <rPr>
            <b/>
            <sz val="9"/>
            <rFont val="Tahoma"/>
          </rPr>
          <t xml:space="preserve"> :</t>
        </r>
        <r>
          <rPr>
            <sz val="9"/>
            <rFont val="Tahoma"/>
          </rPr>
          <t xml:space="preserve">
Comment:
Comment:
 :
 :
='file:///home/mgl/Bureau/CVSSB/Economique/CVSSB_Simulation_Lot_2018.ods'#$SIG.D20
</t>
        </r>
      </text>
    </comment>
    <comment ref="C20" authorId="3">
      <text>
        <r>
          <rPr>
            <b/>
            <sz val="9"/>
            <rFont val="Tahoma"/>
          </rPr>
          <t xml:space="preserve"> :</t>
        </r>
        <r>
          <rPr>
            <sz val="9"/>
            <rFont val="Tahoma"/>
          </rPr>
          <t xml:space="preserve">
Comment:
Comment:
 :
 :
='file:///home/mgl/Bureau/CVSSB/Economique/CVSSB_Simulation_Lot_2018.ods'#$SIG.D25
</t>
        </r>
      </text>
    </comment>
    <comment ref="C22" authorId="4">
      <text>
        <r>
          <rPr>
            <b/>
            <sz val="9"/>
            <rFont val="Tahoma"/>
          </rPr>
          <t xml:space="preserve"> :</t>
        </r>
        <r>
          <rPr>
            <sz val="9"/>
            <rFont val="Tahoma"/>
          </rPr>
          <t xml:space="preserve">
Comment:
Comment:
 :
 :
='file:///home/mgl/Bureau/CVSSB/Economique/CVSSB_Simulation_Lot_2018.ods'#$SIG.D26
</t>
        </r>
      </text>
    </comment>
    <comment ref="C25" authorId="5">
      <text>
        <r>
          <rPr>
            <b/>
            <sz val="9"/>
            <rFont val="Tahoma"/>
          </rPr>
          <t xml:space="preserve"> :</t>
        </r>
        <r>
          <rPr>
            <sz val="9"/>
            <rFont val="Tahoma"/>
          </rPr>
          <t xml:space="preserve">
Comment:
Comment:
 :
 :
='file:///home/mgl/Bureau/CVSSB/Economique/CVSSB_Simulation_Lot_2018.ods'#$SIG.D28
</t>
        </r>
      </text>
    </comment>
    <comment ref="C27" authorId="6">
      <text>
        <r>
          <rPr>
            <b/>
            <sz val="9"/>
            <rFont val="Tahoma"/>
          </rPr>
          <t xml:space="preserve"> :</t>
        </r>
        <r>
          <rPr>
            <sz val="9"/>
            <rFont val="Tahoma"/>
          </rPr>
          <t xml:space="preserve">
Comment:
Comment:
 :
 :
='file:///home/mgl/Bureau/CVSSB/Economique/CVSSB_Simulation_Lot_2018.ods'#$SIG.D29
</t>
        </r>
      </text>
    </comment>
    <comment ref="C31" authorId="7">
      <text>
        <r>
          <rPr>
            <b/>
            <sz val="9"/>
            <rFont val="Tahoma"/>
          </rPr>
          <t xml:space="preserve"> :</t>
        </r>
        <r>
          <rPr>
            <sz val="9"/>
            <rFont val="Tahoma"/>
          </rPr>
          <t xml:space="preserve">
Comment:
Comment:
 :
 :
='file:///home/mgl/Bureau/CVSSB/Economique/CVSSB_Simulation_Lot_2018.ods'#$SIG.D32
</t>
        </r>
      </text>
    </comment>
    <comment ref="C35" authorId="8">
      <text>
        <r>
          <rPr>
            <b/>
            <sz val="9"/>
            <rFont val="Tahoma"/>
          </rPr>
          <t xml:space="preserve"> :</t>
        </r>
        <r>
          <rPr>
            <sz val="9"/>
            <rFont val="Tahoma"/>
          </rPr>
          <t xml:space="preserve">
Comment:
Comment:
 :
 :
Lot 2018
='file:///home/mgl/Bureau/CVSSB/Economique/CVSSB_Simulation_Lot_2018.ods'#$SIG.D35
</t>
        </r>
      </text>
    </comment>
    <comment ref="D35" authorId="9">
      <text>
        <r>
          <rPr>
            <b/>
            <sz val="9"/>
            <rFont val="Tahoma"/>
          </rPr>
          <t xml:space="preserve"> :</t>
        </r>
        <r>
          <rPr>
            <sz val="9"/>
            <rFont val="Tahoma"/>
          </rPr>
          <t xml:space="preserve">
Comment:
Comment:
 :
MGL:
Lot 2018
</t>
        </r>
      </text>
    </comment>
    <comment ref="E35" authorId="10">
      <text>
        <r>
          <rPr>
            <b/>
            <sz val="9"/>
            <rFont val="Tahoma"/>
          </rPr>
          <t xml:space="preserve"> :</t>
        </r>
        <r>
          <rPr>
            <sz val="9"/>
            <rFont val="Tahoma"/>
          </rPr>
          <t xml:space="preserve">
Comment:
Comment:
 :
MGL:
Lot 2018
</t>
        </r>
      </text>
    </comment>
    <comment ref="E38" authorId="11">
      <text>
        <r>
          <rPr>
            <b/>
            <sz val="9"/>
            <rFont val="Tahoma"/>
          </rPr>
          <t xml:space="preserve"> :</t>
        </r>
        <r>
          <rPr>
            <sz val="9"/>
            <rFont val="Tahoma"/>
          </rPr>
          <t xml:space="preserve">
Comment:
Comment:
 :
 :
='file:///home/mgl/Bureau/CVSSB/Economique/CVSSB_Simulation_Lot_2018.ods'#$SIG.F38
</t>
        </r>
      </text>
    </comment>
    <comment ref="B42" authorId="12">
      <text>
        <r>
          <rPr>
            <b/>
            <sz val="9"/>
            <rFont val="Tahoma"/>
          </rPr>
          <t xml:space="preserve"> :</t>
        </r>
        <r>
          <rPr>
            <sz val="9"/>
            <rFont val="Tahoma"/>
          </rPr>
          <t xml:space="preserve">
Comment:
Comment:
 :
MGL:
MGL:
Estimations faites en fonction du résultat mis en réserve et en déduisant la CSG
</t>
        </r>
      </text>
    </comment>
  </commentList>
</comments>
</file>

<file path=xl/comments50.xml><?xml version="1.0" encoding="utf-8"?>
<comments xmlns="http://schemas.openxmlformats.org/spreadsheetml/2006/main">
  <authors>
    <author>tc={00CB0045-00E9-42DA-865E-0017009F0052}</author>
    <author>tc={003E008F-00CE-4B7A-B529-00CF00BA003E}</author>
    <author>tc={00B9009E-00A3-4A51-B5FC-0092002E001F}</author>
    <author>tc={00A1008A-00C5-4F82-AD5E-00A0008500F3}</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66"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1.xml><?xml version="1.0" encoding="utf-8"?>
<comments xmlns="http://schemas.openxmlformats.org/spreadsheetml/2006/main">
  <authors>
    <author>tc={004800A1-00FF-4754-A236-00BA006B00FC}</author>
    <author>tc={00EC0054-005D-4E9A-9601-00CD00CC009C}</author>
    <author>tc={00FE00FD-00E1-46C0-B59A-0043001C00F3}</author>
    <author>tc={00FA00A7-006B-4207-8709-00E000420084}</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2.xml><?xml version="1.0" encoding="utf-8"?>
<comments xmlns="http://schemas.openxmlformats.org/spreadsheetml/2006/main">
  <authors>
    <author>tc={00CC00DB-00E3-4348-995D-00420049003F}</author>
    <author>tc={006C008F-00D3-4770-837E-007F00130008}</author>
    <author>tc={00680045-003B-43CC-A003-003E00EB0087}</author>
    <author>tc={00AE0026-0079-4127-B000-00D200BC0025}</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3.xml><?xml version="1.0" encoding="utf-8"?>
<comments xmlns="http://schemas.openxmlformats.org/spreadsheetml/2006/main">
  <authors>
    <author>tc={00750036-009A-4350-A127-00BE006C0022}</author>
    <author>tc={002B002A-00D9-4CEC-B65B-004A0018004E}</author>
    <author>tc={00A80099-003B-4CA0-9563-00F600640064}</author>
    <author>tc={00E6002B-00C8-4782-9AD4-00A200080056}</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71"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4.xml><?xml version="1.0" encoding="utf-8"?>
<comments xmlns="http://schemas.openxmlformats.org/spreadsheetml/2006/main">
  <authors>
    <author>tc={008F00C6-005C-4D39-947B-0026009F0001}</author>
    <author>tc={00BB00E0-0094-4199-A90C-006A00BF00C9}</author>
    <author>tc={00AB0075-00B1-445D-9462-00170021002D}</author>
    <author>tc={005E00CD-0037-4031-924C-000C00680065}</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5.xml><?xml version="1.0" encoding="utf-8"?>
<comments xmlns="http://schemas.openxmlformats.org/spreadsheetml/2006/main">
  <authors>
    <author>tc={009B005C-0078-4936-9E16-00B200DA0094}</author>
    <author>tc={006100B4-00F5-4660-9F68-001500CB005F}</author>
    <author>tc={005F0061-00A0-4B96-A17D-002B00E50059}</author>
    <author>tc={00F90070-0050-4DA0-925C-0082006800E1}</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8"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6.xml><?xml version="1.0" encoding="utf-8"?>
<comments xmlns="http://schemas.openxmlformats.org/spreadsheetml/2006/main">
  <authors>
    <author>tc={00C9009D-0047-4935-A05A-0093003F00DC}</author>
    <author>tc={009A002A-0010-403B-AEB7-00AF009B0035}</author>
    <author>tc={00A800F3-00F3-4DC7-9D7E-0097004F0021}</author>
    <author>tc={00FA00F5-002A-4FC5-80C0-00BA0075005C}</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89"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7.xml><?xml version="1.0" encoding="utf-8"?>
<comments xmlns="http://schemas.openxmlformats.org/spreadsheetml/2006/main">
  <authors>
    <author>tc={00140028-00E0-4FB8-92EF-00ED00C500B8}</author>
    <author>tc={0096002E-0069-4175-B0DB-00CC002E002F}</author>
    <author>tc={0090009B-00F0-4CB4-A0E6-00C500A400C5}</author>
    <author>tc={00D30016-0005-490D-822D-001000E30056}</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00"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8.xml><?xml version="1.0" encoding="utf-8"?>
<comments xmlns="http://schemas.openxmlformats.org/spreadsheetml/2006/main">
  <authors>
    <author>tc={00DD00A7-008D-4124-BE47-005F00BB009C}</author>
    <author>tc={00FB00EE-006E-40CB-A081-00D300DB00A9}</author>
    <author>tc={00CB001F-0085-4975-BCBE-005D00950052}</author>
    <author>tc={00DF0049-00FD-4835-B9CD-00E700300068}</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0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59.xml><?xml version="1.0" encoding="utf-8"?>
<comments xmlns="http://schemas.openxmlformats.org/spreadsheetml/2006/main">
  <authors>
    <author>tc={00DE00E8-00E0-438C-920D-003900FE00E6}</author>
    <author>tc={0027009F-002B-418B-BD9C-003D001C00D8}</author>
    <author>tc={003300B6-0009-47CA-9324-00E900450075}</author>
    <author>tc={0073004D-00F2-429A-8F07-00A9009D0039}</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0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6.xml><?xml version="1.0" encoding="utf-8"?>
<comments xmlns="http://schemas.openxmlformats.org/spreadsheetml/2006/main">
  <authors>
    <author>tc={6870FDC2-5C07-ABE3-0A6C-8DDFC1E0D3D1}</author>
    <author>tc={AD8297B6-10DD-A259-4418-6423364D7FAA}</author>
    <author>tc={622C5AB0-FCE8-A997-40F4-E82EC311574F}</author>
    <author>tc={9B51B100-B7D8-40DB-4386-E90B120F8D87}</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45"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60.xml><?xml version="1.0" encoding="utf-8"?>
<comments xmlns="http://schemas.openxmlformats.org/spreadsheetml/2006/main">
  <authors>
    <author>tc={0050001F-008F-49DA-8B47-00A700FA00B4}</author>
    <author>tc={004A00D2-00F1-4D11-94E1-003B000800D4}</author>
    <author>tc={009C00C1-00B6-43B6-BBCD-0017008A000E}</author>
    <author>tc={007B009C-0006-446D-AA46-00B9007B008F}</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01"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7.xml><?xml version="1.0" encoding="utf-8"?>
<comments xmlns="http://schemas.openxmlformats.org/spreadsheetml/2006/main">
  <authors>
    <author>tc={4021FFC5-20B8-513D-FC89-8915725BE45C}</author>
    <author>tc={AC9DFD03-38B1-4793-B197-E56C7B72A5D1}</author>
    <author>tc={CA9ECD47-63B7-D92E-8CBE-82F703C0E8F1}</author>
    <author>tc={29836513-2FDF-28B0-6097-0F653A39E076}</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8.xml><?xml version="1.0" encoding="utf-8"?>
<comments xmlns="http://schemas.openxmlformats.org/spreadsheetml/2006/main">
  <authors>
    <author>tc={DDE7DE63-13C3-CAAA-AA38-451DE75D80A8}</author>
    <author>tc={3814D792-474C-6A85-21CD-D4DDF7ED1102}</author>
    <author>tc={8408ACD7-C48D-8F69-6978-5E7B8AA6C70A}</author>
    <author>tc={F41183E6-61C8-992A-1765-21710BE7C401}</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comments9.xml><?xml version="1.0" encoding="utf-8"?>
<comments xmlns="http://schemas.openxmlformats.org/spreadsheetml/2006/main">
  <authors>
    <author>tc={7E67D8EA-4DE7-57CD-2099-C03F2F21F521}</author>
    <author>tc={4B3745C4-A6BB-6DC6-3311-6FBC8B334CE1}</author>
    <author>tc={3A0096F3-2178-8217-DBA3-7DD876389DEA}</author>
    <author>tc={BACCAD11-B50D-DA14-29C1-19E4ADB4543D}</author>
  </authors>
  <commentList>
    <comment ref="P3" authorId="0">
      <text>
        <r>
          <rPr>
            <b/>
            <sz val="9"/>
            <rFont val="Tahoma"/>
          </rPr>
          <t xml:space="preserve"> :</t>
        </r>
        <r>
          <rPr>
            <sz val="9"/>
            <rFont val="Tahoma"/>
          </rPr>
          <t xml:space="preserve">
Comment:
Comment:
 :
MGL:
MGL:
il est important de distinguer les coûts de pose pour pouvoir chiffrer l'assurance
</t>
        </r>
      </text>
    </comment>
    <comment ref="Q3" authorId="1">
      <text>
        <r>
          <rPr>
            <b/>
            <sz val="9"/>
            <rFont val="Tahoma"/>
          </rPr>
          <t xml:space="preserve"> :</t>
        </r>
        <r>
          <rPr>
            <sz val="9"/>
            <rFont val="Tahoma"/>
          </rPr>
          <t xml:space="preserve">
Comment:
Comment:
 :
MGL:
MGL:
Selon devis ENEDIS fournis dans les PDR
</t>
        </r>
      </text>
    </comment>
    <comment ref="S3" authorId="2">
      <text>
        <r>
          <rPr>
            <b/>
            <sz val="9"/>
            <rFont val="Tahoma"/>
          </rPr>
          <t xml:space="preserve"> :</t>
        </r>
        <r>
          <rPr>
            <sz val="9"/>
            <rFont val="Tahoma"/>
          </rPr>
          <t xml:space="preserve">
Comment:
Comment:
 :
MGL:
MGL:
Boîtiers RBEE SOLAR : compter 550 € HT par boitier pour un abonnement sur 10 ans sur une installation de 9 kW - Voir fiche MONITORING des CVP
</t>
        </r>
      </text>
    </comment>
    <comment ref="A134" authorId="3">
      <text>
        <r>
          <rPr>
            <b/>
            <sz val="9"/>
            <rFont val="Tahoma"/>
          </rPr>
          <t xml:space="preserve"> :</t>
        </r>
        <r>
          <rPr>
            <sz val="9"/>
            <rFont val="Tahoma"/>
          </rPr>
          <t xml:space="preserve">
Comment:
Comment:
 :
MGL:
MGL:
Non directement liés au PV, mais qui n'auraient pas lieu sans l'installation PV : déplacement de velux, suppression de cheminée, renforcement de charpentes, etc. 
</t>
        </r>
      </text>
    </comment>
  </commentList>
</comments>
</file>

<file path=xl/sharedStrings.xml><?xml version="1.0" encoding="utf-8"?>
<sst xmlns="http://schemas.openxmlformats.org/spreadsheetml/2006/main" count="24221" uniqueCount="2103">
  <si>
    <t>PRESENTATION SYNTHETIQUE DU PROJET</t>
  </si>
  <si>
    <t>AIDE</t>
  </si>
  <si>
    <t>Le projet est porté par la société Centrales Villageoises</t>
  </si>
  <si>
    <t>CVSSB</t>
  </si>
  <si>
    <t>Type société</t>
  </si>
  <si>
    <t>Cette société est une :</t>
  </si>
  <si>
    <t>SAS</t>
  </si>
  <si>
    <t>SCIC/SAS</t>
  </si>
  <si>
    <r>
      <rPr>
        <b/>
        <sz val="12"/>
        <rFont val="Wingdings"/>
      </rPr>
      <t xml:space="preserve">x </t>
    </r>
    <r>
      <rPr>
        <b/>
        <sz val="12"/>
        <rFont val="Calibri"/>
      </rPr>
      <t>Le projet photovoltaïque</t>
    </r>
  </si>
  <si>
    <t>Nb installations</t>
  </si>
  <si>
    <t>communes</t>
  </si>
  <si>
    <t>Puissance (kW)</t>
  </si>
  <si>
    <t>Production annuelle (kWh/an)</t>
  </si>
  <si>
    <r>
      <rPr>
        <b/>
        <sz val="12"/>
        <rFont val="Wingdings"/>
      </rPr>
      <t>x</t>
    </r>
    <r>
      <rPr>
        <b/>
        <sz val="12"/>
        <rFont val="Calibri"/>
      </rPr>
      <t xml:space="preserve"> Les coûts et recettes</t>
    </r>
  </si>
  <si>
    <t>Investissement(€ HT)</t>
  </si>
  <si>
    <t>Photovoltaïque</t>
  </si>
  <si>
    <t>Autres travaux</t>
  </si>
  <si>
    <t>Raccordement</t>
  </si>
  <si>
    <t>Recettes annuelles (€ HT/an)</t>
  </si>
  <si>
    <r>
      <rPr>
        <b/>
        <sz val="12"/>
        <rFont val="Wingdings"/>
      </rPr>
      <t>x</t>
    </r>
    <r>
      <rPr>
        <b/>
        <sz val="12"/>
        <rFont val="Calibri"/>
      </rPr>
      <t xml:space="preserve"> Le financement</t>
    </r>
  </si>
  <si>
    <t>Charges annuelles (€ HT/an)</t>
  </si>
  <si>
    <t>Les hypothèses prises en compte ici tiennent compte d'un financement en fonds propres à hauteur de</t>
  </si>
  <si>
    <t>Fonds propres</t>
  </si>
  <si>
    <t>Comptes courants associés</t>
  </si>
  <si>
    <t>Emprunt</t>
  </si>
  <si>
    <r>
      <rPr>
        <b/>
        <sz val="12"/>
        <rFont val="Wingdings"/>
      </rPr>
      <t xml:space="preserve">x </t>
    </r>
    <r>
      <rPr>
        <b/>
        <sz val="12"/>
        <rFont val="Calibri"/>
      </rPr>
      <t>Indicateurs financiers</t>
    </r>
  </si>
  <si>
    <t xml:space="preserve">Avec les hypothèses précédentes, la rentabilité financière du projet sur 20 ans est de </t>
  </si>
  <si>
    <t>TRI projet</t>
  </si>
  <si>
    <t>Les TRI sont donnés ci-contre.</t>
  </si>
  <si>
    <t>TRI fonds propres</t>
  </si>
  <si>
    <t>remplir les cases jaune clair uniquement</t>
  </si>
  <si>
    <t>ID</t>
  </si>
  <si>
    <t>Choix Install</t>
  </si>
  <si>
    <t>N</t>
  </si>
  <si>
    <t>Nom install</t>
  </si>
  <si>
    <t>Sol° techn</t>
  </si>
  <si>
    <t>Adresse</t>
  </si>
  <si>
    <t>Couverture</t>
  </si>
  <si>
    <t>Statut estimation</t>
  </si>
  <si>
    <t>Vide1</t>
  </si>
  <si>
    <t>Surf m2</t>
  </si>
  <si>
    <t>P kWc</t>
  </si>
  <si>
    <t>Productible h/an</t>
  </si>
  <si>
    <t>Prod kWh/an</t>
  </si>
  <si>
    <t>Vide2</t>
  </si>
  <si>
    <t>Système PV € HT</t>
  </si>
  <si>
    <t>Onduleurs € HT</t>
  </si>
  <si>
    <t>Câbles et accessoires</t>
  </si>
  <si>
    <t>Pose instal € HT</t>
  </si>
  <si>
    <t>Raccordement € HT</t>
  </si>
  <si>
    <t>Coffrets tranchées</t>
  </si>
  <si>
    <t>Boîtiers monitoring</t>
  </si>
  <si>
    <t>Total inv directs € HT</t>
  </si>
  <si>
    <t>Nature travaux induits</t>
  </si>
  <si>
    <t>Montant travaux  induits</t>
  </si>
  <si>
    <t>% par CVSSB pour travaux  induits</t>
  </si>
  <si>
    <t>Restant déduit du loyer</t>
  </si>
  <si>
    <t>Coût  inv. induits</t>
  </si>
  <si>
    <t>Total inv PV (directs + induits)</t>
  </si>
  <si>
    <t>Nature des travaux</t>
  </si>
  <si>
    <t>Déduit des loyers</t>
  </si>
  <si>
    <t>Coût travaux</t>
  </si>
  <si>
    <t>Coût induit CVSSB</t>
  </si>
  <si>
    <t>Total travaux</t>
  </si>
  <si>
    <t>notaire</t>
  </si>
  <si>
    <t>Autres coûts</t>
  </si>
  <si>
    <t>Vide3</t>
  </si>
  <si>
    <t>Assurance</t>
  </si>
  <si>
    <t>Maintenance</t>
  </si>
  <si>
    <t>Coût TURPE</t>
  </si>
  <si>
    <t>Catégorie TURPE</t>
  </si>
  <si>
    <t>Base loyer (€/kWc)</t>
  </si>
  <si>
    <t>Loyer annuel</t>
  </si>
  <si>
    <t>TOTAL CHARGES</t>
  </si>
  <si>
    <t>Vide4</t>
  </si>
  <si>
    <t>Vide5</t>
  </si>
  <si>
    <t>Montant extension garantie onduleurs €HT</t>
  </si>
  <si>
    <t>Renouv monitoring année 11</t>
  </si>
  <si>
    <t>Vide6</t>
  </si>
  <si>
    <t>Tarif d'achat (cts d'euros / kWh)</t>
  </si>
  <si>
    <t>Vente élec</t>
  </si>
  <si>
    <t>Vide7</t>
  </si>
  <si>
    <t>Vente / invest. total</t>
  </si>
  <si>
    <t>Vente / Inv. PV</t>
  </si>
  <si>
    <t>Coût inv. PV direct €/Wc</t>
  </si>
  <si>
    <t>Coût total €/Wc</t>
  </si>
  <si>
    <t>Frais de démantèlement</t>
  </si>
  <si>
    <t>Consulter l'AIDE et les commentaires des cellules</t>
  </si>
  <si>
    <t>INVESTISSEMENTS EN € HT</t>
  </si>
  <si>
    <t>Frais notaire</t>
  </si>
  <si>
    <t>Autres coûts (développement..)</t>
  </si>
  <si>
    <t>CHARGES ANNUELLES  (en € HT/an)</t>
  </si>
  <si>
    <t>CHARGES EXTERNES</t>
  </si>
  <si>
    <t>RECETTES (€ HT/an)</t>
  </si>
  <si>
    <t>RECETTES (€ HT)</t>
  </si>
  <si>
    <t>RATIOS</t>
  </si>
  <si>
    <t>LOCALISATION DE L'INSTALLATION</t>
  </si>
  <si>
    <t>CARACTERISTIQUES INSTALLATION PV</t>
  </si>
  <si>
    <t>INVESTISSEMENTS DIRECTEMENT LIES AU PV (€ HT)</t>
  </si>
  <si>
    <t>Total inv directs (€ HT)</t>
  </si>
  <si>
    <t>INVESTISSEMENTS INDUITS PAR LE PV (€ HT)</t>
  </si>
  <si>
    <t>INVESTISSEMENTS DU PROPRIETAIRE (€ HT)</t>
  </si>
  <si>
    <t>Charges PV</t>
  </si>
  <si>
    <t>Loyers</t>
  </si>
  <si>
    <t>Ext. garantie onduleurs</t>
  </si>
  <si>
    <t>Prime d’intégration paysagère demandée (oui/non)</t>
  </si>
  <si>
    <t>Montant de la prime maximale possible au jour d’aujourd’hui</t>
  </si>
  <si>
    <t>FRAIS DE DÉMANTÈLEMENT</t>
  </si>
  <si>
    <t>Evolution des tarifs principaux</t>
  </si>
  <si>
    <t>Nom installation</t>
  </si>
  <si>
    <t>Solution technique</t>
  </si>
  <si>
    <t>Statut de l’estimation</t>
  </si>
  <si>
    <r>
      <rPr>
        <b/>
        <sz val="11"/>
        <rFont val="Calibri"/>
      </rPr>
      <t>Surface (m</t>
    </r>
    <r>
      <rPr>
        <b/>
        <vertAlign val="superscript"/>
        <sz val="11"/>
        <rFont val="Calibri"/>
      </rPr>
      <t>2</t>
    </r>
    <r>
      <rPr>
        <b/>
        <sz val="11"/>
        <rFont val="Calibri"/>
      </rPr>
      <t>)</t>
    </r>
  </si>
  <si>
    <t>Puissance (kWc)</t>
  </si>
  <si>
    <t>Puissance kVA</t>
  </si>
  <si>
    <t>Productible (kWh/kWc)</t>
  </si>
  <si>
    <t>Production (kWh)</t>
  </si>
  <si>
    <t>Système PV (€ HT)</t>
  </si>
  <si>
    <t>Pose de l'installation PV</t>
  </si>
  <si>
    <t>Raccordement (€ HT)</t>
  </si>
  <si>
    <t>Coffrets &amp; tranchées</t>
  </si>
  <si>
    <t>Montant des travaux</t>
  </si>
  <si>
    <t>% par société locale</t>
  </si>
  <si>
    <t>Coût induit soc loc</t>
  </si>
  <si>
    <t>TURPE</t>
  </si>
  <si>
    <t>IFER</t>
  </si>
  <si>
    <t>Base calcul du loyer (€/kWc)</t>
  </si>
  <si>
    <t>Montant annuel</t>
  </si>
  <si>
    <t>Montant extension de garantie onduleurs (€HT)</t>
  </si>
  <si>
    <t>Travaux induits et déduits des loyers</t>
  </si>
  <si>
    <t>Travaux annexes déduits des loyers</t>
  </si>
  <si>
    <t>Montant  à la charge du proprio</t>
  </si>
  <si>
    <t>euros HT/an</t>
  </si>
  <si>
    <t>Test coche</t>
  </si>
  <si>
    <t>Choix tvx annexes</t>
  </si>
  <si>
    <t>Choix loyers</t>
  </si>
  <si>
    <t>Choix années</t>
  </si>
  <si>
    <t>Tests déduction travaux des loyers</t>
  </si>
  <si>
    <t>Choix extension garantie onduleurs</t>
  </si>
  <si>
    <t>Choix des taux entre 0 et 100%</t>
  </si>
  <si>
    <t>Plage Puissance (kWc)</t>
  </si>
  <si>
    <t>Plafond horaire (h/an)</t>
  </si>
  <si>
    <t>Tarif au-delà du plafond horaire (cts d'euros / kWh)</t>
  </si>
  <si>
    <t>P maxi</t>
  </si>
  <si>
    <t>Prime à l’intégration paysagère (€/Wc)</t>
  </si>
  <si>
    <t>Tarif 3T2020</t>
  </si>
  <si>
    <t>Tarif 4T2020</t>
  </si>
  <si>
    <t>1T 2021</t>
  </si>
  <si>
    <t>2T 2021</t>
  </si>
  <si>
    <t>3T 2021</t>
  </si>
  <si>
    <t>4T de facturation 2021 (du 09/10/21 au 31/01/22)</t>
  </si>
  <si>
    <t>1T 2022 (du 01/02/22 au 30/04/22)</t>
  </si>
  <si>
    <t>0 à 3 inclus</t>
  </si>
  <si>
    <t>Segment de puissance (kWc)</t>
  </si>
  <si>
    <t>Si DCR déposée entre 06/10/2021 et 05/10/2022 et pour les premiers 30 MW de PDCR</t>
  </si>
  <si>
    <t>Si DCR déposée entre 06/10/2022 et 05/10/2023 et pour les premiers 115 MW de PDCR</t>
  </si>
  <si>
    <t>17,89*Kn</t>
  </si>
  <si>
    <t>non</t>
  </si>
  <si>
    <t>041 Laurence BOUBET Macon</t>
  </si>
  <si>
    <t>ALEO SOLAR X19HE300 IAB IRFTS EASY ROOF EVOLUTION</t>
  </si>
  <si>
    <t>59 rue J Prévert
71000 Mâcon</t>
  </si>
  <si>
    <t>Final TQC (Tel que construit)</t>
  </si>
  <si>
    <t>Générateur 2aire</t>
  </si>
  <si>
    <t>1) 1 à 36kVA</t>
  </si>
  <si>
    <t>3 exclus à 9 inclus</t>
  </si>
  <si>
    <t>&lt; 100 kWc</t>
  </si>
  <si>
    <t>15,21*Kn</t>
  </si>
  <si>
    <t>245 Françoise MARTINEZ Matour</t>
  </si>
  <si>
    <t>Les Bots
71520 Matour</t>
  </si>
  <si>
    <t>Final TQC</t>
  </si>
  <si>
    <t>2) 36 à 250 kVA</t>
  </si>
  <si>
    <t>9 exclus à 36 inclus</t>
  </si>
  <si>
    <t>100 à 250 kWc</t>
  </si>
  <si>
    <t>0,,128</t>
  </si>
  <si>
    <t>10,89*Kn</t>
  </si>
  <si>
    <t>051 Sylvain DELIOT</t>
  </si>
  <si>
    <t>2 rue de la Gendarmerie
71520 Tramayes</t>
  </si>
  <si>
    <t>3) &gt; 250 kVA</t>
  </si>
  <si>
    <t>36 exclus à 100 inclus</t>
  </si>
  <si>
    <t>250 à 500 kWc</t>
  </si>
  <si>
    <t>9,47*Kn</t>
  </si>
  <si>
    <t>076 Ateliers municipaux Verzé</t>
  </si>
  <si>
    <t>Ateliers municipaux
71960 Verzé</t>
  </si>
  <si>
    <t>oui</t>
  </si>
  <si>
    <t>100 exclus à 500 inclus</t>
  </si>
  <si>
    <t>9,8*Kn</t>
  </si>
  <si>
    <t>058  5 che.  Vannas et école élémentaire</t>
  </si>
  <si>
    <t>DUALSUN 310 + SMA + IRFTS EASY ROOF TOP par 1, 25 % de marge installateur</t>
  </si>
  <si>
    <t>5 et 7 chemin de Vannas
71520 Tramayes</t>
  </si>
  <si>
    <t>tuiles plates mécaniques</t>
  </si>
  <si>
    <t>Final</t>
  </si>
  <si>
    <t>Kn attendu autour de 1,005</t>
  </si>
  <si>
    <t>335 Salle des fêtes Sancé</t>
  </si>
  <si>
    <t>&lt;36kVA : DUALSUN FLASH 370 + K2 SYSTEMS SINGLE RAIL + SOLAREDGE 55K</t>
  </si>
  <si>
    <t>2 rue du Bourg 71000 Sancé</t>
  </si>
  <si>
    <t>tuiles mâconnaises</t>
  </si>
  <si>
    <t>Prélim :</t>
  </si>
  <si>
    <t>Max : DUALSUN FLASH 360 + K2 SYSTEMS SINGLE RAIL + SOLAREDGE 55K</t>
  </si>
  <si>
    <r>
      <rPr>
        <sz val="11"/>
        <rFont val="Arial Narrow"/>
      </rPr>
      <t>337 V</t>
    </r>
    <r>
      <rPr>
        <sz val="10"/>
        <rFont val="Arial"/>
      </rPr>
      <t>inipole</t>
    </r>
  </si>
  <si>
    <t>104xTRINA 340 + FRONIUS ECO 27  Surimposition K2</t>
  </si>
  <si>
    <t>102 route des Poncetys
71960 Davayé</t>
  </si>
  <si>
    <t>REC 360 ALPHA + SOLAREDGE  Surimposition K2</t>
  </si>
  <si>
    <t>96xDUALSUN375 + HUAWEY SUN2000 30KTL + Surimposition K2</t>
  </si>
  <si>
    <t>Renforcement charpente + incertitude sur coût matériel</t>
  </si>
  <si>
    <t>96xSUNPOWER PERFORMANCE 375Wc + SMA 15000TL + SMA 20000TL + Single rail K2 Systems</t>
  </si>
  <si>
    <t>DNE base</t>
  </si>
  <si>
    <t>Renforcement charpente</t>
  </si>
  <si>
    <t>90xTRINA VERTEXS 400Wc + SMA 15000TL + SMA 20000TL + Single rail K2 Systems</t>
  </si>
  <si>
    <t>DNE variante</t>
  </si>
  <si>
    <t>?</t>
  </si>
  <si>
    <t>BRIVAL</t>
  </si>
  <si>
    <t>SUNPOWER PERFORMANCE ?Wc + SMA ST CORE 1 STP50-40 + Click FIT EVO ESDEC</t>
  </si>
  <si>
    <t>SOLARTEC</t>
  </si>
  <si>
    <t>96 DUALSUN FLASH 375 + SE 30K + 48 P70 + K2 SYSTEMS SINGLE RAIL</t>
  </si>
  <si>
    <t>SOLLYS ENERGIE</t>
  </si>
  <si>
    <t>32.5</t>
  </si>
  <si>
    <t>338 Salle polyvalente</t>
  </si>
  <si>
    <t>DUALSUN FALSH 360 + 2xFRONIUS ECO27 + 1xFRONIUS SYMO 15 + K2 SYSTEMS MINIRAIL H</t>
  </si>
  <si>
    <t>71960 La Roche vineuse</t>
  </si>
  <si>
    <t>Prélim : Attente chiffrage raccordement</t>
  </si>
  <si>
    <t>Désamiantage et pose TAN</t>
  </si>
  <si>
    <t>354 Salle d'activités et de judo</t>
  </si>
  <si>
    <t>TRINA 340 + SOLAREDGE + IRFTS EASYROOF</t>
  </si>
  <si>
    <t>Prélim : Attente confirmation type charpente et accord déplacement tabatière</t>
  </si>
  <si>
    <t>Déplacement tabatière et crochet de toit</t>
  </si>
  <si>
    <t>DUALSUN 360 + SMA STP 25000TL-30 + K2 SYSTEM surimposé</t>
  </si>
  <si>
    <t>Prélim : Attente confirmation type charpente et accord pour surimposé et déplacement tabatière</t>
  </si>
  <si>
    <t>356 Services techniques communaux : partie Ouest</t>
  </si>
  <si>
    <t>DUALSUN 310 + FRONIUS + Clampfit, par 10, 25 % de marge installateur Surimposition monocristallin sur bac acier</t>
  </si>
  <si>
    <t>bac acier</t>
  </si>
  <si>
    <t>-</t>
  </si>
  <si>
    <t>360 Maison du gardien</t>
  </si>
  <si>
    <t>DUALSUN 310 + FRONIUS + IRFTS EASYROOF, tarif Lot 2018-4 + 3 %</t>
  </si>
  <si>
    <t xml:space="preserve">387 Cave Grands Vins Julienas Chaintre </t>
  </si>
  <si>
    <t>DUALSUN 310 + FRONIUS + IRFTS EASYROOF pour IAB</t>
  </si>
  <si>
    <t>180 route de Juliénas
71570 Chaintré</t>
  </si>
  <si>
    <t>Tuile plate mécanique</t>
  </si>
  <si>
    <t>Final. Version non ERP pour l’aile Sud-Est du bâtiment principal</t>
  </si>
  <si>
    <t>400 Teixera</t>
  </si>
  <si>
    <t>DUALSUN 310 + SMA + ITAL SOLAR, par 1, 25 % de marge installateur</t>
  </si>
  <si>
    <t>189 chemin des Frozieres
71850 Charnay-lès-Mâcon</t>
  </si>
  <si>
    <t>TAN sandwich</t>
  </si>
  <si>
    <t>Final. Prévoir variante si TAN simple peau</t>
  </si>
  <si>
    <r>
      <rPr>
        <sz val="11"/>
        <rFont val="Arial Narrow"/>
      </rPr>
      <t xml:space="preserve">436 </t>
    </r>
    <r>
      <rPr>
        <sz val="10"/>
        <rFont val="Calibri"/>
      </rPr>
      <t>ESPACE ET FONCTION</t>
    </r>
  </si>
  <si>
    <t>DUALSUN 310 + FRONIUS + ITAL SOLAR, par 1, 25 % de marge installateur Surimposition monocristallin sur bac acier sandwich</t>
  </si>
  <si>
    <t>4 rue du 19 mars 1962
71000 Sancé</t>
  </si>
  <si>
    <t>Tôles sandwich 80mm</t>
  </si>
  <si>
    <t>Prélim : Attente plans bâtiment, avant lancement étude de structure pour confirmation faisabilité</t>
  </si>
  <si>
    <t>446 Ateliers municipaux</t>
  </si>
  <si>
    <t>DUALSUN 310 + FRONIUS + ITAL SOLAR, par 1, 25 % de marge installateur</t>
  </si>
  <si>
    <t>01750 Replonges</t>
  </si>
  <si>
    <t>Prélim : A inclure dans lot 2021</t>
  </si>
  <si>
    <t>461 EHPAD de l’Héritan – Bâtiment Nord</t>
  </si>
  <si>
    <t>DUALSUN 310 + FRONIUS + K2 SYSTEMS par 1, 25 % marge installateur</t>
  </si>
  <si>
    <t>Impasse Jean Bouvet 71000 Mâcon</t>
  </si>
  <si>
    <t>Prélim : Attente précision sur dimension toiture bâtiment Nord puis faire demande offre à EKLOR</t>
  </si>
  <si>
    <t>505 Communauté de Taizé</t>
  </si>
  <si>
    <t>DUALSUN 310Wc sur pan 1 et TRINA 340Wc sur pan 2 + SOLAREDGE + K2 SYSTEMS SINGLE RAIL</t>
  </si>
  <si>
    <t>Croche Saint Pierre 71250 Taizé</t>
  </si>
  <si>
    <t>Fibrociment</t>
  </si>
  <si>
    <t>523 Ecole municipale et Cantine Saint-Martin-Belle-Roche</t>
  </si>
  <si>
    <t>525 Gymnase omnisport Saint-Martin-Belle-Roche</t>
  </si>
  <si>
    <r>
      <rPr>
        <sz val="11"/>
        <rFont val="Arial Narrow"/>
      </rPr>
      <t xml:space="preserve">527 </t>
    </r>
    <r>
      <rPr>
        <sz val="10"/>
        <rFont val="Calibri"/>
      </rPr>
      <t>Nathalie FOURNIER et Didier JOULIN Matour</t>
    </r>
  </si>
  <si>
    <t>DUALSUN 310 + EASY ROOF EVOLUTION + FRONIUS</t>
  </si>
  <si>
    <t>Les Colins, 71520 matour</t>
  </si>
  <si>
    <t>Tuile galbée ?</t>
  </si>
  <si>
    <t>Prélim : avec tranchée sans goudron</t>
  </si>
  <si>
    <t>533 Communauté de Taizé</t>
  </si>
  <si>
    <t>DUALSUN FLASH 375 SHINGLE BLACK + SOLAREDGE + TAN + K2 SYSTEMS SINGLE RAIL</t>
  </si>
  <si>
    <t>Fibrociment =&gt; TAN</t>
  </si>
  <si>
    <t>Remplacement Fibrociment par TAN 0,75mm</t>
  </si>
  <si>
    <t>543 La Ferme du Mont rouge Blanot</t>
  </si>
  <si>
    <t>277xDUALSUN360 + 3xFRONIUS ECO 27 + 1x FRONIUS SYMO 4,5 + K2 SYSTEMS MINI RAIL</t>
  </si>
  <si>
    <t>La Condemine, 71250 Blanot</t>
  </si>
  <si>
    <t>TAN</t>
  </si>
  <si>
    <t>Prélim : préciser position onduleurs, emplacement Poste HTA/BT, PDL, surcoût couvreur</t>
  </si>
  <si>
    <t>378xDUALSUN FLASH 375 + 4xFRONIUS ECO 27 + 1xFROMIUS SYMO15 + SOLARSIT : Tarif centrale achat</t>
  </si>
  <si>
    <t>303xREC 330 + 3xFRONIUS ECO 27 + 1xFROMIUS SYMO12.5 + SOLARSIT : Tarif centrale achat</t>
  </si>
  <si>
    <t>Prélim : préciser position onduleurs, emplacement Poste HTA/BT, PDL</t>
  </si>
  <si>
    <t>368 VOLTEC 390W + K2 SYSTEMS MINIRAIL + 1xFRONIUS TAURO 100 + 1xFRONIUS ECO25LIGHT</t>
  </si>
  <si>
    <t>DUALSUN 405+ 2xSMA SHP 100-20 + K2 SYSTEMS MINIRAIL</t>
  </si>
  <si>
    <t>DUALSUN 405+ FRONIUS TAURO 1x100+1x50 + K2 SYSTEMS MINIRAIL</t>
  </si>
  <si>
    <t xml:space="preserve">DUALSUN 405+ FRONIUS TAURO 1x100+1x50 sous champs PV + K2 SYSTEMS MINIRAIL </t>
  </si>
  <si>
    <t>546 Communauté de Taizé</t>
  </si>
  <si>
    <t>DUALSUN 375 SHINGLE BLACK + SOLAR EDGE 25K + K2 SYSTEMS SINGLE RAIL + MINI RAIL</t>
  </si>
  <si>
    <t>Fibro + TAN</t>
  </si>
  <si>
    <t>Prélim : préciser position onduleurs</t>
  </si>
  <si>
    <t>550 Salle intergénérationnelle Varennes-lès-Mâcon</t>
  </si>
  <si>
    <t>150 DUALSUN FLASH 370 + 1xSMA TP 75000 CORE 1</t>
  </si>
  <si>
    <t>Rue des Courots  71000 Varennes-lès-Mâcon</t>
  </si>
  <si>
    <t>Tuile galbée&gt;ISB</t>
  </si>
  <si>
    <t>Prélim : classification ERP</t>
  </si>
  <si>
    <t>Fourniture et pose TAN</t>
  </si>
  <si>
    <t>150 DUALSUN FLASH 370 + 1xSMA TP 75000 CORE 1 + MECOSUN sur rails omega rapportés</t>
  </si>
  <si>
    <t>Tuile galbée&gt;IAB</t>
  </si>
  <si>
    <t>150 DUALSUN FLASH 370 + 1xSOLAREDGE SE55K + MECOSUN sur rails omega rapportés</t>
  </si>
  <si>
    <t>95 DUALSUN FLASH 370 + 1xFRONIUS ECO 27 + 1xFRONIUS SYMO 8.3 + ISB + K2 SYSTEM MULTIRAIL</t>
  </si>
  <si>
    <t>556 Laurent GAUTHIE Cluny</t>
  </si>
  <si>
    <t>207xDUALSUN FLASH 360 + 2xFRONIUS ECO 27 Light + 1xFROMIUS SYMO10 + MINIRAIL + coffret TECHNIDEAL</t>
  </si>
  <si>
    <t>27 rue des Griottons 71250 Cluny</t>
  </si>
  <si>
    <t>561 Centre équestre Chevagny-les-Chevrières</t>
  </si>
  <si>
    <t>564xDUALSUN FLASH 360 + 6xFRONIUS ECO 27 Light + 1xFROMIUS SYMO15 + SOLARSIT + MINIRAIL + Pose TAN sur bât Sud</t>
  </si>
  <si>
    <t>505 chemin du gros mont 71960 Chevagny-les-Chevrières</t>
  </si>
  <si>
    <t>TAN en remplacement de fibrociment</t>
  </si>
  <si>
    <t>Désamiantage hangar Sud</t>
  </si>
  <si>
    <t>172xDUALSUN FLASH 360 + 2xFRONIUS ECO 27 Light + SOLARSIT</t>
  </si>
  <si>
    <t>562 Garages 256 av mal Juin Mâcon</t>
  </si>
  <si>
    <t>277xDUALSUN360 + 3xFRONIUS ECO 27 + 1x FRONIUS SYMO 4,5 + SUR FIBRO</t>
  </si>
  <si>
    <t>256 avenue du maréchal Juin 71000 Mâcon</t>
  </si>
  <si>
    <t>Déssamiantage</t>
  </si>
  <si>
    <t>563 Ateliers municipaux Cluny</t>
  </si>
  <si>
    <t>338xDUALSUN360 + 3xFRONIUS ECO 27 + 1x FRONIUS SYMO 12,5 + SUR FIBRO</t>
  </si>
  <si>
    <t>14 route de la Roseraie  71250 Cluny</t>
  </si>
  <si>
    <t>567 Boulodrome Cluny</t>
  </si>
  <si>
    <t>29 rue des Griottons 71250 Cluny</t>
  </si>
  <si>
    <t>569 COMETE Cluny</t>
  </si>
  <si>
    <t>Chemin rural de Boursier à Cluny</t>
  </si>
  <si>
    <t>Prélim : version BT max</t>
  </si>
  <si>
    <t>570 Quai de la gare Cluny</t>
  </si>
  <si>
    <r>
      <rPr>
        <sz val="12"/>
        <rFont val="Calibri"/>
      </rPr>
      <t xml:space="preserve">126 </t>
    </r>
    <r>
      <rPr>
        <sz val="10"/>
        <rFont val="MS Sans Serif"/>
      </rPr>
      <t>DUALSUN FLASH 360 + SMA CORE 1 + K2 SYSTEMS SINGLE RAIL</t>
    </r>
  </si>
  <si>
    <t>71250 Cluny</t>
  </si>
  <si>
    <t>Modules obsolèes</t>
  </si>
  <si>
    <t>132 DUALSUN FLASH HALF CUT 405 + FRONIUS TAURO ECO 50-D + K2 SYSTEMS SINGLE RAIL</t>
  </si>
  <si>
    <t>Bi-pan : 288 DUALSUN FLASH HALF CUT 405 + FRONIUS TAURO ECO 100-D + K2 SYSTEMS SINGLE RAIL</t>
  </si>
  <si>
    <t>Bi-pan 246 DUALSUN FLASH HALF CUT 405Wc + 2 onduleurs SE55.5K avec 123 optimiseurs P800p + K2 SYSTEMS SiNGLE RAIL</t>
  </si>
  <si>
    <t>Bi-pan : 297 DUALSUN FLASH HALF CUT 375 +2x FRONIUS TAURO ECO 50-D+ K2 SYSTEMS SINGLE RAIL</t>
  </si>
  <si>
    <t>Abandonnée car modules DS 375Wc sans bilan carbone acceptable</t>
  </si>
  <si>
    <t>96 DUALSUN FLASH HALF CUT BLACK 375 + FRONIUS ECO 27 + FRONIUS SYMO 3 + K2 SYSTEMS SINGLE RAIL</t>
  </si>
  <si>
    <t>Bi-pan : 244 DUALSUN FLASH HALF CUT 405 + 2 FRONIUS TAURO ECO 50-D + K2 SYSTEMS SINGLE RAIL</t>
  </si>
  <si>
    <t>599 Ateliers municipaux Saint-Point</t>
  </si>
  <si>
    <t>DUALSUN 375 SHINGLE BLACK + FRONIUS SYMO 20 + SYMO 6 + K2 SYSTEMS SINGLE RAIL</t>
  </si>
  <si>
    <t>Le Bourg, 71520 Saint-Point</t>
  </si>
  <si>
    <t>Tuile galbée</t>
  </si>
  <si>
    <t>Prélim : PDL au coin Nord-Est des ateliers, sans tranchée</t>
  </si>
  <si>
    <t>DUALSUN 375 SHINGLE BLACK + FRONIUS SYMO 20 + SYMO 6 + TAN + K2 SYSTEMS MINIRAIL</t>
  </si>
  <si>
    <t>ISB</t>
  </si>
  <si>
    <t>Remplacement tuiles par TAN</t>
  </si>
  <si>
    <t>605 Hôpital Bergesserin</t>
  </si>
  <si>
    <t>390 DUALSUN 370 + 4 SE33.3K + SINGLE RAIL K2 SYSTEM</t>
  </si>
  <si>
    <t>71250 Bergesserin</t>
  </si>
  <si>
    <t>TOTAL SUR LE PERIMETRE SELECTIONNE</t>
  </si>
  <si>
    <t>TOTAL SUR L'ENSEMBLE DES BATIMENTS LISTES</t>
  </si>
  <si>
    <t>remplir les cases jaunes</t>
  </si>
  <si>
    <t>ANALYSE ECONOMIQUE DU PROJET</t>
  </si>
  <si>
    <t>Nombre de parts</t>
  </si>
  <si>
    <r>
      <rPr>
        <b/>
        <sz val="14"/>
        <color indexed="65"/>
        <rFont val="Segoe UI Semibold"/>
      </rPr>
      <t xml:space="preserve">▼ </t>
    </r>
    <r>
      <rPr>
        <b/>
        <sz val="14"/>
        <color indexed="65"/>
        <rFont val="Calibri"/>
      </rPr>
      <t>SYNTHESE DES COUTS ET HYPOTHESES DE CALCUL</t>
    </r>
  </si>
  <si>
    <t>Remp CCA</t>
  </si>
  <si>
    <t>Distribution des bénéfices</t>
  </si>
  <si>
    <t>Linéaire</t>
  </si>
  <si>
    <t>Annuité constante</t>
  </si>
  <si>
    <t>chaque année</t>
  </si>
  <si>
    <t>Dégressif</t>
  </si>
  <si>
    <t>Ammortissement constant</t>
  </si>
  <si>
    <t>Coût total du projet photovoltaïque (€ HT)</t>
  </si>
  <si>
    <t xml:space="preserve">Charges totales annuelles de la SAS (€HT /an)                                                                          </t>
  </si>
  <si>
    <t>Charges externes (€HT)</t>
  </si>
  <si>
    <t>en fin de convention</t>
  </si>
  <si>
    <t>amortissement</t>
  </si>
  <si>
    <t>Oui</t>
  </si>
  <si>
    <t>Coût total du matériel PV</t>
  </si>
  <si>
    <t>Assurances (€/an)</t>
  </si>
  <si>
    <t>Année</t>
  </si>
  <si>
    <t>Montant</t>
  </si>
  <si>
    <t>Non</t>
  </si>
  <si>
    <t>Coût total de la pose</t>
  </si>
  <si>
    <t>Maintenance (hors changement onduleurs)</t>
  </si>
  <si>
    <t>Frais d'immatriculation et de publication</t>
  </si>
  <si>
    <t>Coût total des onduleurs</t>
  </si>
  <si>
    <t>Somme des TURPE  (€/an)</t>
  </si>
  <si>
    <t>Frais de dossier prêts bancaire</t>
  </si>
  <si>
    <t>Couverture emprunt</t>
  </si>
  <si>
    <t>Coût total des câbles et accessoires</t>
  </si>
  <si>
    <t>Somme des loyers versés</t>
  </si>
  <si>
    <t xml:space="preserve">Extension garantie onduleurs </t>
  </si>
  <si>
    <t>Coût total des raccordements</t>
  </si>
  <si>
    <t>Coût total coffrets et tranchées</t>
  </si>
  <si>
    <t>Coût boîtiers monitoring</t>
  </si>
  <si>
    <t>Frais de personnel</t>
  </si>
  <si>
    <t>Renouvellement investissement</t>
  </si>
  <si>
    <t>Coût des travaux induits pas le PV</t>
  </si>
  <si>
    <t>Frais de tenue de compte bancaire</t>
  </si>
  <si>
    <t>Travaux des propriétaires, déduits des loyers</t>
  </si>
  <si>
    <t>Honoraires comptables</t>
  </si>
  <si>
    <t>Changement onduleurs (si pas d'ext. garantie à 20 ans)</t>
  </si>
  <si>
    <t>Frais de notaire (baux)</t>
  </si>
  <si>
    <t>Dépôt des comptes au greffe du TC</t>
  </si>
  <si>
    <t>Renouvellement monitoring années 11-20</t>
  </si>
  <si>
    <t>Autres coûts (développement) + RCMO</t>
  </si>
  <si>
    <t>Divers (déplacements, communication)</t>
  </si>
  <si>
    <t>Total investissement initial</t>
  </si>
  <si>
    <t>Subvention:</t>
  </si>
  <si>
    <t>Coût total des charges externes (€HT)</t>
  </si>
  <si>
    <t xml:space="preserve">Montant total de l'investissement </t>
  </si>
  <si>
    <t>Coût total des charges annuelles (€ HT / an)</t>
  </si>
  <si>
    <t>Coût total renouvellement Invest.</t>
  </si>
  <si>
    <t>Hypothèses diverses</t>
  </si>
  <si>
    <t>Fiscalité</t>
  </si>
  <si>
    <t>Recettes</t>
  </si>
  <si>
    <t>Disponibilité de la centrale</t>
  </si>
  <si>
    <t>Valeur du TMO (pour SCIC)</t>
  </si>
  <si>
    <t>Perte de production / an</t>
  </si>
  <si>
    <t>Zone de Revitalisation Rurale (ZRR)</t>
  </si>
  <si>
    <t>Réserve légale (% du résultat)</t>
  </si>
  <si>
    <t>Vente annuelle d'électricité (€ HT/an)</t>
  </si>
  <si>
    <t>Indexation tarif d'achat (L)</t>
  </si>
  <si>
    <t>CSG</t>
  </si>
  <si>
    <t>Réserve statutaire (% du résultat)</t>
  </si>
  <si>
    <t>Prime d'intégration paysagère (€ HT)</t>
  </si>
  <si>
    <t>Indexation du SMIC horaire</t>
  </si>
  <si>
    <t>CFE : taux, en %</t>
  </si>
  <si>
    <t>Distribution années 1 à 3</t>
  </si>
  <si>
    <t>Année 1 = 2019</t>
  </si>
  <si>
    <t>Taux d'inflation</t>
  </si>
  <si>
    <t>CVAE (€ HT/an)</t>
  </si>
  <si>
    <t>Distribution années 4 et 5</t>
  </si>
  <si>
    <t>Année 4 = 2022</t>
  </si>
  <si>
    <t>Taux d'actualisation</t>
  </si>
  <si>
    <t>IFER (€ HT/an)</t>
  </si>
  <si>
    <t>Distribution années 6 à 20</t>
  </si>
  <si>
    <t>Année 6 = 2024</t>
  </si>
  <si>
    <r>
      <rPr>
        <b/>
        <sz val="12"/>
        <color indexed="65"/>
        <rFont val="Segoe UI Semibold"/>
      </rPr>
      <t>▼</t>
    </r>
    <r>
      <rPr>
        <b/>
        <sz val="14"/>
        <color indexed="65"/>
        <rFont val="Segoe UI Semibold"/>
      </rPr>
      <t xml:space="preserve"> </t>
    </r>
    <r>
      <rPr>
        <b/>
        <sz val="14"/>
        <color indexed="65"/>
        <rFont val="Calibri"/>
      </rPr>
      <t>FINANCEMENT</t>
    </r>
  </si>
  <si>
    <t>INDICATEUR ZRR POUR CALCUL DES IMPOTS</t>
  </si>
  <si>
    <t>Quasi fonds propres</t>
  </si>
  <si>
    <t>année 1</t>
  </si>
  <si>
    <t>année 2</t>
  </si>
  <si>
    <t xml:space="preserve">Montant d'une part </t>
  </si>
  <si>
    <t>Durée</t>
  </si>
  <si>
    <t xml:space="preserve">Taux </t>
  </si>
  <si>
    <t>Remb. principal</t>
  </si>
  <si>
    <t>année 3</t>
  </si>
  <si>
    <t>Nb de parts détenues par personnes physiques &amp; assimilés</t>
  </si>
  <si>
    <t xml:space="preserve">Comptes-courants associés </t>
  </si>
  <si>
    <t>année 4</t>
  </si>
  <si>
    <t>Nb parts personnes morales</t>
  </si>
  <si>
    <t>Taux fiscalement déductible</t>
  </si>
  <si>
    <t>année 5</t>
  </si>
  <si>
    <t>Taux de rémunération des fonds propres attendu</t>
  </si>
  <si>
    <t>Ecart au taux fiscalement déductible</t>
  </si>
  <si>
    <t>année 6</t>
  </si>
  <si>
    <t>Part FP / (sans aide) Investissement</t>
  </si>
  <si>
    <t>Part CCA / Investissement</t>
  </si>
  <si>
    <t>DIMENSIONNEMENT DU PRÊT</t>
  </si>
  <si>
    <t>année 7</t>
  </si>
  <si>
    <t>Total apports en capital</t>
  </si>
  <si>
    <t>Total CCA</t>
  </si>
  <si>
    <t>année 8</t>
  </si>
  <si>
    <t>Dette</t>
  </si>
  <si>
    <t>Taux</t>
  </si>
  <si>
    <t>Type remboursement</t>
  </si>
  <si>
    <t>% dette</t>
  </si>
  <si>
    <t>Différé remb</t>
  </si>
  <si>
    <t>Coût diff.</t>
  </si>
  <si>
    <t>Prêt relais TVA</t>
  </si>
  <si>
    <t>Couverture min. de l'emprunt:</t>
  </si>
  <si>
    <t>Emprunt bancaire 1</t>
  </si>
  <si>
    <t>Emprunt minimal à contracter</t>
  </si>
  <si>
    <t>Emprunt bancaire 2</t>
  </si>
  <si>
    <t>Total emprunts bancaires</t>
  </si>
  <si>
    <t>Taux annuel</t>
  </si>
  <si>
    <t>Au regard de la trésorerie mensuelle à 36 mois :</t>
  </si>
  <si>
    <t>Au regard de la trésorerie annuelle à 20 ans :</t>
  </si>
  <si>
    <t>Avance remboursable 1</t>
  </si>
  <si>
    <t>Avance remboursable 2</t>
  </si>
  <si>
    <t>Total avances remboursables</t>
  </si>
  <si>
    <t>Total dette</t>
  </si>
  <si>
    <t>Montant total du financement</t>
  </si>
  <si>
    <r>
      <rPr>
        <sz val="11"/>
        <rFont val="Cambria"/>
      </rPr>
      <t>C</t>
    </r>
    <r>
      <rPr>
        <sz val="11"/>
        <rFont val="Calibri"/>
      </rPr>
      <t xml:space="preserve">ouverture de la dette (DSCR) : </t>
    </r>
  </si>
  <si>
    <t>Part dette / Investissement</t>
  </si>
  <si>
    <r>
      <rPr>
        <b/>
        <sz val="14"/>
        <color indexed="65"/>
        <rFont val="Segoe UI Semibold"/>
      </rPr>
      <t>▼</t>
    </r>
    <r>
      <rPr>
        <b/>
        <sz val="14"/>
        <color indexed="65"/>
        <rFont val="Calibri"/>
      </rPr>
      <t xml:space="preserve"> RATIOS ECONOMIQUES</t>
    </r>
  </si>
  <si>
    <t>Flux nets de trésorerie actualisés</t>
  </si>
  <si>
    <t>VAN</t>
  </si>
  <si>
    <t>Calcul du TRI Projet</t>
  </si>
  <si>
    <t>Calcul du TRI Fonds propres</t>
  </si>
  <si>
    <t>Coût de l'argent</t>
  </si>
  <si>
    <t>Ratios économiques</t>
  </si>
  <si>
    <t>Ratio moyen de couverture de la dette</t>
  </si>
  <si>
    <t>CMPC nominal</t>
  </si>
  <si>
    <t>Valeur Actualisée Nette (VAN)</t>
  </si>
  <si>
    <t>Taux d'intérêt moyen</t>
  </si>
  <si>
    <t>CMPC réel</t>
  </si>
  <si>
    <t>TRI Fonds Propres</t>
  </si>
  <si>
    <t>TRI Projet</t>
  </si>
  <si>
    <t>Rentabilité financière moyenne sur 20 ans</t>
  </si>
  <si>
    <t>Ratios techniques</t>
  </si>
  <si>
    <t>Rentabilité économique moyenne sur 20 ans</t>
  </si>
  <si>
    <t>Ratio coût PV / puissance (€HT / Wc)</t>
  </si>
  <si>
    <t xml:space="preserve">Temps de Retour Actualisé (TRA) </t>
  </si>
  <si>
    <t>Ratio coût total / puissance (€HT/Wc)</t>
  </si>
  <si>
    <t>Rémunération moyenne des fonds propres</t>
  </si>
  <si>
    <t>Lot 2018</t>
  </si>
  <si>
    <t>Lot 2018+ Vinipole</t>
  </si>
  <si>
    <t>Lots 20&amp;8+2021 + 543</t>
  </si>
  <si>
    <t>Apport de 543</t>
  </si>
  <si>
    <t>Puissance modules</t>
  </si>
  <si>
    <t>Wc</t>
  </si>
  <si>
    <t>Puissance installée</t>
  </si>
  <si>
    <t>Nb</t>
  </si>
  <si>
    <t>Un</t>
  </si>
  <si>
    <t>Source</t>
  </si>
  <si>
    <t>Code article</t>
  </si>
  <si>
    <t>Libellé</t>
  </si>
  <si>
    <t>Prix brut</t>
  </si>
  <si>
    <t>Rem</t>
  </si>
  <si>
    <t>Prix net</t>
  </si>
  <si>
    <t>Commentaires</t>
  </si>
  <si>
    <t>U</t>
  </si>
  <si>
    <t>Devis 7903</t>
  </si>
  <si>
    <t>A390BW</t>
  </si>
  <si>
    <t>MODULE VOLTEC TARKA 126 VSMD 390Wc CADRE NOIR TEDLAR BLANC VOLTEC
SOLAR Fabriqué en France Avec Bilan Carbone 550g de Co²/kWc</t>
  </si>
  <si>
    <t>8Rx46C</t>
  </si>
  <si>
    <t>Offre VOLTEC pour grosse quantité + marge 10% distributeur</t>
  </si>
  <si>
    <t>CP012219</t>
  </si>
  <si>
    <t>ECO PARTICIPATION MODULE PV CADRE &gt;20kg</t>
  </si>
  <si>
    <t>Màj du 29/12</t>
  </si>
  <si>
    <t>STRUCTURE K2 – MINIRAIL VERTICAL POUR 378 MODULES</t>
  </si>
  <si>
    <t>Offre MAVISUN</t>
  </si>
  <si>
    <t>MAVISUN va voir si JORIS IDE dispose d'une ETN</t>
  </si>
  <si>
    <t>u</t>
  </si>
  <si>
    <t>Devis du 21/01/2022</t>
  </si>
  <si>
    <t>OND. FRONIUS TAURO ECO 100-3-P</t>
  </si>
  <si>
    <t>OND. FRONIUS TAURO ECO 50-3-P</t>
  </si>
  <si>
    <t>Fronius Tauro AC connexion DAISY CHAIN</t>
  </si>
  <si>
    <t>P</t>
  </si>
  <si>
    <t>COFFRET AC
Enveloppe polyester 800x600
Sectionneur 250A 4P
1 départ 16A + 30mA alim prise et supervision
Parafoudre type 2 tri
Réinjection 4x1x240² max</t>
  </si>
  <si>
    <t>Coffret DC TAURO 50
Coffret polyester
2 Sectionneur + parafoudre + fusibles 30A
Entrées MC4, sorties bornes 35²</t>
  </si>
  <si>
    <t>Coffret DC TAURO 100
Coffret polyester
2 Sectionneur + parafoudre + fusibles 30A
Entrées MC4, sorties bornes 35²</t>
  </si>
  <si>
    <t>pour Tauro 100</t>
  </si>
  <si>
    <t>Courriel du 20/10/2021</t>
  </si>
  <si>
    <t xml:space="preserve">COF DC 2BR 30A1000V PAR 2S </t>
  </si>
  <si>
    <t>pour ECO 25</t>
  </si>
  <si>
    <t>p</t>
  </si>
  <si>
    <t>Estim perso</t>
  </si>
  <si>
    <t>Abri de coffrets</t>
  </si>
  <si>
    <t>Décision du CG du 18/10/2021</t>
  </si>
  <si>
    <t>Offre 718570</t>
  </si>
  <si>
    <t>CABLE TS4 / MC4 POSITIF</t>
  </si>
  <si>
    <t>1 adaptateur par chaîne</t>
  </si>
  <si>
    <t>CABLE TS4 / MC4 NEGATIF</t>
  </si>
  <si>
    <t>idem</t>
  </si>
  <si>
    <t>m</t>
  </si>
  <si>
    <t>Offre OD719634</t>
  </si>
  <si>
    <t>VACCLP6500N</t>
  </si>
  <si>
    <t>CABLE SOLAIRE 1X6MM2 NOIR 500M
HS Code : 85444995
Origine : France</t>
  </si>
  <si>
    <t>VACCLP6500R</t>
  </si>
  <si>
    <t>CABLE SOLAIRE 1X6MM2 ROUGE500M
HS Code : 85444995
Origine : France</t>
  </si>
  <si>
    <t>Site Rexel</t>
  </si>
  <si>
    <t>CABLE PHOTOVOLTAIQUE H1Z2Z2-K 1X25 NOIR TGL</t>
  </si>
  <si>
    <t>CP015771</t>
  </si>
  <si>
    <t>CONNECTEUR MC4 FEMELLE 4/6mm², par 100</t>
  </si>
  <si>
    <t>CP015772</t>
  </si>
  <si>
    <t>CONNECTEUR MC4 MALE 4/6mm², par 100</t>
  </si>
  <si>
    <t>100m</t>
  </si>
  <si>
    <t>comptoir-du-cable.com</t>
  </si>
  <si>
    <t>H07VK-6-VJ-C100</t>
  </si>
  <si>
    <t>Câble H07VK cuivre souple 1G6</t>
  </si>
  <si>
    <t>Pour ligne équipotentielle</t>
  </si>
  <si>
    <t>VENSMAT</t>
  </si>
  <si>
    <t>COUPLE CONNECT. MC4 / PV-XT101</t>
  </si>
  <si>
    <t>13 requis + marge de 2 unités</t>
  </si>
  <si>
    <t>Fusible taille 10x38 - gPV - 25A - 1000V</t>
  </si>
  <si>
    <t>AGCP250A</t>
  </si>
  <si>
    <t>AGCP 250A (160KVA)</t>
  </si>
  <si>
    <t>Pour 180A</t>
  </si>
  <si>
    <t>50 U</t>
  </si>
  <si>
    <t>Boîte de 50 cosses de puissance NFC 20-130 25 mm² D= vis 8 mm pour conducteurs en cuivre</t>
  </si>
  <si>
    <t>48 conducteurs, section moyenne</t>
  </si>
  <si>
    <t>Divers accessoires électriques : gaines, colson…</t>
  </si>
  <si>
    <t>FRAIS DE PORT</t>
  </si>
  <si>
    <t>U-1000 AR2V 4x120 (multiconducteur)</t>
  </si>
  <si>
    <t>REAL_TECH_01_MONITORING</t>
  </si>
  <si>
    <t>Mk10A-WC</t>
  </si>
  <si>
    <t>MK10A Compteur triphasé -max. 70kWc. 2 ans de données inclus dont surveillance satellite</t>
  </si>
  <si>
    <t>Mk10-CT</t>
  </si>
  <si>
    <t>Compteur triphasé pour transformateur d'intensité (TI). 2 ans de données inclus dont surveillance satellite</t>
  </si>
  <si>
    <t>RTONE</t>
  </si>
  <si>
    <t>TI-150/5-192T2015</t>
  </si>
  <si>
    <t>TI-150/5-192T2015 - TI rail DIN ou saillie 150/5</t>
  </si>
  <si>
    <t>RS-SUB-2Y</t>
  </si>
  <si>
    <t>Abonnement 2 ans Rbee Solar</t>
  </si>
  <si>
    <t>Frais de port répartis sur 4 compteurs</t>
  </si>
  <si>
    <t>TOTAL HT MATERIEL</t>
  </si>
  <si>
    <t>Marge installateur</t>
  </si>
  <si>
    <t>TOTAL HT MATERIEL AVEC MARGE INSTALLATEUR</t>
  </si>
  <si>
    <t>Durée unitaire</t>
  </si>
  <si>
    <t>Grandeurs caractéri-stiques</t>
  </si>
  <si>
    <t>CHANTIER</t>
  </si>
  <si>
    <t>Montage échafaudage</t>
  </si>
  <si>
    <t>Question qui tue : l'échafaudage couvrira-t-il tout l'égout ? Pour 18m de longueur sur 2 étages, il a fallu environ 9h de montage et 4 heure de démontage/rangement au Vinipôle</t>
  </si>
  <si>
    <t>modules</t>
  </si>
  <si>
    <t>Pose des supports</t>
  </si>
  <si>
    <t>Estimation STARENCO chez EBERHARD + Coef 2 pour erreur AMO+ pro rata nb de modules. Corroboré par pose des crochts au Vinipôle</t>
  </si>
  <si>
    <t>Pose des modules</t>
  </si>
  <si>
    <t>Estimation STARENCO chez EBERHARD + Coef 2 pour erreur AMO+ pro rata nb de modules</t>
  </si>
  <si>
    <t>Mesure cheminement, repérage des passages</t>
  </si>
  <si>
    <t>Pose des tubes et goulottes</t>
  </si>
  <si>
    <t>Pose des câbles DC et MALT</t>
  </si>
  <si>
    <t>conducteurs</t>
  </si>
  <si>
    <t>Pose des cosses sur câbles de groupe et sorties AC (2 cosses par conducteur)</t>
  </si>
  <si>
    <t>4 conducteurs DC et 2 liaisons triphasées entre onduleur et disjoncteur et 2 entre disjoncteur et inter différentiel et 1 liaison tri entre inter diff et PDL</t>
  </si>
  <si>
    <t>câbles depuis BJ</t>
  </si>
  <si>
    <t>Entrée des câbles dans l’abri</t>
  </si>
  <si>
    <t>Prise de terre avec piquet, bornier, tresse de cuivre nu et mesure de la résistance</t>
  </si>
  <si>
    <t>Pose des coffrets de regroupement</t>
  </si>
  <si>
    <t>Pose de la BJ pour onduleur ECO 25</t>
  </si>
  <si>
    <t>coffrets AC + DC</t>
  </si>
  <si>
    <t>Pose des coffrets protection</t>
  </si>
  <si>
    <t>Pose et câblage inter différentiel AC</t>
  </si>
  <si>
    <t>Pose onduleurs</t>
  </si>
  <si>
    <t>2h pour onduleur centralisé et 10’ par optimiseur</t>
  </si>
  <si>
    <t>Pose du monitoring</t>
  </si>
  <si>
    <t>Câblage entre les onduleurs et les coffrets</t>
  </si>
  <si>
    <t>Paramétrage onduleur</t>
  </si>
  <si>
    <t>Pose câble AC</t>
  </si>
  <si>
    <t>Doublement car pose dans un fourreau à fixer sous la passerelle au-dessus de la rivière</t>
  </si>
  <si>
    <t>Démontage échafaudage</t>
  </si>
  <si>
    <t>Montage abri de coffrets</t>
  </si>
  <si>
    <t>Visite consuel et mise en service</t>
  </si>
  <si>
    <t>Tranchée</t>
  </si>
  <si>
    <t>1h pour déchargement engins… 5h pour 7m sous goudron et 5h20 pour 25 sous espace vert, hors incident</t>
  </si>
  <si>
    <t>h</t>
  </si>
  <si>
    <t>TOTAL DUREE CHANTIER</t>
  </si>
  <si>
    <t>Nb moyen d’ouvriers</t>
  </si>
  <si>
    <t>Coût horaire (€HT/h)</t>
  </si>
  <si>
    <t>Estimation STARENCO de 09/2019. Coût ALHENA 2018 = 45€/h</t>
  </si>
  <si>
    <t>j</t>
  </si>
  <si>
    <t>Main d’œuvre</t>
  </si>
  <si>
    <t>Location moyens techniques</t>
  </si>
  <si>
    <t>Tracto-pelle pour tranchée</t>
  </si>
  <si>
    <t>TOTAL HT CHANTIER</t>
  </si>
  <si>
    <t>Enedis-PRO-RES_080E V1 et arrêté du 06/10/2021</t>
  </si>
  <si>
    <t>RACCORDEMENT</t>
  </si>
  <si>
    <t>Réfaction</t>
  </si>
  <si>
    <t>t</t>
  </si>
  <si>
    <t>réfaction tarifaire pour l’extension producteur</t>
  </si>
  <si>
    <t>réfaction tarifaire pour le branchement producteur</t>
  </si>
  <si>
    <t>BT jusqu’à 36kVA jusqu’à 250m du tfo</t>
  </si>
  <si>
    <t>CfB</t>
  </si>
  <si>
    <t>Coût du branchement &lt;36kVA triphasé</t>
  </si>
  <si>
    <t>Zone ZFA (&lt;100khab.)</t>
  </si>
  <si>
    <t>5.1.5.1. Branchement</t>
  </si>
  <si>
    <t>CfE</t>
  </si>
  <si>
    <t>Extension : Création ou remplacement réseau BT jusqu’à 36kVA</t>
  </si>
  <si>
    <t>5.1.5.2. Extensions BT de puissance inférieure ou égale à 36 kVA</t>
  </si>
  <si>
    <t>CvE</t>
  </si>
  <si>
    <t>Cf HTA/BT</t>
  </si>
  <si>
    <t>Création d’un poste HTA/BT nouveau jusqu’à 160kVA inclus</t>
  </si>
  <si>
    <t>11.1. Poste HTA/BT nouveau</t>
  </si>
  <si>
    <t>Création d’un poste HTA/BT nouveau, au-delà de 160kVA</t>
  </si>
  <si>
    <t>Changement de tfo : Augmentation de la puissance racc : 0-36kVA</t>
  </si>
  <si>
    <t>Toute zone</t>
  </si>
  <si>
    <t>11.2. Aménagement de poste HTA/BT existant</t>
  </si>
  <si>
    <t>Changement de tfo : Augmentation de la puissance racc : 36-160kVA</t>
  </si>
  <si>
    <t>Changement de tfo : Augmentation de la puissance racc : au-delà de 160kVA</t>
  </si>
  <si>
    <t>Augmentation capacité départs BT d’un poste HTA/BT existant : sur poteau</t>
  </si>
  <si>
    <t>Augmentation capacité départs BT d’un poste HTA/BT existant : en cabine</t>
  </si>
  <si>
    <t>Augmentation capacité départs BT et augmentation tfo : sur poteau : 0-36kVA</t>
  </si>
  <si>
    <t>Augmentation capacité départs BT et augmentation tfo : sur poteau : 36-160kVA</t>
  </si>
  <si>
    <t>Augmentation capacité départs BT et augmentation tfo : sur poteau : au-delà 160kVA</t>
  </si>
  <si>
    <t>impossible</t>
  </si>
  <si>
    <t>Augmentation capacité départs BT et augmentation tfo : en cabine : 0-36kVA</t>
  </si>
  <si>
    <t>Augmentation capacité départs BT et augmentation tfo : en cabine : 36-160kVA</t>
  </si>
  <si>
    <t>Augmentation capacité départs BT et augmentation tfo : en cabine : au-delà 160kVA</t>
  </si>
  <si>
    <t>De 0 à 400 m inclus</t>
  </si>
  <si>
    <t>Au-delà de 400 m</t>
  </si>
  <si>
    <t xml:space="preserve">Cv E HTA </t>
  </si>
  <si>
    <t>Création d’ouvrage HTA, longueur du réseau HTA</t>
  </si>
  <si>
    <t>10. Tableaux de prix pour les alimentations HTA des postes HTA/BT de distribution publique</t>
  </si>
  <si>
    <t>BT de plus de 36kVA et jusqu'à 250kVA inclus</t>
  </si>
  <si>
    <t>Coût du branchement</t>
  </si>
  <si>
    <t>5.2.3. Périmètre de facturation BT de puissance supérieure à 36 kVA</t>
  </si>
  <si>
    <t>CvB</t>
  </si>
  <si>
    <t>Coût du branchement (x Lb (en m) : longueur de branchement)</t>
  </si>
  <si>
    <t>Compter 1m si longueur extension non nulle</t>
  </si>
  <si>
    <t>Extension : Création ou remplacement réseau BT de plus de 36kVA</t>
  </si>
  <si>
    <t>Enedis-NOI-CF_16E</t>
  </si>
  <si>
    <t>Prestation de première mise en service (fiche du catalogue P100A)</t>
  </si>
  <si>
    <t>TOTAL HT RACCORDEMENT</t>
  </si>
  <si>
    <t>BORNE TRIPHASÉE MURALE 22KW</t>
  </si>
  <si>
    <t>Prix catalogue</t>
  </si>
  <si>
    <t>LEG059014</t>
  </si>
  <si>
    <t>LEGRAND Borne triphasée murale métal Green'up Premium - Modes 2 et 3 - 22kW - 1 port</t>
  </si>
  <si>
    <t>LEG411846</t>
  </si>
  <si>
    <t>Protection ligne T2S LEGRAND Inter diff DX³-ID arrivée haut/départ bas vis 4P 400V~ 40A typeB 30mA -4 modules</t>
  </si>
  <si>
    <t>LEG407902</t>
  </si>
  <si>
    <t>Protection ligne T2S LEGRAND Disjoncteur DX³ 6000 -vis/vis- 4P- 400V~-40A-courbeC-peigne HX³ trad 4P – 4M</t>
  </si>
  <si>
    <t>LEG406775</t>
  </si>
  <si>
    <t>Protection ligne 2P+T LEGRAND Disjoncteur DNX³ 4500 - vis/vis - U+N 230V~ 20A - 4,5kA - courbe C - 1 module</t>
  </si>
  <si>
    <t>LEG406276</t>
  </si>
  <si>
    <t>LEGRAND Déclencheur à émission de tension ( ET ) DX³ - 12V~ à 48V~ et 12V= à 48V=</t>
  </si>
  <si>
    <t>Relais pour MeS à distance</t>
  </si>
  <si>
    <t>Destockable.fr</t>
  </si>
  <si>
    <t xml:space="preserve">Câble AC U-1000 R2V 5G10 </t>
  </si>
  <si>
    <t>Ligne T2S 10mm2 mini</t>
  </si>
  <si>
    <t>Câble AC U-1000 R2V 3G2,5</t>
  </si>
  <si>
    <t>Ligne 2P+T 2,5mm2 mini</t>
  </si>
  <si>
    <t>Divers accessoires électriques : gaines, cosses, colson…</t>
  </si>
  <si>
    <t>Estimation personnelle</t>
  </si>
  <si>
    <t>Pose borne murale, hors tranchée</t>
  </si>
  <si>
    <t>Enedis-PRO-RAC_03E V6.1 et arrêté du 30/11/2017</t>
  </si>
  <si>
    <t>Réfaction de 75 % jusqu’au 31/12/2020</t>
  </si>
  <si>
    <t>BORNE MONOPHASÉE MURALE 7,4KW</t>
  </si>
  <si>
    <t>A détailler</t>
  </si>
  <si>
    <t>TOTAL INVESTISSEMENTS INDUITS PAR LE PV (€ HT)</t>
  </si>
  <si>
    <t>AMO : tranche ferme</t>
  </si>
  <si>
    <t>Source tarifs STARENCO, adaptée</t>
  </si>
  <si>
    <t>AMO : tranche conditionnelle</t>
  </si>
  <si>
    <t>Attestation électronique CONSUEL</t>
  </si>
  <si>
    <t>Etude de structure</t>
  </si>
  <si>
    <t>DEKRA 2019 09 03 Offre 201906065417</t>
  </si>
  <si>
    <t>Contrôle initial pour ERP</t>
  </si>
  <si>
    <t>Compté comme charge annuelle ci-dessous</t>
  </si>
  <si>
    <t>DEKRA 2018 09 18 Offre 201806065457</t>
  </si>
  <si>
    <t>Contrôle initial pour ERT</t>
  </si>
  <si>
    <t>MAIF</t>
  </si>
  <si>
    <t>DO</t>
  </si>
  <si>
    <t>Assurance Dommages-ouvrages (prix TTC)
Obligatoire si IAB, renforcement de charpente ou imposition par le bailleur.
Indiquer le nb d’ouvrages/bâtiments concernés dans la colonne A Nb.</t>
  </si>
  <si>
    <t>BRANLY Devis N° D18_0087</t>
  </si>
  <si>
    <t>Division en volume</t>
  </si>
  <si>
    <t>4 % de plus que l’offre de 2018</t>
  </si>
  <si>
    <t>RENFORCEMENT DES FIXATIONS DE TAN</t>
  </si>
  <si>
    <t>Pose des renforcement des fixations des TAN</t>
  </si>
  <si>
    <t>ETANCO</t>
  </si>
  <si>
    <t>Cavaliers VULCO avec joint EPDM</t>
  </si>
  <si>
    <t>Tirefonds LBT2CH 8x100 pour TAN de 45mm de haut et pannes bois</t>
  </si>
  <si>
    <t>Capuchon plastique CAPZAC pour tête hexagonale 12mm</t>
  </si>
  <si>
    <t>LEROY MERLIN</t>
  </si>
  <si>
    <t>Planche de rive 27*300, par longueur de 4m</t>
  </si>
  <si>
    <t>Tole zinguée 0,65 épaisseur 750mm de large, pliée</t>
  </si>
  <si>
    <t>Vis autoperceuse ZACROFAST 233 G 6,5x35</t>
  </si>
  <si>
    <t>TOTAL HT AUTRES COUTS</t>
  </si>
  <si>
    <t>Entretien annuel par installateur</t>
  </si>
  <si>
    <t>Contrôle biannuel pour ERP = coût d’une visite / 2</t>
  </si>
  <si>
    <t>Contrôle biannuel pour ERT = coût d’une visite / 2</t>
  </si>
  <si>
    <t>TOTAL HT MAINTENANCE</t>
  </si>
  <si>
    <t>Courriel du 17/11</t>
  </si>
  <si>
    <t>DUALSUN FLASH 405W HALF-CUT WHITE</t>
  </si>
  <si>
    <t>9Rx43CxH</t>
  </si>
  <si>
    <t>non raccordés mais installés</t>
  </si>
  <si>
    <t>K2 SYSTEMS</t>
  </si>
  <si>
    <t>STRUCTURE K2 - MINIRAIL</t>
  </si>
  <si>
    <t>Pourquoi pas SOLARSIT ?</t>
  </si>
  <si>
    <t>EKLOR ajoute seulement 3,6 % au tarif K2 SYSTEMS</t>
  </si>
  <si>
    <t>Courriel du 07/01/2022</t>
  </si>
  <si>
    <t>OND. FRONIUS TAURO ECO 100-3-D</t>
  </si>
  <si>
    <t>PV1 : 6x23 PV2 : 5x23</t>
  </si>
  <si>
    <t>OND. FRONIUS TAURO ECO 50-3-D</t>
  </si>
  <si>
    <t>PV1 :  3x22 PV2 : 3x22</t>
  </si>
  <si>
    <t>Courriel du 17/01/2022</t>
  </si>
  <si>
    <t xml:space="preserve">Fronius Tauro AC Connection Single core </t>
  </si>
  <si>
    <t>https://www.electricautomationnetwork.com/en/phoenix-contact/industry-solutions-is-1</t>
  </si>
  <si>
    <t>SOL-SC-6ST-0-DC-1MPPT-1010 (6 chaînes, 1 sortie, fusibles et parafoudre)</t>
  </si>
  <si>
    <t>Offre centrale achats ACV</t>
  </si>
  <si>
    <t>COF DC 2BR 30A1000V PAR</t>
  </si>
  <si>
    <t>COF DC 3BR MC4 PARAF</t>
  </si>
  <si>
    <t xml:space="preserve">COF AC 2x160A+80A 300mm2 ACOSSER </t>
  </si>
  <si>
    <t>CABLE SOLAIRE 1X6MM² NOIR par 500M</t>
  </si>
  <si>
    <t>A préciser, selon emplacement onduleur</t>
  </si>
  <si>
    <t>CABLE SOLAIRE 1X6MM² ROUGE par 500M</t>
  </si>
  <si>
    <t>A préciser, selon calepinage des chaînes</t>
  </si>
  <si>
    <t xml:space="preserve">CONNECT. MC4+ 4/6MM² EVO 2 </t>
  </si>
  <si>
    <t xml:space="preserve">CONNECT. MC4- 4/6MM² EVO 2 </t>
  </si>
  <si>
    <t>VELREFUS15A1000V</t>
  </si>
  <si>
    <t>FUSIBLE DC 15A / 1000V
HS Code : 8536 10 50 90
Origine : Espagne</t>
  </si>
  <si>
    <t>DISJ ABB XT4N 250A 1A 4POLES +DIFF</t>
  </si>
  <si>
    <t>ABB HTC XT2 4P Cache Borne Haut 2Pcs, pour disjoncteur ABB XT4N</t>
  </si>
  <si>
    <t>KIT PRISES EPANOUIES XT2 4 PCS</t>
  </si>
  <si>
    <t>PLEXIGLASS POUR ABB X2/XT4 + 2 VIS DE FIXATION</t>
  </si>
  <si>
    <t>KIT RACCORDEMENT 70 mm2 H07RNF</t>
  </si>
  <si>
    <t>18 conducteurs, section moyenne</t>
  </si>
  <si>
    <t>VPORTVENTE</t>
  </si>
  <si>
    <t>Câble AC U1000 AR2V 4x120mm2</t>
  </si>
  <si>
    <t>2 conducteurs par phase, entre Tauro 100 et coffret ENEDIS</t>
  </si>
  <si>
    <t>Câble AC U1000 AR2V 5G50mm2</t>
  </si>
  <si>
    <t>Liaison Tauro 50 vers Tauro 100</t>
  </si>
  <si>
    <t>Section adaptée u disjoncteur</t>
  </si>
  <si>
    <t>Pose des cosses sur câbles sorties AC (2 cosses par conducteur)</t>
  </si>
  <si>
    <t>Pose de la BJ</t>
  </si>
  <si>
    <t>Pour 5 coffrets, soit 2x6x2 +2x2x2 + 2x3x2 soit 44 MC4 à 2' l'unité + 2x2, soit 4 grosses connexions avec bornes étamées, à 10' l'unité</t>
  </si>
  <si>
    <t>4h par onduleur car ils pèsent de 72 et 101 kg !</t>
  </si>
  <si>
    <t>Besoin abandonné par Comunauté, le 03/06/2020</t>
  </si>
  <si>
    <t>4Rx30C</t>
  </si>
  <si>
    <t>K2-base</t>
  </si>
  <si>
    <t>Single rail</t>
  </si>
  <si>
    <t>Estimation perso</t>
  </si>
  <si>
    <t>ONDULEUR FRONIUS ECO25LIGHT</t>
  </si>
  <si>
    <t>3Cx22M</t>
  </si>
  <si>
    <t>Offre 717855</t>
  </si>
  <si>
    <t>ONDULEUR FRONIUS SYMO20 STD</t>
  </si>
  <si>
    <t>3Cx20M</t>
  </si>
  <si>
    <t>COF DC 3BR 40A1000V 1xPAR</t>
  </si>
  <si>
    <t>Pour ECO et SYMO</t>
  </si>
  <si>
    <t xml:space="preserve">COF AC 2x80A 300mm2 ACOSSER </t>
  </si>
  <si>
    <t>CT</t>
  </si>
  <si>
    <t>CO1</t>
  </si>
  <si>
    <t>Abri pour 2 onduleurs en treillis galva peint époxy</t>
  </si>
  <si>
    <t>1 adaptateur par chaîne si TRINA</t>
  </si>
  <si>
    <t>A affiner</t>
  </si>
  <si>
    <t>VACK3C0005</t>
  </si>
  <si>
    <t>CONNECT. MC4+ 4/6MM2
HS Code : 85369010
Origine : Allemagne</t>
  </si>
  <si>
    <t>13 chaînes DC et 1 bretelle</t>
  </si>
  <si>
    <t>VACK3C0006</t>
  </si>
  <si>
    <t>CONNECT. MC4- 4/6MM2
HS Code : 85369010
Origine : Allemagne</t>
  </si>
  <si>
    <t>Fusibles 20A pour onduleurs 50 kW (lot de 28)</t>
  </si>
  <si>
    <t>DISJ DDR NSX160F30mA 1A 4POLES</t>
  </si>
  <si>
    <t>Câble AC U-1000 R2V 4X50</t>
  </si>
  <si>
    <t>Coffret ENEDIS sur pignon Sud</t>
  </si>
  <si>
    <t>Offre JTH STRUCTURES du 18/01/2022</t>
  </si>
  <si>
    <t>Etude de structure : prescriptions de renforcement</t>
  </si>
  <si>
    <t>Offre APAVE 18/11/2021</t>
  </si>
  <si>
    <t>Réserve installée</t>
  </si>
  <si>
    <t>Devis SN2011825</t>
  </si>
  <si>
    <t>Onduleur SOLAREDGE SE55K</t>
  </si>
  <si>
    <t>OND. SOLAREDGE OPTIM P800P</t>
  </si>
  <si>
    <t>7 chaînes DC et 1 bretelle</t>
  </si>
  <si>
    <t>Pose optimiseurs</t>
  </si>
  <si>
    <t>Téléphone</t>
  </si>
  <si>
    <t>MOD DUALSUN FLASH 375 HALF-CUT BLACK (à partir de mi-mars 2022, prix à confirmer 1755x1038x35 21kg)</t>
  </si>
  <si>
    <t>Offre OD717855</t>
  </si>
  <si>
    <t>TCADNSPRING310MI</t>
  </si>
  <si>
    <t>MODULE DUALS SPRING 310M ISOLE
Dimensions : 1650x991x35 mm
Pc = 310 Wc
PTh = 404 Wth à 50°
Poids : 25 kg à vide/ 30 kg plein</t>
  </si>
  <si>
    <t>14 chaînes DC et 1 bretelle</t>
  </si>
  <si>
    <t>VODFSTECO27LI</t>
  </si>
  <si>
    <t>ONDULEUR FRONIUS ECO27LIGHT
FRONIUS ECO 27.0-3-S 1 MPPT Light
HS Code : 8504 40 30
Origine : Autriche</t>
  </si>
  <si>
    <t>ONDULEUR FRONIUS SYMO3.0S</t>
  </si>
  <si>
    <t>COFFRET REGROUPEMENT 5BR</t>
  </si>
  <si>
    <t>Pour FRONIUS ECO</t>
  </si>
  <si>
    <t>COF DC 1BR 20A1000V PAR</t>
  </si>
  <si>
    <t>Pour FRONIUS SYMO</t>
  </si>
  <si>
    <r>
      <rPr>
        <b/>
        <i/>
        <sz val="10"/>
        <rFont val="MS Sans Serif"/>
      </rPr>
      <t xml:space="preserve">EKLOR </t>
    </r>
    <r>
      <rPr>
        <b/>
        <sz val="10"/>
        <rFont val="Arial"/>
      </rPr>
      <t>20/09/2018</t>
    </r>
    <r>
      <rPr>
        <b/>
        <i/>
        <sz val="10"/>
        <rFont val="MS Sans Serif"/>
      </rPr>
      <t xml:space="preserve"> Offre OD713857</t>
    </r>
  </si>
  <si>
    <t>VACRE50162TT300</t>
  </si>
  <si>
    <t>COF AC POUR 1 ECO 27+1 SYMO 5
coffret plastique 3x12 Modules IP65, équipé de : 1 Interrupteur 63A 4 pôles avec poignée
1 Plot de terre
1 Disjoncteur iC60N 50A 4 Pôles Courbe C Icc 10kA + 1 Différentiel iC60 300mA 4 Pôles 63A Type AC
1 Disjoncteur DT40 16A 4 Pôles Courbe C Icc 6kA + 1 Différentiel DT40 300mA 4 Pôles 25A Type AC
1 Porte fusible 4 Pôles 10x38 400v + 3 Fusibles 32A Gg 10x38 400v
1 Parafoudre mode commun et différentiel sans OF 4 Pôles In20kA Imax40kA 230Ev
Bornes de raccordement à ressort 16 mm² HS code : 8536 90 90 98
Origine : France</t>
  </si>
  <si>
    <t>6 chaînes DC</t>
  </si>
  <si>
    <t>Attention si SMA, besoin SUNCLIX sur onduleur</t>
  </si>
  <si>
    <t>Pour 92A</t>
  </si>
  <si>
    <t>FRAIS DE PORT pour centrale 36kW</t>
  </si>
  <si>
    <t>Câble AC U-1000 R2V 4X16</t>
  </si>
  <si>
    <t>Coffret ENEDIS au coin Sud-Est du bâtiment</t>
  </si>
  <si>
    <t xml:space="preserve"> </t>
  </si>
  <si>
    <t>12 chaînes DC et 1 bretelle</t>
  </si>
  <si>
    <t>SOLDES INTERMEDIAIRES DE GESTION SUR 20 ANS</t>
  </si>
  <si>
    <t>Moyennes</t>
  </si>
  <si>
    <t>Production d'électricité (kWh)</t>
  </si>
  <si>
    <t>Ventes d'électricité (HT)</t>
  </si>
  <si>
    <t>Ventes lot 2018</t>
  </si>
  <si>
    <t>Autres produits (subventions, ..)</t>
  </si>
  <si>
    <t>Autres produits Lot 2018</t>
  </si>
  <si>
    <t xml:space="preserve">  - Charges </t>
  </si>
  <si>
    <t xml:space="preserve">  - Cotisation association</t>
  </si>
  <si>
    <t xml:space="preserve">  - Charges Lot 2018</t>
  </si>
  <si>
    <t xml:space="preserve"> = Valeur ajoutée</t>
  </si>
  <si>
    <t xml:space="preserve">  - Contribution Economique Territoriale / IFER</t>
  </si>
  <si>
    <t xml:space="preserve">  - Charges de personnel et Cotisations sociales</t>
  </si>
  <si>
    <t xml:space="preserve">  = Excédent brut d'exploitation (EBE)</t>
  </si>
  <si>
    <t xml:space="preserve">  - Dotations amortissements (DAP) </t>
  </si>
  <si>
    <t xml:space="preserve">  - Dotations amortissements (DAP) Lot 2018</t>
  </si>
  <si>
    <t xml:space="preserve">  - Provisions</t>
  </si>
  <si>
    <t xml:space="preserve">  - Provisions Lot 2018</t>
  </si>
  <si>
    <t xml:space="preserve">  = Résultat d'exploitation</t>
  </si>
  <si>
    <t xml:space="preserve">  - Frais financiers (intérêts)</t>
  </si>
  <si>
    <t xml:space="preserve">  - Frais financiers (intérêts) Lot 2018</t>
  </si>
  <si>
    <t xml:space="preserve"> - Intérêts des comptes courants d'associés</t>
  </si>
  <si>
    <t xml:space="preserve"> - Intérêts des comptes courants d'associés Lot 2018</t>
  </si>
  <si>
    <t xml:space="preserve">  = Résultat courant avant impôt (RCAI)</t>
  </si>
  <si>
    <t>- Déficit reportable</t>
  </si>
  <si>
    <t>- Quote part subvention</t>
  </si>
  <si>
    <t>- Quote part subvention Lot 2018</t>
  </si>
  <si>
    <t>- Réintégration fiscale (imposition CCA)</t>
  </si>
  <si>
    <t>- Réserves (SCIC)</t>
  </si>
  <si>
    <t>Base de calcul de l’IS</t>
  </si>
  <si>
    <t xml:space="preserve">  - Impôts</t>
  </si>
  <si>
    <t xml:space="preserve">  = Résultat Net Comptable (RN)</t>
  </si>
  <si>
    <t>Résultat Net Comptable cumulé</t>
  </si>
  <si>
    <t>Flux de trésorerie (cash flows)</t>
  </si>
  <si>
    <t>Cash flows cumulés</t>
  </si>
  <si>
    <t>Ratio annuel de couverture du service de la dette</t>
  </si>
  <si>
    <t xml:space="preserve">Dividendes potentiellement distribuables </t>
  </si>
  <si>
    <t>Rémunération nette des fonds propres par part</t>
  </si>
  <si>
    <t>Rentabilité économique (ENE/fonds propres)</t>
  </si>
  <si>
    <t>Rentabilité financière (RN/FP)</t>
  </si>
  <si>
    <t>Recettes (HT)</t>
  </si>
  <si>
    <t>Charges (HT)</t>
  </si>
  <si>
    <t>Valleur ajoutée et excédent brut d’exploitation</t>
  </si>
  <si>
    <t>Provisions</t>
  </si>
  <si>
    <t>Résultat d’exploitation</t>
  </si>
  <si>
    <t>Frais financiers (intérêts sur prêts bancaires)</t>
  </si>
  <si>
    <t>Intérêts des comptes courants d’associés</t>
  </si>
  <si>
    <t xml:space="preserve">  = Resultat courant avant impôt (RCAI)</t>
  </si>
  <si>
    <t>Impôts</t>
  </si>
  <si>
    <t>Résultat net comptable (RN)</t>
  </si>
  <si>
    <t>Valeur actualisée nette</t>
  </si>
  <si>
    <t>CALCUL DE LA COTISATION DE L'ANNÉE EN COURS, POUR LES CENTRALES EN EXPLOITATION</t>
  </si>
  <si>
    <t>FORMULES</t>
  </si>
  <si>
    <t>TOTAL HT</t>
  </si>
  <si>
    <t>TOTAL TTC</t>
  </si>
  <si>
    <t>A 901</t>
  </si>
  <si>
    <t>Assurance IA et DB des dirigeants et bénévoles des structures EP</t>
  </si>
  <si>
    <t>X 940</t>
  </si>
  <si>
    <t>RC Exploitation</t>
  </si>
  <si>
    <t>X 607</t>
  </si>
  <si>
    <t>Dommages aux Biens</t>
  </si>
  <si>
    <t>X 208</t>
  </si>
  <si>
    <t>Pertes d'Exploitation</t>
  </si>
  <si>
    <t>Coef cotis Dommage PV</t>
  </si>
  <si>
    <t>TOTAL GENERAL</t>
  </si>
  <si>
    <t>INSTALLATION PV LOCALISATION</t>
  </si>
  <si>
    <t>JE SOUSCRIS</t>
  </si>
  <si>
    <t>Date début chantier</t>
  </si>
  <si>
    <t>Date fin chantier</t>
  </si>
  <si>
    <t>Valeur HT installation PV</t>
  </si>
  <si>
    <t>Production annuelle</t>
  </si>
  <si>
    <t>Puissance installation (kWc)</t>
  </si>
  <si>
    <t>Cotisation RC exploitation</t>
  </si>
  <si>
    <t>Cotisation Dommages PV</t>
  </si>
  <si>
    <t>Cotisation Pertes Exploitation</t>
  </si>
  <si>
    <t>Poseur</t>
  </si>
  <si>
    <t>Assurance RCD Poseur</t>
  </si>
  <si>
    <t>Année début chantier</t>
  </si>
  <si>
    <t>COTI HT</t>
  </si>
  <si>
    <t>COTI TTC</t>
  </si>
  <si>
    <t xml:space="preserve">Assurance IA et DB des dirigeants et bénévoles des structures EP formule A 901  =&gt;   </t>
  </si>
  <si>
    <t>Ville</t>
  </si>
  <si>
    <t>Nom Projet</t>
  </si>
  <si>
    <t>Totaux →</t>
  </si>
  <si>
    <t>RCMO due par année</t>
  </si>
  <si>
    <t>Limite haute première tranche</t>
  </si>
  <si>
    <t>Tarif TTC 1ère tranche</t>
  </si>
  <si>
    <t>Limite haute deuxième tranche</t>
  </si>
  <si>
    <t>Tarif TTC deuxième tranche</t>
  </si>
  <si>
    <t>Limite haute troisième tranche</t>
  </si>
  <si>
    <t>Tarif TTC troisième tranche</t>
  </si>
  <si>
    <t>Limite haute quatrième tranche</t>
  </si>
  <si>
    <t>IMPACT DES CENTRALES FUTURES</t>
  </si>
  <si>
    <t>CALCUL CONFORME AU BAREME MAIF DU 20/12/2021</t>
  </si>
  <si>
    <t>Tarif TTC quatrième tranche</t>
  </si>
  <si>
    <t>Total général pasé+ futur</t>
  </si>
  <si>
    <t>Cumul investissements de l'année</t>
  </si>
  <si>
    <t>Total général passé seul</t>
  </si>
  <si>
    <t>Choix régulation</t>
  </si>
  <si>
    <t>Impact des cenrales futures, à déduire de 2021</t>
  </si>
  <si>
    <t>RCMO TTC</t>
  </si>
  <si>
    <t>CALCUL DE LA COTISATION POUR LES ANNÉES FUTURES</t>
  </si>
  <si>
    <r>
      <rPr>
        <sz val="10"/>
        <rFont val="MS Sans Serif"/>
      </rPr>
      <t xml:space="preserve">NB : une éventuelle assirance </t>
    </r>
    <r>
      <rPr>
        <b/>
        <sz val="10"/>
        <rFont val="MS Sans Serif"/>
      </rPr>
      <t>Dommages-ouvrage</t>
    </r>
    <r>
      <rPr>
        <sz val="10"/>
        <rFont val="MS Sans Serif"/>
      </rPr>
      <t xml:space="preserve"> est à renseigner dans la section </t>
    </r>
    <r>
      <rPr>
        <b/>
        <sz val="10"/>
        <rFont val="MS Sans Serif"/>
      </rPr>
      <t>Autres coûts</t>
    </r>
    <r>
      <rPr>
        <sz val="10"/>
        <rFont val="MS Sans Serif"/>
      </rPr>
      <t xml:space="preserve"> de chaque centrale. (Aucun rabais de masse et gros impact sur l’intérêt d’une toiture)</t>
    </r>
  </si>
  <si>
    <t>Cotisation due par année</t>
  </si>
  <si>
    <t>Taux de cotisation</t>
  </si>
  <si>
    <t>Cotisation TTC</t>
  </si>
  <si>
    <t>Total RCMO + cotisation TTC</t>
  </si>
  <si>
    <t>MMA</t>
  </si>
  <si>
    <t>CATALOGUE MATÉRIEL SELON OFFRES</t>
  </si>
  <si>
    <t>Puissance caractéristique (W)</t>
  </si>
  <si>
    <t>Fournisseur</t>
  </si>
  <si>
    <t>Date offre</t>
  </si>
  <si>
    <t>Modules</t>
  </si>
  <si>
    <t>Fixations</t>
  </si>
  <si>
    <t>Onduleurs</t>
  </si>
  <si>
    <t>Coffrets DC</t>
  </si>
  <si>
    <t>Coffrets AC</t>
  </si>
  <si>
    <t>Disjoncteurs DDR AC</t>
  </si>
  <si>
    <t>Fusibles DC</t>
  </si>
  <si>
    <t>Connecteurs DC</t>
  </si>
  <si>
    <t>Câbles DC</t>
  </si>
  <si>
    <t>Câbles AC</t>
  </si>
  <si>
    <t>Câble vert/jaune</t>
  </si>
  <si>
    <t>Supervision</t>
  </si>
  <si>
    <t>Divers</t>
  </si>
  <si>
    <t>Transport</t>
  </si>
  <si>
    <r>
      <rPr>
        <i/>
        <sz val="10"/>
        <rFont val="MS Sans Serif"/>
      </rPr>
      <t xml:space="preserve">EKLOR </t>
    </r>
    <r>
      <rPr>
        <sz val="10"/>
        <rFont val="Arial"/>
      </rPr>
      <t>20/09/2018</t>
    </r>
    <r>
      <rPr>
        <i/>
        <sz val="10"/>
        <rFont val="MS Sans Serif"/>
      </rPr>
      <t xml:space="preserve"> Offre OD713857</t>
    </r>
  </si>
  <si>
    <t>EKLOR</t>
  </si>
  <si>
    <t>Offre OD713857</t>
  </si>
  <si>
    <t>ONDULEUR FRONIUS SYMO3.7M Light</t>
  </si>
  <si>
    <t>EKLOR 2018 09 20</t>
  </si>
  <si>
    <t xml:space="preserve">COF AC POUR 1 ECO 27+1 SYMO 5
coffret plastique 3x12 Modules IP65, équipé de : 1 Interrupteur 63A 4 pôles avec poignée
1 Plot de terre
1 Disjoncteur iC60N 50A 4 Pôles Courbe C Icc 10kA + 1 Différentiel iC60 300mA 4 Pôles 63A Type AC
1 Disjoncteur DT40 16A 4 Pôles Courbe C Icc 6kA + 1 Différentiel DT40 300mA 4 Pôles 25A Type AC
1 Porte fusible 4 Pôles 10x38 400v + 3 Fusibles 32A Gg 10x38 400v
1 Parafoudre mode commun et différentiel sans OF 4 Pôles In20kA Imax40kA 230Ev
Bornes de raccordement à ressort 16 mm² HS code : 8536 90 90 98
Origine : France </t>
  </si>
  <si>
    <t>A adapter pour sortie 1 seul onduleur ECO : -100€</t>
  </si>
  <si>
    <t>Estimation MGL</t>
  </si>
  <si>
    <t>LOT</t>
  </si>
  <si>
    <t>Offre OD713848</t>
  </si>
  <si>
    <t>STRUCT. CLAMPFIT pour 344 modules en 10 rangs de 35 modules paysage pour bac acier 0,75mm</t>
  </si>
  <si>
    <t>STRUCT. CLAMPFIT pour 1 module sur bac acier 0,75mm</t>
  </si>
  <si>
    <t>Prix unitaire moyen</t>
  </si>
  <si>
    <t>VELREDISJ160A</t>
  </si>
  <si>
    <t>DISJ DDR NSX160F30mA 1A 4POLES
DDR NSX160F-M2.2-AB-Vigi160A 30 à 1AmA AC 4 Pôles 36kA</t>
  </si>
  <si>
    <r>
      <rPr>
        <sz val="10"/>
        <rFont val="MS Sans Serif"/>
      </rPr>
      <t xml:space="preserve">Offre </t>
    </r>
    <r>
      <rPr>
        <sz val="10"/>
        <rFont val="Arial"/>
      </rPr>
      <t>713844-V69-99,76K-EK</t>
    </r>
  </si>
  <si>
    <t>STRUCT FIBROSOLAR : 344 modules</t>
  </si>
  <si>
    <t>Offre OD713859</t>
  </si>
  <si>
    <t>STRUCT FIBROSOLAR : 6 rangs de 21 paysage</t>
  </si>
  <si>
    <t>Offre OD715923</t>
  </si>
  <si>
    <t>VDCRE1005B10XC</t>
  </si>
  <si>
    <t>COF DC 5BR 100A1000V 1xPAR MC4 M
COFFRET DC 5 BRANCHES 100A 1000V AVEC
PARAFOUDRE, MC4 et MX
HS Code : 8536 20 90 10
Origine : France
coffret polyester 600x400x230 IP66, équipé de :
1 Interrupteur 100A 4 Pôles DC 1000v
1 Contact DT-C60 MX-OF 110-415v
10 Portes fusible 1 Pôles 10x38 1000v
1 Parafoudre mode commun et différentiel sans OF 2 Pôles
In15kA Imax40kA 1000v
5 Paires d'embases MC4
Bornes de raccordement à ressort 16 à 25mm2
Ensemble de presses étoupes</t>
  </si>
  <si>
    <t>EKLOR 2019 06 11 Offre OD715923</t>
  </si>
  <si>
    <t>VODFSTSYMO15</t>
  </si>
  <si>
    <t>ONDULEUR FRONIUS SYMO 15
FRONIUS SYMO 15.0-3-M 2 MPPT
HS Code : 8504 40 30
Origine : Autriche</t>
  </si>
  <si>
    <t>VELFSKITDCSYMO</t>
  </si>
  <si>
    <t>KIT CONNECTION DC SYMO 10-20
HS Code : 8504 40 30
Origine : Autriche</t>
  </si>
  <si>
    <t>VDCRE501B10</t>
  </si>
  <si>
    <t>COF DC 1BR 50A1000V PAR
COFFRET DC 1 BRANCHE 50A 1000V AVEC
PARAFOUDRE SANS MC4</t>
  </si>
  <si>
    <t>STRUCTURE DOME SOLAR ITAL SOLA</t>
  </si>
  <si>
    <t>VDCRE2X201B10C</t>
  </si>
  <si>
    <t>COF DC 2x 1BR 20A1000V PAR
COFFRET DC 2 BRANCHES 2x 20 A PARAFOUDRE 1000
V AVEC CONNECTEURS MC4
HS Code : 8536 20 90 10
Origine : France</t>
  </si>
  <si>
    <t>COF DC 2x1BR 50A PAR MC4 + MX</t>
  </si>
  <si>
    <t>VELREKITRAC50MM2</t>
  </si>
  <si>
    <t>KIT RACCORDEMENT 50mm2 HO7RNF
AVEC COSSES DIAMETRE 8 et COSSES DIAMETRE 12</t>
  </si>
  <si>
    <t>COFFRET AC 3OND + MX</t>
  </si>
  <si>
    <t>parafoudre AC inclus ?
1 ou 3 disjoncteur 3P+N ?</t>
  </si>
  <si>
    <t>DISJ DDR NSX160F30mA 1A 4POLES
DDR NSX160F-M2.2-AB-Vigi160A 30 à 1AmA AC 4 Pôles
36kA</t>
  </si>
  <si>
    <t>SCHNEIDER, classe AC alors qu’il faudrait HI, HPI ou SI. Cependant le catalogue 2019 de la série NSX , page A-15, spécifie : « Electromagnetic compatibility. ComPact NSX and NSXm devices are protected against: overvoltages caused by atmospheric disturbance »
Le Micrologic 2-AB sert à limiter la puissance délivrée : inutile ici.</t>
  </si>
  <si>
    <t>Mk10A</t>
  </si>
  <si>
    <t>Boîtier de supervision</t>
  </si>
  <si>
    <t>MK10A-WC</t>
  </si>
  <si>
    <t>Compteur triphasé (Max 70 kWc)</t>
  </si>
  <si>
    <t>Abonnement pour 2 ans</t>
  </si>
  <si>
    <t>FRAIS DE PORT par coffret, pour 4 coffrets livrés ensemble</t>
  </si>
  <si>
    <t>MK10-CT</t>
  </si>
  <si>
    <t>EKLOR 2019 09 05 Offre OD716594</t>
  </si>
  <si>
    <t>VMDRC0310TP2MCN</t>
  </si>
  <si>
    <t>MODULE MONO. CADRE REC310TP2
1675 x 997 x 38 mm</t>
  </si>
  <si>
    <t>STRUCTURE K2 – SURIMPOSITION
CrossHook 4S</t>
  </si>
  <si>
    <t>VACRE501TT300</t>
  </si>
  <si>
    <t>COFF AC 50A/300mA
COFFRET AC 50 A 300 mA TRIPHASE AVEC
PARAFOUDRE
HS code : 8536 90 90 98
Origine : France</t>
  </si>
  <si>
    <t>Estimation MGL du surcoût bobine MX</t>
  </si>
  <si>
    <t>COF DC 5BR 100A1000V 1xPAR MC4 M =&gt; 6 branches
COFFRET DC 5 BRANCHES 100A 1000V AVEC
PARAFOUDRE, MC4 et MX
HS Code : 8536 20 90 10
Origine : France
coffret polyester 600x400x230 IP66, équipé de :
1 Interrupteur 100A 4 Pôles DC 1000v
1 Contact DT-C60 MX-OF 110-415v
10 Portes fusible 1 Pôles 10x38 1000v
1 Parafoudre mode commun et différentiel sans OF 2 Pôles
In15kA Imax40kA 1000v
5 Paires d'embases MC4
Bornes de raccordement à ressort 16 à 25mm2
Ensemble de presses étoupes</t>
  </si>
  <si>
    <r>
      <rPr>
        <b/>
        <i/>
        <sz val="10"/>
        <rFont val="MS Sans Serif"/>
      </rPr>
      <t>Estimation du surcoût de la 6</t>
    </r>
    <r>
      <rPr>
        <b/>
        <i/>
        <vertAlign val="superscript"/>
        <sz val="10"/>
        <rFont val="MS Sans Serif"/>
      </rPr>
      <t>e</t>
    </r>
    <r>
      <rPr>
        <b/>
        <i/>
        <sz val="10"/>
        <rFont val="MS Sans Serif"/>
      </rPr>
      <t xml:space="preserve"> branche. Substitution de la bobine MX par les parafoudres supplémentaires</t>
    </r>
  </si>
  <si>
    <t>NB 1 fusible devrait être calibré pour 20A</t>
  </si>
  <si>
    <t>VACC9E4075</t>
  </si>
  <si>
    <t>CABLE SOLAIRE 1X4MM2 NOIR 75M
HS Code : 85444995
Origine : France</t>
  </si>
  <si>
    <t>VODSETSE27.6K</t>
  </si>
  <si>
    <t>ONDULEUR SOLAREDGE SE 27.6K</t>
  </si>
  <si>
    <t>VAOSEKITANTWIFI</t>
  </si>
  <si>
    <t>KIT ANTENNE WIFI</t>
  </si>
  <si>
    <t>A remplacer par GSM intégré bas débit, si moins cher que RTONE</t>
  </si>
  <si>
    <t>VODSEP650PA</t>
  </si>
  <si>
    <t>OND. SOLAREDGE OPTIM P650 PA</t>
  </si>
  <si>
    <t>EKLOR 2019  09 05 Offre OD716594</t>
  </si>
  <si>
    <t>VDCRE403B10C</t>
  </si>
  <si>
    <t>COF DC 3BR 40A1000V 1xPAR
COFFRET DC 3 BRANCHES 40 A PARAFOUDRE 1000 V
AVEC CONNECTEURS MC4 ET SANS FUSIBLE
HS Code : 8536 20 90 10
Origine : France</t>
  </si>
  <si>
    <r>
      <rPr>
        <b/>
        <i/>
        <sz val="10"/>
        <rFont val="MS Sans Serif"/>
      </rPr>
      <t xml:space="preserve">STRUCTURE IRFTS EASYROOF TOP : </t>
    </r>
    <r>
      <rPr>
        <b/>
        <sz val="12"/>
        <rFont val="Arial"/>
      </rPr>
      <t>6 rangs de 21 portrait pour tuiles galbées</t>
    </r>
  </si>
  <si>
    <t>EKLOR 2019 09 24 Offre OD716594</t>
  </si>
  <si>
    <t>VODSEP370</t>
  </si>
  <si>
    <t>ONDULEUR SOLAREDGE OPTIM P370</t>
  </si>
  <si>
    <t>MECOSUN Offre DV 10679 du 30/10/2019</t>
  </si>
  <si>
    <t>Structure IAB MV€, Pour 121 panneaux verticaux en 11x11</t>
  </si>
  <si>
    <r>
      <rPr>
        <sz val="10"/>
        <rFont val="MS Sans Serif"/>
      </rPr>
      <t xml:space="preserve">Prix unitaire moyen par module ou bien </t>
    </r>
    <r>
      <rPr>
        <i/>
        <sz val="10"/>
        <rFont val="MS Sans Serif"/>
      </rPr>
      <t>23€/m²</t>
    </r>
  </si>
  <si>
    <t>MECOSUN</t>
  </si>
  <si>
    <t>EKLOR 2019 11 07 Offre OD716594</t>
  </si>
  <si>
    <t>VMDRC0325TP2MCN</t>
  </si>
  <si>
    <t>MODULE MONO. CADRE REC325TP2
1675 x 997 x 38 mm</t>
  </si>
  <si>
    <t>COFFRET AC SE27.6K + MX</t>
  </si>
  <si>
    <t>EKLOR annonce pas de MX mais le libellé de l’item comporte MX !!!</t>
  </si>
  <si>
    <t>Offre OD716594</t>
  </si>
  <si>
    <t>VDCRE201B10C</t>
  </si>
  <si>
    <t>COF DC 1BR 20A1000V PAR
COFFRET DC 1 BRANCHE 20 A PARAFOUDRE 1000 V AVEC CONNECTEURS MC4
HS Code : 8536 20 90 10
Origine : France</t>
  </si>
  <si>
    <t>STRUCTURE IRFTS EVOLUTION M1 PAYSAGE</t>
  </si>
  <si>
    <t>STRUCTURE IRFTS EVOLUTION L1 PORTRAIT</t>
  </si>
  <si>
    <r>
      <rPr>
        <sz val="10"/>
        <rFont val="MS Sans Serif"/>
      </rPr>
      <t>Le 5</t>
    </r>
    <r>
      <rPr>
        <vertAlign val="superscript"/>
        <sz val="10"/>
        <rFont val="MS Sans Serif"/>
      </rPr>
      <t>e</t>
    </r>
    <r>
      <rPr>
        <sz val="10"/>
        <rFont val="MS Sans Serif"/>
      </rPr>
      <t xml:space="preserve"> câble est inutile entre le coffret AC et l’AGCP</t>
    </r>
  </si>
  <si>
    <t>Câble AC U-1000 R2V 5G25</t>
  </si>
  <si>
    <t>Câble AC U-1000 R2V 4G25</t>
  </si>
  <si>
    <t>Câble AC U-1000 R2V 4G35</t>
  </si>
  <si>
    <t>Câble AC U-1000 R2V 5G35</t>
  </si>
  <si>
    <t xml:space="preserve">Câble AC U-1000 R2V 4G10 </t>
  </si>
  <si>
    <t>Câble AC U-1000 R2V 4G50</t>
  </si>
  <si>
    <t>Câble AC U-1000 R2V 4G95</t>
  </si>
  <si>
    <t>Câble AC U-1000 R2V 4G185</t>
  </si>
  <si>
    <t>Câble AC U-1000 R2V 4G10</t>
  </si>
  <si>
    <t>Comptoir du cable</t>
  </si>
  <si>
    <t>Câble AC U-1000 R2V 4G16</t>
  </si>
  <si>
    <t>Câble AC U-1000 R2V 4G70</t>
  </si>
  <si>
    <t>electricitebleu.com</t>
  </si>
  <si>
    <t>Electricité bleu</t>
  </si>
  <si>
    <t>VCADNFLASH310</t>
  </si>
  <si>
    <t>MOD. DUALS FLASH 310
Dimensions : 1650x991x35 mm
Puissance PV : 310 Wc
Poids : 16,2 kg</t>
  </si>
  <si>
    <t>TENSMAT</t>
  </si>
  <si>
    <t>REC NPEAK 325</t>
  </si>
  <si>
    <t>STRUCTURE DOME SOLAR - FIBRO S</t>
  </si>
  <si>
    <t>MYLIGHT SYSTEMS</t>
  </si>
  <si>
    <t xml:space="preserve">COF DC 4BR 25A1000V PAR 1xMC4 AVEC
PARAFOUDRE, MC4 et MX, 8 Portes fusible,  1 Pôles 10x38 1000v
1 Parafoudre mode commun </t>
  </si>
  <si>
    <t>Abri de coffrets, type abri de jardin</t>
  </si>
  <si>
    <t>Offre 716594</t>
  </si>
  <si>
    <t>MODULE MONO. CADRE REC360ALPHA</t>
  </si>
  <si>
    <t>STRUCTURE K2 - SINGLE RAIL/SOL</t>
  </si>
  <si>
    <t>COFF AC 50A/300mA + MX PLAST</t>
  </si>
  <si>
    <t>CABLE SOLAIRE 1X6MM2 NOIR 500M</t>
  </si>
  <si>
    <t>CONNECT. MC4+ 4/6MM2</t>
  </si>
  <si>
    <t>CONNECT. MC4- 4/6MM2</t>
  </si>
  <si>
    <t>OND. SOLAREDGE OPTIM P730 PA</t>
  </si>
  <si>
    <t>COMPTEUR RS485 SOLAREDGE</t>
  </si>
  <si>
    <t>CARTE GSM APP</t>
  </si>
  <si>
    <t>SIM 5 ANS&lt;100KW</t>
  </si>
  <si>
    <t>TOR 70A</t>
  </si>
  <si>
    <t>Pour une centrale 36kWc</t>
  </si>
  <si>
    <t>STRUCTURE IRFTS L1 - O1 - P1</t>
  </si>
  <si>
    <t>MODULE TRINA MONO 340CADR NOIR</t>
  </si>
  <si>
    <t>COFF AC 16A/30mA TRI Asi +MX</t>
  </si>
  <si>
    <t>FRONIUS TAURO 50</t>
  </si>
  <si>
    <t>ONDULEUR FRONIUS SYMO 8.2 STD</t>
  </si>
  <si>
    <t>ONDULEUR FRONIUS SYMO12.5</t>
  </si>
  <si>
    <t>ONDULEUR FRONIUS SYMO17.5 STD</t>
  </si>
  <si>
    <t>ONDULEUR SOLAREDGE SE8K</t>
  </si>
  <si>
    <t>ONDULEUR SOLAREDGE SE12.5K</t>
  </si>
  <si>
    <t>ONDULEUR SOLAREDGE SE15K</t>
  </si>
  <si>
    <t>ONDULEUR SOLAREDGE SE17K</t>
  </si>
  <si>
    <t>ONDULEUR SOLAREDGE OPTIM P404</t>
  </si>
  <si>
    <t>SMART METER 63A-3</t>
  </si>
  <si>
    <t>KIT CONNECTION DC SYMO 10-20</t>
  </si>
  <si>
    <t>KIT FRONIUS RACCORDEMENT 50mm2 HO7RNF</t>
  </si>
  <si>
    <t>COF DC MX déporté en toiture</t>
  </si>
  <si>
    <t>Câble AC U-1000 R2V 5G16</t>
  </si>
  <si>
    <t>ONDULEUR FRONIUS SYMO 6.0-3-M</t>
  </si>
  <si>
    <t>ONDULEUR FRONIUS SYMO 8.2-3-M</t>
  </si>
  <si>
    <t>Coffret DC avec parafoudre</t>
  </si>
  <si>
    <t>Fixation IRFTS EASYROOF EVOLUTION</t>
  </si>
  <si>
    <t>REX Lot 2018</t>
  </si>
  <si>
    <t>Perffixe.com</t>
  </si>
  <si>
    <t>Supplément visserie inox A2 6x100</t>
  </si>
  <si>
    <t>3 rangées de cadres =&gt; 7 planches
80 chevrons, soit 560 intersections
2 vis par intersection et 10 % de marge pour casse</t>
  </si>
  <si>
    <t>PERFFIXE</t>
  </si>
  <si>
    <t>Alma solar</t>
  </si>
  <si>
    <t>ONDULEUR SMA STP 25000TL-30</t>
  </si>
  <si>
    <t>ALMA SOLAR</t>
  </si>
  <si>
    <t>COF AC POUR 1 SE15K + MX</t>
  </si>
  <si>
    <t>ONDULEUR SE15K</t>
  </si>
  <si>
    <t>Estimation peso</t>
  </si>
  <si>
    <t>ONDULEUR FRONIUS SYMO 17.5</t>
  </si>
  <si>
    <t>COF AC POUR 1 SYMO 15 + MX</t>
  </si>
  <si>
    <t>VACRE50X3204TT300</t>
  </si>
  <si>
    <t xml:space="preserve">COF AC pour 3 FRONIUS ECO 27 + 1 FRONIUS SYMO 3.7 (100kWc)
COF AC 50x3+20A/300mA TRI
Coffret métallique 800 x 600 x 200 mm IP66, équipée de :
1 Interrupteur INS 250/160A 4 Pôles commande latérale rouge et jaune cadenassable
1 Répartiteur 160A 4 pôles
1 Disjoncteur DT40N 20A 4 Pôles Courbe C Icc 10kA + 1 Différentiel DT40 300mA 4 Pôles 25A Type AC
3 Disjoncteurs iC60N 50A 4 Pôles Courbe C Icc 10kA + 3 Différentiels iC60 300mA 4 Pôles 63A Type AC
1 Porte fusible 4 Pôles 14x51 400v + 3 Fusibles 50A Gg 14x51 400v
1 Parafoudre mode commun et différentiel sans OF 4 Pôles In20kA Imax40kA 400v
1 Cage à vis 120 - 185mm2 100/160/250A
Bornes de raccordement à ressort 6 à 10 mm2
Bornes de raccordement à ressort 10 à 16 mm2
Ensemble de presses étoupes
HS code : 8536 90 90 98
Origine : France </t>
  </si>
  <si>
    <t>COF DC 4BR 40A1000V 1xPAR</t>
  </si>
  <si>
    <t>MICO-ONDULEUR ENPHASE IQ7</t>
  </si>
  <si>
    <t>MICO-ONDULEUR ENPHASE IQ7+</t>
  </si>
  <si>
    <t>MICO-ONDULEUR AP SYSTEMS YC600</t>
  </si>
  <si>
    <t>https://www.monkitsolaire.fr/</t>
  </si>
  <si>
    <t>MICO-ONDULEUR AP SYSTEMS YC 1000-3</t>
  </si>
  <si>
    <t>Mon kit solaire</t>
  </si>
  <si>
    <t>MICO-ONDULEUR AP SYSTEMS QS1</t>
  </si>
  <si>
    <t>CACHE POUR CONNECTEUR AP SYSTEMS AC NON UTILISÉ</t>
  </si>
  <si>
    <t>BOUCHON DE TERMINAISON POUR ONDULEUR AP SYSTEMS AC</t>
  </si>
  <si>
    <t>CABLE AC 2M POUR ONDULEUR AP SYSTEMS YC600</t>
  </si>
  <si>
    <t>BOUCHON POUR CONNECTEUR MC4 NON UTILISÉ AP SYSTEMS</t>
  </si>
  <si>
    <t>CABLE AC 2M POUR ONDULEUR AP SYSTEMS YC1000-3</t>
  </si>
  <si>
    <t>MICO-ONDULEUR AP SYSTEMS YC600 GARANTI 10 ANS</t>
  </si>
  <si>
    <t>MICO-ONDULEUR AP SYSTEMS YC600 GARANTI 20 ANS</t>
  </si>
  <si>
    <t>MICO-ONDULEUR AP SYSTEMS YC1000-3 GARANTI 10 ANS</t>
  </si>
  <si>
    <t>MICO-ONDULEUR AP SYSTEMS YC1000-3 GARANTI 20 ANS</t>
  </si>
  <si>
    <t>https://www.clemsys.com/</t>
  </si>
  <si>
    <t>CABLE ETHERNET BLINDÉ RJ45 F/UTP 5E CATÉGORIE 40M</t>
  </si>
  <si>
    <t>Clemsys</t>
  </si>
  <si>
    <t>CABLE ETHERNET BLINDÉ RJ45 F/UTP 5E CATÉGORIE 30M</t>
  </si>
  <si>
    <t>CABLE ETHERNET BLINDÉ RJ45 F/UTP 5E CATÉGORIE 25M</t>
  </si>
  <si>
    <t>CABLE ETHERNET BLINDÉ RJ45 F/UTP 5E CATÉGORIE 20M</t>
  </si>
  <si>
    <t>CABLE ETHERNET BLINDÉ RJ45 F/UTP 5E CATÉGORIE 15M</t>
  </si>
  <si>
    <t>CABLE ETHERNET BLINDÉ RJ45 F/UTP 5E CATÉGORIE 10M</t>
  </si>
  <si>
    <t>CABLE ETHERNET BLINDÉ RJ45 F/UTP 5E CATÉGORIE 5M</t>
  </si>
  <si>
    <t>CABLE ETHERNET BLINDÉ RJ45 F/UTP 5E CATÉGORIE 3M</t>
  </si>
  <si>
    <t>CABLE ETHERNET BLINDÉ RJ45 F/UTP 5E CATÉGORIE 1M</t>
  </si>
  <si>
    <t>https://www.ubaldi.com</t>
  </si>
  <si>
    <t>CABLE ETHERNERT PATCH INLINE S-FTP/PIMF 6E CAT 30M</t>
  </si>
  <si>
    <t>Ubaldi</t>
  </si>
  <si>
    <t>CABLE DE RACCORDEMENT INLINE S-FTP/PIMF 6E CAT 50M</t>
  </si>
  <si>
    <t>COF DC 5BR 40A1000V + 2 PAR</t>
  </si>
  <si>
    <t>Compact NSX100F - disjoncteur - 100A - 4P - sans déclencheur</t>
  </si>
  <si>
    <t>Pour DDR, combiner avec bloc Vigi ou micrologic</t>
  </si>
  <si>
    <t>REXEL</t>
  </si>
  <si>
    <t>Compact NSX160F - disjoncteur + déclencheur magnéto-thermique TMD - 160A – 4P4d</t>
  </si>
  <si>
    <t>Compact NSX250F - disjoncteur + déclencheur magnéto-thermique TMD - 250A – 4P4d</t>
  </si>
  <si>
    <t>Différentiel VIGI MH 4P 200-440V CA 0,03-10A pour Disjoncteur NSX100/160</t>
  </si>
  <si>
    <t>Pour DDR, combiner avec Compact NSX100-160</t>
  </si>
  <si>
    <t>Compact NSX100-250 - déclencheur micrologic 2.2 AB - 100A - 4P3d, 4d, 3d+N/2</t>
  </si>
  <si>
    <t>Pour DDR, combiner avec Compact NSX100-250</t>
  </si>
  <si>
    <t>LEG090475</t>
  </si>
  <si>
    <t>LEGRAND Borne Green'up Access véhicule électrique Modes 1 ou 2 - IP55 IK08 - hauteur 1m : borne + prise + patère. Pour domaine privé</t>
  </si>
  <si>
    <t>LEG059054</t>
  </si>
  <si>
    <t>LEGRAND Pied pour fixation au sol des bornes métal Green'up Premium véhicule électrique</t>
  </si>
  <si>
    <t>LEG090476</t>
  </si>
  <si>
    <t>LEGRAND Prêt à poser Prise Green'up Access véhicule électrique prise saillie + disj. Diff 30mA 20 A - Type A ou Hpi + patère. Pour domaine privé</t>
  </si>
  <si>
    <t>LEG059004</t>
  </si>
  <si>
    <t>LEGRAND Borne murale monophasée plastique Green'up Premium - Modes 2 et 3 - 7,4kW - 1 port  - IP44 IK08 – 32A</t>
  </si>
  <si>
    <t>LEG059003</t>
  </si>
  <si>
    <t>LEGRAND Borne murale monophasée plastique Green'up Premium - Modes 2 et 3 - 3,7/4,6kW - 1 port</t>
  </si>
  <si>
    <t>LEG059015</t>
  </si>
  <si>
    <t>LEGRAND Borne triphasée murale métal Green'up Premium - Modes 2 et 3 - 22kW - 2 ports</t>
  </si>
  <si>
    <t>SCHEVP1PBSSG</t>
  </si>
  <si>
    <t>SCHNEIDER ELECTRIC EVlink Smart Wallbox -Wallbox -Pied pour 1 ou 2 bornes</t>
  </si>
  <si>
    <t>SCHEVH2S7P04K</t>
  </si>
  <si>
    <t>SCHNEIDER ELECTRIC EVlink Wallbox - borne - IP54 - 1 prise T2S - 7kW - Clé IEC. Pour domaine privé</t>
  </si>
  <si>
    <t>SCHEVB1A22P4ERI</t>
  </si>
  <si>
    <t>SCHNEIDER ELECTRIC EVlink Smart Wallbox - 1 prise T2S + 1 prise TE - RFID - Paramétrable 3/22 KW – Avec Socle de prise T2 avec obturateurs (T2S), Lecteur RFID et Socle de prise domestique TE</t>
  </si>
  <si>
    <t>COF AC pour 2 TAURO 50</t>
  </si>
  <si>
    <t>ONDULEUR SOLAREDGE SE 25K</t>
  </si>
  <si>
    <t>MOD. DUALS FLASH 310</t>
  </si>
  <si>
    <t>MODULE ALEO MONO 330 X63</t>
  </si>
  <si>
    <t>MODULE MONO. CADRE REC330NPEAK</t>
  </si>
  <si>
    <t>STRUCTURE SOLARSIT - NPA 3.45 pour 303 modules : 14Rx22C paysage</t>
  </si>
  <si>
    <t>STRUCTURE SOLARSIT - NPA 3.45 pour 322 modules : 14Rx23C paysage</t>
  </si>
  <si>
    <t>STRUCTURE SOLARSIT - NPA 3.45 pour 116 modules : 9Rx13C paysage</t>
  </si>
  <si>
    <t>STRUCTURE SOLARSIT - NPA 3.45 pour 109 modules : 10Rx11C paysage</t>
  </si>
  <si>
    <t>COF AC 50x3+20A/300mATRI 185mm pour 3 onduleurs FRONIUS ECO27LIGHT et un onduleur FRONIUS SYMO 12.5</t>
  </si>
  <si>
    <t>COFF AC 160A/300mA pour onduleur SOLAREDGE SE82.8K</t>
  </si>
  <si>
    <t>COF AC 32+25A/300mA TRI pour 2 onduleurs FRONIUS SYMO15 ou 2 onduleurs SOLAREDGE SE15K</t>
  </si>
  <si>
    <t>COF DC 2BR 30A1000V 1xPAR</t>
  </si>
  <si>
    <t>COF DC 3BR MC4 1xPARAF</t>
  </si>
  <si>
    <t>COF DC 4BR 50A1000V 1xPAR MC4</t>
  </si>
  <si>
    <t>COF DC 5BR 100A 1000V 1xPAR MC4</t>
  </si>
  <si>
    <t>CABLE 5G10 HO7RNF pour 20m</t>
  </si>
  <si>
    <t>CABLE SOLAIRE 1X4MM² NOIR par 500M</t>
  </si>
  <si>
    <t>CABLE SOLAIRE 1X4MM² ROUGE par 500M</t>
  </si>
  <si>
    <t>CONNECT. MC4+ 4/6MM², par 150</t>
  </si>
  <si>
    <t>CONNECT. MC4- 4/6MM², par 150</t>
  </si>
  <si>
    <t>ONDULEUR FRONIUS ECO27LIGHT</t>
  </si>
  <si>
    <t>ONDULEUR SOLAREDGE SE82.8K (AJOUTER 2 UNITÉS SECONDAIRES)</t>
  </si>
  <si>
    <t>ONDULEUR SE UNITE SECONDAIRE</t>
  </si>
  <si>
    <t>ONDULEUR SOLAREDGE OPTIM P600, par 160</t>
  </si>
  <si>
    <t>ONDULEUR FRONIUS SYMO15LIGHT</t>
  </si>
  <si>
    <t>ONDULEUR FRONIUS SYMO 15</t>
  </si>
  <si>
    <t>ONDULEUR SOLAREDGE OPTIM P600 par 58</t>
  </si>
  <si>
    <t>ONDULEUR SOLAREDGE OPTIM P370 par 109</t>
  </si>
  <si>
    <t>FRAIS DE PORT pour centrale 100kW</t>
  </si>
  <si>
    <t>COF AC pour 1 TAURO 50</t>
  </si>
  <si>
    <t>MOD DUALSUN FLASH 360</t>
  </si>
  <si>
    <t>COF AC 50x3+10A/300mA TRI</t>
  </si>
  <si>
    <t>COF DC 1BR 20A1000V PAR
COFFRET DC 1 BRANCHE 20 A PARAFOUDRE 1000 V
AVEC CONNECTEURS MC4
HS Code : 8536 20 90 10
Origine : France</t>
  </si>
  <si>
    <t>VDCRE504B10C</t>
  </si>
  <si>
    <t>COF DC 4BR 50A1000V 1xPAR MC4
COFFRET DC 4 BRANCHES 50 A 1000 V AVEC
PARAFOUDRE, MC4 et PORTE-FUSIBLES
HS Code : 8536 20 90 10
Origine : France</t>
  </si>
  <si>
    <t>VACCLP5G10</t>
  </si>
  <si>
    <t>CABLE 5G10 HO7RNF AU METRE
HS Code : 85444995
Origine : France</t>
  </si>
  <si>
    <t>VODFSTSYMO45S</t>
  </si>
  <si>
    <t>ONDULEUR FRONIUS SYMO 4.5.3S STD
Dim : 645x431x204mm
Poids : 16Kg
HS code : 8504 40 30
Origine : Autriche</t>
  </si>
  <si>
    <t>Site</t>
  </si>
  <si>
    <t>SMA SHP 100-20</t>
  </si>
  <si>
    <t>SMA CORE-1 STP 50-40</t>
  </si>
  <si>
    <t>KACO POWADOR 50.0TL3</t>
  </si>
  <si>
    <t>SMA STP 20000TL-30</t>
  </si>
  <si>
    <t>SMA STP 15000TL-30</t>
  </si>
  <si>
    <t>KACO BLUE PLANET 20.0 TL3 M2 INT-SPD</t>
  </si>
  <si>
    <t>STP 60-10</t>
  </si>
  <si>
    <t>SOL-SC1-12ST-0-F-T2-SD-21</t>
  </si>
  <si>
    <t>PHOENIX CONTACT</t>
  </si>
  <si>
    <t>SOL-SC1-14ST-0-F1-21</t>
  </si>
  <si>
    <t>SOL-SC1-14ST-0-F-T2-SD-21</t>
  </si>
  <si>
    <t>SOL-SC1-12ST-0-F-21</t>
  </si>
  <si>
    <t>SOL-SC1-18ST-0-F1-SD-21 
String combiner box for photovoltaic systems up to 1,000 V DC for the connection of up to 18 strings. With one-sided fuse protection via fuse holder and DC isolator. Cable entry via multiple cable gland. Including 15 A fuse-links.</t>
  </si>
  <si>
    <t>SOL-SC1-14ST-0-F-21</t>
  </si>
  <si>
    <t>SOL-SC1-18ST-0-F-SD-21 
String combiner box for photovoltaic systems up to 1,000 V DC for the connection of up to 18 strings. With two-sided fuse protection via fuse holder and DC isolator. Cable entry via multiple cable gland. Including 15 A fuse-links.</t>
  </si>
  <si>
    <t>SOL-SC1-18ST-0-F-T2-SD-21
String combiner box for photovoltaic systems up to 1,000 V DC for the connection of up to 18 strings. With two-sided fuse protection via fuse holder, DC isolators, and type 2 surge protection. Cable entry via multiple cable gland. Including 15 A fuse-links.</t>
  </si>
  <si>
    <t>SOL-SC1-12ST-0-F1-SD-21
Boîte de jonction pour 12 chaînes, avec 12 porte-fusibles sur PV+ et disjoncteur/sectionneur</t>
  </si>
  <si>
    <t>COF AC pour 4 FRONIUS ECO 27 + 1 FRONIUS SYMO 15</t>
  </si>
  <si>
    <t>ALSECURE® 4G70 Cca-s1,d1,a1</t>
  </si>
  <si>
    <t>NEXANS</t>
  </si>
  <si>
    <t xml:space="preserve">U-1000 AR2V 4x120 (multiconducteur)
Câbles rigides (industriels non armés) basse tension pour installation fixe. 
Ame Aluminium isolée XLPE et gainée PVC.
- Température sur âme : 90°C
- Non propagateur de la flamme (C2)
- Tension assignée AC : 0,6/1kV - DC classe II : 750/1500V
Au sein de la famille de câbles AR2V figurent les câbles monoconducteurs torsadés TWISTAL. 
Tous les câbles AR2V sont fabriqués en France.
IEC 60228;IEC 60502-1;XP C 32-321 </t>
  </si>
  <si>
    <t>TWISTAL® U-1000 AR2V 4x1*120 mm² (torsade)</t>
  </si>
  <si>
    <t>ONDULEUR FRONIUS SYMO10</t>
  </si>
  <si>
    <t>TECHNIDEAL</t>
  </si>
  <si>
    <t>CO2</t>
  </si>
  <si>
    <t>Abri pour 3 onduleurs en treillis galva peint époxy</t>
  </si>
  <si>
    <t>Courriel du 16/12/2020</t>
  </si>
  <si>
    <t>DUALSUN FLASH 375 SHINGLE BLACK</t>
  </si>
  <si>
    <t>COF AC POUR 2 ECO 27 + MX
coffret plastique 3x12 Modules IP65, équipé de : 1 Interrupteur 63A 4 pôles avec poignée
1 Plot de terre
2 Disjoncteur iC60N 50A 4 Pôles Courbe C Icc 10kA + 1 Différentiel iC60 300mA 4 Pôles 63A Type AC
1 Porte fusible 4 Pôles 10x38 400v + 3 Fusibles 32A Gg 10x38 400v
1 Parafoudre mode commun et différentiel sans OF 4 Pôles In20kA Imax40kA 230Ev</t>
  </si>
  <si>
    <t>Câble AC U-1000 R2V 1x150</t>
  </si>
  <si>
    <t>Devis N°FR037456</t>
  </si>
  <si>
    <t>XC450-LCR-A-04</t>
  </si>
  <si>
    <t>Afficheur série XC450 Linea, pour extérieur IP54, 3 lignes de 6 caractères de hauteur 55mm ; 1000 x 560 x 62 mm</t>
  </si>
  <si>
    <t>SIEBERT</t>
  </si>
  <si>
    <t>Frais de port et d’emballage pour afficheur SIEBERT</t>
  </si>
  <si>
    <t>www.wattuneed.com</t>
  </si>
  <si>
    <t>Onduleur SolarEdge SE16 K SETAPP</t>
  </si>
  <si>
    <t>WATTUNEED</t>
  </si>
  <si>
    <t>Onduleur SolarEdge SE17 K SETAPP</t>
  </si>
  <si>
    <t>Onduleur SolarEdge SE25 K SETAPP</t>
  </si>
  <si>
    <t>Onduleur SolarEdge SE27.6 K SETAPP</t>
  </si>
  <si>
    <t>Onduleur SolarEdge SE3K SETAPP</t>
  </si>
  <si>
    <t>Onduleur SolarEdge SE4K SETAPP</t>
  </si>
  <si>
    <t>Onduleur SolarEdge SE5K SETAPP</t>
  </si>
  <si>
    <t>Onduleur SolarEdge SE6K SETAPP</t>
  </si>
  <si>
    <t>Onduleur SolarEdge SE7K SETAPP</t>
  </si>
  <si>
    <t>Onduleur SolarEdge SE8K SETAPP</t>
  </si>
  <si>
    <t>Onduleur SolarEdge SE9K SETAPP</t>
  </si>
  <si>
    <t>Onduleur SolarEdge SE10K SETAPP</t>
  </si>
  <si>
    <t>Onduleur SolarEdge mono Compact SE1000M</t>
  </si>
  <si>
    <t>Onduleur SolarEdge mono Compact SE1500M</t>
  </si>
  <si>
    <t>Onduleur SolarEdge mono Compact SE2000M</t>
  </si>
  <si>
    <t>Onduleur SolarEdge SE2200H HD Wave</t>
  </si>
  <si>
    <t>Onduleur SolarEdge SE3000H HD Wave</t>
  </si>
  <si>
    <t>Onduleur SolarEdge SE3500H HD Wave</t>
  </si>
  <si>
    <t>Onduleur SolarEdge SE3680H HD Wave</t>
  </si>
  <si>
    <t>Onduleur SolarEdge SE4000H HD Wave</t>
  </si>
  <si>
    <t>Onduleur SolarEdge SE5000H HD Wave</t>
  </si>
  <si>
    <t>Onduleur SolarEdge SE6000H HD Wave</t>
  </si>
  <si>
    <t>Onduleur triphasé SolarEdge 30K</t>
  </si>
  <si>
    <t>Onduleur triphasé SolarEdge 33.3K</t>
  </si>
  <si>
    <t>www.alma-solarshop.fr</t>
  </si>
  <si>
    <t>SMA STP110-6 (CORE2)</t>
  </si>
  <si>
    <t>Wattuneed</t>
  </si>
  <si>
    <t>COF DC 6BR 25A1000V PAR MC4 AVEC
6 PARAFOUDRE, MC4 et MX</t>
  </si>
  <si>
    <t>m²</t>
  </si>
  <si>
    <t>DevisBoisseToitureSalleFetes2019</t>
  </si>
  <si>
    <t>Pose TAN sur 900m2, sans détuilage, y compris zinguerie, sur RdC.</t>
  </si>
  <si>
    <t>BOISSE</t>
  </si>
  <si>
    <t>Mairie LRV</t>
  </si>
  <si>
    <t>Désamiantage sur 900m2, sans pose d’une autre couverture, sur RdC.</t>
  </si>
  <si>
    <t>Fourniture exutoire de désenfumage 100x200 conforme EN 12101-2, raccordement et essai compris</t>
  </si>
  <si>
    <t>COF AC 250A</t>
  </si>
  <si>
    <t>FRAIS DE PORT pour centrale 300kW</t>
  </si>
  <si>
    <t>Câble AC U-1000 R2V 4X95</t>
  </si>
  <si>
    <t>Câble AC U-1000 R2V 1x95</t>
  </si>
  <si>
    <t>Câble AC U-1000 R2V 1x120</t>
  </si>
  <si>
    <t>Câble AC U-1000 R2V 1x185</t>
  </si>
  <si>
    <t>Câble AC U-1000 R2V 4X70</t>
  </si>
  <si>
    <t>Câble AC U-1000 R2V 4X35</t>
  </si>
  <si>
    <t>Câble AC U-1000 R2V 4X25</t>
  </si>
  <si>
    <t>Câble AC U-1000 R2V 4X10</t>
  </si>
  <si>
    <t>Courriel du 27/04/2021</t>
  </si>
  <si>
    <t>MOD DUALSUN FLASH 375 SHINGLE BLACK (stocké)</t>
  </si>
  <si>
    <t>MOD DUALSUN FLASH 370 HC GREY (non en stock, environ 8 à 10 semaines de délais minimum)</t>
  </si>
  <si>
    <t>Câble AC U-1000 R2V 5G10</t>
  </si>
  <si>
    <t>Câble AC U-1000 R2V 5G50</t>
  </si>
  <si>
    <t>ONDULEUR SOLAREDGE SE82.8K</t>
  </si>
  <si>
    <t>https://www.rexel.fr/frx/Cat%C3%A9gorie/Distribution-et-gestion-de-l%27%C3%A9nergie/Distribution-et-protection-de-l%27%C3%A9nergie/Disjoncteur-diff%C3%A9rentiel-modulaire/Disj-diff-monobloc-DX%C2%B36000-10kA-arriv%C3%A9e-haut-d%C3%A9part-bas-vis-4P-50A-typeAC-300mA/LEG411210/p/69704800</t>
  </si>
  <si>
    <t xml:space="preserve"> Legrand Disj diff monobloc DX³6000 10kA arrivée haut/départ bas vis 4P 50A type AC 300mA</t>
  </si>
  <si>
    <t>https://www.rexel.fr/frx/Cat%C3%A9gorie/Distribution-et-gestion-de-l%27%C3%A9nergie/Distribution-et-protection-de-l%27%C3%A9nergie/Disjoncteur-diff%C3%A9rentiel-modulaire/Disj-diff-monobloc-DX%C2%B36000-10kA-arriv%C3%A9e-haut-d%C3%A9part-bas-vis-4P-50A-typeAC-30mA/LEG411191/p/69705136</t>
  </si>
  <si>
    <t xml:space="preserve"> Legrand Disj. diff monobloc DX³6000 10kA arrivée haut/départ bas vis 4P 50A type AC 30mA</t>
  </si>
  <si>
    <t>Routeur wifi-gsm</t>
  </si>
  <si>
    <t>NEGOSOLAR</t>
  </si>
  <si>
    <t>DUALSUN FLASH MONO 375 cadre noir</t>
  </si>
  <si>
    <t>MECOSUN de type MV€ pour 160 modules</t>
  </si>
  <si>
    <t>TERRAGRIF Mécosun MV€ PL0.5x20x24-5.5</t>
  </si>
  <si>
    <t>Optimiseur P801-4RM4MRY</t>
  </si>
  <si>
    <t>Transport pour centrale de 60kW</t>
  </si>
  <si>
    <t>Coffret AC POUR 1 x STP CORE 1 - SORTIE 35mm² MAXI</t>
  </si>
  <si>
    <t>DISJONCTEUR AGCP 4 POLES 80A</t>
  </si>
  <si>
    <t>Courriel du 21/06/2021</t>
  </si>
  <si>
    <t>DUAL SUN 375 Wc Cadre noir tedlar blanc</t>
  </si>
  <si>
    <t>DUAL SUN 375 Wc Full Black</t>
  </si>
  <si>
    <t>HUAWEI SUN2000-30KTL</t>
  </si>
  <si>
    <t>HUAWEI SUN2000-36KTL</t>
  </si>
  <si>
    <t>https://www.solaredge.com/fr/satellite</t>
  </si>
  <si>
    <t>Ratio de performance par satellite</t>
  </si>
  <si>
    <t>SOLAREDGE</t>
  </si>
  <si>
    <t>Offre et commande</t>
  </si>
  <si>
    <t>DUAL SUN 375 Wc HALF-CUT WHITE</t>
  </si>
  <si>
    <t>1x FRONIUS SYMO 17.5-3-M +1x FRONIUS SYMO 15-3-M. Un des deux sera Light</t>
  </si>
  <si>
    <t>K2 SYSTEMS Singlerail  et CrossHook 4S</t>
  </si>
  <si>
    <t>Courriel</t>
  </si>
  <si>
    <t>DUAL SUN FLASH 375 FULLBLACK</t>
  </si>
  <si>
    <t xml:space="preserve">ONDULEUR SOLAREDGE SE16K </t>
  </si>
  <si>
    <t>ONDULEUR SOLAREDGE OPTIM P401</t>
  </si>
  <si>
    <t>STRUCTURE K2 - MINIRAIL pour 48 modules</t>
  </si>
  <si>
    <t xml:space="preserve">COFF AC 32A/300mA TRI </t>
  </si>
  <si>
    <t xml:space="preserve">COF DC 2BR 30A1000V 1xPAR 2S </t>
  </si>
  <si>
    <t xml:space="preserve">CABLE SOLAIRE 1X4MM² NOIR PAR 75M </t>
  </si>
  <si>
    <t xml:space="preserve">TOR 100A-A </t>
  </si>
  <si>
    <t>FRAIS DE PORT pour 18kWc</t>
  </si>
  <si>
    <t>Chiffrage K2 SYSTEMS</t>
  </si>
  <si>
    <t>K2 SYSTEMS MINIRAIL POUR 266 MODULES</t>
  </si>
  <si>
    <t>Courriel du 02/11</t>
  </si>
  <si>
    <t>VOLTEC TARKA VSMD 126-390W</t>
  </si>
  <si>
    <t>VOLTEC</t>
  </si>
  <si>
    <t>Compact NSX250F - disjoncteur différentiel - 4P4d 36kA Micrologic 4.2 Vigi 250A</t>
  </si>
  <si>
    <t>Fronius TAURO Eco 50-3-P</t>
  </si>
  <si>
    <t>EUROPE SOLAR STORE</t>
  </si>
  <si>
    <t>Fronius TAURO Eco 50-3-D</t>
  </si>
  <si>
    <t>Fronius TAURO Eco 100-3-P</t>
  </si>
  <si>
    <t>Fronius TAURO Eco 100-3-D</t>
  </si>
  <si>
    <t>Courriel du 10/12/2021 + 10%</t>
  </si>
  <si>
    <t>H07VK-6-VJ-1m</t>
  </si>
  <si>
    <t>CABLE PHOTOVOLTAIQUE H1Z2Z2-K 1X16 NOIR TGL</t>
  </si>
  <si>
    <t>CABLE PHOTOVOLTAIQUE H1Z2Z2-K 1X10 NOIR TGL</t>
  </si>
  <si>
    <t>CABLE PHOTOVOLTAIQUE H1Z2Z2-K 1X6 NOIR TGL</t>
  </si>
  <si>
    <t>500m</t>
  </si>
  <si>
    <t>CABLE PHOTOVOLTAIQUE H1Z2Z2-K 1X6 NOIR T500 (par touret de 500m)</t>
  </si>
  <si>
    <t>Câble solaire H1Z2Z2K-4-N-m (10m mini)</t>
  </si>
  <si>
    <t>Câble solaire H1Z2Z2K-4-N-C100</t>
  </si>
  <si>
    <t>Câble solaire H1Z2Z2K-4-N-T500</t>
  </si>
  <si>
    <t>Câble solaire H1Z2Z2K-6-N-m (10m mini)</t>
  </si>
  <si>
    <t>Câble solaire H1Z2Z2K-6-N-C100</t>
  </si>
  <si>
    <t>Câble solaire H1Z2Z2K-6-N-T500</t>
  </si>
  <si>
    <t>Câble solaire H1Z2Z2K-10-N-m (5 mini)</t>
  </si>
  <si>
    <t>Câble solaire H1Z2Z2K-10-N-C100</t>
  </si>
  <si>
    <t>Câble solaire H1Z2Z2K-10-N-T500</t>
  </si>
  <si>
    <t>Câble solaire H1Z2Z2K-16-N-m (10 mini)</t>
  </si>
  <si>
    <t>Câble solaire H1Z2Z2K-16-N-C100</t>
  </si>
  <si>
    <t>Câble solaire H1Z2Z2K-16-N-T500</t>
  </si>
  <si>
    <t>Fusible taille 10x38 - gPV - 20A - 1000V</t>
  </si>
  <si>
    <t>Fusible taille 10x38 - gPV - 30A - 1000V</t>
  </si>
  <si>
    <t>Fusible taille 10x38 - gPV - 32A - 1000V</t>
  </si>
  <si>
    <t>U-1000 AR2V 4x150 (multiconducteur)</t>
  </si>
  <si>
    <t>site LEGRAND</t>
  </si>
  <si>
    <t>Bloc differentiel électronique montage aval pour DPX250 4P - 230V~ à 500V~, type A</t>
  </si>
  <si>
    <t>LEGRAND</t>
  </si>
  <si>
    <t>Courriel du 06/05/2021</t>
  </si>
  <si>
    <t>MOD DUALSUN FLASH 375 HALF CUT</t>
  </si>
  <si>
    <t>OND. FRONIUS TAURO 3MPP 50-3-D incluant : Carte d’enregistrement et de com + Connecteurs MC4 + La protection contre les surtensions de type 1 + 2 (AC + DC)  +  fusibles 20A sont intégrés en standard +  La  zone  AC  est  configurée  par  défaut  pour  permettre  une  connexion  facile  avec  des  câbles multiconducteurs</t>
  </si>
  <si>
    <t>OND. FRONIUS TAURO ECO 50-3-D incluant : Carte d’enregistrement et de com + Connecteurs MC4 + La protection contre les surtensions de type 1 + 2 (AC + DC)  +  fusibles 20A sont intégrés en standard +  La  zone  AC  est  configurée  par  défaut  pour  permettre  une  connexion  facile  avec  des  câbles multiconducteurs</t>
  </si>
  <si>
    <t>OND. FRONIUS TAURO ECO 100-3-D incluant : Carte d’enregistrement et de com + Connecteurs MC4 + La protection contre les surtensions de type 1 + 2 (AC + DC)  +  fusibles 20A sont intégrés en standard +  La  zone  AC  est  configurée  par  défaut  pour  permettre  une  connexion  facile  avec  des  câbles multiconducteurs</t>
  </si>
  <si>
    <t>OND. FRONIUS TAURO 3MPP 50-3-P incluant : Carte d’enregistrement et de com + La protection contre les surtensions de type 1 + 2 (AC + DC)  + pas de fusibles. La  zone  AC  est  configurée  par  défaut  pour  permettre  une  connexion  facile  avec  des  câbles multiconducteurs</t>
  </si>
  <si>
    <t>OND. FRONIUS TAURO ECO 50-3-P incluant : Carte d’enregistrement et de com + La protection contre les surtensions de type 1 + 2 (AC + DC)  + pas de fusibles. La  zone  AC  est  configurée  par  défaut  pour  permettre  une  connexion  facile  avec  des  câbles multiconducteurs</t>
  </si>
  <si>
    <t>BIZ720800</t>
  </si>
  <si>
    <t>Piquet de terre trèfle en acier galvanisé avec cosse 1 m</t>
  </si>
  <si>
    <t>BIZ710268</t>
  </si>
  <si>
    <t>Barrette de coupure haute avec isolant porcelaine platine métallique</t>
  </si>
  <si>
    <t>MAVISUN</t>
  </si>
  <si>
    <t>Fronius Tauro Eco 100-3-D</t>
  </si>
  <si>
    <t>Fusibles 20A pour onduleurs 100 kW (lot de 44)</t>
  </si>
  <si>
    <t xml:space="preserve">Fronius Tauro Eco 50-3-D </t>
  </si>
  <si>
    <t xml:space="preserve">Fronius Parafoudre SPD Type 2 Eco </t>
  </si>
  <si>
    <t>COFFRET AC TRI 150KW 2 OND-D + PC METAL</t>
  </si>
  <si>
    <t>CP030116</t>
  </si>
  <si>
    <t>CABLE SOLAIRE 6mm² NOIR Touret de 500ml</t>
  </si>
  <si>
    <t>TOURET 500-6R</t>
  </si>
  <si>
    <t>CABLE SOLAIRE 6mm² ROOUGE Touret de 500ml</t>
  </si>
  <si>
    <t>https://www.senetic.fr/product/RUT950U022C0</t>
  </si>
  <si>
    <t>RUT950U022C0</t>
  </si>
  <si>
    <t>Routeur Telkonika RUT 950: routeur Wi-Fi 4G LTE</t>
  </si>
  <si>
    <t>SENETIC</t>
  </si>
  <si>
    <t>https://www.senetic.fr/product/RUT950V022C0</t>
  </si>
  <si>
    <t>RUT950V022C0</t>
  </si>
  <si>
    <t>PLEIGLASS POUR ABB X2/XT4 + 2 VIS DE FIXATION</t>
  </si>
  <si>
    <t>CABLE SOLAIRE 1X10MM2 NOIR</t>
  </si>
  <si>
    <t>CABLE SOLAIRE 1X6MM2 NOIR par touret de 500m</t>
  </si>
  <si>
    <t>Câble AC U1000 R2V 1x300mm2</t>
  </si>
  <si>
    <t>Câble AC U1000 R2V 1x185mm2</t>
  </si>
  <si>
    <t>COFFRET REGROUPEMENT 6BR</t>
  </si>
  <si>
    <t xml:space="preserve">MOD DUALSUN FLASH 375 SHINGLE BLACK </t>
  </si>
  <si>
    <t>MOD DUALSUN FLASH 500Wc HALF CUT BLACK 2094x1134x35 26kg</t>
  </si>
  <si>
    <t>COFF AC 80A/30mA TRI  + MX</t>
  </si>
  <si>
    <t xml:space="preserve">COF AC 160A 300mm2 ACOSSER </t>
  </si>
  <si>
    <t>14Rx21C</t>
  </si>
  <si>
    <t>STRUCTURE K2 – SURIMPOSITION CrossHook 4S + Single rail 36 light</t>
  </si>
  <si>
    <t>COF DC 3BR 40A1000V PAR</t>
  </si>
  <si>
    <t>En fait, besoin de 46 P701 (2:1) et 1 P701 (1:1)</t>
  </si>
  <si>
    <t xml:space="preserve">4h pour l’échafaudage sur le toit principal </t>
  </si>
  <si>
    <t>Pose des câbles des chaînes</t>
  </si>
  <si>
    <t>1h par chaîne</t>
  </si>
  <si>
    <t>Descente des chaînes</t>
  </si>
  <si>
    <t>Ligne équipotentielle</t>
  </si>
  <si>
    <t>Pour 2 coffrets</t>
  </si>
  <si>
    <t>Mesure résistance de terre</t>
  </si>
  <si>
    <t xml:space="preserve">Assurance Dommages-ouvrages (prix TTC)
Obligatoire si IAB, renforcement de charpente ou imposition par le bailleur.
Indiquer le nb d’ouvrages/bâtiments concernés dans la colonne A Nb. </t>
  </si>
  <si>
    <t>Entretien annuel par installateur centrale de 9kWc</t>
  </si>
  <si>
    <t>Offre SOLLYS ENERGIES de 03/2021</t>
  </si>
  <si>
    <t>Entretien annuel par installateur centrale de 36kWc</t>
  </si>
  <si>
    <t>Entretien annuel par installateur centrale de 100kWc</t>
  </si>
  <si>
    <t>COF DC 4BR 50A1000V PAR MC4
COFFRET DC 4 BRANCHES 50 A 1000 V AVEC
PARAFOUDRE, MC4 et PORTE-FUSIBLES
HS Code : 8536 20 90 10
Origine : France</t>
  </si>
  <si>
    <t>4 supplémentaire pour rallonges entre les toits</t>
  </si>
  <si>
    <t>4h pour l’échafaudage sur le toit principal et 2h pour l’annexe Ouest</t>
  </si>
  <si>
    <t>Tracto-pelle, scieuse de goudron et dameuse pour tranchée</t>
  </si>
  <si>
    <t>Vérifier que les crochets sont Crosshook 4S</t>
  </si>
  <si>
    <t>boîtier d’arrêt d’urgence rouge LEGRAND modèle 0 380 09 pour coffret AC</t>
  </si>
  <si>
    <t>COF 4BR 40A1000V PARA</t>
  </si>
  <si>
    <t>pour chaîne sur ailes Ouest et Sud éloignées de plus de 10m de l’onduleur</t>
  </si>
  <si>
    <t>Destokable.fr</t>
  </si>
  <si>
    <t>Entre onduleurs et coffret AC</t>
  </si>
  <si>
    <t>Cheminement depuis façade Sud aile Nord, sous égout aile ouest et passage sous les tuiles de l’aile Sud, puis souterrain jusqu’à la route</t>
  </si>
  <si>
    <t>Commande du 05/02/2018</t>
  </si>
  <si>
    <t>2 échafaudages ! Base LLB</t>
  </si>
  <si>
    <t>3,3h en moyenne pour 2 chaînes sur lot 1</t>
  </si>
  <si>
    <t>7,75h en moyenne chez LLB et ateliers Verzé</t>
  </si>
  <si>
    <t>inclus dans pose des câbles de chaînes</t>
  </si>
  <si>
    <t>inclus dans pose onduleur</t>
  </si>
  <si>
    <t>Source Martinez</t>
  </si>
  <si>
    <t>sem</t>
  </si>
  <si>
    <t>Location échafaudage</t>
  </si>
  <si>
    <t>Base 1000€/sem pour 9x9m2</t>
  </si>
  <si>
    <t>Location chariot élévateur</t>
  </si>
  <si>
    <t>Location tracto-pelle</t>
  </si>
  <si>
    <t>&lt;36kVA, Zone ZFA (&lt;100khab.) Source Enedis-PRO-RAC_03E V5</t>
  </si>
  <si>
    <t>Coût extension câble</t>
  </si>
  <si>
    <t>Source Enedis-PRO-RAC_03E V5</t>
  </si>
  <si>
    <t>Coût augmentation P transfo</t>
  </si>
  <si>
    <t>AMO</t>
  </si>
  <si>
    <r>
      <rPr>
        <sz val="10"/>
        <rFont val="MS Sans Serif"/>
      </rPr>
      <t>2</t>
    </r>
    <r>
      <rPr>
        <vertAlign val="superscript"/>
        <sz val="10"/>
        <rFont val="MS Sans Serif"/>
      </rPr>
      <t>e</t>
    </r>
    <r>
      <rPr>
        <sz val="10"/>
        <rFont val="MS Sans Serif"/>
      </rPr>
      <t xml:space="preserve"> lot de 5 toitures</t>
    </r>
  </si>
  <si>
    <t>Car ajout surpoids</t>
  </si>
  <si>
    <t>Devis STARENCO 20200415</t>
  </si>
  <si>
    <t>Etude d’ombrage de l’aile Ouest</t>
  </si>
  <si>
    <t>Entretien annuel par installateur, centrale 9kWc</t>
  </si>
  <si>
    <t>Offre Sollys Energies 2021 03</t>
  </si>
  <si>
    <t>Entretien annuel par installateur, centrale 36kWc</t>
  </si>
  <si>
    <t>Entretien annuel par installateur, centrale 100kWc</t>
  </si>
  <si>
    <t xml:space="preserve">Abonnement 1 an SOLAREDGE </t>
  </si>
  <si>
    <t>354 Salle d’activité et de judo de La Roche vineuse</t>
  </si>
  <si>
    <t>K2 SYSTEMS SOLID RAIL 21Cx4RxV</t>
  </si>
  <si>
    <t xml:space="preserve">COF DC 4BR 25A1000V PAR MC4 AVEC
PARAFOUDRE, MC4 et MX, 8 Portes fusible,  1 Pôles 10x38 1000v
1 Parafoudre mode commun </t>
  </si>
  <si>
    <t>Les modules son t en série, 2 par 2, par optimiseur</t>
  </si>
  <si>
    <t>4 chaînes de 22 modules, sans fusible</t>
  </si>
  <si>
    <t>EKLOR offre 717855</t>
  </si>
  <si>
    <t>Estimation globale STARENCO sur Vinipole moins estimation autres postes</t>
  </si>
  <si>
    <t>Déplacement tabatière</t>
  </si>
  <si>
    <t>Renfort de charpente pour support des crochet de toit</t>
  </si>
  <si>
    <t>Voir à la faire supporter par le projet de désamiantage financé par la commune</t>
  </si>
  <si>
    <t>+ Bobine MX</t>
  </si>
  <si>
    <t>ONDULEUR FRONIUS SYMO 4.5S STD
Dim : 645x431x204mm
Poids : 16Kg
HS code : 8504 40 30
Origine : Autriche</t>
  </si>
  <si>
    <t>Pour 14 chaînes</t>
  </si>
  <si>
    <t>Pour 6 coffrets</t>
  </si>
  <si>
    <t>K2 SYSTEMS MINIRAIL</t>
  </si>
  <si>
    <t>COF DC 4BR 50A1000V PAR MC4</t>
  </si>
  <si>
    <t>câblé en 4 branches de 22</t>
  </si>
  <si>
    <t>câblé en 1 branche de 20 et 1 branche de 19</t>
  </si>
  <si>
    <t>1° : 9x 22 / 2° 9x21</t>
  </si>
  <si>
    <t>BJ pour 12 entrées, 1 parafoudre type 2 et une sortie DC</t>
  </si>
  <si>
    <t>18 chaînes. 10' pour leur découpe, à longueur. 20' pour l'amenée sur toit , passage en fourreaux et positionnement sur toit</t>
  </si>
  <si>
    <t>Pour 3 coffrets, soit 2x9x2 soit 36 MC4 à 2' l'unité + 2x2x2 + 2x3, soit 14 grosses connexions avec bornes étamées, à 10' l'unité</t>
  </si>
  <si>
    <t>4h par onduleur car chacun pèse 96kg !</t>
  </si>
  <si>
    <t>Offre EKLOR du 19/01/2022</t>
  </si>
  <si>
    <t>BRANLY, dans son Devis N° D22_0019,  propose un minimum de 1520€, hors facture éventuelle du détenteur des archives)</t>
  </si>
  <si>
    <t>Offre SOLLYS ENERGIE de 07/2021</t>
  </si>
  <si>
    <t>COF DC 5BR 100A1000V PAR MC4 M
COFFRET DC 5 BRANCHES 100A 1000V AVEC
PARAFOUDRE, MC4 et MX
HS Code : 8536 20 90 10
Origine : France
coffret polyester 600x400x230 IP66, équipé de :
1 Interrupteur 100A 4 Pôles DC 1000v
1 Contact DT-C60 MX-OF 110-415v
10 Portes fusible 1 Pôles 10x38 1000v
1 Parafoudre mode commun et différentiel sans OF 2 Pôles
In15kA Imax40kA 1000v
5 Paires d'embases MC4
Bornes de raccordement à ressort 16 à 25mm2
Ensemble de presses étoupes</t>
  </si>
  <si>
    <t>Pour 177,5A</t>
  </si>
  <si>
    <t>K2 Base</t>
  </si>
  <si>
    <t>STRUCTURE K2 – MULTIRAIL</t>
  </si>
  <si>
    <t>1611€ selon K2 Base + 10 % marge distributeur</t>
  </si>
  <si>
    <t>COF DC 5BR 100A 1000V PAR MC4</t>
  </si>
  <si>
    <t>10 chaînes de 15 modules ; besoin fusibles</t>
  </si>
  <si>
    <t>Inclus dans coffret AC</t>
  </si>
  <si>
    <t>FOURNITURE ET POSE DE TAN</t>
  </si>
  <si>
    <t>Devis Boise pour 338</t>
  </si>
  <si>
    <t>Fourniture et pose TAN sur pan Sud, sur 900m2</t>
  </si>
  <si>
    <t>€/m²</t>
  </si>
  <si>
    <t>Rexel</t>
  </si>
  <si>
    <t>Rail omega 41x41x3m Acier galva</t>
  </si>
  <si>
    <t>https://www.vis-express.fr/fr/250-vis-bois?q=Diametre-6/Longueur-90/Matiere-Inox</t>
  </si>
  <si>
    <t>Vis pour fixation rail omega M10x40</t>
  </si>
  <si>
    <t>https://www.quincaillerie.pro/produit/p246448/ecran-sous-toiture-exxtrem-delta-sous-panneaux-photovoltaiques-tuile-creuses</t>
  </si>
  <si>
    <t>Ecran de sous-toiture DOERKEN DELTA EXXTREM</t>
  </si>
  <si>
    <t>Pas d’écran de sous-toiture</t>
  </si>
  <si>
    <t>Tôle zinguée 0,65 épaisseur 750mm de large, pliée</t>
  </si>
  <si>
    <t>5 chaînes</t>
  </si>
  <si>
    <t>5 chaînes sur 6 possibles</t>
  </si>
  <si>
    <t>1611€ selon K2 Base pour 150 modules + 10 % marge distributeur</t>
  </si>
  <si>
    <t>Pour ECO 25</t>
  </si>
  <si>
    <t>Pour Symo</t>
  </si>
  <si>
    <t>72 modules avec 4 chaînes de 18 modules ; besoin fusibles</t>
  </si>
  <si>
    <t>24 modules avec 2 chaînes de 12 modules</t>
  </si>
  <si>
    <t>0,974 % de chute de tension</t>
  </si>
  <si>
    <t>Pour SYMO 12,5</t>
  </si>
  <si>
    <t>Pour ECO 27</t>
  </si>
  <si>
    <t>Une section de 150mm2 devrait suffire pour 1 % de chute de tension sur 100m</t>
  </si>
  <si>
    <t>Attention aux EEM</t>
  </si>
  <si>
    <t>Il en faudrait 8 pour remplacer les 3 STP110-60</t>
  </si>
  <si>
    <t>Pour 3 STP110-60</t>
  </si>
  <si>
    <t>Vérifier qu’une sortie DC convient pour alimentation 7 entrées onduleur</t>
  </si>
  <si>
    <t>Les connections dans coffret DC sont sur bornier</t>
  </si>
  <si>
    <t>Par onduleur, 14 chaînes et 7 entrées onduleur utilisées</t>
  </si>
  <si>
    <t>0,24 % de chute de tension</t>
  </si>
  <si>
    <t>8h par pan</t>
  </si>
  <si>
    <t>Pour 42 chaînes</t>
  </si>
  <si>
    <t>Câblage entre les onduleurs et les coffrets DC</t>
  </si>
  <si>
    <t>Chariot élévateur pour amenée des modules sur le toit</t>
  </si>
  <si>
    <t>Entretien annuel par installateur centrale de 300kWc</t>
  </si>
  <si>
    <t xml:space="preserve">6h pour haut et grand échafaudage </t>
  </si>
  <si>
    <t>Pour 6 chaînes</t>
  </si>
  <si>
    <t>15 chaînes DC et 1 bretelle</t>
  </si>
  <si>
    <t>6 chaînes DC et 1 bretelle</t>
  </si>
  <si>
    <t>1 disjoncteur de 80 suffirait</t>
  </si>
  <si>
    <t>STRUCTURE K2 – SURIMPOSITION
CrossHook 4S + Single rail</t>
  </si>
  <si>
    <t>STRUCTURE K2 – Minirail</t>
  </si>
  <si>
    <t>Fourniture et pose TAN 75/100x333, sur 900m2</t>
  </si>
  <si>
    <t>ml</t>
  </si>
  <si>
    <t>Zinguerie</t>
  </si>
  <si>
    <t>Pour habitations</t>
  </si>
  <si>
    <t>Câble 3G0.75</t>
  </si>
  <si>
    <t>Câble pour liaison RS485 entre les onduleurs</t>
  </si>
  <si>
    <t>25h à Tramayes pour 9m  l’égout, dépose incluse. Ici, 4 requis et 12m à l’égout. Rapport Pose/dépose : 3/1</t>
  </si>
  <si>
    <t>Amenée matériel sur toiture</t>
  </si>
  <si>
    <t>A l’aide d’un chariot à fourche</t>
  </si>
  <si>
    <t>Pour 16 chaînes</t>
  </si>
  <si>
    <t>A l’aide d’une nacelle élévatrice</t>
  </si>
  <si>
    <t>Pour 8 coffrets</t>
  </si>
  <si>
    <t>Pour 4 abri</t>
  </si>
  <si>
    <t>2j pour nacelle, 2j pour chariot élévateur, 10j pour tracto-pelle pour tranchée</t>
  </si>
  <si>
    <t>Fixation IRFTS EASYROOF</t>
  </si>
  <si>
    <t>Analyse des offres pour le lot 2018</t>
  </si>
  <si>
    <t>Lot 3 SAINT POINT</t>
  </si>
  <si>
    <t>CHETAIL</t>
  </si>
  <si>
    <t>DNE</t>
  </si>
  <si>
    <t>Moyenne retenue pour évaluation</t>
  </si>
  <si>
    <t>120 modules</t>
  </si>
  <si>
    <t>Fourniture du système d'intégration au bâti</t>
  </si>
  <si>
    <t>Pose de l'intégration au bâti</t>
  </si>
  <si>
    <t xml:space="preserve">Reprise étanchéité      </t>
  </si>
  <si>
    <t xml:space="preserve">Fourniture et pose des accessoires en toiture      </t>
  </si>
  <si>
    <t>Inclut la fourniture de tôle en zinc, pour abergements</t>
  </si>
  <si>
    <t>Total matériel</t>
  </si>
  <si>
    <t>Total pose</t>
  </si>
  <si>
    <t>Durée pose (45€/hMO, sauf AMO : 50€/hMO)</t>
  </si>
  <si>
    <t>Total</t>
  </si>
  <si>
    <t>Coût matériel /pièce</t>
  </si>
  <si>
    <t>En considérant 25 % de marge installateur</t>
  </si>
  <si>
    <t>Rapport / AMO</t>
  </si>
  <si>
    <t>Coût pose /pièce</t>
  </si>
  <si>
    <t>Heure pose / pièce (45€/hMO, sauf AMO : 50€/hMO)</t>
  </si>
  <si>
    <t>Coût total / pièce</t>
  </si>
  <si>
    <t>Selon le Rex de Verzé</t>
  </si>
  <si>
    <t>Longueur sous goudron</t>
  </si>
  <si>
    <t>Longueur sous terre</t>
  </si>
  <si>
    <t>Description</t>
  </si>
  <si>
    <t>Nb Tra-vailleurs</t>
  </si>
  <si>
    <t>h.H</t>
  </si>
  <si>
    <t>Goudron</t>
  </si>
  <si>
    <t>Terre</t>
  </si>
  <si>
    <t>Sciage du goudron</t>
  </si>
  <si>
    <t>Reconnaissance cheminement tranchée autour des coffrets</t>
  </si>
  <si>
    <t>Nettoyage de la zone de la tranchée</t>
  </si>
  <si>
    <t>Creusement de la tranchée en traversée de route</t>
  </si>
  <si>
    <t>Creusement de la tranchée le long de la haie</t>
  </si>
  <si>
    <t>Pose du fourreau, remblaiement partiel, pose du grillage avertisseur et fin du remblaiement de la traversée de chaussée</t>
  </si>
  <si>
    <t>Damage et mise à niveau du remblai en traversée de chaussée.</t>
  </si>
  <si>
    <t>Creusement et remblaiement de la tranchée le long de la haie</t>
  </si>
  <si>
    <t>Étalement et damage de l’enrobé à froid</t>
  </si>
  <si>
    <t>Réparation du DN160</t>
  </si>
  <si>
    <t>durée au ml</t>
  </si>
  <si>
    <t>Rapport STARENCO Pour 337 Vinipole</t>
  </si>
  <si>
    <t>Variante</t>
  </si>
  <si>
    <t>ECONOMIQUE</t>
  </si>
  <si>
    <t>PERFORMANCE</t>
  </si>
  <si>
    <t>Nb de modules</t>
  </si>
  <si>
    <t>Modèle module</t>
  </si>
  <si>
    <t>TRINA TSM-335-DE06M.08(II)</t>
  </si>
  <si>
    <t>LG NEON2 355</t>
  </si>
  <si>
    <t>Puissance module (Wc)</t>
  </si>
  <si>
    <t>Puissance centrale (kWc)</t>
  </si>
  <si>
    <t>K2 SYSTEMS CROSSHOOK 4S</t>
  </si>
  <si>
    <t>BAYWA.RE NOVOTEGRA</t>
  </si>
  <si>
    <t>Type fixation</t>
  </si>
  <si>
    <t>Surimposé</t>
  </si>
  <si>
    <t>Onduleur</t>
  </si>
  <si>
    <t>HUAWEI SUN 2000-33KTL-A</t>
  </si>
  <si>
    <t>SOLAREDGE SE27.6K + optimiseurs P730</t>
  </si>
  <si>
    <t>Coût fourniture total</t>
  </si>
  <si>
    <t>Coût fourniture par module</t>
  </si>
  <si>
    <t>Coût de pose total</t>
  </si>
  <si>
    <t>Coût de pose par module</t>
  </si>
  <si>
    <t>Coût horaire</t>
  </si>
  <si>
    <t>Temps de pose total</t>
  </si>
  <si>
    <t>Temps de pose</t>
  </si>
  <si>
    <t>Temps de pose d’un optimiseur</t>
  </si>
  <si>
    <t>PLAN DE TRESORERIE PREVISIONNELLE SUR 20 ANS (hors TVA)</t>
  </si>
  <si>
    <t>année</t>
  </si>
  <si>
    <t>RESSOURCES - Encaissements HT</t>
  </si>
  <si>
    <t>Augmentation des capitaux propres :</t>
  </si>
  <si>
    <t xml:space="preserve">   Augmentation de capital ou apports en capital </t>
  </si>
  <si>
    <t xml:space="preserve">   Augmentation des comptes courant d'associés</t>
  </si>
  <si>
    <t>Montant total emprunt &amp; avances remboursables</t>
  </si>
  <si>
    <t>Avance TVA</t>
  </si>
  <si>
    <t xml:space="preserve">Capacité d'autofinancement de l'exercice </t>
  </si>
  <si>
    <t>Subventions reçues</t>
  </si>
  <si>
    <t>Total Ressources</t>
  </si>
  <si>
    <t>BESOINS - Décaissements HT</t>
  </si>
  <si>
    <t>Investissement matériel PV  + pose</t>
  </si>
  <si>
    <t>Coût onduleurs</t>
  </si>
  <si>
    <t>Frais de raccordement</t>
  </si>
  <si>
    <t>Tranchées + coffrets</t>
  </si>
  <si>
    <t>Boîtiers de monitoring</t>
  </si>
  <si>
    <t>Travaux annexes</t>
  </si>
  <si>
    <t>Travaux avancés aux propriétaires</t>
  </si>
  <si>
    <t>Frais de notaire</t>
  </si>
  <si>
    <t>Frais de développement</t>
  </si>
  <si>
    <t>Besoin TVA</t>
  </si>
  <si>
    <t>Remboursement d'emprunt (capital)</t>
  </si>
  <si>
    <t>Remboursement CCA (principal)</t>
  </si>
  <si>
    <t>Remboursement avances (principal)</t>
  </si>
  <si>
    <t>Distributions mises en paiement</t>
  </si>
  <si>
    <t>BFR</t>
  </si>
  <si>
    <t>Total Besoins</t>
  </si>
  <si>
    <t>Solde annuel</t>
  </si>
  <si>
    <t>Solde cumulé</t>
  </si>
  <si>
    <t>PLAN DE TRESORERIE MENSUELLE A 36 MOIS (avec TVA)</t>
  </si>
  <si>
    <t xml:space="preserve">Mois 1 : </t>
  </si>
  <si>
    <t>dec.</t>
  </si>
  <si>
    <t>CHECK</t>
  </si>
  <si>
    <t>mensuel</t>
  </si>
  <si>
    <t>janv.</t>
  </si>
  <si>
    <r>
      <rPr>
        <i/>
        <sz val="10"/>
        <rFont val="Wingdings"/>
      </rPr>
      <t>â</t>
    </r>
    <r>
      <rPr>
        <i/>
        <sz val="8"/>
        <rFont val="Arial"/>
      </rPr>
      <t xml:space="preserve"> </t>
    </r>
    <r>
      <rPr>
        <i/>
        <sz val="10"/>
        <rFont val="Arial"/>
      </rPr>
      <t xml:space="preserve">Informations à saisir </t>
    </r>
    <r>
      <rPr>
        <i/>
        <sz val="10"/>
        <rFont val="Wingdings"/>
      </rPr>
      <t>â</t>
    </r>
  </si>
  <si>
    <t>somme des flux</t>
  </si>
  <si>
    <t>valeur attendue</t>
  </si>
  <si>
    <t>trimestriel</t>
  </si>
  <si>
    <t>fév.</t>
  </si>
  <si>
    <t>mars</t>
  </si>
  <si>
    <t>RESSOURCES - Encaissements TTC (entrée de trésorerie)</t>
  </si>
  <si>
    <t>avril</t>
  </si>
  <si>
    <r>
      <rPr>
        <sz val="10"/>
        <rFont val="Arial"/>
      </rPr>
      <t xml:space="preserve">Chiffre d'affaires encaissé </t>
    </r>
    <r>
      <rPr>
        <b/>
        <sz val="10"/>
        <color indexed="2"/>
        <rFont val="Arial"/>
      </rPr>
      <t>HT</t>
    </r>
  </si>
  <si>
    <t>annuel</t>
  </si>
  <si>
    <t>mai</t>
  </si>
  <si>
    <t>Apports en capital</t>
  </si>
  <si>
    <t>juin</t>
  </si>
  <si>
    <t xml:space="preserve">Emprunt </t>
  </si>
  <si>
    <t>juill.</t>
  </si>
  <si>
    <t>août</t>
  </si>
  <si>
    <t>Avances remboursables</t>
  </si>
  <si>
    <t>sept.</t>
  </si>
  <si>
    <t>oct.</t>
  </si>
  <si>
    <t>nov.</t>
  </si>
  <si>
    <t>Apport en compte courant</t>
  </si>
  <si>
    <t>BESOINS - Décaissements TTC (sortie de trésorerie)</t>
  </si>
  <si>
    <t>Investissements</t>
  </si>
  <si>
    <t>Investissement matériel PV + onduleurs</t>
  </si>
  <si>
    <t>Investissement tranchées &amp; coffrets</t>
  </si>
  <si>
    <t>Achat boîtiers de monitoring</t>
  </si>
  <si>
    <t>Travaux avancés sur loyers</t>
  </si>
  <si>
    <t>Autres coûts (développement)</t>
  </si>
  <si>
    <t>Charges</t>
  </si>
  <si>
    <t>Assurances</t>
  </si>
  <si>
    <t>Dépôt des comptes au greffe</t>
  </si>
  <si>
    <t>Charges externes</t>
  </si>
  <si>
    <t>Extension garantie onduleurs</t>
  </si>
  <si>
    <t>Frais d'établissement</t>
  </si>
  <si>
    <t xml:space="preserve">Frais  de dossier du prêt bancaire </t>
  </si>
  <si>
    <t xml:space="preserve">Charges de personnel </t>
  </si>
  <si>
    <t>Frais financiers</t>
  </si>
  <si>
    <t>Remboursement annuité emprunts</t>
  </si>
  <si>
    <t>Remboursement prêt relais TVA</t>
  </si>
  <si>
    <t>Remboursement annuité avances</t>
  </si>
  <si>
    <t>Coût du différé de l'emprunt</t>
  </si>
  <si>
    <t>Remboursement intérêts CCA</t>
  </si>
  <si>
    <t>Distributions dividendes</t>
  </si>
  <si>
    <t>A partir du mois 37</t>
  </si>
  <si>
    <t>IMPOTS ET TAXES</t>
  </si>
  <si>
    <t>Solde de TVA</t>
  </si>
  <si>
    <t>TVA à payer</t>
  </si>
  <si>
    <t>TVA à récupérer</t>
  </si>
  <si>
    <t>IS</t>
  </si>
  <si>
    <t>CFE</t>
  </si>
  <si>
    <t>Variation de trésorerie</t>
  </si>
  <si>
    <t>Solde de trésorerie</t>
  </si>
  <si>
    <t>Taux de TVA</t>
  </si>
  <si>
    <t>Cet outil permet de prendre en compte tous les coûts et toutes les options possibes dans les montages de projets de Centrales Villageoises Photovoltaïques.</t>
  </si>
  <si>
    <t>Il permet de faire des simulations sur des périmètres différents pour les comparer.</t>
  </si>
  <si>
    <t>Il permet d'éditer un récapitulatif et des tableurs précis pour les financeurs.</t>
  </si>
  <si>
    <t>Il doit être utilisé lorsque le projet est bien avancé et que les coûts sont relativement affinés.</t>
  </si>
  <si>
    <t>ONGLET "RECAPITULATIF"</t>
  </si>
  <si>
    <t>Cet onglet peut être édité pour être remis aux financeurs afin de donner un aperçu rapide des montants engagés et des rentabilités attendues (c'est souvent très apprécié).</t>
  </si>
  <si>
    <t>Il permet aux banquiers d'avoir accès aux principaux indicateurs sans entrer dans le détail des simulations.</t>
  </si>
  <si>
    <t>Seuls sont à remplir : le nom de la société et son type (cases en jaune).</t>
  </si>
  <si>
    <t>ONGLET "DETAIL DES INSTALLATIONS"</t>
  </si>
  <si>
    <r>
      <rPr>
        <sz val="12"/>
        <rFont val="Calibri"/>
      </rPr>
      <t>C'est l'onglet dans lequel on saisit (</t>
    </r>
    <r>
      <rPr>
        <b/>
        <u/>
        <sz val="12"/>
        <rFont val="Calibri"/>
      </rPr>
      <t>cases jaunes</t>
    </r>
    <r>
      <rPr>
        <sz val="12"/>
        <rFont val="Calibri"/>
      </rPr>
      <t>) toutes les informations liées à chaque installation photovoltaïque potentiellement dans le périmètre du projet.</t>
    </r>
  </si>
  <si>
    <t>Il y a une ligne par installation et des colonnes qui traitent successivement de la localisation, des caractéristiques techniques, des montants de travaux, des charges associées et des recettes.</t>
  </si>
  <si>
    <t>On peut sélectionner les installations qu'on souhaite avoir dans le périmètre de simulation en cochant les cases de la colonne A. Si on décoche, les montants saisis dans la ligne correspondante ne s'effacent pas, par contre la somme de la ligne 69 est modifiée.</t>
  </si>
  <si>
    <r>
      <rPr>
        <sz val="12"/>
        <rFont val="Calibri"/>
      </rPr>
      <t xml:space="preserve">En effet </t>
    </r>
    <r>
      <rPr>
        <i/>
        <u/>
        <sz val="12"/>
        <rFont val="Calibri"/>
      </rPr>
      <t>la ligne 38 somme les valeurs des installations sélectionnées</t>
    </r>
    <r>
      <rPr>
        <sz val="12"/>
        <rFont val="Calibri"/>
      </rPr>
      <t xml:space="preserve"> tandis que la ligne 71 somme toutes les installations, qu'elles soient sélectionnées ou non. Cela permet de faire des simulations sur différents périmètres.</t>
    </r>
  </si>
  <si>
    <r>
      <rPr>
        <sz val="12"/>
        <rFont val="Calibri"/>
      </rPr>
      <t xml:space="preserve"># Parmi les </t>
    </r>
    <r>
      <rPr>
        <b/>
        <sz val="12"/>
        <rFont val="Calibri"/>
      </rPr>
      <t>montants de travaux</t>
    </r>
    <r>
      <rPr>
        <sz val="12"/>
        <rFont val="Calibri"/>
      </rPr>
      <t>, il faut distinguer:</t>
    </r>
  </si>
  <si>
    <r>
      <rPr>
        <sz val="12"/>
        <rFont val="Calibri"/>
      </rPr>
      <t xml:space="preserve">* </t>
    </r>
    <r>
      <rPr>
        <u/>
        <sz val="12"/>
        <rFont val="Calibri"/>
      </rPr>
      <t>les investissements directement liés au système photovoltaïque</t>
    </r>
    <r>
      <rPr>
        <sz val="12"/>
        <rFont val="Calibri"/>
      </rPr>
      <t xml:space="preserve"> : panneaux, onduleurs, tranchées, mais aussi coûts de raccordement et de monitoring</t>
    </r>
  </si>
  <si>
    <r>
      <rPr>
        <sz val="12"/>
        <rFont val="Calibri"/>
      </rPr>
      <t xml:space="preserve">* </t>
    </r>
    <r>
      <rPr>
        <u/>
        <sz val="12"/>
        <rFont val="Calibri"/>
      </rPr>
      <t xml:space="preserve">les investissements générés indirectement par le système PV  </t>
    </r>
    <r>
      <rPr>
        <sz val="12"/>
        <rFont val="Calibri"/>
      </rPr>
      <t>et qui n'auraient pas eu lieu sinon. Par exemple : les renforcements de charpente, les suppressions de cheminées, les élagages d'arbres, etc.</t>
    </r>
  </si>
  <si>
    <t>Dans certains cas, ces investissements peuvent être partagés avec le propriétaire. Celui-ci a alors la possibilité de déduire tout ou partie du montant de travaux à sa charge des loyers qui lui sont dus pour l'occupation de son toit. Dans ce cas, il faut indiquer le % des investissements qui reste à la charge de la société locale (inférieur à 100%) et mettre "oui" dans la colonne "Restant déduit des loyers".</t>
  </si>
  <si>
    <r>
      <rPr>
        <sz val="12"/>
        <rFont val="Calibri"/>
      </rPr>
      <t xml:space="preserve">* </t>
    </r>
    <r>
      <rPr>
        <u/>
        <sz val="12"/>
        <rFont val="Calibri"/>
      </rPr>
      <t>les investissements non liés au photovoltaïque</t>
    </r>
    <r>
      <rPr>
        <sz val="12"/>
        <rFont val="Calibri"/>
      </rPr>
      <t xml:space="preserve">  mais que le propriétaire souhaite réaliser "par opportunité" : il souhaite par exemple profiter de la découverture du toit pour refaire l'isolation, refaire le pan nord, etc.</t>
    </r>
  </si>
  <si>
    <t xml:space="preserve">Dans ce cas, ces investissements peuvent êtredéduits pour tout ou partie des loyers qui lui sont dus pour l'occupation de son toit. </t>
  </si>
  <si>
    <r>
      <rPr>
        <sz val="12"/>
        <rFont val="Calibri"/>
      </rPr>
      <t xml:space="preserve"># Dans les </t>
    </r>
    <r>
      <rPr>
        <b/>
        <sz val="12"/>
        <rFont val="Calibri"/>
      </rPr>
      <t xml:space="preserve">charges annuelles </t>
    </r>
  </si>
  <si>
    <t>* le montant des Assurances se calcule automatiquement en fonction du montant du matériel (hors pose) et du montant des recettes prévisionnelles. Il s'agit en effet d'un barème négocié avec MMA pour les CVP.</t>
  </si>
  <si>
    <t xml:space="preserve">          * le TURPE (Tarif d'Utilisation du Réseau Public d'Elecrticité) est dû tous les ans à ERDF. Il se calcule selon la puissance de l'installation essentiellement. </t>
  </si>
  <si>
    <t xml:space="preserve">          * les loyers versés aux propriétaires sont définis selon la surface d'emprise de l'installation PV, selon un coefficient voisin de 2,5 €/m2/an, qui peut être adapté selon les cas.</t>
  </si>
  <si>
    <r>
      <rPr>
        <sz val="12"/>
        <rFont val="Calibri"/>
      </rPr>
      <t xml:space="preserve"># Dans les </t>
    </r>
    <r>
      <rPr>
        <b/>
        <sz val="12"/>
        <rFont val="Calibri"/>
      </rPr>
      <t>charges externes</t>
    </r>
    <r>
      <rPr>
        <sz val="12"/>
        <rFont val="Calibri"/>
      </rPr>
      <t xml:space="preserve">, il faut notamment </t>
    </r>
  </si>
  <si>
    <t>* définir si on prend une extension de garantie des onduleurs (renouvellement automatique en cas de panne) et si oui, sur quelle durée (case jaune AR3). En général, les onduleurs ont une garantie de base de 5 ans. L'extension de garantie permet d'aller jusqu'à 10 ou 20 ans.</t>
  </si>
  <si>
    <t>* définir le coût de renouvellement des abonnements de monitoring sur les années 11 à 20. Des coûts par défaut sont donnés, sur la base des prix RTONE.</t>
  </si>
  <si>
    <r>
      <rPr>
        <sz val="12"/>
        <rFont val="Calibri"/>
      </rPr>
      <t># Concernant le choix d'une</t>
    </r>
    <r>
      <rPr>
        <b/>
        <sz val="12"/>
        <rFont val="Calibri"/>
      </rPr>
      <t xml:space="preserve"> extension de garantie sur les onduleurs:</t>
    </r>
  </si>
  <si>
    <t>* Si on la prend sur 20 ans, on considère qu'aucun renouvellement d'investissement dans les onduleurs ne sera fait sur les 20 ans. On comptabilise alors cette extension comme une charge externe qui apparaît comme une charge constatée d'avance dans la comptabilité et comme une sortie en trésorerie.</t>
  </si>
  <si>
    <t>* Si on la prend sur 10 ans, on considère qu'on renouvelle l'investissement dans les onduleurs entre les années 11 à 15 (1/5 à chaque fois), pour un montant de 70% du coût inital des onduleurs. On comptabilise alors cette extension comme une charge externe qui apparaît comme une charge constatée d'avance dans la comptabilité et comme une sortie en trésorerie.</t>
  </si>
  <si>
    <t>* Si on ne prend pas d'extension de garantie onduleurs (les onduleurs sont cependant garantis 5 ans en général), on considère qu'on change les onduleurs entre les années 11 à 15, toujours en renouvellement d'investissement. Il n'y a pas de renouvellement d'onduleurs supplémentaire par rapport au cas précédent, l'outil ne prend en compte aucun renouvellement d'onduleurs entre les années 6 à 10 (risque pris).</t>
  </si>
  <si>
    <r>
      <rPr>
        <sz val="12"/>
        <rFont val="Calibri"/>
      </rPr>
      <t># Les</t>
    </r>
    <r>
      <rPr>
        <b/>
        <sz val="12"/>
        <rFont val="Calibri"/>
      </rPr>
      <t xml:space="preserve"> ratios</t>
    </r>
  </si>
  <si>
    <r>
      <rPr>
        <sz val="12"/>
        <rFont val="Calibri"/>
      </rPr>
      <t>Ils permettent de voir rapidement les installations</t>
    </r>
    <r>
      <rPr>
        <i/>
        <sz val="12"/>
        <rFont val="Calibri"/>
      </rPr>
      <t xml:space="preserve"> a priori </t>
    </r>
    <r>
      <rPr>
        <sz val="12"/>
        <rFont val="Calibri"/>
      </rPr>
      <t xml:space="preserve">les plus intéressantes sur le plan économique. </t>
    </r>
  </si>
  <si>
    <t>Il faut regarder la barre la plus longue pour les 2 premières colonnes (recettes / investissement) et la barre la plus courte pour les 2 dernières colonnes (investissement / puissance installée).</t>
  </si>
  <si>
    <t>ONGLET "ANALYSE ECONOMIQUE"</t>
  </si>
  <si>
    <t>Dans cet onglet, on décrit les différentes hypothèses de calcul, la structuration du financement (fonds propres / emprunts) et on évalue les indicateurs de rentabilité du projet.</t>
  </si>
  <si>
    <t>C'est dans cet onglet qu'on peut donc faire varier différents facteurs (taux d'emprunt, nombre d'actionnaires, etc.) et qu'on visualise en même temps les principaux résultats.</t>
  </si>
  <si>
    <r>
      <rPr>
        <sz val="12"/>
        <rFont val="Calibri"/>
      </rPr>
      <t># Concernant les durées d'</t>
    </r>
    <r>
      <rPr>
        <b/>
        <sz val="12"/>
        <rFont val="Calibri"/>
      </rPr>
      <t>amortissement</t>
    </r>
  </si>
  <si>
    <t>* on laisse le choix entre un amortissement linéaire ou dégressif mais en général l'amortissement considéré est linéaire</t>
  </si>
  <si>
    <t>* pour le matériel photovoltaïque cette durée est en général de 20 ans, on se cale sur la durée du contrat d'achat.</t>
  </si>
  <si>
    <t>* pour les onduleurs, selon la durée de la garantie choisi, l'amortissement se fera sur 10 ou 20 ans.</t>
  </si>
  <si>
    <t xml:space="preserve">* pour le monitoring, les centrales villageoises utilisent le système RTONE avec un abonnement de départ pévu sur 10 ans. </t>
  </si>
  <si>
    <r>
      <rPr>
        <sz val="12"/>
        <rFont val="Calibri"/>
      </rPr>
      <t xml:space="preserve"># Concernant le </t>
    </r>
    <r>
      <rPr>
        <b/>
        <sz val="12"/>
        <rFont val="Calibri"/>
      </rPr>
      <t>taux d'actualisation</t>
    </r>
  </si>
  <si>
    <t xml:space="preserve">Il correspond au coût de l'argent et est utilisé dans le calcul des flux actualisés. On le calcule à partir du coût moyen pondéré du capital (pondération du coût de l'emprunt et du taux attendu de rémunération des fonds propres). </t>
  </si>
  <si>
    <t>Une marge de quelques % peut être prise en compte pour couvrir la part de risque.</t>
  </si>
  <si>
    <r>
      <rPr>
        <sz val="12"/>
        <rFont val="Calibri"/>
      </rPr>
      <t xml:space="preserve"># Concernant les </t>
    </r>
    <r>
      <rPr>
        <b/>
        <sz val="12"/>
        <rFont val="Calibri"/>
      </rPr>
      <t>taxes</t>
    </r>
    <r>
      <rPr>
        <sz val="12"/>
        <rFont val="Calibri"/>
      </rPr>
      <t xml:space="preserve"> :</t>
    </r>
  </si>
  <si>
    <t>* la CFE, Cotisation Foncière des Entreprises est une taxe due à compter de l'année de raccordement au réseau électrique.</t>
  </si>
  <si>
    <t xml:space="preserve">Pour les équipements photovoltaïques, la cotisation minimale s'applique et dépend du montant du chiffre d'affaires de l'année échue. </t>
  </si>
  <si>
    <r>
      <rPr>
        <sz val="12"/>
        <rFont val="Calibri"/>
      </rPr>
      <t># Concernant l'</t>
    </r>
    <r>
      <rPr>
        <b/>
        <sz val="12"/>
        <rFont val="Calibri"/>
      </rPr>
      <t>impôt sur les sociétés</t>
    </r>
    <r>
      <rPr>
        <sz val="12"/>
        <rFont val="Calibri"/>
      </rPr>
      <t>, la règle suivante s'applique :</t>
    </r>
  </si>
  <si>
    <t>* lorsque le bénéfice est supérieur à 38120 €, le taux d'IS est de 33,33%.</t>
  </si>
  <si>
    <r>
      <rPr>
        <sz val="12"/>
        <rFont val="Calibri"/>
      </rPr>
      <t xml:space="preserve">* lorsque le bénéfice est inférieur à 38120 € ET que </t>
    </r>
    <r>
      <rPr>
        <u/>
        <sz val="12"/>
        <rFont val="Calibri"/>
      </rPr>
      <t>la société est détenue à plus de 75 % par des personnes physiques</t>
    </r>
    <r>
      <rPr>
        <sz val="12"/>
        <rFont val="Calibri"/>
      </rPr>
      <t xml:space="preserve"> ou des sociétés elles-mêmes détenues à plus de 75% par des personnes physiques, le taux réduit de 15% s'applique. Si ces conditions ne sont pas respectées, le taux plein de 33,33% s'applique.</t>
    </r>
  </si>
  <si>
    <t>C'est pour cela qu'il est nécessaire de remplir le nombre d'actionnaires étant des personnes physiques ou assimilés en case D33 .</t>
  </si>
  <si>
    <r>
      <rPr>
        <sz val="12"/>
        <rFont val="Calibri"/>
      </rPr>
      <t># Concernant la définition des</t>
    </r>
    <r>
      <rPr>
        <b/>
        <sz val="12"/>
        <rFont val="Calibri"/>
      </rPr>
      <t xml:space="preserve"> comptes-courants d'associés,</t>
    </r>
    <r>
      <rPr>
        <sz val="12"/>
        <rFont val="Calibri"/>
      </rPr>
      <t xml:space="preserve"> on distingue :</t>
    </r>
  </si>
  <si>
    <r>
      <rPr>
        <sz val="12"/>
        <rFont val="Calibri"/>
      </rPr>
      <t xml:space="preserve">* les comptes-courants courts de moins de 2 ans, que peuvent souscrire les actionnaires détenant </t>
    </r>
    <r>
      <rPr>
        <i/>
        <u/>
        <sz val="12"/>
        <rFont val="Calibri"/>
      </rPr>
      <t xml:space="preserve">au moins 5% </t>
    </r>
    <r>
      <rPr>
        <sz val="12"/>
        <rFont val="Calibri"/>
      </rPr>
      <t>du capital.</t>
    </r>
  </si>
  <si>
    <t>* les comptes-courants courts de plus de 2 ans, que peuvent souscrire tous les actionnaires</t>
  </si>
  <si>
    <t>Dans les 2 cas, il conveint de définit un taux d'intérêt, une durée et le mode de remboursement du principal (chaque année ou en fin de convention).</t>
  </si>
  <si>
    <r>
      <rPr>
        <sz val="12"/>
        <rFont val="Calibri"/>
      </rPr>
      <t xml:space="preserve"># Concernant le </t>
    </r>
    <r>
      <rPr>
        <b/>
        <sz val="12"/>
        <rFont val="Calibri"/>
      </rPr>
      <t>dimensionnement du prêt</t>
    </r>
    <r>
      <rPr>
        <sz val="12"/>
        <rFont val="Calibri"/>
      </rPr>
      <t xml:space="preserve"> :</t>
    </r>
  </si>
  <si>
    <t xml:space="preserve">Cet encart on peut faire varier le montant de l'emprunt. Celui-ci peut être égal à 100% ou plus du besoin (= coût du projet - fonds propres) car il peut y avoir besoin d'un excès de financement (de quelques %) pour gérer la trésorerie des premières années. </t>
  </si>
  <si>
    <t>Les 3 indicateurs sur la trésorerie mensuelle, la trésorerie annuelle et le DSCR doivent être au vert pour que le projet soit viable.</t>
  </si>
  <si>
    <r>
      <rPr>
        <sz val="12"/>
        <rFont val="Calibri"/>
      </rPr>
      <t xml:space="preserve"># Concernant les </t>
    </r>
    <r>
      <rPr>
        <b/>
        <sz val="12"/>
        <rFont val="Calibri"/>
      </rPr>
      <t>ratios économiques</t>
    </r>
    <r>
      <rPr>
        <sz val="12"/>
        <rFont val="Calibri"/>
      </rPr>
      <t xml:space="preserve"> :</t>
    </r>
  </si>
  <si>
    <r>
      <rPr>
        <sz val="12"/>
        <rFont val="Calibri"/>
      </rPr>
      <t xml:space="preserve">* la </t>
    </r>
    <r>
      <rPr>
        <b/>
        <sz val="12"/>
        <rFont val="Calibri"/>
      </rPr>
      <t>VAN</t>
    </r>
    <r>
      <rPr>
        <sz val="12"/>
        <rFont val="Calibri"/>
      </rPr>
      <t xml:space="preserve">, Valeur Actuelle Nette, traduit la différence entre l'investissement initial et le cumul des flux de trésorerie actualisés sur 20 ans, soit l'argent que dégage la société au bout de 20 ans par rapport à une situation dans laquelle les capitaux investis auraient été placés à un taux égal au taux d'actualisation. </t>
    </r>
  </si>
  <si>
    <t>Il s'agit de l'enrichissement supplémentaire acquis par rapport au minimum de rémunération des capitaux que représente le taux d'actualisation.</t>
  </si>
  <si>
    <t>Le calcul de la VAN proposé ici tient compte des frais financiers (intérêts d'emprunts).</t>
  </si>
  <si>
    <t>La valeur de la VAN doit être positive pour que le projet soit viable. Elle dépend cependant fortement du taux d'actualisation. On considère ici que le taux d'actualisation représente le coût de l'argent, fonds propres et dette confondus, soit un taux voisin de 3% (voir cases G61 et G62)</t>
  </si>
  <si>
    <r>
      <rPr>
        <sz val="12"/>
        <rFont val="Calibri"/>
      </rPr>
      <t xml:space="preserve">* le </t>
    </r>
    <r>
      <rPr>
        <b/>
        <sz val="12"/>
        <rFont val="Calibri"/>
      </rPr>
      <t>TRI</t>
    </r>
    <r>
      <rPr>
        <sz val="12"/>
        <rFont val="Calibri"/>
      </rPr>
      <t>, Taux de Rendement Interne, est le taux d'actualisation qui annule la VAN. Pour que l'opération soit viable il doit être supérieur au taux d'actualisation. En pratique, il est souhaitable d'avoir un TRI au moins supérieur à 5%. Le TRI sur fonds propres applique ce même concept sur les flux de trésorerie uniquement liés aux fonds propres.</t>
    </r>
  </si>
  <si>
    <r>
      <rPr>
        <sz val="12"/>
        <rFont val="Calibri"/>
      </rPr>
      <t>* le</t>
    </r>
    <r>
      <rPr>
        <b/>
        <sz val="12"/>
        <rFont val="Calibri"/>
      </rPr>
      <t xml:space="preserve"> taux de rentabilité économique </t>
    </r>
    <r>
      <rPr>
        <sz val="12"/>
        <rFont val="Calibri"/>
      </rPr>
      <t>est le rapport du résultat d'exploitation sur les fonds propres. Il traduit la rentabilité des capitaux quelle que soit leur provenance (dette ou fonds propres)</t>
    </r>
  </si>
  <si>
    <r>
      <rPr>
        <sz val="12"/>
        <rFont val="Calibri"/>
      </rPr>
      <t xml:space="preserve">S'il est supérieur au taux d'emprunt, on considère qu'il y a </t>
    </r>
    <r>
      <rPr>
        <b/>
        <sz val="12"/>
        <rFont val="Calibri"/>
      </rPr>
      <t xml:space="preserve">effet de levier </t>
    </r>
    <r>
      <rPr>
        <sz val="12"/>
        <rFont val="Calibri"/>
      </rPr>
      <t>et qu'il est alors intéressant d'emprunter pour augmenter la rentabilité financière.</t>
    </r>
  </si>
  <si>
    <r>
      <rPr>
        <sz val="12"/>
        <rFont val="Calibri"/>
      </rPr>
      <t xml:space="preserve">* le </t>
    </r>
    <r>
      <rPr>
        <b/>
        <sz val="12"/>
        <rFont val="Calibri"/>
      </rPr>
      <t>taux de rentabilité financière</t>
    </r>
    <r>
      <rPr>
        <sz val="12"/>
        <rFont val="Calibri"/>
      </rPr>
      <t xml:space="preserve"> est le ratio du résultat net sur les fonds propres. Il traduit la rentabilité des capitaux apportés par les actionnaires.</t>
    </r>
  </si>
  <si>
    <r>
      <rPr>
        <sz val="12"/>
        <rFont val="Calibri"/>
      </rPr>
      <t>* le</t>
    </r>
    <r>
      <rPr>
        <b/>
        <sz val="12"/>
        <rFont val="Calibri"/>
      </rPr>
      <t xml:space="preserve"> taux moyen de rémunération des fonds propres</t>
    </r>
    <r>
      <rPr>
        <sz val="12"/>
        <rFont val="Calibri"/>
      </rPr>
      <t xml:space="preserve"> est estimé à partir du bénéfice annuel moyen d"gagé sur 20 ans et en prenant des hypothèses fortes sur la part qui sera distribuée ou mise en réserve. Il est donc à interpréter avec prudence. Le signal "OK" s'affiche lorsque le taux est supérieur à 3% mais il conviendra aux porteurs de projet d'établir s'ils acceptent un taux inférieur dans la simulation.</t>
    </r>
  </si>
  <si>
    <t>Ainsi, le mode d'emploi à suivre pour faire des simulations est le suivant (dans l'onglet ANALYSE ECONOMIQUE)</t>
  </si>
  <si>
    <t>1) Régler le dimensionnement emprunt / fonds propres qui permet d'avoir les indicateurs du cadre "Dimensionnement du prêt" au vert</t>
  </si>
  <si>
    <t>2) Regarder si la VAN est positive et le TRI suffisamment élevé, sinon modifier à nouveau les paramètres d'emprunt (ou d'autres paramètres)</t>
  </si>
  <si>
    <t>3) Une fois tous les indicateurs clés (ceux avec une double bordure rouge) sont au vert, chercher à optimiser la rentabilité financière.</t>
  </si>
  <si>
    <t>Boubet, 71000 Mâcon</t>
  </si>
  <si>
    <t>DGPF du 27 06 2018</t>
  </si>
  <si>
    <t xml:space="preserve">Couverture photovoltaïque      </t>
  </si>
  <si>
    <t>Ens</t>
  </si>
  <si>
    <t>ALHENA</t>
  </si>
  <si>
    <t xml:space="preserve">Mise en sécurité      </t>
  </si>
  <si>
    <t>Rabais de 1500€ sur une commande de 65808,87€</t>
  </si>
  <si>
    <t>Détuilage, fourniture et pose de l'écran de sous toiture</t>
  </si>
  <si>
    <t>Modules photovoltaïques ALEO 300Wc S19300HE Supercharged</t>
  </si>
  <si>
    <t>Modules photovoltaïques VOLTEC 300W</t>
  </si>
  <si>
    <t xml:space="preserve">Acheminement des modules </t>
  </si>
  <si>
    <t>IRFTS EASYROOF EVOLUTION</t>
  </si>
  <si>
    <t>Abergement IRFTS</t>
  </si>
  <si>
    <t>Sous Total</t>
  </si>
  <si>
    <t xml:space="preserve">Onduleur      </t>
  </si>
  <si>
    <t>Fourniture de l’onduleur SOLAREDGE</t>
  </si>
  <si>
    <r>
      <rPr>
        <sz val="10"/>
        <rFont val="MS Sans Serif"/>
      </rPr>
      <t xml:space="preserve">Fourniture de l’onduleur </t>
    </r>
    <r>
      <rPr>
        <sz val="8"/>
        <rFont val="Arial"/>
      </rPr>
      <t>KACO BLUEPLANET 8,6 TL3 INT</t>
    </r>
  </si>
  <si>
    <t>Fourniture optimiseurs de puissance P300</t>
  </si>
  <si>
    <t>Pose de l'onduleur SOLAREDGE et des optimiseurs de puissance</t>
  </si>
  <si>
    <t>Pose de l'onduleur KACO</t>
  </si>
  <si>
    <t>Accessoires de fixation et local onduleur grillagé</t>
  </si>
  <si>
    <t xml:space="preserve">Coffret de protection DC et AC      </t>
  </si>
  <si>
    <t>Coffret de protections DC</t>
  </si>
  <si>
    <t>Coffret de protections AC</t>
  </si>
  <si>
    <t>Pose des coffrets DC, AC</t>
  </si>
  <si>
    <t xml:space="preserve">Divers      </t>
  </si>
  <si>
    <t xml:space="preserve">Câbles électriques - mise à la terre      </t>
  </si>
  <si>
    <t>ens</t>
  </si>
  <si>
    <t>Câblage DC</t>
  </si>
  <si>
    <t>Câblage AC</t>
  </si>
  <si>
    <t>Tranchée AC entre l'onduleur et le point d'injection</t>
  </si>
  <si>
    <t>Pose du câble AC</t>
  </si>
  <si>
    <t>Fourniture et pose d'un piquet de terre</t>
  </si>
  <si>
    <t xml:space="preserve">Liaison équipotentielle      </t>
  </si>
  <si>
    <t xml:space="preserve">Système d'acquisition de données      </t>
  </si>
  <si>
    <t>Pose et mise en service du système de suivi à distance</t>
  </si>
  <si>
    <t xml:space="preserve">Documentation, Garantie      </t>
  </si>
  <si>
    <t xml:space="preserve">Documents à fournir      </t>
  </si>
  <si>
    <t>Garantie Modules PLATINE - SOLAR TRUST 25 ans</t>
  </si>
  <si>
    <t xml:space="preserve">Attestation conformité et Consuel      </t>
  </si>
  <si>
    <t xml:space="preserve">Toutes sujétions      </t>
  </si>
  <si>
    <t>Livraison des matériels</t>
  </si>
  <si>
    <t>Essai, mise en service installation selon CCTP</t>
  </si>
  <si>
    <t>Sous-Total ALHENA</t>
  </si>
  <si>
    <t>RS-SUB-10Y</t>
  </si>
  <si>
    <t>Abonnement 10 ans Rbee Solar</t>
  </si>
  <si>
    <t>Frais de port répartis sur 4 coffrets</t>
  </si>
  <si>
    <t>inclus dans montage</t>
  </si>
  <si>
    <t>Coût fixe branchement en injection</t>
  </si>
  <si>
    <t>Confection niche + encastrement coffret ou borne</t>
  </si>
  <si>
    <t>Frais de mise en service du compteur production (prestation P100B)</t>
  </si>
  <si>
    <t>Coût extension</t>
  </si>
  <si>
    <t>Coût spécifique &gt; 36kWc</t>
  </si>
  <si>
    <t>KIT AUTOCONSOMMATION</t>
  </si>
  <si>
    <t>Fourniture des panneaux autoconsommation</t>
  </si>
  <si>
    <t>Fourniture des fixation en surimposition</t>
  </si>
  <si>
    <t>Fourniture du micro onduleur et accessoire</t>
  </si>
  <si>
    <t>Coffret AC pour autoconsommation</t>
  </si>
  <si>
    <t>Pose du kit autoconsommation</t>
  </si>
  <si>
    <t>Mise en service du kit autoconsommation</t>
  </si>
  <si>
    <t>Fourniture et pose d'une tuile faîtière cassée</t>
  </si>
  <si>
    <t>TOTAL HT INVESTISSEMENTS INDUITS PAR LE PV</t>
  </si>
  <si>
    <t>STARENCO</t>
  </si>
  <si>
    <r>
      <rPr>
        <sz val="10"/>
        <rFont val="MS Sans Serif"/>
      </rPr>
      <t>1</t>
    </r>
    <r>
      <rPr>
        <vertAlign val="superscript"/>
        <sz val="10"/>
        <rFont val="MS Sans Serif"/>
      </rPr>
      <t>er</t>
    </r>
    <r>
      <rPr>
        <sz val="10"/>
        <rFont val="MS Sans Serif"/>
      </rPr>
      <t xml:space="preserve"> lot de 5 toitures, coût réparti sur 4 toitures réalisées</t>
    </r>
  </si>
  <si>
    <t>Contrôle technique pour ERP</t>
  </si>
  <si>
    <t>Loyer payé d’avance</t>
  </si>
  <si>
    <t>DEKRA</t>
  </si>
  <si>
    <t>Contrôle initial et révision annuelle pour ERP</t>
  </si>
  <si>
    <t>DEKRA Offre 201806065457 Signée</t>
  </si>
  <si>
    <t>Contrôle initial et révision annuelle pour ERT</t>
  </si>
  <si>
    <t>Martinez, 71520 Matour</t>
  </si>
  <si>
    <t>ALHENA devis 9399 du 31/07/2018</t>
  </si>
  <si>
    <t>Rabais de 1500€ sur une commande de 65808,85€</t>
  </si>
  <si>
    <t>Fourniture par HCB</t>
  </si>
  <si>
    <t>Préparation du toit : détuilage</t>
  </si>
  <si>
    <t>Fourniture du système d'intégration au bâti + écran de sous-toiture</t>
  </si>
  <si>
    <t>Accessoires de fixation</t>
  </si>
  <si>
    <t>Liaison AC de l'onduleur au point d'injection</t>
  </si>
  <si>
    <t>Deliot, 71520 Tramayes</t>
  </si>
  <si>
    <t>Pose de l'intégration au bâti : supplément</t>
  </si>
  <si>
    <t>Supplément reprise étanchéité : zinc 0,65mm 2x1m</t>
  </si>
  <si>
    <t>Ateliers municipaux 71960 Verzé</t>
  </si>
  <si>
    <t xml:space="preserve">Coffret de protections AC et arrêt d'urgence      </t>
  </si>
  <si>
    <t xml:space="preserve">Pose des coffrets DC, AC et de l'arrêt d'urgence </t>
  </si>
  <si>
    <t>058 Immeuble 5 chemin de Vannas et école élémentaire</t>
  </si>
  <si>
    <t>Calepinage Ecole 23 colonnes, 2 rangées vertical
Habitation 14 colonnes de 4 panneaux
Horizontaux</t>
  </si>
  <si>
    <t>Vérifier position onduleurs</t>
  </si>
  <si>
    <t>ONDULEUR SMA  15000TL-30</t>
  </si>
  <si>
    <t>Base Tramayes 8hH et hauteur=9m. Ici hauteur école=6m et hauteur immeuble=12m</t>
  </si>
  <si>
    <t>2 prises de terre proches</t>
  </si>
  <si>
    <t>1,5 pour habitation mais 5h pour école</t>
  </si>
  <si>
    <t>Base Verzé : 11,5h pour 8m sous goudron et 25m sous remblai. Ici, 25m sous grave ciment dans la cour et 34m sous espaces verts</t>
  </si>
  <si>
    <t>Location échafaudages</t>
  </si>
  <si>
    <t>Estimation personnelle, base ALHENA DELIOT</t>
  </si>
  <si>
    <t>EKLOR chiffre 110 modules alors qu’il en a calepiné 109.</t>
  </si>
  <si>
    <t>Ajustement pro rata du nb de panneaux</t>
  </si>
  <si>
    <t>COF DC 5BR 100A1000V PAR MC4 M =&gt; 6 branches
COFFRET DC 5 BRANCHES 100A 1000V AVEC
PARAFOUDRE, MC4 et MX
HS Code : 8536 20 90 10
Origine : France
coffret polyester 600x400x230 IP66, équipé de :
1 Interrupteur 100A 4 Pôles DC 1000v
1 Contact DT-C60 MX-OF 110-415v
10 Portes fusible 1 Pôles 10x38 1000v
1 Parafoudre mode commun et différentiel sans OF 2 Pôles
In15kA Imax40kA 1000v
5 Paires d'embases MC4
Bornes de raccordement à ressort 16 à 25mm2
Ensemble de presses étoupes</t>
  </si>
  <si>
    <t>Devis D1907-01230 du 09/07/2019</t>
  </si>
  <si>
    <t>3 échafaudages ! Base LLB</t>
  </si>
  <si>
    <t>Tranchée entre bâtiment et bord de route</t>
  </si>
  <si>
    <t>BT jusqu’à 36kVA</t>
  </si>
  <si>
    <t>Tableau 8.1.5.1</t>
  </si>
  <si>
    <t>Création de réseau BT jusqu’à 18kVA</t>
  </si>
  <si>
    <t>Tableau 8.1.5.2</t>
  </si>
  <si>
    <t>Création ou remplacement réseau BT jusqu’à 36kVA</t>
  </si>
  <si>
    <t>Augmentation puissance transfo jusqu’à 36kVA</t>
  </si>
  <si>
    <t>Création ou remplac. et augment. P tfo jusqu’à 36kVA</t>
  </si>
  <si>
    <t>Création poste distribution et de réseau BT et HTA</t>
  </si>
  <si>
    <t>Coût extension câble BT</t>
  </si>
  <si>
    <t>Coût extension câble HTA</t>
  </si>
  <si>
    <t>BT de 36kVA à 100kVA</t>
  </si>
  <si>
    <t>Idem</t>
  </si>
  <si>
    <t>Coût fixe du branchement jusqu’à 60 kVA inclus</t>
  </si>
  <si>
    <t>Tableau 8.2.3</t>
  </si>
  <si>
    <t>Coût fixe du branchement de 60 à 120 kVA inclus</t>
  </si>
  <si>
    <t>Coût variable du branchement jusqu’à 60 kVA inclus</t>
  </si>
  <si>
    <t>Coût variable du branchement de 60 à 120 kVA inclus</t>
  </si>
  <si>
    <t>Coût fixe d’extension de 36 à 100kVA</t>
  </si>
  <si>
    <t>Coût variable d’extension de 36 à 100kVA</t>
  </si>
  <si>
    <t>CONSUEL</t>
  </si>
  <si>
    <t>99,77 € + 33,00 x N où N est lenb de formulaires électroniques demandés, valables 1 an</t>
  </si>
  <si>
    <t>2019 09 05 Offre OD716594</t>
  </si>
  <si>
    <t>Huawei 30 K</t>
  </si>
  <si>
    <t>pour chaîne sur aile Nord éloignée de plus de 10m de l’onduleur</t>
  </si>
  <si>
    <t>Mes</t>
  </si>
  <si>
    <t>Les 7m annoncés sur l’interface en ligne ne sont pas inclus dans la PTF</t>
  </si>
  <si>
    <t>RENFORCEMENT DE LA CHARPENTE</t>
  </si>
  <si>
    <t>MERLE</t>
  </si>
  <si>
    <t>Echafaudage, accès par toiture, pose du renfort</t>
  </si>
  <si>
    <t>Supplément pour imprévu technique et commercial de 20 % sur l’ensemble</t>
  </si>
  <si>
    <t>Pour tester la limite de rentabilité de ce projet.</t>
  </si>
  <si>
    <t>Etude informelle par MARTIN : suffit car pas ERP</t>
  </si>
  <si>
    <t>2431€ : prix simulateur K2 Base</t>
  </si>
  <si>
    <t>COF DC 4BR 50A1000V PAR MC4
COFFRET DC 4 BRANCHES 50 A 1000 V AVEC PARAFOUDRE, MC4 et PORTE-FUSIBLES
HS Code : 8536 20 90 10</t>
  </si>
  <si>
    <t>Pour 2 ECO 27</t>
  </si>
  <si>
    <t>Pour SYMO 15</t>
  </si>
  <si>
    <t>2 onduleurs avec 4x22 modules (115%), avec fusibles</t>
  </si>
  <si>
    <t>PV1 : 2x15 + PV2 : 1x15, sans fusible</t>
  </si>
  <si>
    <t>Estimation STARENCO chez EBERHARD + règle de trois sur kWc + Coef 2 pour erreur AMO</t>
  </si>
  <si>
    <t>Coût fixe du branchement de 60 à 120 kVA inclus, sans travaux HTA</t>
  </si>
  <si>
    <t>Coût variable du branchement jusqu’à 60 kVA inclus, sans travaux HTA</t>
  </si>
  <si>
    <t>Coût variable du branchement de 60 à 120 kVA inclus, sans travaux HTA</t>
  </si>
  <si>
    <t>Coût fixe d’extension de 36 à 100kVA, sans travaux HTA</t>
  </si>
  <si>
    <t>Coût variable d’extension de 36 à 100kVA, sans travaux HTA</t>
  </si>
  <si>
    <t>BT de 36kVA à 250kVA, avec travaux HTA</t>
  </si>
  <si>
    <r>
      <rPr>
        <sz val="10"/>
        <rFont val="MS Sans Serif"/>
      </rPr>
      <t>K</t>
    </r>
    <r>
      <rPr>
        <vertAlign val="subscript"/>
        <sz val="10"/>
        <rFont val="MS Sans Serif"/>
      </rPr>
      <t>B</t>
    </r>
  </si>
  <si>
    <t>Branchement sur devis, au-dessus de 100kVA</t>
  </si>
  <si>
    <t>Cf 543</t>
  </si>
  <si>
    <r>
      <rPr>
        <sz val="10"/>
        <rFont val="MS Sans Serif"/>
      </rPr>
      <t>K</t>
    </r>
    <r>
      <rPr>
        <vertAlign val="subscript"/>
        <sz val="10"/>
        <rFont val="MS Sans Serif"/>
      </rPr>
      <t>L</t>
    </r>
    <r>
      <rPr>
        <vertAlign val="superscript"/>
        <sz val="10"/>
        <rFont val="MS Sans Serif"/>
      </rPr>
      <t>BT</t>
    </r>
  </si>
  <si>
    <t>Création d’une canalisation électrique BT, sur devis</t>
  </si>
  <si>
    <t xml:space="preserve">Coût selon PDR IEP: DB24|OI7782 GCP: 62-1932 du 05/12/2018
3x240mm2 alu + 1x120mm2 alu </t>
  </si>
  <si>
    <t>Traversée de la rue des Loisirs</t>
  </si>
  <si>
    <r>
      <rPr>
        <sz val="10"/>
        <rFont val="MS Sans Serif"/>
      </rPr>
      <t>K</t>
    </r>
    <r>
      <rPr>
        <vertAlign val="subscript"/>
        <sz val="10"/>
        <rFont val="MS Sans Serif"/>
      </rPr>
      <t>LR</t>
    </r>
    <r>
      <rPr>
        <vertAlign val="superscript"/>
        <sz val="10"/>
        <rFont val="MS Sans Serif"/>
      </rPr>
      <t>BT</t>
    </r>
  </si>
  <si>
    <t>Remplacement d’une canalisation électrique existante en BT, sur devis</t>
  </si>
  <si>
    <t>Fourniture câble plus retrait câble existant et pose nouveau</t>
  </si>
  <si>
    <r>
      <rPr>
        <sz val="10"/>
        <rFont val="MS Sans Serif"/>
      </rPr>
      <t xml:space="preserve">K </t>
    </r>
    <r>
      <rPr>
        <vertAlign val="subscript"/>
        <sz val="10"/>
        <rFont val="MS Sans Serif"/>
      </rPr>
      <t>T</t>
    </r>
    <r>
      <rPr>
        <vertAlign val="superscript"/>
        <sz val="10"/>
        <rFont val="MS Sans Serif"/>
      </rPr>
      <t>HTA/BT</t>
    </r>
  </si>
  <si>
    <t>Modifications, d’installation ou de remplacement d’un poste de transformation sur devis</t>
  </si>
  <si>
    <t>Cf 543 
Création poste transformateur HTA/BT</t>
  </si>
  <si>
    <t>En 160kVA, en prévision de 338 + 354</t>
  </si>
  <si>
    <r>
      <rPr>
        <sz val="10"/>
        <rFont val="MS Sans Serif"/>
      </rPr>
      <t xml:space="preserve">K </t>
    </r>
    <r>
      <rPr>
        <vertAlign val="subscript"/>
        <sz val="10"/>
        <rFont val="MS Sans Serif"/>
      </rPr>
      <t>L</t>
    </r>
    <r>
      <rPr>
        <vertAlign val="superscript"/>
        <sz val="10"/>
        <rFont val="MS Sans Serif"/>
      </rPr>
      <t>HTA</t>
    </r>
  </si>
  <si>
    <t>Création d’une canalisation électrique HTA, sur devis</t>
  </si>
  <si>
    <t>Cf 543
Création ERAS HTA en 95mm2
Descente d’un poteau</t>
  </si>
  <si>
    <t>Vérification des longueurs de câbles</t>
  </si>
  <si>
    <t>Nb de chaînes</t>
  </si>
  <si>
    <t>Longueur d’une chaîne</t>
  </si>
  <si>
    <t>Longueur de traversée jusqu’à descente</t>
  </si>
  <si>
    <t>Longueur de la descente jusqu’à onduleur</t>
  </si>
  <si>
    <t>Longueur du câble + d’une chaîne</t>
  </si>
  <si>
    <t>Longueur du câble - d’une chaîne</t>
  </si>
  <si>
    <t>Longueur des câbles +</t>
  </si>
  <si>
    <t>Longueur des câbles -</t>
  </si>
  <si>
    <t>Somme des longueurs + et -</t>
  </si>
  <si>
    <t>Par équivalence, même si pas SOLAREDGE</t>
  </si>
  <si>
    <t>2 chaînes de 30 modules et 1 chaîne de 32 modules</t>
  </si>
  <si>
    <t>Estimation STARENCO chez EBERHARD + Coef 2 pour erreur AMO+ pro rata nb de modules + 1/4h par optimiseur</t>
  </si>
  <si>
    <t>Voir onglet REX pour estimations</t>
  </si>
  <si>
    <t>Arrivée FRONIUS SYMO 3</t>
  </si>
  <si>
    <t>Arrivée FRONIUS ECO 27</t>
  </si>
  <si>
    <t>ONDULEUR FRONIUS SYMO3.7M Ligh</t>
  </si>
  <si>
    <t>Surdimensionné</t>
  </si>
  <si>
    <t>Base LLB</t>
  </si>
  <si>
    <t>Pose des fixations EASYROOF</t>
  </si>
  <si>
    <t>A placer sous gaine rigide</t>
  </si>
  <si>
    <t>Aucune tranchée</t>
  </si>
  <si>
    <t>En ligne droite entre le transformateur et l’extrémité de la rampe d’accès au chais</t>
  </si>
  <si>
    <t>Car réseau incapable d’accepter 9kVA supplémentaire</t>
  </si>
  <si>
    <t>400 Texeira</t>
  </si>
  <si>
    <t>Pro rata sur nb panneaux de l’offre EKLOR LRV</t>
  </si>
  <si>
    <t>5 chaînes A:3 + B:2, connecteurs SUNCLIX fournis côté onduleur</t>
  </si>
  <si>
    <t>40m mini mais 25m suffiront</t>
  </si>
  <si>
    <t>Estimation STARENCO chez EBERHARD + Coef 2 pour erreur AMO</t>
  </si>
  <si>
    <t>402 Dojo et Vieux Temple – Configuration économique 36kW</t>
  </si>
  <si>
    <t xml:space="preserve">Base Tramayes 8hH et hauteur=9m. </t>
  </si>
  <si>
    <t>Base Verzé : 11,5h pour 8m sous goudron et 25m sous remblai. Ici, 25m sous espaces verts</t>
  </si>
  <si>
    <t>Estimation personnelle, base ALHENA BOUBET et supplément pour 2 onduleurs et 2 champs</t>
  </si>
  <si>
    <t>Arrivée des 2x20 panneaux pour tracker 1 du SYMO 15 ?</t>
  </si>
  <si>
    <t>Arrivée des 1x11 panneaux pour tracker 2 du SYMO 15 ?</t>
  </si>
  <si>
    <t>Pourquoi bobine MX côté DC ? Si besoin confirmé, pourquoi pas de bobine MX sur ligne 50 ?</t>
  </si>
  <si>
    <t xml:space="preserve">2 onduleurs avec 4 chaînes de 22 modules, </t>
  </si>
  <si>
    <t>1 onduleur avec A 3x17 + B 1x18</t>
  </si>
  <si>
    <t>Câble AC</t>
  </si>
  <si>
    <t>Pas de forfait pour P&gt;36kVA</t>
  </si>
  <si>
    <t>Base CV EPINAT de CV Val d’Eyrieux 67kWc</t>
  </si>
  <si>
    <t>Etude de structure pour fixations</t>
  </si>
  <si>
    <t xml:space="preserve">438 Salle polyvalente Sivignon </t>
  </si>
  <si>
    <t>446 Ateliers municipaux Replonges</t>
  </si>
  <si>
    <t>Câblage entre onduleur et autres coffrets</t>
  </si>
  <si>
    <t>Prise en charge par MO</t>
  </si>
  <si>
    <t>461 EHPAD de l’Héritan</t>
  </si>
  <si>
    <t>Plus facile avec des modules et optimiseurs panachés</t>
  </si>
  <si>
    <t>Câble AC U-1000 R2V 4x50</t>
  </si>
  <si>
    <t>*=</t>
  </si>
  <si>
    <t>Tranchées Douala II - coffrets ENEDIS et tfo - RD</t>
  </si>
  <si>
    <t>12h30 pour 25m à Verzé, hors goudron. 35M pour Douala et 30m pour tfo</t>
  </si>
  <si>
    <t>Tracto-pelle pour tranchées</t>
  </si>
  <si>
    <r>
      <rPr>
        <sz val="10"/>
        <rFont val="MS Sans Serif"/>
      </rPr>
      <t>2</t>
    </r>
    <r>
      <rPr>
        <vertAlign val="superscript"/>
        <sz val="10"/>
        <rFont val="MS Sans Serif"/>
      </rPr>
      <t>e</t>
    </r>
    <r>
      <rPr>
        <sz val="10"/>
        <rFont val="MS Sans Serif"/>
      </rPr>
      <t xml:space="preserve"> lot de 5 toitures réparti sur 3 toitures</t>
    </r>
  </si>
  <si>
    <t>23€/m²</t>
  </si>
  <si>
    <t>Vérifier position onduleur</t>
  </si>
  <si>
    <t>Vérifier quantité</t>
  </si>
  <si>
    <t>Vérifier longueur. Section légèrement insuffisante !</t>
  </si>
  <si>
    <t>1 tous les 50m</t>
  </si>
  <si>
    <t>Base Mâcon</t>
  </si>
  <si>
    <t>Base Chetail, à 50€/h, pro rata nb de fixations</t>
  </si>
  <si>
    <t>Pose onduleur</t>
  </si>
  <si>
    <t>Base Verzé : 11,5h pour 8m sous goudron et 25m sous remblai. Ici, 25m sous espaces verts. Manque estimation temps de pose des chambres de tirage</t>
  </si>
  <si>
    <t>712€ selon K2 Base + 10 % marge distributeur</t>
  </si>
  <si>
    <t>COFF AC 2x25A/300mA</t>
  </si>
  <si>
    <t>2 modules par optimiseur</t>
  </si>
  <si>
    <t>A préciser, selon emplacement onduleur et PDL</t>
  </si>
  <si>
    <t>Raccordement simple au droit du batiment Courrier</t>
  </si>
  <si>
    <t>Assurance Dommages-ouvrages (prix TTC car pas de TVA à récupérer parmi les taxes applicables)
Obligatoire si IAB, renforcement de charpente ou imposition par le bailleur.
Indiquer le nb d’ouvrages/bâtiments concernés dans la colonne A Nb.</t>
  </si>
  <si>
    <t>Requis si remplacement fibrociment par TAN</t>
  </si>
  <si>
    <t>Estimation personnelle pour 2 ou 3 centrales sur ce site</t>
  </si>
  <si>
    <t>Forum ACV</t>
  </si>
  <si>
    <t>Dépose</t>
  </si>
  <si>
    <t>Transport vers centre PV CYCLE</t>
  </si>
  <si>
    <t>STRUCTURE K2 - SINGLE RAIL SUR FIBRO ET MINIRAIL SUR TAN</t>
  </si>
  <si>
    <t>1432€ selon K2 Base + 10 % marge distributeur</t>
  </si>
  <si>
    <t>3 mppt</t>
  </si>
  <si>
    <t>1 adaptateur par chaîne avec module TRINA</t>
  </si>
  <si>
    <t>80A suffiraient</t>
  </si>
  <si>
    <t>554 Ateliers municipaux Saint-Martin-Belle-Roche – Version complète sans optimiseurs – Portrait</t>
  </si>
  <si>
    <t>STRUCTURE K2 - SINGLE RAIL</t>
  </si>
  <si>
    <t>5134€ selon K2 Base + 10 % marge distributeur</t>
  </si>
  <si>
    <t>COF DC 4BR 40A1000V PAR</t>
  </si>
  <si>
    <t>4 chaînes sur chacune des 2 entrées, besoin fusibles</t>
  </si>
  <si>
    <t>STRUCTURE K2 – MINIRAIL VERTICAL</t>
  </si>
  <si>
    <t>Au coin Est du pignon Nord</t>
  </si>
  <si>
    <t>Coût selon PDR IEP: DB24|OI7782 GCP: 62-1932 du 05/12/2018</t>
  </si>
  <si>
    <t>Le 240mm2 alu est la section maxi, valable à partir de 90kVA et plus, selon Enedis-PRO-RES_43E V5 2019, p14/26</t>
  </si>
  <si>
    <t>Coût selon PDR IEP: DB24|OI7782 GCP: 62-1932 du 05/12/2018
Création PRCS 100kVA 95mm2 HTA / 3x240mm2 alu + 1x120mm2 alu BT
Création poste transformateur HTA/BT</t>
  </si>
  <si>
    <t>(160/100)^(0,8) * Coût selon PDR IEP: DB24|OI7782 Création PRCS 100kVA
Création poste transformateur HTA/BT</t>
  </si>
  <si>
    <t>Estimation en aveugle qui maximise les couts.Choix du 160kVA</t>
  </si>
  <si>
    <t>Coût selon PDR IEP: DB24|OI7782 GCP: 62-1932  du 05/12/2018
Création ERAS HTA en 95mm2
Descente d’un poteau et traversée de route</t>
  </si>
  <si>
    <t>La section de 3x95mm2 devrait suffire même pour 123kVA</t>
  </si>
  <si>
    <t>172 sur bâtiment Nord, en fibro</t>
  </si>
  <si>
    <t>Sur hangar Nord</t>
  </si>
  <si>
    <t>Sur hangar Sud</t>
  </si>
  <si>
    <t>Pour 2 ECO27 du hangar Nord</t>
  </si>
  <si>
    <t xml:space="preserve">COF AC pour 3 FRONIUS ECO 27 + 1 FRONIUS SYMO 3.7 (100kWc)
COF AC 50x3+20A/300mA TRI
Coffret métallique 800 x 600 x 200 mm IP66, équipée de :
1 Interrupteur INS 250/160A 4 Pôles commande latérale
rouge et jaune cadenassable
1 Répartiteur 160A 4 pôles
1 Disjoncteur DT40N 20A 4 Pôles Courbe C Icc 10kA + 1
Différentiel DT40 300mA 4 Pôles 25A Type AC
3 Disjoncteurs iC60N 50A 4 Pôles Courbe C Icc 10kA + 3
Différentiels iC60 300mA 4 Pôles 63A Type AC
1 Porte fusible 4 Pôles 14x51 400v + 3 Fusibles 50A Gg
14x51 400v
1 Parafoudre mode commun et différentiel sans OF 4 Pôles
In20kA Imax40kA 400v
1 Cage à vis 120 - 185mm2 100/160/250A
Bornes de raccordement à ressort 6 à 10 mm2
Bornes de raccordement à ressort 10 à 16 mm2
Ensemble de presses étoupes
HS code : 8536 90 90 98
Origine : France </t>
  </si>
  <si>
    <t>Pour 3 ECO27 + 1 SYMO 15 + MX du hangar Sud</t>
  </si>
  <si>
    <t>Un abri par bâtiment</t>
  </si>
  <si>
    <t>8 chaînes sur hangar Nord et 15 chaîne sur hangar Sud. 10M pour monter sur le toit + Moitié de la longueur et moitié de la largeur du toit</t>
  </si>
  <si>
    <t>Idem câble + avec la longueur des chines en vertical</t>
  </si>
  <si>
    <t>10 par ECO 27 et 10 par SYMO 15</t>
  </si>
  <si>
    <t>Câblés en PV1: 4x22 modules, avec fusibles</t>
  </si>
  <si>
    <t>Câblés en PV1 : 2x16 + PV2 : 1x14 modules, sans fusibles</t>
  </si>
  <si>
    <t>Entre hangar Nord et PDL</t>
  </si>
  <si>
    <t>U-1000 AR2V 4x150</t>
  </si>
  <si>
    <t>Pour 15 chaînes</t>
  </si>
  <si>
    <t>2h pour onduleur centralisé</t>
  </si>
  <si>
    <t>Pour 2 abris</t>
  </si>
  <si>
    <t>Modifications, d’installation ou de remplacement d’un poste de transformation sur devis, 100kVA</t>
  </si>
  <si>
    <t>Modifications, d’installation ou de remplacement d’un poste de transformation sur devis 160kVA</t>
  </si>
  <si>
    <t>Modifications, d’installation ou de remplacement d’un poste de transformation sur devis 250kVA</t>
  </si>
  <si>
    <t>(250/100)^(0,8) * Coût Création PRCS 100kVA * 1,2 pour modif PSS/PRCS
Création poste transformateur HTA/BT</t>
  </si>
  <si>
    <t>Estimation en aveugle qui maximise les coûts. Choix du 250kVA
Voir p6/26 de Enedis-PRO-RES_43E V5 2019 pour détail PRCS et PSS</t>
  </si>
  <si>
    <t>172 sur bâtiment Nord, en fibro, et 100+210 sur bâtiment Sud sur TAN de remplacement</t>
  </si>
  <si>
    <t>Entre hangar Nord et hangar Sud</t>
  </si>
  <si>
    <t>Entre hangar Sud et PDL</t>
  </si>
  <si>
    <t>COFF AC 160A/300mA pour onduleur 75kVA</t>
  </si>
  <si>
    <t>Pour grande rangée</t>
  </si>
  <si>
    <t>Pour petite rangée</t>
  </si>
  <si>
    <t>ONDULEUR FRONIUS ECO27</t>
  </si>
  <si>
    <t>Estimation en aveugle qui maximise les coûts. Choix du 160kVA</t>
  </si>
  <si>
    <t>Statistiques</t>
  </si>
  <si>
    <t>Méthodologie :</t>
  </si>
  <si>
    <t>1- Mettre à jour le tableau des rappels, colonne A à F, en éliminant les centrales au chiffrage incomplet</t>
  </si>
  <si>
    <t>2- Etablir manuellement la tranche, colonne G</t>
  </si>
  <si>
    <t>3- Recopier les formules, colonnes H à J</t>
  </si>
  <si>
    <t>4- Mettre à jour les tableaux dynamiques en étendant les plages de source de données</t>
  </si>
  <si>
    <t>Données</t>
  </si>
  <si>
    <t>Inv direct pour max tranche</t>
  </si>
  <si>
    <t>Total inv pour max tranche</t>
  </si>
  <si>
    <t>Total Charges pour max tranche</t>
  </si>
  <si>
    <t>Tranche (kWc)</t>
  </si>
  <si>
    <t>Min - Inv direct pour max tranche</t>
  </si>
  <si>
    <t>Min - Total inv pour max tranche</t>
  </si>
  <si>
    <t>Min - Total Charges pour max tranche</t>
  </si>
  <si>
    <t>Mini</t>
  </si>
  <si>
    <t>Moyenne</t>
  </si>
  <si>
    <t>Max</t>
  </si>
  <si>
    <t>Total Résultat</t>
  </si>
  <si>
    <t>avec acca</t>
  </si>
  <si>
    <t>sans ACCA</t>
  </si>
  <si>
    <t>Sans ACCA</t>
  </si>
  <si>
    <t>taux 1.55%</t>
  </si>
  <si>
    <t>nominal</t>
  </si>
  <si>
    <t>incrémenté</t>
  </si>
  <si>
    <t>sans 15.000</t>
  </si>
  <si>
    <t>Lots 2018_21 + 543</t>
  </si>
  <si>
    <t>Enedis réfaction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</si>
</sst>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quot;   &quot;;[Red]\-#,##0.00&quot;   &quot;"/>
    <numFmt numFmtId="165" formatCode="0\ %"/>
    <numFmt numFmtId="166" formatCode="#,##0;[Red]\-#,##0"/>
    <numFmt numFmtId="167" formatCode="#,##0\ [$€-40C];[Red]\-#,##0\ [$€-40C]"/>
    <numFmt numFmtId="168" formatCode="0.00\ %"/>
    <numFmt numFmtId="169" formatCode="0.0%"/>
    <numFmt numFmtId="170" formatCode="0&quot; ans&quot;"/>
    <numFmt numFmtId="171" formatCode="#,##0&quot;   &quot;;[Red]\-#,##0&quot;   &quot;"/>
    <numFmt numFmtId="172" formatCode="0.0"/>
    <numFmt numFmtId="173" formatCode="&quot;Année &quot;0"/>
    <numFmt numFmtId="174" formatCode="#,##0\ ;\-#,##0,"/>
    <numFmt numFmtId="175" formatCode="0&quot; mois&quot;"/>
    <numFmt numFmtId="176" formatCode="#,##0.000&quot; €/Wc&quot;"/>
    <numFmt numFmtId="177" formatCode="0.00000"/>
    <numFmt numFmtId="178" formatCode="#,##0.00&quot; €&quot;"/>
    <numFmt numFmtId="179" formatCode="\ * #,##0\ ;\-* #,##0\ ;\ * \-#\ ;\ @\ "/>
    <numFmt numFmtId="180" formatCode="[$-40C]dd/mm/yyyy"/>
    <numFmt numFmtId="181" formatCode="#,##0&quot; €&quot;"/>
    <numFmt numFmtId="182" formatCode="0.000%"/>
    <numFmt numFmtId="183" formatCode="&quot;BOOL&quot;yy&quot;AN&quot;"/>
    <numFmt numFmtId="184" formatCode="dd/mm/yy"/>
    <numFmt numFmtId="185" formatCode="0&quot; m2&quot;"/>
    <numFmt numFmtId="186" formatCode="#,##0&quot; ml&quot;"/>
    <numFmt numFmtId="187" formatCode="#,##0.00\ [$€-40C];[Red]\-#,##0.00\ [$€-40C]"/>
    <numFmt numFmtId="188" formatCode="&quot;mois &quot;0"/>
    <numFmt numFmtId="189" formatCode="mmm\-yy;@"/>
    <numFmt numFmtId="190" formatCode="mmm"/>
  </numFmts>
  <fonts count="124">
    <font>
      <sz val="10"/>
      <color theme="1"/>
      <name val="MS Sans Serif"/>
    </font>
    <font>
      <sz val="10"/>
      <name val="MS Sans Serif"/>
    </font>
    <font>
      <sz val="10"/>
      <name val="Arial"/>
    </font>
    <font>
      <b/>
      <sz val="10"/>
      <name val="MS Sans Serif"/>
    </font>
    <font>
      <u/>
      <sz val="8"/>
      <color indexed="4"/>
      <name val="MS Sans Serif"/>
    </font>
    <font>
      <sz val="11"/>
      <color rgb="FF006100"/>
      <name val="Calibri"/>
    </font>
    <font>
      <sz val="10"/>
      <name val="Calibri"/>
    </font>
    <font>
      <sz val="12"/>
      <name val="Calibri"/>
    </font>
    <font>
      <b/>
      <sz val="16"/>
      <color rgb="FF984807"/>
      <name val="Britannic Bold"/>
    </font>
    <font>
      <b/>
      <sz val="16"/>
      <name val="Calibri"/>
    </font>
    <font>
      <b/>
      <sz val="12"/>
      <name val="Calibri"/>
    </font>
    <font>
      <b/>
      <sz val="11"/>
      <color indexed="4"/>
      <name val="MS Sans Serif"/>
    </font>
    <font>
      <sz val="11"/>
      <name val="Calibri"/>
    </font>
    <font>
      <b/>
      <sz val="11"/>
      <name val="Calibri"/>
    </font>
    <font>
      <b/>
      <sz val="12"/>
      <name val="Wingdings"/>
    </font>
    <font>
      <sz val="12"/>
      <name val="MS Sans Serif"/>
    </font>
    <font>
      <i/>
      <sz val="12"/>
      <name val="Calibri"/>
    </font>
    <font>
      <b/>
      <i/>
      <sz val="12"/>
      <color indexed="2"/>
      <name val="Calibri"/>
    </font>
    <font>
      <sz val="10"/>
      <color indexed="65"/>
      <name val="Calibri"/>
    </font>
    <font>
      <b/>
      <i/>
      <sz val="10"/>
      <name val="Calibri"/>
    </font>
    <font>
      <b/>
      <sz val="10"/>
      <name val="Calibri"/>
    </font>
    <font>
      <u/>
      <sz val="10"/>
      <name val="Calibri"/>
    </font>
    <font>
      <sz val="11"/>
      <color indexed="65"/>
      <name val="Calibri"/>
    </font>
    <font>
      <b/>
      <sz val="10"/>
      <color indexed="4"/>
      <name val="MS Sans Serif"/>
    </font>
    <font>
      <sz val="11"/>
      <name val="MS Sans Serif"/>
    </font>
    <font>
      <b/>
      <sz val="9"/>
      <name val="Calibri"/>
    </font>
    <font>
      <b/>
      <sz val="12"/>
      <color rgb="FF77933C"/>
      <name val="Calibri"/>
    </font>
    <font>
      <b/>
      <sz val="11"/>
      <name val="MS Sans Serif"/>
    </font>
    <font>
      <i/>
      <sz val="11"/>
      <name val="Calibri"/>
    </font>
    <font>
      <b/>
      <sz val="11"/>
      <color indexed="2"/>
      <name val="Calibri"/>
    </font>
    <font>
      <i/>
      <sz val="10"/>
      <color indexed="2"/>
      <name val="Calibri"/>
    </font>
    <font>
      <sz val="10"/>
      <color indexed="23"/>
      <name val="Calibri"/>
    </font>
    <font>
      <sz val="12"/>
      <color rgb="FF254061"/>
      <name val="Calibri"/>
    </font>
    <font>
      <sz val="11"/>
      <name val="Arial Narrow"/>
    </font>
    <font>
      <b/>
      <i/>
      <sz val="12"/>
      <name val="Calibri"/>
    </font>
    <font>
      <sz val="12"/>
      <color rgb="FFE46C0A"/>
      <name val="Calibri"/>
    </font>
    <font>
      <sz val="12"/>
      <color rgb="FF558ED5"/>
      <name val="Calibri"/>
    </font>
    <font>
      <sz val="12"/>
      <color rgb="FF4F6228"/>
      <name val="Calibri"/>
    </font>
    <font>
      <sz val="9"/>
      <name val="Calibri"/>
    </font>
    <font>
      <b/>
      <sz val="12"/>
      <color rgb="FF215968"/>
      <name val="Calibri"/>
    </font>
    <font>
      <sz val="12"/>
      <color rgb="FF215968"/>
      <name val="Calibri"/>
    </font>
    <font>
      <sz val="11"/>
      <name val="Cambria"/>
    </font>
    <font>
      <sz val="12"/>
      <color rgb="FF254061"/>
      <name val="MS Sans Serif"/>
    </font>
    <font>
      <b/>
      <sz val="12"/>
      <color indexed="65"/>
      <name val="Calibri"/>
    </font>
    <font>
      <sz val="12"/>
      <color indexed="65"/>
      <name val="Calibri"/>
    </font>
    <font>
      <i/>
      <sz val="10"/>
      <name val="Calibri"/>
    </font>
    <font>
      <sz val="18"/>
      <name val="Calibri"/>
    </font>
    <font>
      <b/>
      <sz val="20"/>
      <color rgb="FF984807"/>
      <name val="Britannic Bold"/>
    </font>
    <font>
      <b/>
      <sz val="14"/>
      <color indexed="65"/>
      <name val="Segoe UI Semibold"/>
    </font>
    <font>
      <sz val="11"/>
      <color indexed="2"/>
      <name val="Calibri"/>
    </font>
    <font>
      <b/>
      <sz val="12"/>
      <color rgb="FF254061"/>
      <name val="Calibri"/>
    </font>
    <font>
      <b/>
      <sz val="12"/>
      <color indexed="65"/>
      <name val="Segoe UI Semibold"/>
    </font>
    <font>
      <b/>
      <sz val="14"/>
      <color indexed="65"/>
      <name val="Calibri"/>
    </font>
    <font>
      <b/>
      <sz val="12"/>
      <color rgb="FF262626"/>
      <name val="Calibri"/>
    </font>
    <font>
      <b/>
      <sz val="12"/>
      <color indexed="5"/>
      <name val="Calibri"/>
    </font>
    <font>
      <b/>
      <sz val="19"/>
      <color rgb="FF404040"/>
      <name val="Calibri"/>
    </font>
    <font>
      <b/>
      <sz val="11"/>
      <color indexed="65"/>
      <name val="Calibri"/>
    </font>
    <font>
      <b/>
      <sz val="19"/>
      <color rgb="FF404040"/>
      <name val="MS Sans Serif"/>
    </font>
    <font>
      <b/>
      <sz val="11"/>
      <color rgb="FF262626"/>
      <name val="Calibri"/>
    </font>
    <font>
      <sz val="11"/>
      <color indexed="4"/>
      <name val="MS Sans Serif"/>
    </font>
    <font>
      <b/>
      <u/>
      <sz val="14"/>
      <name val="Calibri"/>
    </font>
    <font>
      <b/>
      <i/>
      <sz val="11"/>
      <color rgb="FFE46C0A"/>
      <name val="Calibri"/>
    </font>
    <font>
      <b/>
      <u/>
      <sz val="11"/>
      <name val="Calibri"/>
    </font>
    <font>
      <b/>
      <sz val="12"/>
      <color rgb="FF403152"/>
      <name val="Calibri"/>
    </font>
    <font>
      <b/>
      <sz val="10"/>
      <color theme="1"/>
      <name val="MS Sans Serif"/>
    </font>
    <font>
      <b/>
      <i/>
      <sz val="10"/>
      <name val="MS Sans Serif"/>
    </font>
    <font>
      <i/>
      <sz val="10"/>
      <name val="MS Sans Serif"/>
    </font>
    <font>
      <b/>
      <u/>
      <sz val="10"/>
      <name val="MS Sans Serif"/>
    </font>
    <font>
      <sz val="7"/>
      <name val="Arial"/>
    </font>
    <font>
      <b/>
      <sz val="10"/>
      <name val="Arial"/>
    </font>
    <font>
      <b/>
      <u/>
      <sz val="10"/>
      <name val="Arial"/>
    </font>
    <font>
      <sz val="11"/>
      <name val="Arial"/>
    </font>
    <font>
      <b/>
      <sz val="19"/>
      <color indexed="65"/>
      <name val="Britannic Bold"/>
    </font>
    <font>
      <sz val="11"/>
      <color indexed="2"/>
      <name val="Arial"/>
    </font>
    <font>
      <u/>
      <sz val="9.5"/>
      <color indexed="4"/>
      <name val="MS Sans Serif"/>
    </font>
    <font>
      <sz val="10"/>
      <color indexed="2"/>
      <name val="Arial"/>
    </font>
    <font>
      <b/>
      <i/>
      <sz val="11"/>
      <name val="Arial"/>
    </font>
    <font>
      <b/>
      <sz val="11"/>
      <name val="Arial"/>
    </font>
    <font>
      <sz val="11"/>
      <color rgb="FFC9211E"/>
      <name val="Arial"/>
    </font>
    <font>
      <b/>
      <sz val="11"/>
      <color rgb="FF376092"/>
      <name val="Arial"/>
    </font>
    <font>
      <sz val="11"/>
      <color indexed="20"/>
      <name val="Arial"/>
    </font>
    <font>
      <sz val="11"/>
      <color indexed="25"/>
      <name val="Arial"/>
    </font>
    <font>
      <sz val="11"/>
      <color indexed="62"/>
      <name val="Arial"/>
    </font>
    <font>
      <b/>
      <sz val="11"/>
      <color indexed="2"/>
      <name val="Arial"/>
    </font>
    <font>
      <sz val="10"/>
      <name val="Cantarell"/>
    </font>
    <font>
      <b/>
      <u/>
      <sz val="10"/>
      <color rgb="FFC0504D"/>
      <name val="Cantarell"/>
    </font>
    <font>
      <b/>
      <sz val="10"/>
      <color indexed="65"/>
      <name val="Cantarell"/>
    </font>
    <font>
      <b/>
      <sz val="10"/>
      <name val="Cantarell"/>
    </font>
    <font>
      <sz val="10"/>
      <color indexed="65"/>
      <name val="Cantarell"/>
    </font>
    <font>
      <b/>
      <sz val="12"/>
      <color indexed="65"/>
      <name val="Cantarell"/>
    </font>
    <font>
      <b/>
      <sz val="11"/>
      <name val="Cantarell"/>
    </font>
    <font>
      <b/>
      <u/>
      <sz val="10"/>
      <color rgb="FF8064A2"/>
      <name val="Cantarell"/>
    </font>
    <font>
      <u/>
      <sz val="10"/>
      <color rgb="FF4F6228"/>
      <name val="Cantarell"/>
    </font>
    <font>
      <sz val="6"/>
      <name val="MS Sans Serif"/>
    </font>
    <font>
      <u/>
      <sz val="10"/>
      <color indexed="4"/>
      <name val="MS Sans Serif"/>
    </font>
    <font>
      <u/>
      <sz val="10"/>
      <color theme="10"/>
      <name val="MS Sans Serif"/>
    </font>
    <font>
      <i/>
      <sz val="10"/>
      <name val="Arial"/>
    </font>
    <font>
      <sz val="8"/>
      <name val="Arial"/>
    </font>
    <font>
      <b/>
      <sz val="12"/>
      <name val="MS Sans Serif"/>
    </font>
    <font>
      <b/>
      <sz val="20"/>
      <color indexed="65"/>
      <name val="Britannic Bold"/>
    </font>
    <font>
      <b/>
      <sz val="14"/>
      <name val="Calibri"/>
    </font>
    <font>
      <b/>
      <i/>
      <sz val="10"/>
      <color indexed="2"/>
      <name val="Arial"/>
    </font>
    <font>
      <i/>
      <sz val="10"/>
      <name val="Wingdings"/>
    </font>
    <font>
      <b/>
      <sz val="11"/>
      <color rgb="FF006600"/>
      <name val="Arial"/>
    </font>
    <font>
      <b/>
      <sz val="10"/>
      <color rgb="FF215968"/>
      <name val="Arial"/>
    </font>
    <font>
      <b/>
      <sz val="11"/>
      <color rgb="FF4A452A"/>
      <name val="Arial"/>
    </font>
    <font>
      <b/>
      <sz val="10"/>
      <color indexed="2"/>
      <name val="Arial"/>
    </font>
    <font>
      <sz val="14.5"/>
      <name val="Calibri"/>
    </font>
    <font>
      <b/>
      <sz val="14.5"/>
      <name val="Calibri"/>
    </font>
    <font>
      <i/>
      <sz val="12"/>
      <color indexed="2"/>
      <name val="Calibri"/>
    </font>
    <font>
      <b/>
      <sz val="18"/>
      <name val="Calibri"/>
    </font>
    <font>
      <sz val="12"/>
      <color indexed="2"/>
      <name val="Calibri"/>
    </font>
    <font>
      <u/>
      <sz val="10"/>
      <name val="MS Sans Serif"/>
    </font>
    <font>
      <b/>
      <vertAlign val="superscript"/>
      <sz val="11"/>
      <name val="Calibri"/>
    </font>
    <font>
      <b/>
      <i/>
      <vertAlign val="superscript"/>
      <sz val="10"/>
      <name val="MS Sans Serif"/>
    </font>
    <font>
      <b/>
      <sz val="12"/>
      <name val="Arial"/>
    </font>
    <font>
      <vertAlign val="superscript"/>
      <sz val="10"/>
      <name val="MS Sans Serif"/>
    </font>
    <font>
      <i/>
      <sz val="8"/>
      <name val="Arial"/>
    </font>
    <font>
      <b/>
      <u/>
      <sz val="12"/>
      <name val="Calibri"/>
    </font>
    <font>
      <i/>
      <u/>
      <sz val="12"/>
      <name val="Calibri"/>
    </font>
    <font>
      <u/>
      <sz val="12"/>
      <name val="Calibri"/>
    </font>
    <font>
      <vertAlign val="subscript"/>
      <sz val="10"/>
      <name val="MS Sans Serif"/>
    </font>
    <font>
      <b/>
      <sz val="9"/>
      <name val="Tahoma"/>
    </font>
    <font>
      <sz val="9"/>
      <name val="Tahoma"/>
    </font>
  </fonts>
  <fills count="63">
    <fill>
      <patternFill patternType="none"/>
    </fill>
    <fill>
      <patternFill patternType="gray125"/>
    </fill>
    <fill>
      <patternFill patternType="solid">
        <fgColor rgb="FFD6E8C4"/>
        <bgColor rgb="FFDBEAC9"/>
      </patternFill>
    </fill>
    <fill>
      <patternFill patternType="solid">
        <fgColor rgb="FFFFCC66"/>
        <bgColor rgb="FFFEC884"/>
      </patternFill>
    </fill>
    <fill>
      <patternFill patternType="solid">
        <fgColor rgb="FFCCC1DA"/>
        <bgColor rgb="FFBFBFBF"/>
      </patternFill>
    </fill>
    <fill>
      <patternFill patternType="solid">
        <fgColor indexed="43"/>
        <bgColor rgb="FFFFFF66"/>
      </patternFill>
    </fill>
    <fill>
      <patternFill patternType="solid">
        <fgColor rgb="FFFFC000"/>
        <bgColor rgb="FFFFCC66"/>
      </patternFill>
    </fill>
    <fill>
      <patternFill patternType="solid">
        <fgColor rgb="FF99FF66"/>
        <bgColor rgb="FFBED599"/>
      </patternFill>
    </fill>
    <fill>
      <patternFill patternType="solid">
        <fgColor rgb="FFDAD9D8"/>
        <bgColor rgb="FFD9D9D9"/>
      </patternFill>
    </fill>
    <fill>
      <patternFill patternType="solid">
        <fgColor rgb="FF84D41D"/>
        <bgColor rgb="FFACB20C"/>
      </patternFill>
    </fill>
    <fill>
      <patternFill patternType="solid">
        <fgColor rgb="FFBED599"/>
        <bgColor rgb="FFBFBFBF"/>
      </patternFill>
    </fill>
    <fill>
      <patternFill patternType="solid">
        <fgColor rgb="FFFEC884"/>
        <bgColor rgb="FFFFCC66"/>
      </patternFill>
    </fill>
    <fill>
      <patternFill patternType="solid">
        <fgColor indexed="44"/>
        <bgColor rgb="FFB9CDE5"/>
      </patternFill>
    </fill>
    <fill>
      <patternFill patternType="solid">
        <fgColor rgb="FF558CD4"/>
        <bgColor rgb="FF6699FF"/>
      </patternFill>
    </fill>
    <fill>
      <patternFill patternType="solid">
        <fgColor rgb="FFDCECF4"/>
        <bgColor rgb="FFE0F1D4"/>
      </patternFill>
    </fill>
    <fill>
      <patternFill patternType="solid">
        <fgColor rgb="FFB3A2C7"/>
        <bgColor rgb="FFA6A6A6"/>
      </patternFill>
    </fill>
    <fill>
      <patternFill patternType="darkGray">
        <fgColor rgb="FFBFBFBF"/>
        <bgColor rgb="FFB2B2B2"/>
      </patternFill>
    </fill>
    <fill>
      <patternFill patternType="solid">
        <fgColor rgb="FFE46C0A"/>
        <bgColor rgb="FFBB4E27"/>
      </patternFill>
    </fill>
    <fill>
      <patternFill patternType="solid">
        <fgColor rgb="FFC6D9F1"/>
        <bgColor rgb="FFB7DEE8"/>
      </patternFill>
    </fill>
    <fill>
      <patternFill patternType="solid">
        <fgColor rgb="FF6699FF"/>
        <bgColor rgb="FF558CD4"/>
      </patternFill>
    </fill>
    <fill>
      <patternFill patternType="darkGray">
        <fgColor rgb="FFDCECF4"/>
        <bgColor rgb="FFDEDCE6"/>
      </patternFill>
    </fill>
    <fill>
      <patternFill patternType="darkGray">
        <fgColor rgb="FF7B787B"/>
        <bgColor rgb="FF77933C"/>
      </patternFill>
    </fill>
    <fill>
      <patternFill patternType="solid">
        <fgColor rgb="FFE0C2CD"/>
        <bgColor rgb="FFDFCCE4"/>
      </patternFill>
    </fill>
    <fill>
      <patternFill patternType="solid">
        <fgColor rgb="FFBFBFBF"/>
        <bgColor rgb="FFCCC1DA"/>
      </patternFill>
    </fill>
    <fill>
      <patternFill patternType="solid">
        <fgColor rgb="FFD99694"/>
        <bgColor rgb="FFB3A2C7"/>
      </patternFill>
    </fill>
    <fill>
      <patternFill patternType="solid">
        <fgColor rgb="FFB2B2B2"/>
        <bgColor rgb="FFA6A6A6"/>
      </patternFill>
    </fill>
    <fill>
      <patternFill patternType="solid">
        <fgColor indexed="65"/>
        <bgColor rgb="FFF2F2F2"/>
      </patternFill>
    </fill>
    <fill>
      <patternFill patternType="solid">
        <fgColor theme="9" tint="0.79998168889431442"/>
        <bgColor theme="9" tint="0.79998168889431442"/>
      </patternFill>
    </fill>
    <fill>
      <patternFill patternType="solid">
        <fgColor indexed="5"/>
        <bgColor rgb="FFFFFF66"/>
      </patternFill>
    </fill>
    <fill>
      <patternFill patternType="solid">
        <fgColor theme="0"/>
        <bgColor theme="0"/>
      </patternFill>
    </fill>
    <fill>
      <patternFill patternType="solid">
        <fgColor indexed="5"/>
        <bgColor indexed="5"/>
      </patternFill>
    </fill>
    <fill>
      <patternFill patternType="solid">
        <fgColor rgb="FF263A70"/>
        <bgColor rgb="FF353131"/>
      </patternFill>
    </fill>
    <fill>
      <patternFill patternType="solid">
        <fgColor rgb="FF245D7D"/>
        <bgColor rgb="FF263A70"/>
      </patternFill>
    </fill>
    <fill>
      <patternFill patternType="solid">
        <fgColor rgb="FF8EB4E3"/>
        <bgColor indexed="44"/>
      </patternFill>
    </fill>
    <fill>
      <patternFill patternType="solid">
        <fgColor rgb="FFF2F2F2"/>
        <bgColor rgb="FFEBF1DE"/>
      </patternFill>
    </fill>
    <fill>
      <patternFill patternType="solid">
        <fgColor rgb="FF006A00"/>
        <bgColor rgb="FF245D7D"/>
      </patternFill>
    </fill>
    <fill>
      <patternFill patternType="solid">
        <fgColor rgb="FFFFDC97"/>
        <bgColor rgb="FFF6E192"/>
      </patternFill>
    </fill>
    <fill>
      <patternFill patternType="solid">
        <fgColor rgb="FF82027F"/>
        <bgColor rgb="FF8E1E73"/>
      </patternFill>
    </fill>
    <fill>
      <patternFill patternType="solid">
        <fgColor rgb="FFB9CDE5"/>
        <bgColor rgb="FFC6D9F1"/>
      </patternFill>
    </fill>
    <fill>
      <patternFill patternType="solid">
        <fgColor rgb="FFACB20C"/>
        <bgColor rgb="FF84D41D"/>
      </patternFill>
    </fill>
    <fill>
      <patternFill patternType="solid">
        <fgColor rgb="FFDBEAC9"/>
        <bgColor rgb="FFD6E8C4"/>
      </patternFill>
    </fill>
    <fill>
      <patternFill patternType="solid">
        <fgColor rgb="FFE0F1D4"/>
        <bgColor rgb="FFEBF1DE"/>
      </patternFill>
    </fill>
    <fill>
      <patternFill patternType="solid">
        <fgColor rgb="FFDFCCE4"/>
        <bgColor rgb="FFE0C2CD"/>
      </patternFill>
    </fill>
    <fill>
      <patternFill patternType="solid">
        <fgColor rgb="FFF6E192"/>
        <bgColor rgb="FFFFDC97"/>
      </patternFill>
    </fill>
    <fill>
      <patternFill patternType="darkGray">
        <fgColor rgb="FFF6E192"/>
        <bgColor rgb="FFFFDC97"/>
      </patternFill>
    </fill>
    <fill>
      <patternFill patternType="solid">
        <fgColor rgb="FFFFDAC8"/>
        <bgColor rgb="FFFFDC97"/>
      </patternFill>
    </fill>
    <fill>
      <patternFill patternType="darkGray">
        <fgColor rgb="FFFAFCD5"/>
        <bgColor rgb="FFEBF1DE"/>
      </patternFill>
    </fill>
    <fill>
      <patternFill patternType="solid">
        <fgColor rgb="FFDEDCE6"/>
        <bgColor rgb="FFDDDDE0"/>
      </patternFill>
    </fill>
    <fill>
      <patternFill patternType="darkGray">
        <fgColor rgb="FFDBEAC9"/>
        <bgColor rgb="FFD6E8C4"/>
      </patternFill>
    </fill>
    <fill>
      <patternFill patternType="solid">
        <fgColor rgb="FFFAFCD5"/>
      </patternFill>
    </fill>
    <fill>
      <patternFill patternType="solid">
        <fgColor rgb="FFDDDDE0"/>
        <bgColor rgb="FFDEDCE6"/>
      </patternFill>
    </fill>
    <fill>
      <patternFill patternType="solid">
        <fgColor indexed="2"/>
        <bgColor rgb="FFFA0D1A"/>
      </patternFill>
    </fill>
    <fill>
      <patternFill patternType="solid">
        <fgColor rgb="FFEBF1DE"/>
        <bgColor rgb="FFE0F1D4"/>
      </patternFill>
    </fill>
    <fill>
      <patternFill patternType="solid">
        <fgColor rgb="FFFA0D1A"/>
        <bgColor indexed="2"/>
      </patternFill>
    </fill>
    <fill>
      <patternFill patternType="solid">
        <fgColor rgb="FF756941"/>
        <bgColor rgb="FF7B787B"/>
      </patternFill>
    </fill>
    <fill>
      <patternFill patternType="solid">
        <fgColor rgb="FFD9D9D9"/>
        <bgColor rgb="FFDAD9D8"/>
      </patternFill>
    </fill>
    <fill>
      <patternFill patternType="darkGray">
        <fgColor rgb="FFFFDAC8"/>
        <bgColor rgb="FFFFDC97"/>
      </patternFill>
    </fill>
    <fill>
      <patternFill patternType="mediumGray">
        <fgColor rgb="FF756941"/>
        <bgColor rgb="FF7B787B"/>
      </patternFill>
    </fill>
    <fill>
      <patternFill patternType="darkGray">
        <fgColor rgb="FF7B787B"/>
        <bgColor rgb="FF756941"/>
      </patternFill>
    </fill>
    <fill>
      <patternFill patternType="solid">
        <fgColor rgb="FF00B0F0"/>
        <bgColor rgb="FF558CD4"/>
      </patternFill>
    </fill>
    <fill>
      <patternFill patternType="solid">
        <fgColor rgb="FFB7DEE8"/>
        <bgColor rgb="FFC6D9F1"/>
      </patternFill>
    </fill>
    <fill>
      <patternFill patternType="solid">
        <fgColor rgb="FFA6A6A6"/>
        <bgColor rgb="FFB2B2B2"/>
      </patternFill>
    </fill>
    <fill>
      <patternFill patternType="solid">
        <fgColor rgb="FFFFFF66"/>
        <bgColor indexed="43"/>
      </patternFill>
    </fill>
  </fills>
  <borders count="133">
    <border>
      <left/>
      <right/>
      <top/>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top/>
      <bottom/>
      <diagonal/>
    </border>
    <border>
      <left/>
      <right style="medium">
        <color theme="1"/>
      </right>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theme="1"/>
      </left>
      <right/>
      <top/>
      <bottom style="thin">
        <color theme="1"/>
      </bottom>
      <diagonal/>
    </border>
    <border>
      <left/>
      <right style="thin">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diagonal/>
    </border>
    <border>
      <left/>
      <right style="thin">
        <color theme="1"/>
      </right>
      <top style="thin">
        <color theme="1"/>
      </top>
      <bottom style="thin">
        <color theme="1"/>
      </bottom>
      <diagonal/>
    </border>
    <border>
      <left style="hair">
        <color theme="1"/>
      </left>
      <right style="hair">
        <color theme="1"/>
      </right>
      <top style="hair">
        <color theme="1"/>
      </top>
      <bottom style="hair">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right/>
      <top style="thin">
        <color theme="1"/>
      </top>
      <bottom style="thin">
        <color theme="1"/>
      </bottom>
      <diagonal/>
    </border>
    <border>
      <left style="hair">
        <color theme="1"/>
      </left>
      <right style="hair">
        <color theme="1"/>
      </right>
      <top style="hair">
        <color theme="1"/>
      </top>
      <bottom/>
      <diagonal/>
    </border>
    <border>
      <left style="hair">
        <color theme="1"/>
      </left>
      <right style="hair">
        <color theme="1"/>
      </right>
      <top/>
      <bottom/>
      <diagonal/>
    </border>
    <border>
      <left style="hair">
        <color theme="1"/>
      </left>
      <right style="hair">
        <color theme="1"/>
      </right>
      <top/>
      <bottom style="hair">
        <color theme="1"/>
      </bottom>
      <diagonal/>
    </border>
    <border>
      <left style="thin">
        <color theme="1"/>
      </left>
      <right style="thin">
        <color theme="1"/>
      </right>
      <top/>
      <bottom/>
      <diagonal/>
    </border>
    <border>
      <left style="thin">
        <color theme="1"/>
      </left>
      <right/>
      <top/>
      <bottom/>
      <diagonal/>
    </border>
    <border>
      <left style="thick">
        <color rgb="FF6699FF"/>
      </left>
      <right/>
      <top/>
      <bottom/>
      <diagonal/>
    </border>
    <border>
      <left style="thick">
        <color rgb="FF6699FF"/>
      </left>
      <right style="thin">
        <color theme="1"/>
      </right>
      <top style="thin">
        <color theme="1"/>
      </top>
      <bottom style="thin">
        <color theme="1"/>
      </bottom>
      <diagonal/>
    </border>
    <border>
      <left style="thick">
        <color rgb="FF6699FF"/>
      </left>
      <right/>
      <top style="thin">
        <color theme="1"/>
      </top>
      <bottom style="thin">
        <color theme="1"/>
      </bottom>
      <diagonal/>
    </border>
    <border>
      <left/>
      <right/>
      <top/>
      <bottom style="thin">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thick">
        <color rgb="FF84D41D"/>
      </left>
      <right/>
      <top/>
      <bottom/>
      <diagonal/>
    </border>
    <border>
      <left style="thick">
        <color rgb="FF84D41D"/>
      </left>
      <right style="thin">
        <color theme="1"/>
      </right>
      <top style="thin">
        <color theme="1"/>
      </top>
      <bottom style="thin">
        <color theme="1"/>
      </bottom>
      <diagonal/>
    </border>
    <border>
      <left style="thick">
        <color rgb="FF84D41D"/>
      </left>
      <right/>
      <top style="thin">
        <color theme="1"/>
      </top>
      <bottom style="thin">
        <color theme="1"/>
      </bottom>
      <diagonal/>
    </border>
    <border>
      <left style="medium">
        <color theme="1"/>
      </left>
      <right/>
      <top style="medium">
        <color theme="1"/>
      </top>
      <bottom/>
      <diagonal/>
    </border>
    <border>
      <left/>
      <right/>
      <top style="medium">
        <color theme="1"/>
      </top>
      <bottom/>
      <diagonal/>
    </border>
    <border>
      <left/>
      <right/>
      <top/>
      <bottom style="double">
        <color indexed="2"/>
      </bottom>
      <diagonal/>
    </border>
    <border>
      <left style="double">
        <color indexed="2"/>
      </left>
      <right style="double">
        <color indexed="2"/>
      </right>
      <top style="double">
        <color indexed="2"/>
      </top>
      <bottom style="double">
        <color indexed="2"/>
      </bottom>
      <diagonal/>
    </border>
    <border>
      <left/>
      <right style="medium">
        <color theme="1"/>
      </right>
      <top style="medium">
        <color theme="1"/>
      </top>
      <bottom style="medium">
        <color theme="1"/>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medium">
        <color theme="1"/>
      </left>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medium">
        <color theme="1"/>
      </top>
      <bottom style="thin">
        <color theme="1"/>
      </bottom>
      <diagonal/>
    </border>
    <border>
      <left style="medium">
        <color theme="1"/>
      </left>
      <right style="medium">
        <color theme="1"/>
      </right>
      <top style="medium">
        <color theme="1"/>
      </top>
      <bottom style="thin">
        <color theme="1"/>
      </bottom>
      <diagonal/>
    </border>
    <border>
      <left style="medium">
        <color theme="1"/>
      </left>
      <right style="thin">
        <color theme="1"/>
      </right>
      <top/>
      <bottom/>
      <diagonal/>
    </border>
    <border>
      <left style="thin">
        <color theme="1"/>
      </left>
      <right style="medium">
        <color theme="1"/>
      </right>
      <top/>
      <bottom/>
      <diagonal/>
    </border>
    <border>
      <left style="thin">
        <color theme="1"/>
      </left>
      <right style="medium">
        <color theme="1"/>
      </right>
      <top style="double">
        <color indexed="2"/>
      </top>
      <bottom style="thin">
        <color theme="1"/>
      </bottom>
      <diagonal/>
    </border>
    <border>
      <left/>
      <right/>
      <top style="thin">
        <color theme="1"/>
      </top>
      <bottom style="medium">
        <color theme="1"/>
      </bottom>
      <diagonal/>
    </border>
    <border>
      <left style="medium">
        <color theme="1"/>
      </left>
      <right style="thin">
        <color theme="1"/>
      </right>
      <top/>
      <bottom style="medium">
        <color theme="1"/>
      </bottom>
      <diagonal/>
    </border>
    <border>
      <left style="medium">
        <color theme="1"/>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top style="medium">
        <color theme="1"/>
      </top>
      <bottom style="medium">
        <color theme="1"/>
      </bottom>
      <diagonal/>
    </border>
    <border>
      <left style="hair">
        <color theme="1"/>
      </left>
      <right/>
      <top style="medium">
        <color theme="1"/>
      </top>
      <bottom style="hair">
        <color theme="1"/>
      </bottom>
      <diagonal/>
    </border>
    <border>
      <left style="hair">
        <color theme="1"/>
      </left>
      <right/>
      <top style="hair">
        <color theme="1"/>
      </top>
      <bottom style="hair">
        <color theme="1"/>
      </bottom>
      <diagonal/>
    </border>
    <border>
      <left style="hair">
        <color theme="1"/>
      </left>
      <right/>
      <top style="hair">
        <color theme="1"/>
      </top>
      <bottom style="medium">
        <color theme="1"/>
      </bottom>
      <diagonal/>
    </border>
    <border>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right style="thin">
        <color theme="1"/>
      </right>
      <top style="medium">
        <color theme="1"/>
      </top>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right style="thin">
        <color theme="1"/>
      </right>
      <top style="medium">
        <color theme="1"/>
      </top>
      <bottom style="thin">
        <color theme="1"/>
      </bottom>
      <diagonal/>
    </border>
    <border>
      <left style="medium">
        <color theme="1"/>
      </left>
      <right style="medium">
        <color theme="1"/>
      </right>
      <top style="thin">
        <color theme="1"/>
      </top>
      <bottom/>
      <diagonal/>
    </border>
    <border>
      <left/>
      <right style="thin">
        <color theme="1"/>
      </right>
      <top style="thin">
        <color theme="1"/>
      </top>
      <bottom style="medium">
        <color theme="1"/>
      </bottom>
      <diagonal/>
    </border>
    <border>
      <left style="thick">
        <color rgb="FFBB4E27"/>
      </left>
      <right/>
      <top style="thick">
        <color rgb="FFBB4E27"/>
      </top>
      <bottom/>
      <diagonal/>
    </border>
    <border>
      <left/>
      <right/>
      <top style="thick">
        <color rgb="FFBB4E27"/>
      </top>
      <bottom/>
      <diagonal/>
    </border>
    <border>
      <left/>
      <right/>
      <top style="thick">
        <color rgb="FFBB4E27"/>
      </top>
      <bottom style="thin">
        <color theme="1"/>
      </bottom>
      <diagonal/>
    </border>
    <border>
      <left/>
      <right style="thick">
        <color rgb="FFBB4E27"/>
      </right>
      <top style="thick">
        <color rgb="FFBB4E27"/>
      </top>
      <bottom/>
      <diagonal/>
    </border>
    <border>
      <left style="thick">
        <color rgb="FFBB4E27"/>
      </left>
      <right/>
      <top/>
      <bottom/>
      <diagonal/>
    </border>
    <border>
      <left/>
      <right style="thick">
        <color rgb="FFBB4E27"/>
      </right>
      <top/>
      <bottom/>
      <diagonal/>
    </border>
    <border>
      <left style="thick">
        <color rgb="FFBB4E27"/>
      </left>
      <right/>
      <top/>
      <bottom style="thin">
        <color theme="1"/>
      </bottom>
      <diagonal/>
    </border>
    <border>
      <left/>
      <right style="thick">
        <color rgb="FFBB4E27"/>
      </right>
      <top/>
      <bottom style="thin">
        <color theme="1"/>
      </bottom>
      <diagonal/>
    </border>
    <border>
      <left style="thick">
        <color rgb="FFBB4E27"/>
      </left>
      <right style="thin">
        <color theme="1"/>
      </right>
      <top style="thin">
        <color theme="1"/>
      </top>
      <bottom style="thin">
        <color theme="1"/>
      </bottom>
      <diagonal/>
    </border>
    <border>
      <left style="thin">
        <color theme="1"/>
      </left>
      <right style="thick">
        <color rgb="FFBB4E27"/>
      </right>
      <top style="thin">
        <color theme="1"/>
      </top>
      <bottom style="thin">
        <color theme="1"/>
      </bottom>
      <diagonal/>
    </border>
    <border>
      <left style="thick">
        <color rgb="FFBB4E27"/>
      </left>
      <right style="thin">
        <color theme="1"/>
      </right>
      <top style="thin">
        <color theme="1"/>
      </top>
      <bottom/>
      <diagonal/>
    </border>
    <border>
      <left style="thin">
        <color theme="1"/>
      </left>
      <right/>
      <top style="thin">
        <color theme="1"/>
      </top>
      <bottom/>
      <diagonal/>
    </border>
    <border>
      <left style="thin">
        <color theme="1"/>
      </left>
      <right style="thick">
        <color rgb="FFBB4E27"/>
      </right>
      <top style="thin">
        <color theme="1"/>
      </top>
      <bottom/>
      <diagonal/>
    </border>
    <border>
      <left style="thick">
        <color rgb="FFBB4E27"/>
      </left>
      <right style="thin">
        <color theme="1"/>
      </right>
      <top/>
      <bottom/>
      <diagonal/>
    </border>
    <border>
      <left style="thin">
        <color theme="1"/>
      </left>
      <right style="thick">
        <color rgb="FFBB4E27"/>
      </right>
      <top/>
      <bottom/>
      <diagonal/>
    </border>
    <border>
      <left/>
      <right/>
      <top style="thin">
        <color theme="1"/>
      </top>
      <bottom/>
      <diagonal/>
    </border>
    <border>
      <left style="thick">
        <color rgb="FFBB4E27"/>
      </left>
      <right/>
      <top/>
      <bottom style="thick">
        <color rgb="FFBB4E27"/>
      </bottom>
      <diagonal/>
    </border>
    <border>
      <left/>
      <right/>
      <top/>
      <bottom style="thick">
        <color rgb="FFBB4E27"/>
      </bottom>
      <diagonal/>
    </border>
    <border>
      <left/>
      <right style="thick">
        <color rgb="FFBB4E27"/>
      </right>
      <top/>
      <bottom style="thick">
        <color rgb="FFBB4E27"/>
      </bottom>
      <diagonal/>
    </border>
    <border>
      <left style="thick">
        <color rgb="FF7B787B"/>
      </left>
      <right/>
      <top/>
      <bottom/>
      <diagonal/>
    </border>
    <border>
      <left/>
      <right style="thick">
        <color rgb="FF7B787B"/>
      </right>
      <top/>
      <bottom/>
      <diagonal/>
    </border>
    <border>
      <left style="thick">
        <color rgb="FF7B787B"/>
      </left>
      <right/>
      <top/>
      <bottom style="thick">
        <color rgb="FF7B787B"/>
      </bottom>
      <diagonal/>
    </border>
    <border>
      <left/>
      <right style="thick">
        <color rgb="FF7B787B"/>
      </right>
      <top/>
      <bottom style="thick">
        <color rgb="FF7B787B"/>
      </bottom>
      <diagonal/>
    </border>
    <border>
      <left style="thick">
        <color rgb="FF77933C"/>
      </left>
      <right/>
      <top style="thick">
        <color rgb="FF77933C"/>
      </top>
      <bottom/>
      <diagonal/>
    </border>
    <border>
      <left/>
      <right/>
      <top style="thick">
        <color rgb="FF77933C"/>
      </top>
      <bottom/>
      <diagonal/>
    </border>
    <border>
      <left style="thin">
        <color theme="1"/>
      </left>
      <right style="thin">
        <color theme="1"/>
      </right>
      <top style="thick">
        <color rgb="FF77933C"/>
      </top>
      <bottom style="thin">
        <color theme="1"/>
      </bottom>
      <diagonal/>
    </border>
    <border>
      <left/>
      <right style="thick">
        <color rgb="FF77933C"/>
      </right>
      <top style="thick">
        <color rgb="FF77933C"/>
      </top>
      <bottom/>
      <diagonal/>
    </border>
    <border>
      <left style="thick">
        <color rgb="FF77933C"/>
      </left>
      <right/>
      <top/>
      <bottom/>
      <diagonal/>
    </border>
    <border>
      <left/>
      <right style="thick">
        <color rgb="FF77933C"/>
      </right>
      <top/>
      <bottom/>
      <diagonal/>
    </border>
    <border>
      <left style="thick">
        <color rgb="FF77933C"/>
      </left>
      <right style="thin">
        <color theme="1"/>
      </right>
      <top style="thin">
        <color theme="1"/>
      </top>
      <bottom style="thin">
        <color theme="1"/>
      </bottom>
      <diagonal/>
    </border>
    <border>
      <left/>
      <right style="thick">
        <color rgb="FF77933C"/>
      </right>
      <top style="thin">
        <color theme="1"/>
      </top>
      <bottom style="thin">
        <color theme="1"/>
      </bottom>
      <diagonal/>
    </border>
    <border>
      <left style="thick">
        <color rgb="FF77933C"/>
      </left>
      <right/>
      <top style="thin">
        <color theme="1"/>
      </top>
      <bottom style="thin">
        <color theme="1"/>
      </bottom>
      <diagonal/>
    </border>
    <border>
      <left style="thick">
        <color rgb="FF77933C"/>
      </left>
      <right style="thin">
        <color theme="1"/>
      </right>
      <top/>
      <bottom/>
      <diagonal/>
    </border>
    <border>
      <left style="thin">
        <color theme="1"/>
      </left>
      <right style="thick">
        <color rgb="FF77933C"/>
      </right>
      <top/>
      <bottom/>
      <diagonal/>
    </border>
    <border>
      <left style="thick">
        <color rgb="FF77933C"/>
      </left>
      <right/>
      <top/>
      <bottom style="thick">
        <color rgb="FF77933C"/>
      </bottom>
      <diagonal/>
    </border>
    <border>
      <left style="thin">
        <color theme="1"/>
      </left>
      <right/>
      <top/>
      <bottom style="thick">
        <color rgb="FF77933C"/>
      </bottom>
      <diagonal/>
    </border>
    <border>
      <left style="thin">
        <color theme="1"/>
      </left>
      <right style="thin">
        <color theme="1"/>
      </right>
      <top/>
      <bottom style="thick">
        <color rgb="FF77933C"/>
      </bottom>
      <diagonal/>
    </border>
    <border>
      <left/>
      <right/>
      <top/>
      <bottom style="thick">
        <color rgb="FF77933C"/>
      </bottom>
      <diagonal/>
    </border>
    <border>
      <left style="thin">
        <color theme="1"/>
      </left>
      <right style="thin">
        <color theme="1"/>
      </right>
      <top style="thin">
        <color theme="1"/>
      </top>
      <bottom style="thick">
        <color rgb="FF77933C"/>
      </bottom>
      <diagonal/>
    </border>
    <border>
      <left/>
      <right style="thin">
        <color theme="1"/>
      </right>
      <top/>
      <bottom style="thick">
        <color rgb="FF77933C"/>
      </bottom>
      <diagonal/>
    </border>
    <border>
      <left/>
      <right style="thick">
        <color rgb="FF77933C"/>
      </right>
      <top/>
      <bottom style="thick">
        <color rgb="FF77933C"/>
      </bottom>
      <diagonal/>
    </border>
    <border>
      <left style="thin">
        <color indexed="5"/>
      </left>
      <right/>
      <top/>
      <bottom/>
      <diagonal/>
    </border>
    <border>
      <left style="medium">
        <color theme="1"/>
      </left>
      <right style="medium">
        <color theme="1"/>
      </right>
      <top/>
      <bottom style="thin">
        <color theme="1"/>
      </bottom>
      <diagonal/>
    </border>
    <border>
      <left/>
      <right style="medium">
        <color theme="1"/>
      </right>
      <top style="thin">
        <color theme="1"/>
      </top>
      <bottom style="thin">
        <color theme="1"/>
      </bottom>
      <diagonal/>
    </border>
    <border>
      <left style="thick">
        <color theme="1"/>
      </left>
      <right style="thin">
        <color theme="1"/>
      </right>
      <top style="thin">
        <color theme="1"/>
      </top>
      <bottom style="thin">
        <color theme="1"/>
      </bottom>
      <diagonal/>
    </border>
    <border>
      <left style="thick">
        <color theme="1"/>
      </left>
      <right/>
      <top style="thin">
        <color theme="1"/>
      </top>
      <bottom style="medium">
        <color theme="1"/>
      </bottom>
      <diagonal/>
    </border>
    <border>
      <left/>
      <right style="medium">
        <color theme="1"/>
      </right>
      <top style="thin">
        <color theme="1"/>
      </top>
      <bottom style="medium">
        <color theme="1"/>
      </bottom>
      <diagonal/>
    </border>
    <border>
      <left style="thin">
        <color theme="1"/>
      </left>
      <right style="thin">
        <color theme="1"/>
      </right>
      <top style="thin">
        <color theme="1"/>
      </top>
      <bottom style="dotted">
        <color theme="1"/>
      </bottom>
      <diagonal/>
    </border>
    <border>
      <left style="thin">
        <color theme="1"/>
      </left>
      <right style="thin">
        <color theme="1"/>
      </right>
      <top style="dotted">
        <color theme="1"/>
      </top>
      <bottom style="thin">
        <color theme="1"/>
      </bottom>
      <diagonal/>
    </border>
    <border>
      <left/>
      <right style="thin">
        <color theme="1"/>
      </right>
      <top/>
      <bottom style="thin">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right style="medium">
        <color theme="1"/>
      </right>
      <top style="medium">
        <color theme="1"/>
      </top>
      <bottom style="thin">
        <color theme="1"/>
      </bottom>
      <diagonal/>
    </border>
    <border>
      <left/>
      <right style="medium">
        <color rgb="FF7B787B"/>
      </right>
      <top style="medium">
        <color theme="1"/>
      </top>
      <bottom style="thin">
        <color theme="1"/>
      </bottom>
      <diagonal/>
    </border>
    <border>
      <left style="thin">
        <color theme="1"/>
      </left>
      <right/>
      <top/>
      <bottom style="thin">
        <color theme="1"/>
      </bottom>
      <diagonal/>
    </border>
    <border>
      <left/>
      <right style="medium">
        <color theme="1"/>
      </right>
      <top/>
      <bottom style="thin">
        <color theme="1"/>
      </bottom>
      <diagonal/>
    </border>
    <border>
      <left style="thin">
        <color theme="1"/>
      </left>
      <right style="medium">
        <color theme="1"/>
      </right>
      <top style="thin">
        <color theme="1"/>
      </top>
      <bottom/>
      <diagonal/>
    </border>
    <border>
      <left style="medium">
        <color theme="1"/>
      </left>
      <right style="thin">
        <color theme="1"/>
      </right>
      <top style="thin">
        <color theme="1"/>
      </top>
      <bottom/>
      <diagonal/>
    </border>
    <border>
      <left/>
      <right style="medium">
        <color theme="1"/>
      </right>
      <top style="thin">
        <color theme="1"/>
      </top>
      <bottom/>
      <diagonal/>
    </border>
    <border>
      <left style="thin">
        <color theme="1"/>
      </left>
      <right/>
      <top/>
      <bottom style="medium">
        <color theme="1"/>
      </bottom>
      <diagonal/>
    </border>
    <border>
      <left style="thin">
        <color theme="1"/>
      </left>
      <right/>
      <top style="thin">
        <color theme="1"/>
      </top>
      <bottom style="medium">
        <color theme="1"/>
      </bottom>
      <diagonal/>
    </border>
  </borders>
  <cellStyleXfs count="13">
    <xf numFmtId="0" fontId="0" fillId="0" borderId="0"/>
    <xf numFmtId="164" fontId="1" fillId="0" borderId="0"/>
    <xf numFmtId="165" fontId="1" fillId="0" borderId="0"/>
    <xf numFmtId="0" fontId="1" fillId="0" borderId="0" applyBorder="0">
      <alignment horizontal="left"/>
    </xf>
    <xf numFmtId="0" fontId="1" fillId="0" borderId="0" applyBorder="0"/>
    <xf numFmtId="0" fontId="1" fillId="0" borderId="0" applyBorder="0"/>
    <xf numFmtId="0" fontId="3" fillId="0" borderId="0" applyBorder="0"/>
    <xf numFmtId="0" fontId="3" fillId="0" borderId="0" applyBorder="0">
      <alignment horizontal="left"/>
    </xf>
    <xf numFmtId="0" fontId="1" fillId="0" borderId="0" applyBorder="0"/>
    <xf numFmtId="0" fontId="1" fillId="0" borderId="0" applyBorder="0"/>
    <xf numFmtId="0" fontId="4" fillId="0" borderId="0"/>
    <xf numFmtId="0" fontId="5" fillId="2" borderId="0" applyBorder="0"/>
    <xf numFmtId="0" fontId="3" fillId="0" borderId="0" applyBorder="0"/>
  </cellStyleXfs>
  <cellXfs count="1107">
    <xf numFmtId="0" fontId="0" fillId="0" borderId="0" xfId="0"/>
    <xf numFmtId="0" fontId="6" fillId="0" borderId="0" xfId="0" applyFont="1" applyAlignment="1">
      <alignment vertical="center"/>
    </xf>
    <xf numFmtId="0" fontId="7" fillId="0" borderId="0" xfId="0" applyFont="1" applyAlignment="1">
      <alignment vertical="center"/>
    </xf>
    <xf numFmtId="0" fontId="8" fillId="3" borderId="1" xfId="0" applyFont="1" applyFill="1" applyBorder="1" applyAlignment="1">
      <alignment vertical="center"/>
    </xf>
    <xf numFmtId="0" fontId="9" fillId="3" borderId="2" xfId="0" applyFont="1" applyFill="1" applyBorder="1" applyAlignment="1">
      <alignment vertical="center"/>
    </xf>
    <xf numFmtId="0" fontId="10" fillId="3" borderId="2" xfId="0" applyFont="1" applyFill="1" applyBorder="1" applyAlignment="1">
      <alignment vertical="center"/>
    </xf>
    <xf numFmtId="0" fontId="9" fillId="0" borderId="3" xfId="0" applyFont="1" applyBorder="1" applyAlignment="1">
      <alignment vertical="center"/>
    </xf>
    <xf numFmtId="0" fontId="11" fillId="4" borderId="4" xfId="10" applyFont="1" applyFill="1" applyBorder="1" applyAlignment="1">
      <alignment horizontal="center" vertical="center"/>
    </xf>
    <xf numFmtId="0" fontId="12" fillId="0" borderId="0" xfId="0" applyFont="1" applyAlignment="1">
      <alignment vertical="center"/>
    </xf>
    <xf numFmtId="0" fontId="12" fillId="0" borderId="5" xfId="0" applyFont="1" applyBorder="1" applyAlignment="1">
      <alignment vertical="center"/>
    </xf>
    <xf numFmtId="0" fontId="12" fillId="0" borderId="6" xfId="0" applyFont="1" applyBorder="1" applyAlignment="1">
      <alignment vertical="center"/>
    </xf>
    <xf numFmtId="0" fontId="12" fillId="0" borderId="7" xfId="0" applyFont="1" applyBorder="1" applyAlignment="1">
      <alignment vertical="center"/>
    </xf>
    <xf numFmtId="0" fontId="10" fillId="0" borderId="5" xfId="0" applyFont="1" applyBorder="1" applyAlignment="1">
      <alignment horizontal="left" vertical="center" wrapText="1"/>
    </xf>
    <xf numFmtId="0" fontId="7" fillId="0" borderId="0" xfId="0" applyFont="1" applyAlignment="1">
      <alignment horizontal="right" vertical="center" wrapText="1"/>
    </xf>
    <xf numFmtId="0" fontId="12" fillId="5" borderId="8" xfId="0" applyFont="1" applyFill="1" applyBorder="1" applyAlignment="1">
      <alignment horizontal="center" vertical="center"/>
    </xf>
    <xf numFmtId="0" fontId="12" fillId="0" borderId="5" xfId="0" applyFont="1" applyBorder="1" applyAlignment="1">
      <alignment horizontal="left" vertical="center" wrapText="1"/>
    </xf>
    <xf numFmtId="0" fontId="12" fillId="0" borderId="0" xfId="0" applyFont="1" applyAlignment="1">
      <alignment horizontal="left" vertical="center" wrapText="1"/>
    </xf>
    <xf numFmtId="0" fontId="0" fillId="0" borderId="0" xfId="0" applyAlignment="1">
      <alignment vertical="center"/>
    </xf>
    <xf numFmtId="0" fontId="10" fillId="7" borderId="7" xfId="0" applyFont="1" applyFill="1" applyBorder="1" applyAlignment="1">
      <alignment vertical="center"/>
    </xf>
    <xf numFmtId="0" fontId="7" fillId="8" borderId="7" xfId="0" applyFont="1" applyFill="1" applyBorder="1" applyAlignment="1">
      <alignment horizontal="center" vertical="center"/>
    </xf>
    <xf numFmtId="0" fontId="7" fillId="0" borderId="5" xfId="0" applyFont="1" applyBorder="1" applyAlignment="1">
      <alignment horizontal="center"/>
    </xf>
    <xf numFmtId="0" fontId="7" fillId="0" borderId="0" xfId="0" applyFont="1" applyAlignment="1">
      <alignment horizontal="left" vertical="center" wrapText="1"/>
    </xf>
    <xf numFmtId="1" fontId="7" fillId="8" borderId="7" xfId="0" applyNumberFormat="1" applyFont="1" applyFill="1" applyBorder="1" applyAlignment="1">
      <alignment horizontal="center" vertical="center"/>
    </xf>
    <xf numFmtId="0" fontId="7" fillId="0" borderId="10" xfId="0" applyFont="1" applyBorder="1" applyAlignment="1">
      <alignment vertical="center" wrapText="1"/>
    </xf>
    <xf numFmtId="166" fontId="7" fillId="8" borderId="7" xfId="1" applyNumberFormat="1" applyFont="1" applyFill="1" applyBorder="1" applyAlignment="1">
      <alignment horizontal="center" vertical="center"/>
    </xf>
    <xf numFmtId="1" fontId="0" fillId="0" borderId="0" xfId="0" applyNumberFormat="1"/>
    <xf numFmtId="0" fontId="15" fillId="0" borderId="0" xfId="0" applyFont="1" applyAlignment="1">
      <alignment vertical="center"/>
    </xf>
    <xf numFmtId="0" fontId="7" fillId="0" borderId="0" xfId="0" applyFont="1" applyAlignment="1">
      <alignment horizontal="center" vertical="center"/>
    </xf>
    <xf numFmtId="0" fontId="13" fillId="0" borderId="0" xfId="0" applyFont="1" applyAlignment="1">
      <alignment horizontal="left" vertical="center" wrapText="1"/>
    </xf>
    <xf numFmtId="0" fontId="10" fillId="0" borderId="0" xfId="0" applyFont="1" applyAlignment="1">
      <alignment vertical="center" wrapText="1"/>
    </xf>
    <xf numFmtId="0" fontId="10" fillId="9" borderId="7" xfId="0" applyFont="1" applyFill="1" applyBorder="1" applyAlignment="1">
      <alignment vertical="center"/>
    </xf>
    <xf numFmtId="167" fontId="10" fillId="9" borderId="7" xfId="0" applyNumberFormat="1" applyFont="1" applyFill="1" applyBorder="1" applyAlignment="1">
      <alignment horizontal="right" vertical="center"/>
    </xf>
    <xf numFmtId="0" fontId="16" fillId="10" borderId="7" xfId="0" applyFont="1" applyFill="1" applyBorder="1" applyAlignment="1">
      <alignment horizontal="right" vertical="center"/>
    </xf>
    <xf numFmtId="167" fontId="7" fillId="8" borderId="7" xfId="0" applyNumberFormat="1" applyFont="1" applyFill="1" applyBorder="1" applyAlignment="1">
      <alignment vertical="center"/>
    </xf>
    <xf numFmtId="0" fontId="7" fillId="0" borderId="5" xfId="0" applyFont="1" applyBorder="1" applyAlignment="1">
      <alignment vertical="center" wrapText="1"/>
    </xf>
    <xf numFmtId="0" fontId="7" fillId="0" borderId="0" xfId="0" applyFont="1" applyAlignment="1">
      <alignment vertical="center" wrapText="1"/>
    </xf>
    <xf numFmtId="167" fontId="7" fillId="8" borderId="7" xfId="0" applyNumberFormat="1" applyFont="1" applyFill="1" applyBorder="1" applyAlignment="1">
      <alignment horizontal="right" vertical="center"/>
    </xf>
    <xf numFmtId="167" fontId="7" fillId="0" borderId="0" xfId="0" applyNumberFormat="1" applyFont="1" applyAlignment="1">
      <alignment horizontal="right" vertical="center"/>
    </xf>
    <xf numFmtId="165" fontId="7" fillId="0" borderId="5" xfId="0" applyNumberFormat="1" applyFont="1" applyBorder="1" applyAlignment="1">
      <alignment horizontal="center" vertical="center" wrapText="1"/>
    </xf>
    <xf numFmtId="0" fontId="7" fillId="0" borderId="5" xfId="0" applyFont="1" applyBorder="1" applyAlignment="1">
      <alignment vertical="center"/>
    </xf>
    <xf numFmtId="168" fontId="7" fillId="8" borderId="7" xfId="0" applyNumberFormat="1" applyFont="1" applyFill="1" applyBorder="1" applyAlignment="1">
      <alignment vertical="center"/>
    </xf>
    <xf numFmtId="169" fontId="7" fillId="0" borderId="5" xfId="2" applyNumberFormat="1" applyFont="1" applyBorder="1" applyAlignment="1">
      <alignment horizontal="left" vertical="center"/>
    </xf>
    <xf numFmtId="168" fontId="7" fillId="8" borderId="7" xfId="2" applyNumberFormat="1" applyFont="1" applyFill="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7" fillId="0" borderId="12" xfId="0" applyFont="1" applyBorder="1" applyAlignment="1">
      <alignment vertical="center"/>
    </xf>
    <xf numFmtId="0" fontId="12" fillId="0" borderId="13" xfId="0" applyFont="1" applyBorder="1" applyAlignment="1">
      <alignment vertical="center"/>
    </xf>
    <xf numFmtId="0" fontId="7" fillId="5" borderId="7" xfId="0" applyFont="1" applyFill="1" applyBorder="1" applyAlignment="1">
      <alignment vertical="center"/>
    </xf>
    <xf numFmtId="0" fontId="17" fillId="0" borderId="0" xfId="0" applyFont="1" applyAlignment="1">
      <alignment vertical="center"/>
    </xf>
    <xf numFmtId="0" fontId="6" fillId="0" borderId="0" xfId="0" applyFont="1"/>
    <xf numFmtId="0" fontId="18" fillId="0" borderId="0" xfId="0" applyFont="1"/>
    <xf numFmtId="0" fontId="6" fillId="0" borderId="0" xfId="0" applyFont="1" applyAlignment="1">
      <alignment horizontal="center"/>
    </xf>
    <xf numFmtId="3" fontId="6" fillId="0" borderId="0" xfId="0" applyNumberFormat="1" applyFont="1"/>
    <xf numFmtId="3" fontId="19" fillId="0" borderId="0" xfId="0" applyNumberFormat="1" applyFont="1"/>
    <xf numFmtId="3" fontId="20" fillId="0" borderId="0" xfId="0" applyNumberFormat="1" applyFont="1" applyAlignment="1">
      <alignment vertical="center"/>
    </xf>
    <xf numFmtId="0" fontId="6" fillId="0" borderId="0" xfId="0" applyFont="1" applyAlignment="1">
      <alignment vertical="center" wrapText="1"/>
    </xf>
    <xf numFmtId="49" fontId="21" fillId="0" borderId="0" xfId="0" applyNumberFormat="1" applyFont="1"/>
    <xf numFmtId="3" fontId="0" fillId="0" borderId="0" xfId="0" applyNumberFormat="1"/>
    <xf numFmtId="3" fontId="0" fillId="0" borderId="0" xfId="0" applyNumberFormat="1" applyAlignment="1">
      <alignment vertical="center"/>
    </xf>
    <xf numFmtId="0" fontId="12" fillId="0" borderId="0" xfId="0" applyFont="1" applyAlignment="1">
      <alignment horizontal="center" wrapText="1"/>
    </xf>
    <xf numFmtId="0" fontId="22" fillId="0" borderId="0" xfId="0" applyFont="1" applyAlignment="1">
      <alignment horizontal="center" wrapText="1"/>
    </xf>
    <xf numFmtId="3" fontId="12" fillId="0" borderId="0" xfId="0" applyNumberFormat="1" applyFont="1" applyAlignment="1">
      <alignment horizontal="center" wrapText="1"/>
    </xf>
    <xf numFmtId="0" fontId="12" fillId="0" borderId="0" xfId="0" applyFont="1"/>
    <xf numFmtId="0" fontId="10" fillId="15" borderId="7" xfId="0" applyFont="1" applyFill="1" applyBorder="1" applyAlignment="1">
      <alignment horizontal="center" vertical="center" wrapText="1"/>
    </xf>
    <xf numFmtId="0" fontId="24" fillId="0" borderId="0" xfId="0" applyFont="1"/>
    <xf numFmtId="0" fontId="13" fillId="0" borderId="0" xfId="0" applyFont="1" applyAlignment="1">
      <alignment horizontal="center" vertical="center" wrapText="1"/>
    </xf>
    <xf numFmtId="0" fontId="12" fillId="0" borderId="0" xfId="0" applyFont="1" applyAlignment="1">
      <alignment horizontal="center" vertical="center" wrapText="1"/>
    </xf>
    <xf numFmtId="0" fontId="6" fillId="0" borderId="0" xfId="0" applyFont="1" applyAlignment="1">
      <alignment wrapText="1"/>
    </xf>
    <xf numFmtId="0" fontId="10" fillId="15" borderId="14" xfId="0" applyFont="1" applyFill="1" applyBorder="1" applyAlignment="1">
      <alignment horizontal="center" vertical="center" wrapText="1"/>
    </xf>
    <xf numFmtId="0" fontId="13" fillId="15" borderId="7" xfId="0" applyFont="1" applyFill="1" applyBorder="1" applyAlignment="1">
      <alignment vertical="center" wrapText="1"/>
    </xf>
    <xf numFmtId="170" fontId="13" fillId="5" borderId="7" xfId="0" applyNumberFormat="1" applyFont="1" applyFill="1" applyBorder="1" applyAlignment="1">
      <alignment horizontal="center" vertical="center" wrapText="1"/>
    </xf>
    <xf numFmtId="0" fontId="28" fillId="0" borderId="0" xfId="0" applyFont="1" applyAlignment="1">
      <alignment horizontal="center" vertical="center" wrapText="1"/>
    </xf>
    <xf numFmtId="2" fontId="12" fillId="0" borderId="0" xfId="0" applyNumberFormat="1" applyFont="1"/>
    <xf numFmtId="0" fontId="12" fillId="0" borderId="16" xfId="0" applyFont="1" applyBorder="1" applyAlignment="1">
      <alignment horizontal="center" vertical="center" wrapText="1"/>
    </xf>
    <xf numFmtId="0" fontId="22" fillId="0" borderId="0" xfId="0" applyFont="1"/>
    <xf numFmtId="0" fontId="13" fillId="10" borderId="7" xfId="0"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3" fontId="13" fillId="12" borderId="7" xfId="0" applyNumberFormat="1" applyFont="1" applyFill="1" applyBorder="1" applyAlignment="1">
      <alignment horizontal="center" vertical="center" wrapText="1"/>
    </xf>
    <xf numFmtId="3" fontId="13" fillId="12" borderId="17" xfId="0" applyNumberFormat="1"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17"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13" fillId="15" borderId="18" xfId="0" applyFont="1" applyFill="1" applyBorder="1" applyAlignment="1">
      <alignment vertical="center" wrapText="1"/>
    </xf>
    <xf numFmtId="0" fontId="13" fillId="0" borderId="7" xfId="0" applyFont="1" applyBorder="1" applyAlignment="1">
      <alignment horizontal="center" vertical="center" wrapText="1"/>
    </xf>
    <xf numFmtId="0" fontId="13" fillId="0" borderId="7" xfId="0" applyFont="1" applyBorder="1" applyAlignment="1">
      <alignment horizontal="center" vertical="center"/>
    </xf>
    <xf numFmtId="0" fontId="6" fillId="0" borderId="16" xfId="0" applyFont="1" applyBorder="1" applyAlignment="1">
      <alignment vertical="center" wrapText="1"/>
    </xf>
    <xf numFmtId="0" fontId="6" fillId="0" borderId="16" xfId="0" applyFont="1" applyBorder="1" applyAlignment="1">
      <alignment horizontal="center" vertical="center" wrapText="1"/>
    </xf>
    <xf numFmtId="0" fontId="6" fillId="0" borderId="7" xfId="0" applyFont="1" applyBorder="1" applyAlignment="1">
      <alignment horizontal="center"/>
    </xf>
    <xf numFmtId="0" fontId="30" fillId="0" borderId="0" xfId="0" applyFont="1" applyAlignment="1">
      <alignment horizontal="center" vertical="center" wrapText="1"/>
    </xf>
    <xf numFmtId="0" fontId="6" fillId="0" borderId="19" xfId="0" applyFont="1" applyBorder="1"/>
    <xf numFmtId="3" fontId="6" fillId="0" borderId="19" xfId="0" applyNumberFormat="1" applyFont="1" applyBorder="1"/>
    <xf numFmtId="3" fontId="20" fillId="0" borderId="19" xfId="0" applyNumberFormat="1" applyFont="1" applyBorder="1"/>
    <xf numFmtId="0" fontId="31" fillId="0" borderId="7" xfId="0" applyFont="1" applyBorder="1" applyAlignment="1">
      <alignment horizontal="center" vertical="center"/>
    </xf>
    <xf numFmtId="3" fontId="20" fillId="0" borderId="19" xfId="0" applyNumberFormat="1" applyFont="1" applyBorder="1" applyAlignment="1">
      <alignment vertical="center"/>
    </xf>
    <xf numFmtId="0" fontId="0" fillId="0" borderId="0" xfId="0" applyAlignment="1">
      <alignment horizontal="left" wrapText="1"/>
    </xf>
    <xf numFmtId="0" fontId="6" fillId="0" borderId="19" xfId="0" applyFont="1" applyBorder="1" applyAlignment="1">
      <alignment vertical="center"/>
    </xf>
    <xf numFmtId="165" fontId="12" fillId="0" borderId="7" xfId="0" applyNumberFormat="1" applyFont="1" applyBorder="1" applyAlignment="1">
      <alignment horizontal="center"/>
    </xf>
    <xf numFmtId="0" fontId="6" fillId="0" borderId="20" xfId="0" applyFont="1" applyBorder="1" applyAlignment="1">
      <alignment vertical="center"/>
    </xf>
    <xf numFmtId="0" fontId="6" fillId="0" borderId="20" xfId="0" applyFont="1" applyBorder="1" applyAlignment="1">
      <alignment horizontal="center" vertical="center" indent="15"/>
    </xf>
    <xf numFmtId="0" fontId="6" fillId="0" borderId="20" xfId="0" applyFont="1" applyBorder="1" applyAlignment="1">
      <alignment horizontal="left" vertical="center" indent="15"/>
    </xf>
    <xf numFmtId="0" fontId="6" fillId="0" borderId="7" xfId="0" applyFont="1" applyBorder="1" applyAlignment="1">
      <alignment wrapText="1"/>
    </xf>
    <xf numFmtId="0" fontId="6" fillId="0" borderId="20" xfId="0" applyFont="1" applyBorder="1" applyAlignment="1">
      <alignment horizontal="center" vertical="center"/>
    </xf>
    <xf numFmtId="2" fontId="0" fillId="0" borderId="20" xfId="0" applyNumberFormat="1" applyBorder="1" applyAlignment="1">
      <alignment horizontal="center" vertical="center"/>
    </xf>
    <xf numFmtId="0" fontId="32" fillId="0" borderId="0" xfId="0" applyFont="1"/>
    <xf numFmtId="0" fontId="32" fillId="0" borderId="7" xfId="0" applyFont="1" applyBorder="1"/>
    <xf numFmtId="0" fontId="32" fillId="22" borderId="7" xfId="0" applyFont="1" applyFill="1" applyBorder="1"/>
    <xf numFmtId="49" fontId="33" fillId="5" borderId="7" xfId="0" applyNumberFormat="1" applyFont="1" applyFill="1" applyBorder="1" applyAlignment="1">
      <alignment horizontal="center" vertical="center" wrapText="1"/>
    </xf>
    <xf numFmtId="1" fontId="7" fillId="5" borderId="7" xfId="0" applyNumberFormat="1" applyFont="1" applyFill="1" applyBorder="1" applyAlignment="1">
      <alignment horizontal="center" vertical="center" wrapText="1"/>
    </xf>
    <xf numFmtId="0" fontId="7" fillId="0" borderId="0" xfId="0" applyFont="1"/>
    <xf numFmtId="2" fontId="10" fillId="5" borderId="7" xfId="0" applyNumberFormat="1" applyFont="1" applyFill="1" applyBorder="1" applyAlignment="1">
      <alignment horizontal="center" vertical="center" wrapText="1"/>
    </xf>
    <xf numFmtId="2" fontId="7" fillId="5" borderId="7" xfId="0" applyNumberFormat="1" applyFont="1" applyFill="1" applyBorder="1" applyAlignment="1">
      <alignment horizontal="center" vertical="center" wrapText="1"/>
    </xf>
    <xf numFmtId="3" fontId="7" fillId="23" borderId="7" xfId="0" applyNumberFormat="1" applyFont="1" applyFill="1" applyBorder="1" applyAlignment="1">
      <alignment horizontal="center" vertical="center" wrapText="1"/>
    </xf>
    <xf numFmtId="3" fontId="7" fillId="5" borderId="7" xfId="0" applyNumberFormat="1" applyFont="1" applyFill="1" applyBorder="1" applyAlignment="1">
      <alignment horizontal="center" vertical="center" wrapText="1"/>
    </xf>
    <xf numFmtId="3" fontId="7" fillId="24" borderId="7" xfId="0" applyNumberFormat="1" applyFont="1" applyFill="1" applyBorder="1" applyAlignment="1">
      <alignment horizontal="center" vertical="center" wrapText="1"/>
    </xf>
    <xf numFmtId="3" fontId="34" fillId="24" borderId="7" xfId="0" applyNumberFormat="1" applyFont="1" applyFill="1" applyBorder="1" applyAlignment="1">
      <alignment horizontal="center" vertical="center" wrapText="1"/>
    </xf>
    <xf numFmtId="3" fontId="10" fillId="23" borderId="7" xfId="0" applyNumberFormat="1" applyFont="1" applyFill="1" applyBorder="1" applyAlignment="1">
      <alignment horizontal="center" vertical="center" wrapText="1"/>
    </xf>
    <xf numFmtId="2" fontId="7" fillId="5" borderId="7" xfId="0" applyNumberFormat="1" applyFont="1" applyFill="1" applyBorder="1" applyAlignment="1">
      <alignment horizontal="left" vertical="center"/>
    </xf>
    <xf numFmtId="3" fontId="7" fillId="5" borderId="7" xfId="0" applyNumberFormat="1" applyFont="1" applyFill="1" applyBorder="1" applyAlignment="1">
      <alignment horizontal="center" vertical="center"/>
    </xf>
    <xf numFmtId="165" fontId="7" fillId="5" borderId="7" xfId="2" applyNumberFormat="1" applyFont="1" applyFill="1" applyBorder="1" applyAlignment="1">
      <alignment horizontal="center" vertical="center" wrapText="1"/>
    </xf>
    <xf numFmtId="171" fontId="7" fillId="5" borderId="7" xfId="0" applyNumberFormat="1" applyFont="1" applyFill="1" applyBorder="1" applyAlignment="1">
      <alignment horizontal="center" vertical="center" wrapText="1"/>
    </xf>
    <xf numFmtId="171" fontId="7" fillId="23" borderId="7" xfId="1" applyNumberFormat="1" applyFont="1" applyFill="1" applyBorder="1" applyAlignment="1">
      <alignment horizontal="center" vertical="center" wrapText="1"/>
    </xf>
    <xf numFmtId="1" fontId="7" fillId="23" borderId="7" xfId="0" applyNumberFormat="1" applyFont="1" applyFill="1" applyBorder="1" applyAlignment="1">
      <alignment horizontal="center" vertical="center" wrapText="1"/>
    </xf>
    <xf numFmtId="172" fontId="7" fillId="23" borderId="7" xfId="0" applyNumberFormat="1" applyFont="1" applyFill="1" applyBorder="1" applyAlignment="1">
      <alignment horizontal="center" vertical="center" wrapText="1"/>
    </xf>
    <xf numFmtId="2" fontId="7" fillId="23" borderId="7" xfId="0" applyNumberFormat="1" applyFont="1" applyFill="1" applyBorder="1" applyAlignment="1">
      <alignment horizontal="center" vertical="center" wrapText="1"/>
    </xf>
    <xf numFmtId="172" fontId="7" fillId="5" borderId="7" xfId="0" applyNumberFormat="1" applyFont="1" applyFill="1" applyBorder="1" applyAlignment="1">
      <alignment horizontal="center" vertical="center" wrapText="1"/>
    </xf>
    <xf numFmtId="171" fontId="10" fillId="23" borderId="7" xfId="1" applyNumberFormat="1" applyFont="1" applyFill="1" applyBorder="1" applyAlignment="1">
      <alignment horizontal="center" vertical="center"/>
    </xf>
    <xf numFmtId="3" fontId="10" fillId="23" borderId="7" xfId="1" applyNumberFormat="1" applyFont="1" applyFill="1" applyBorder="1" applyAlignment="1">
      <alignment horizontal="center" vertical="center"/>
    </xf>
    <xf numFmtId="0" fontId="15" fillId="0" borderId="0" xfId="0" applyFont="1"/>
    <xf numFmtId="172" fontId="7" fillId="25" borderId="7" xfId="0" applyNumberFormat="1" applyFont="1" applyFill="1" applyBorder="1" applyAlignment="1">
      <alignment horizontal="center" vertical="center" wrapText="1"/>
    </xf>
    <xf numFmtId="0" fontId="17" fillId="5" borderId="7" xfId="0" applyFont="1" applyFill="1" applyBorder="1" applyAlignment="1">
      <alignment horizontal="center" vertical="center" wrapText="1"/>
    </xf>
    <xf numFmtId="3" fontId="10" fillId="23" borderId="7" xfId="0" applyNumberFormat="1" applyFont="1" applyFill="1" applyBorder="1" applyAlignment="1">
      <alignment horizontal="center" vertical="center"/>
    </xf>
    <xf numFmtId="0" fontId="25" fillId="23" borderId="7" xfId="0" applyFont="1" applyFill="1" applyBorder="1" applyAlignment="1">
      <alignment horizontal="center" vertical="center" wrapText="1"/>
    </xf>
    <xf numFmtId="168" fontId="7" fillId="23" borderId="7" xfId="2" applyNumberFormat="1" applyFont="1" applyFill="1" applyBorder="1" applyAlignment="1">
      <alignment horizontal="center" vertical="center"/>
    </xf>
    <xf numFmtId="164" fontId="7" fillId="23" borderId="7" xfId="1" applyNumberFormat="1" applyFont="1" applyFill="1" applyBorder="1" applyAlignment="1">
      <alignment horizontal="center" vertical="center"/>
    </xf>
    <xf numFmtId="2" fontId="7" fillId="23" borderId="7" xfId="0" applyNumberFormat="1" applyFont="1" applyFill="1" applyBorder="1" applyAlignment="1">
      <alignment horizontal="center" vertical="center"/>
    </xf>
    <xf numFmtId="2" fontId="35" fillId="0" borderId="0" xfId="0" applyNumberFormat="1" applyFont="1" applyAlignment="1">
      <alignment horizontal="center" vertical="center"/>
    </xf>
    <xf numFmtId="0" fontId="7" fillId="23" borderId="7" xfId="0" applyFont="1" applyFill="1" applyBorder="1" applyAlignment="1">
      <alignment horizontal="center" vertical="center" wrapText="1"/>
    </xf>
    <xf numFmtId="171" fontId="7" fillId="23" borderId="7" xfId="0" applyNumberFormat="1" applyFont="1" applyFill="1" applyBorder="1" applyAlignment="1">
      <alignment horizontal="center" vertical="center" wrapText="1"/>
    </xf>
    <xf numFmtId="0" fontId="7" fillId="0" borderId="7" xfId="0" applyFont="1" applyBorder="1" applyAlignment="1">
      <alignment vertical="center" wrapText="1"/>
    </xf>
    <xf numFmtId="0" fontId="7" fillId="0" borderId="7" xfId="0" applyFont="1" applyBorder="1" applyAlignment="1">
      <alignment horizontal="center" vertical="center"/>
    </xf>
    <xf numFmtId="0" fontId="35" fillId="0" borderId="0" xfId="0" applyFont="1"/>
    <xf numFmtId="0" fontId="7" fillId="0" borderId="7" xfId="0" applyFont="1" applyBorder="1" applyAlignment="1">
      <alignment horizontal="center"/>
    </xf>
    <xf numFmtId="0" fontId="7" fillId="0" borderId="17" xfId="0" applyFont="1" applyBorder="1" applyAlignment="1">
      <alignment horizontal="center"/>
    </xf>
    <xf numFmtId="0" fontId="15" fillId="0" borderId="7" xfId="0" applyFont="1" applyBorder="1" applyAlignment="1">
      <alignment horizontal="center"/>
    </xf>
    <xf numFmtId="165" fontId="7" fillId="0" borderId="7" xfId="0" applyNumberFormat="1" applyFont="1" applyBorder="1" applyAlignment="1">
      <alignment horizontal="center"/>
    </xf>
    <xf numFmtId="0" fontId="6" fillId="0" borderId="21" xfId="0" applyFont="1" applyBorder="1" applyAlignment="1">
      <alignment vertical="center"/>
    </xf>
    <xf numFmtId="0" fontId="6" fillId="0" borderId="21" xfId="0" applyFont="1" applyBorder="1" applyAlignment="1">
      <alignment horizontal="center" vertical="center"/>
    </xf>
    <xf numFmtId="0" fontId="6" fillId="0" borderId="7" xfId="0" applyFont="1" applyBorder="1"/>
    <xf numFmtId="2" fontId="0" fillId="0" borderId="21" xfId="0" applyNumberFormat="1" applyBorder="1" applyAlignment="1">
      <alignment horizontal="center" vertical="center"/>
    </xf>
    <xf numFmtId="2" fontId="36" fillId="0" borderId="0" xfId="0" applyNumberFormat="1" applyFont="1" applyAlignment="1">
      <alignment horizontal="center" vertical="center"/>
    </xf>
    <xf numFmtId="0" fontId="7" fillId="0" borderId="7" xfId="0" applyFont="1" applyBorder="1"/>
    <xf numFmtId="2" fontId="37" fillId="0" borderId="0" xfId="0" applyNumberFormat="1" applyFont="1" applyAlignment="1">
      <alignment horizontal="center" vertical="center"/>
    </xf>
    <xf numFmtId="0" fontId="38" fillId="0" borderId="7" xfId="0" applyFont="1" applyBorder="1" applyAlignment="1">
      <alignment horizontal="left" vertical="center" wrapText="1"/>
    </xf>
    <xf numFmtId="0" fontId="38" fillId="0" borderId="7" xfId="0" applyFont="1" applyBorder="1" applyAlignment="1">
      <alignment horizontal="center" vertical="center" wrapText="1"/>
    </xf>
    <xf numFmtId="0" fontId="36" fillId="0" borderId="0" xfId="0" applyFont="1"/>
    <xf numFmtId="0" fontId="6" fillId="0" borderId="22" xfId="0" applyFont="1" applyBorder="1" applyAlignment="1">
      <alignment vertical="center"/>
    </xf>
    <xf numFmtId="0" fontId="6" fillId="0" borderId="22" xfId="0" applyFont="1" applyBorder="1" applyAlignment="1">
      <alignment horizontal="center" vertical="center"/>
    </xf>
    <xf numFmtId="14" fontId="6" fillId="0" borderId="7" xfId="0" applyNumberFormat="1" applyFont="1" applyBorder="1" applyAlignment="1">
      <alignment horizontal="center"/>
    </xf>
    <xf numFmtId="2" fontId="0" fillId="0" borderId="22" xfId="0" applyNumberFormat="1" applyBorder="1" applyAlignment="1">
      <alignment horizontal="center" vertical="center"/>
    </xf>
    <xf numFmtId="0" fontId="15" fillId="0" borderId="7" xfId="0" applyFont="1" applyBorder="1"/>
    <xf numFmtId="1" fontId="39" fillId="25" borderId="7" xfId="0" applyNumberFormat="1" applyFont="1" applyFill="1" applyBorder="1" applyAlignment="1">
      <alignment horizontal="center" vertical="center" wrapText="1"/>
    </xf>
    <xf numFmtId="2" fontId="39" fillId="25" borderId="7" xfId="0" applyNumberFormat="1" applyFont="1" applyFill="1" applyBorder="1" applyAlignment="1">
      <alignment horizontal="center" vertical="center" wrapText="1"/>
    </xf>
    <xf numFmtId="2" fontId="40" fillId="5" borderId="7" xfId="0" applyNumberFormat="1" applyFont="1" applyFill="1" applyBorder="1" applyAlignment="1">
      <alignment horizontal="center" vertical="center" wrapText="1"/>
    </xf>
    <xf numFmtId="3" fontId="40" fillId="24" borderId="7" xfId="0" applyNumberFormat="1" applyFont="1" applyFill="1" applyBorder="1" applyAlignment="1">
      <alignment horizontal="center" vertical="center" wrapText="1"/>
    </xf>
    <xf numFmtId="3" fontId="40" fillId="24" borderId="7" xfId="0" applyNumberFormat="1" applyFont="1" applyFill="1" applyBorder="1" applyAlignment="1">
      <alignment horizontal="center" vertical="center"/>
    </xf>
    <xf numFmtId="1" fontId="40" fillId="5" borderId="7" xfId="0" applyNumberFormat="1" applyFont="1" applyFill="1" applyBorder="1" applyAlignment="1">
      <alignment horizontal="center" vertical="center" wrapText="1"/>
    </xf>
    <xf numFmtId="3" fontId="40" fillId="5" borderId="7" xfId="0" applyNumberFormat="1" applyFont="1" applyFill="1" applyBorder="1" applyAlignment="1">
      <alignment horizontal="center" vertical="center" wrapText="1"/>
    </xf>
    <xf numFmtId="4" fontId="10" fillId="23" borderId="7" xfId="0" applyNumberFormat="1" applyFont="1" applyFill="1" applyBorder="1" applyAlignment="1">
      <alignment horizontal="center" vertical="center"/>
    </xf>
    <xf numFmtId="0" fontId="37" fillId="0" borderId="0" xfId="0" applyFont="1" applyAlignment="1">
      <alignment vertical="center" wrapText="1"/>
    </xf>
    <xf numFmtId="0" fontId="38" fillId="0" borderId="7" xfId="0" applyFont="1" applyBorder="1" applyAlignment="1">
      <alignment horizontal="center"/>
    </xf>
    <xf numFmtId="49" fontId="2" fillId="5" borderId="7" xfId="0" applyNumberFormat="1" applyFont="1" applyFill="1" applyBorder="1" applyAlignment="1">
      <alignment horizontal="center" vertical="center" wrapText="1"/>
    </xf>
    <xf numFmtId="0" fontId="35" fillId="0" borderId="0" xfId="0" applyFont="1" applyAlignment="1">
      <alignment vertical="center" wrapText="1"/>
    </xf>
    <xf numFmtId="0" fontId="37" fillId="0" borderId="0" xfId="0" applyFont="1"/>
    <xf numFmtId="0" fontId="15" fillId="0" borderId="23" xfId="0" applyFont="1" applyBorder="1"/>
    <xf numFmtId="2" fontId="37" fillId="0" borderId="23" xfId="0" applyNumberFormat="1" applyFont="1" applyBorder="1" applyAlignment="1">
      <alignment horizontal="center" vertical="center"/>
    </xf>
    <xf numFmtId="0" fontId="32" fillId="0" borderId="10" xfId="0" applyFont="1" applyBorder="1"/>
    <xf numFmtId="0" fontId="7" fillId="0" borderId="23" xfId="0" applyFont="1" applyBorder="1"/>
    <xf numFmtId="0" fontId="37" fillId="0" borderId="24" xfId="0" applyFont="1" applyBorder="1"/>
    <xf numFmtId="0" fontId="37" fillId="0" borderId="10" xfId="0" applyFont="1" applyBorder="1"/>
    <xf numFmtId="49" fontId="7" fillId="5" borderId="7" xfId="0" applyNumberFormat="1" applyFont="1" applyFill="1" applyBorder="1" applyAlignment="1">
      <alignment horizontal="center" vertical="center" wrapText="1"/>
    </xf>
    <xf numFmtId="3" fontId="16" fillId="24" borderId="7" xfId="0" applyNumberFormat="1" applyFont="1" applyFill="1" applyBorder="1" applyAlignment="1">
      <alignment horizontal="center" vertical="center"/>
    </xf>
    <xf numFmtId="2" fontId="40" fillId="25" borderId="7" xfId="0" applyNumberFormat="1" applyFont="1" applyFill="1" applyBorder="1" applyAlignment="1">
      <alignment horizontal="center" vertical="center" wrapText="1"/>
    </xf>
    <xf numFmtId="49" fontId="41" fillId="5" borderId="7" xfId="0" applyNumberFormat="1" applyFont="1" applyFill="1" applyBorder="1" applyAlignment="1">
      <alignment horizontal="center" vertical="center" wrapText="1"/>
    </xf>
    <xf numFmtId="1" fontId="33" fillId="5" borderId="7" xfId="0" applyNumberFormat="1" applyFont="1" applyFill="1" applyBorder="1" applyAlignment="1">
      <alignment horizontal="center" vertical="center" wrapText="1"/>
    </xf>
    <xf numFmtId="0" fontId="32" fillId="26" borderId="7" xfId="0" applyFont="1" applyFill="1" applyBorder="1"/>
    <xf numFmtId="1" fontId="7" fillId="27" borderId="7" xfId="0" applyNumberFormat="1" applyFont="1" applyFill="1" applyBorder="1" applyAlignment="1">
      <alignment horizontal="center" vertical="center" wrapText="1"/>
    </xf>
    <xf numFmtId="1" fontId="6" fillId="5" borderId="7" xfId="0" applyNumberFormat="1" applyFont="1" applyFill="1" applyBorder="1" applyAlignment="1">
      <alignment horizontal="center" vertical="center" wrapText="1"/>
    </xf>
    <xf numFmtId="0" fontId="42" fillId="0" borderId="7" xfId="0" applyFont="1" applyBorder="1"/>
    <xf numFmtId="0" fontId="32" fillId="28" borderId="7" xfId="0" applyFont="1" applyFill="1" applyBorder="1"/>
    <xf numFmtId="0" fontId="7" fillId="0" borderId="24" xfId="0" applyFont="1" applyBorder="1"/>
    <xf numFmtId="0" fontId="32" fillId="29" borderId="7" xfId="0" applyFont="1" applyFill="1" applyBorder="1"/>
    <xf numFmtId="0" fontId="6" fillId="0" borderId="24" xfId="0" applyFont="1" applyBorder="1"/>
    <xf numFmtId="0" fontId="6" fillId="0" borderId="10" xfId="0" applyFont="1" applyBorder="1"/>
    <xf numFmtId="0" fontId="15" fillId="0" borderId="24" xfId="0" applyFont="1" applyBorder="1"/>
    <xf numFmtId="1" fontId="40" fillId="25" borderId="7" xfId="0" applyNumberFormat="1" applyFont="1" applyFill="1" applyBorder="1" applyAlignment="1">
      <alignment horizontal="center" vertical="center" wrapText="1"/>
    </xf>
    <xf numFmtId="1" fontId="16" fillId="5" borderId="7" xfId="0" applyNumberFormat="1" applyFont="1" applyFill="1" applyBorder="1" applyAlignment="1">
      <alignment horizontal="center" vertical="center" wrapText="1"/>
    </xf>
    <xf numFmtId="1" fontId="15" fillId="5" borderId="7" xfId="0" applyNumberFormat="1" applyFont="1" applyFill="1" applyBorder="1" applyAlignment="1">
      <alignment horizontal="center" vertical="center" wrapText="1"/>
    </xf>
    <xf numFmtId="0" fontId="42" fillId="30" borderId="7" xfId="0" applyFont="1" applyFill="1" applyBorder="1"/>
    <xf numFmtId="0" fontId="42" fillId="29" borderId="7" xfId="0" applyFont="1" applyFill="1" applyBorder="1"/>
    <xf numFmtId="3" fontId="34" fillId="24" borderId="7" xfId="0" applyNumberFormat="1" applyFont="1" applyFill="1" applyBorder="1" applyAlignment="1">
      <alignment horizontal="center" vertic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0" fontId="0" fillId="0" borderId="0" xfId="0" applyAlignment="1">
      <alignment vertical="center" wrapText="1"/>
    </xf>
    <xf numFmtId="3" fontId="7" fillId="5" borderId="7" xfId="0" applyNumberFormat="1" applyFont="1" applyFill="1" applyBorder="1" applyAlignment="1">
      <alignment horizontal="left" vertical="center"/>
    </xf>
    <xf numFmtId="0" fontId="7" fillId="0" borderId="0" xfId="0" applyFont="1" applyAlignment="1">
      <alignment horizontal="center"/>
    </xf>
    <xf numFmtId="1" fontId="43" fillId="31" borderId="7" xfId="0" applyNumberFormat="1" applyFont="1" applyFill="1" applyBorder="1" applyAlignment="1">
      <alignment horizontal="center" vertical="center"/>
    </xf>
    <xf numFmtId="2" fontId="43" fillId="31" borderId="7" xfId="0" applyNumberFormat="1" applyFont="1" applyFill="1" applyBorder="1" applyAlignment="1">
      <alignment horizontal="center" vertical="center"/>
    </xf>
    <xf numFmtId="3" fontId="43" fillId="31" borderId="7" xfId="0" applyNumberFormat="1" applyFont="1" applyFill="1" applyBorder="1" applyAlignment="1">
      <alignment horizontal="center" vertical="center"/>
    </xf>
    <xf numFmtId="1" fontId="6" fillId="0" borderId="0" xfId="0" applyNumberFormat="1" applyFont="1"/>
    <xf numFmtId="3" fontId="6" fillId="0" borderId="0" xfId="0" applyNumberFormat="1" applyFont="1" applyAlignment="1">
      <alignment vertical="center"/>
    </xf>
    <xf numFmtId="3" fontId="6" fillId="0" borderId="19" xfId="0" applyNumberFormat="1" applyFont="1" applyBorder="1" applyAlignment="1">
      <alignment vertical="center"/>
    </xf>
    <xf numFmtId="0" fontId="44" fillId="0" borderId="0" xfId="0" applyFont="1"/>
    <xf numFmtId="1" fontId="43" fillId="32" borderId="7" xfId="0" applyNumberFormat="1" applyFont="1" applyFill="1" applyBorder="1" applyAlignment="1">
      <alignment horizontal="center" vertical="center"/>
    </xf>
    <xf numFmtId="2" fontId="43" fillId="32" borderId="7" xfId="0" applyNumberFormat="1" applyFont="1" applyFill="1" applyBorder="1" applyAlignment="1">
      <alignment horizontal="center" vertical="center"/>
    </xf>
    <xf numFmtId="3" fontId="43" fillId="32" borderId="7" xfId="0" applyNumberFormat="1" applyFont="1" applyFill="1" applyBorder="1" applyAlignment="1">
      <alignment horizontal="center" vertical="center"/>
    </xf>
    <xf numFmtId="0" fontId="6" fillId="0" borderId="0" xfId="0" applyFont="1" applyAlignment="1">
      <alignment horizontal="left" vertical="top"/>
    </xf>
    <xf numFmtId="0" fontId="12" fillId="5" borderId="7" xfId="0" applyFont="1" applyFill="1" applyBorder="1" applyAlignment="1">
      <alignment vertical="center"/>
    </xf>
    <xf numFmtId="0" fontId="16" fillId="0" borderId="0" xfId="0" applyFont="1" applyAlignment="1">
      <alignment vertical="center"/>
    </xf>
    <xf numFmtId="0" fontId="0" fillId="0" borderId="0" xfId="0" applyAlignment="1">
      <alignment wrapText="1"/>
    </xf>
    <xf numFmtId="2" fontId="6" fillId="0" borderId="0" xfId="0" applyNumberFormat="1" applyFont="1"/>
    <xf numFmtId="0" fontId="6" fillId="0" borderId="0" xfId="0" applyFont="1" applyAlignment="1">
      <alignment horizontal="left" vertical="top" wrapText="1"/>
    </xf>
    <xf numFmtId="0" fontId="45" fillId="0" borderId="0" xfId="0" applyFont="1"/>
    <xf numFmtId="0" fontId="46" fillId="0" borderId="0" xfId="0" applyFont="1"/>
    <xf numFmtId="0" fontId="23" fillId="4" borderId="4" xfId="10" applyFont="1" applyFill="1" applyBorder="1" applyAlignment="1">
      <alignment horizontal="center"/>
    </xf>
    <xf numFmtId="0" fontId="13" fillId="0" borderId="7" xfId="0" applyFont="1" applyBorder="1" applyAlignment="1">
      <alignment horizontal="center"/>
    </xf>
    <xf numFmtId="0" fontId="12" fillId="0" borderId="7" xfId="0" applyFont="1" applyBorder="1" applyAlignment="1">
      <alignment horizontal="center"/>
    </xf>
    <xf numFmtId="0" fontId="13" fillId="0" borderId="0" xfId="0" applyFont="1"/>
    <xf numFmtId="0" fontId="13" fillId="0" borderId="7" xfId="0" applyFont="1" applyBorder="1" applyAlignment="1">
      <alignment vertical="center"/>
    </xf>
    <xf numFmtId="165" fontId="12" fillId="0" borderId="0" xfId="0" applyNumberFormat="1" applyFont="1"/>
    <xf numFmtId="0" fontId="49" fillId="0" borderId="0" xfId="0" applyFont="1"/>
    <xf numFmtId="0" fontId="12" fillId="0" borderId="7" xfId="0" applyFont="1" applyBorder="1" applyAlignment="1">
      <alignment horizontal="center" vertical="center"/>
    </xf>
    <xf numFmtId="165" fontId="12" fillId="0" borderId="0" xfId="0" applyNumberFormat="1" applyFont="1" applyAlignment="1">
      <alignment vertical="center"/>
    </xf>
    <xf numFmtId="0" fontId="50" fillId="33" borderId="0" xfId="0" applyFont="1" applyFill="1" applyAlignment="1">
      <alignment vertical="center"/>
    </xf>
    <xf numFmtId="0" fontId="7" fillId="0" borderId="7" xfId="0" applyFont="1" applyBorder="1" applyAlignment="1">
      <alignment vertical="center"/>
    </xf>
    <xf numFmtId="165" fontId="7" fillId="0" borderId="0" xfId="0" applyNumberFormat="1" applyFont="1" applyAlignment="1">
      <alignment vertical="center"/>
    </xf>
    <xf numFmtId="0" fontId="28" fillId="26" borderId="25" xfId="0" applyFont="1" applyFill="1" applyBorder="1" applyAlignment="1">
      <alignment vertical="center"/>
    </xf>
    <xf numFmtId="0" fontId="28" fillId="26" borderId="0" xfId="0" applyFont="1" applyFill="1" applyAlignment="1">
      <alignment vertical="center"/>
    </xf>
    <xf numFmtId="0" fontId="12" fillId="0" borderId="25" xfId="0" applyFont="1" applyBorder="1" applyAlignment="1">
      <alignment vertical="center"/>
    </xf>
    <xf numFmtId="0" fontId="12" fillId="34" borderId="7" xfId="0" applyFont="1" applyFill="1" applyBorder="1" applyAlignment="1">
      <alignment horizontal="left" vertical="center" wrapText="1"/>
    </xf>
    <xf numFmtId="3" fontId="12" fillId="23" borderId="7" xfId="0" applyNumberFormat="1" applyFont="1" applyFill="1" applyBorder="1" applyAlignment="1">
      <alignment horizontal="center" vertical="center"/>
    </xf>
    <xf numFmtId="0" fontId="12" fillId="5" borderId="7" xfId="0" applyFont="1" applyFill="1" applyBorder="1" applyAlignment="1">
      <alignment horizontal="center" vertical="center" wrapText="1"/>
    </xf>
    <xf numFmtId="170" fontId="12" fillId="5" borderId="7" xfId="0" applyNumberFormat="1" applyFont="1" applyFill="1" applyBorder="1" applyAlignment="1">
      <alignment horizontal="center" vertical="center"/>
    </xf>
    <xf numFmtId="0" fontId="13" fillId="23" borderId="7" xfId="0" applyFont="1" applyFill="1" applyBorder="1" applyAlignment="1">
      <alignment horizontal="center" vertical="center"/>
    </xf>
    <xf numFmtId="0" fontId="13" fillId="23" borderId="15" xfId="0" applyFont="1" applyFill="1" applyBorder="1" applyAlignment="1">
      <alignment horizontal="center" vertical="center"/>
    </xf>
    <xf numFmtId="0" fontId="12" fillId="34" borderId="0" xfId="0" applyFont="1" applyFill="1" applyAlignment="1">
      <alignment horizontal="left" vertical="center"/>
    </xf>
    <xf numFmtId="1" fontId="12" fillId="0" borderId="0" xfId="0" applyNumberFormat="1" applyFont="1" applyAlignment="1">
      <alignment vertical="center"/>
    </xf>
    <xf numFmtId="1" fontId="12" fillId="23" borderId="7" xfId="0" applyNumberFormat="1" applyFont="1" applyFill="1" applyBorder="1" applyAlignment="1">
      <alignment horizontal="center" vertical="center"/>
    </xf>
    <xf numFmtId="0" fontId="12" fillId="0" borderId="0" xfId="0" applyFont="1" applyAlignment="1">
      <alignment horizontal="left" vertical="center"/>
    </xf>
    <xf numFmtId="0" fontId="12" fillId="0" borderId="7" xfId="0" applyFont="1" applyBorder="1" applyAlignment="1">
      <alignment horizontal="center" vertical="center" wrapText="1"/>
    </xf>
    <xf numFmtId="1" fontId="12" fillId="5" borderId="15" xfId="0" applyNumberFormat="1" applyFont="1" applyFill="1" applyBorder="1" applyAlignment="1">
      <alignment horizontal="center" vertical="center"/>
    </xf>
    <xf numFmtId="170" fontId="12" fillId="23" borderId="7" xfId="0" applyNumberFormat="1" applyFont="1" applyFill="1" applyBorder="1" applyAlignment="1">
      <alignment horizontal="center" vertical="center"/>
    </xf>
    <xf numFmtId="1" fontId="12" fillId="23" borderId="15" xfId="0" applyNumberFormat="1" applyFont="1" applyFill="1" applyBorder="1" applyAlignment="1">
      <alignment horizontal="center" vertical="center"/>
    </xf>
    <xf numFmtId="165" fontId="12" fillId="0" borderId="7" xfId="0" applyNumberFormat="1" applyFont="1" applyBorder="1" applyAlignment="1">
      <alignment horizontal="center" vertical="center"/>
    </xf>
    <xf numFmtId="1" fontId="12" fillId="5" borderId="7" xfId="0" applyNumberFormat="1" applyFont="1" applyFill="1" applyBorder="1" applyAlignment="1">
      <alignment horizontal="center" vertical="center"/>
    </xf>
    <xf numFmtId="3" fontId="12" fillId="23" borderId="15" xfId="0" applyNumberFormat="1" applyFont="1" applyFill="1" applyBorder="1" applyAlignment="1">
      <alignment horizontal="center" vertical="center"/>
    </xf>
    <xf numFmtId="0" fontId="13" fillId="23" borderId="27" xfId="0" applyFont="1" applyFill="1" applyBorder="1" applyAlignment="1">
      <alignment horizontal="left" vertical="center"/>
    </xf>
    <xf numFmtId="0" fontId="13" fillId="23" borderId="19" xfId="0" applyFont="1" applyFill="1" applyBorder="1" applyAlignment="1">
      <alignment horizontal="left" vertical="center"/>
    </xf>
    <xf numFmtId="0" fontId="13" fillId="23" borderId="15" xfId="0" applyFont="1" applyFill="1" applyBorder="1" applyAlignment="1">
      <alignment horizontal="left" vertical="center"/>
    </xf>
    <xf numFmtId="3" fontId="13" fillId="23" borderId="7" xfId="0" applyNumberFormat="1" applyFont="1" applyFill="1" applyBorder="1" applyAlignment="1">
      <alignment horizontal="center" vertical="center"/>
    </xf>
    <xf numFmtId="0" fontId="12" fillId="26" borderId="7" xfId="0" applyFont="1" applyFill="1" applyBorder="1" applyAlignment="1">
      <alignment horizontal="center" vertical="center" wrapText="1"/>
    </xf>
    <xf numFmtId="3" fontId="12" fillId="5" borderId="7" xfId="0" applyNumberFormat="1" applyFont="1" applyFill="1" applyBorder="1" applyAlignment="1">
      <alignment horizontal="center" vertical="center"/>
    </xf>
    <xf numFmtId="173" fontId="44" fillId="32" borderId="7" xfId="0" applyNumberFormat="1" applyFont="1" applyFill="1" applyBorder="1" applyAlignment="1">
      <alignment horizontal="center" vertical="center"/>
    </xf>
    <xf numFmtId="0" fontId="43" fillId="32" borderId="7" xfId="0" applyFont="1" applyFill="1" applyBorder="1" applyAlignment="1">
      <alignment horizontal="center" vertical="center"/>
    </xf>
    <xf numFmtId="165" fontId="7" fillId="0" borderId="7" xfId="0" applyNumberFormat="1" applyFont="1" applyBorder="1" applyAlignment="1">
      <alignment horizontal="center" vertical="center"/>
    </xf>
    <xf numFmtId="173" fontId="44" fillId="32" borderId="7" xfId="0" applyNumberFormat="1" applyFont="1" applyFill="1" applyBorder="1" applyAlignment="1">
      <alignment vertical="center"/>
    </xf>
    <xf numFmtId="169" fontId="12" fillId="5" borderId="7" xfId="2" applyNumberFormat="1" applyFont="1" applyFill="1" applyBorder="1" applyAlignment="1">
      <alignment horizontal="center" vertical="center"/>
    </xf>
    <xf numFmtId="168" fontId="12" fillId="5" borderId="7" xfId="0" applyNumberFormat="1" applyFont="1" applyFill="1" applyBorder="1" applyAlignment="1">
      <alignment horizontal="center" vertical="center"/>
    </xf>
    <xf numFmtId="165" fontId="12" fillId="23" borderId="7" xfId="2" applyNumberFormat="1" applyFont="1" applyFill="1" applyBorder="1" applyAlignment="1">
      <alignment horizontal="center" vertical="center"/>
    </xf>
    <xf numFmtId="171" fontId="43" fillId="32" borderId="7" xfId="1" applyNumberFormat="1" applyFont="1" applyFill="1" applyBorder="1" applyAlignment="1">
      <alignment vertical="center"/>
    </xf>
    <xf numFmtId="169" fontId="12" fillId="5" borderId="7" xfId="2" applyNumberFormat="1" applyFont="1" applyFill="1" applyBorder="1" applyAlignment="1">
      <alignment horizontal="center" vertical="center" wrapText="1"/>
    </xf>
    <xf numFmtId="169" fontId="6" fillId="5" borderId="7" xfId="2" applyNumberFormat="1" applyFont="1" applyFill="1" applyBorder="1" applyAlignment="1">
      <alignment horizontal="center" vertical="center" wrapText="1"/>
    </xf>
    <xf numFmtId="168" fontId="12" fillId="23" borderId="7" xfId="0" applyNumberFormat="1" applyFont="1" applyFill="1" applyBorder="1" applyAlignment="1">
      <alignment horizontal="center" vertical="center"/>
    </xf>
    <xf numFmtId="0" fontId="51" fillId="35" borderId="29" xfId="0" applyFont="1" applyFill="1" applyBorder="1" applyAlignment="1">
      <alignment horizontal="left" vertical="center"/>
    </xf>
    <xf numFmtId="0" fontId="52" fillId="35" borderId="30" xfId="0" applyFont="1" applyFill="1" applyBorder="1" applyAlignment="1">
      <alignment horizontal="left" vertical="center"/>
    </xf>
    <xf numFmtId="0" fontId="43" fillId="35" borderId="30" xfId="0" applyFont="1" applyFill="1" applyBorder="1" applyAlignment="1">
      <alignment horizontal="left" vertical="center"/>
    </xf>
    <xf numFmtId="0" fontId="44" fillId="35" borderId="30" xfId="0" applyFont="1" applyFill="1" applyBorder="1" applyAlignment="1">
      <alignment vertical="center"/>
    </xf>
    <xf numFmtId="0" fontId="15" fillId="9" borderId="0" xfId="0" applyFont="1" applyFill="1" applyAlignment="1">
      <alignment vertical="center"/>
    </xf>
    <xf numFmtId="0" fontId="54" fillId="0" borderId="0" xfId="0" applyFont="1" applyAlignment="1">
      <alignment vertical="center"/>
    </xf>
    <xf numFmtId="0" fontId="29" fillId="0" borderId="31" xfId="0" applyFont="1" applyBorder="1" applyAlignment="1">
      <alignment vertical="center"/>
    </xf>
    <xf numFmtId="0" fontId="29" fillId="0" borderId="0" xfId="0" applyFont="1" applyAlignment="1">
      <alignment vertical="center"/>
    </xf>
    <xf numFmtId="0" fontId="12" fillId="0" borderId="31" xfId="0" applyFont="1" applyBorder="1" applyAlignment="1">
      <alignment vertical="center"/>
    </xf>
    <xf numFmtId="0" fontId="12" fillId="5" borderId="7" xfId="0" applyFont="1" applyFill="1" applyBorder="1" applyAlignment="1">
      <alignment horizontal="center" vertical="center"/>
    </xf>
    <xf numFmtId="0" fontId="0" fillId="0" borderId="31" xfId="0" applyBorder="1" applyAlignment="1">
      <alignment vertical="center"/>
    </xf>
    <xf numFmtId="0" fontId="13" fillId="23" borderId="17" xfId="0" applyFont="1" applyFill="1" applyBorder="1" applyAlignment="1">
      <alignment vertical="center"/>
    </xf>
    <xf numFmtId="165" fontId="12" fillId="0" borderId="0" xfId="2" applyNumberFormat="1" applyFont="1" applyAlignment="1">
      <alignment horizontal="center" vertical="center"/>
    </xf>
    <xf numFmtId="0" fontId="12" fillId="0" borderId="33" xfId="0" applyFont="1" applyBorder="1" applyAlignment="1">
      <alignment horizontal="left" vertical="center"/>
    </xf>
    <xf numFmtId="0" fontId="12" fillId="0" borderId="19" xfId="0" applyFont="1" applyBorder="1" applyAlignment="1">
      <alignment horizontal="left" vertical="center"/>
    </xf>
    <xf numFmtId="0" fontId="12" fillId="0" borderId="15" xfId="0" applyFont="1" applyBorder="1" applyAlignment="1">
      <alignment horizontal="left" vertical="center"/>
    </xf>
    <xf numFmtId="174" fontId="12" fillId="5" borderId="17" xfId="0" applyNumberFormat="1" applyFont="1" applyFill="1" applyBorder="1" applyAlignment="1">
      <alignment horizontal="center" vertical="center"/>
    </xf>
    <xf numFmtId="171" fontId="12" fillId="5" borderId="7" xfId="1" applyNumberFormat="1" applyFont="1" applyFill="1" applyBorder="1" applyAlignment="1">
      <alignment horizontal="center" vertical="center"/>
    </xf>
    <xf numFmtId="168" fontId="12" fillId="5" borderId="7" xfId="2" applyNumberFormat="1" applyFont="1" applyFill="1" applyBorder="1" applyAlignment="1">
      <alignment horizontal="center" vertical="center"/>
    </xf>
    <xf numFmtId="0" fontId="0" fillId="0" borderId="7" xfId="0" applyBorder="1" applyAlignment="1">
      <alignment vertical="center"/>
    </xf>
    <xf numFmtId="168" fontId="0" fillId="36" borderId="7" xfId="0" applyNumberFormat="1" applyFill="1" applyBorder="1" applyAlignment="1">
      <alignment horizontal="center"/>
    </xf>
    <xf numFmtId="168" fontId="12" fillId="0" borderId="7" xfId="2" applyNumberFormat="1" applyFont="1" applyBorder="1" applyAlignment="1">
      <alignment horizontal="center" vertical="center"/>
    </xf>
    <xf numFmtId="165" fontId="28" fillId="23" borderId="7" xfId="2" applyNumberFormat="1" applyFont="1" applyFill="1" applyBorder="1" applyAlignment="1">
      <alignment horizontal="center" vertical="center"/>
    </xf>
    <xf numFmtId="0" fontId="28" fillId="2" borderId="32" xfId="0" applyFont="1" applyFill="1" applyBorder="1" applyAlignment="1">
      <alignment vertical="center"/>
    </xf>
    <xf numFmtId="0" fontId="28" fillId="2" borderId="7" xfId="0" applyFont="1" applyFill="1" applyBorder="1" applyAlignment="1">
      <alignment vertical="center"/>
    </xf>
    <xf numFmtId="0" fontId="12" fillId="2" borderId="34" xfId="0" applyFont="1" applyFill="1" applyBorder="1" applyAlignment="1">
      <alignment vertical="center"/>
    </xf>
    <xf numFmtId="0" fontId="12" fillId="2" borderId="3" xfId="0" applyFont="1" applyFill="1" applyBorder="1" applyAlignment="1">
      <alignment vertical="center"/>
    </xf>
    <xf numFmtId="0" fontId="56" fillId="35" borderId="7" xfId="0" applyFont="1" applyFill="1" applyBorder="1" applyAlignment="1">
      <alignment horizontal="center" vertical="center"/>
    </xf>
    <xf numFmtId="0" fontId="56" fillId="35" borderId="33" xfId="0" applyFont="1" applyFill="1" applyBorder="1" applyAlignment="1">
      <alignment horizontal="left" vertical="center"/>
    </xf>
    <xf numFmtId="0" fontId="56" fillId="35" borderId="19" xfId="0" applyFont="1" applyFill="1" applyBorder="1" applyAlignment="1">
      <alignment horizontal="left" vertical="center"/>
    </xf>
    <xf numFmtId="0" fontId="56" fillId="35" borderId="15" xfId="0" applyFont="1" applyFill="1" applyBorder="1" applyAlignment="1">
      <alignment horizontal="left" vertical="center"/>
    </xf>
    <xf numFmtId="174" fontId="56" fillId="35" borderId="17" xfId="0" applyNumberFormat="1" applyFont="1" applyFill="1" applyBorder="1" applyAlignment="1">
      <alignment horizontal="center" vertical="center"/>
    </xf>
    <xf numFmtId="0" fontId="12" fillId="2" borderId="5" xfId="0" applyFont="1" applyFill="1" applyBorder="1" applyAlignment="1">
      <alignment vertical="center"/>
    </xf>
    <xf numFmtId="0" fontId="12" fillId="2" borderId="6" xfId="0" applyFont="1" applyFill="1" applyBorder="1" applyAlignment="1">
      <alignment vertical="center"/>
    </xf>
    <xf numFmtId="0" fontId="57" fillId="2" borderId="5" xfId="0" applyFont="1" applyFill="1" applyBorder="1" applyAlignment="1">
      <alignment vertical="center"/>
    </xf>
    <xf numFmtId="0" fontId="49" fillId="0" borderId="0" xfId="0" applyFont="1" applyAlignment="1">
      <alignment vertical="center"/>
    </xf>
    <xf numFmtId="0" fontId="58" fillId="9" borderId="0" xfId="0" applyFont="1" applyFill="1" applyAlignment="1">
      <alignment vertical="center"/>
    </xf>
    <xf numFmtId="0" fontId="58" fillId="9" borderId="28" xfId="0" applyFont="1" applyFill="1" applyBorder="1" applyAlignment="1">
      <alignment vertical="center"/>
    </xf>
    <xf numFmtId="0" fontId="57" fillId="2" borderId="0" xfId="0" applyFont="1" applyFill="1" applyAlignment="1">
      <alignment vertical="center"/>
    </xf>
    <xf numFmtId="0" fontId="12" fillId="2" borderId="0" xfId="0" applyFont="1" applyFill="1" applyAlignment="1">
      <alignment vertical="center"/>
    </xf>
    <xf numFmtId="0" fontId="13" fillId="23" borderId="17" xfId="0" applyFont="1" applyFill="1" applyBorder="1" applyAlignment="1">
      <alignment horizontal="center" vertical="center"/>
    </xf>
    <xf numFmtId="0" fontId="13" fillId="23" borderId="17" xfId="0" applyFont="1" applyFill="1" applyBorder="1" applyAlignment="1">
      <alignment horizontal="left" vertical="center"/>
    </xf>
    <xf numFmtId="0" fontId="13" fillId="23" borderId="7" xfId="0" applyFont="1" applyFill="1" applyBorder="1" applyAlignment="1">
      <alignment vertical="center"/>
    </xf>
    <xf numFmtId="0" fontId="12" fillId="2" borderId="17"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15" xfId="0" applyFont="1" applyFill="1" applyBorder="1" applyAlignment="1">
      <alignment vertical="center"/>
    </xf>
    <xf numFmtId="165" fontId="12" fillId="5" borderId="7" xfId="0" applyNumberFormat="1" applyFont="1" applyFill="1" applyBorder="1" applyAlignment="1">
      <alignment horizontal="center" vertical="center"/>
    </xf>
    <xf numFmtId="0" fontId="12" fillId="0" borderId="17" xfId="0" applyFont="1" applyBorder="1" applyAlignment="1">
      <alignment vertical="center"/>
    </xf>
    <xf numFmtId="171" fontId="12" fillId="23" borderId="7" xfId="1" applyNumberFormat="1" applyFont="1" applyFill="1" applyBorder="1" applyAlignment="1">
      <alignment horizontal="center" vertical="center"/>
    </xf>
    <xf numFmtId="10" fontId="12" fillId="5" borderId="7" xfId="2" applyNumberFormat="1" applyFont="1" applyFill="1" applyBorder="1" applyAlignment="1">
      <alignment horizontal="center" vertical="center"/>
    </xf>
    <xf numFmtId="175" fontId="12" fillId="5" borderId="7" xfId="0" applyNumberFormat="1" applyFont="1" applyFill="1" applyBorder="1" applyAlignment="1">
      <alignment horizontal="center" vertical="center"/>
    </xf>
    <xf numFmtId="3" fontId="12" fillId="0" borderId="7" xfId="0" applyNumberFormat="1" applyFont="1" applyBorder="1" applyAlignment="1">
      <alignment horizontal="center" vertical="center"/>
    </xf>
    <xf numFmtId="0" fontId="12" fillId="0" borderId="0" xfId="0" applyFont="1" applyAlignment="1">
      <alignment horizontal="right" vertical="center"/>
    </xf>
    <xf numFmtId="171" fontId="12" fillId="34" borderId="7" xfId="1" applyNumberFormat="1" applyFont="1" applyFill="1" applyBorder="1" applyAlignment="1">
      <alignment horizontal="center" vertical="center"/>
    </xf>
    <xf numFmtId="0" fontId="13" fillId="0" borderId="0" xfId="0" applyFont="1" applyAlignment="1">
      <alignment horizontal="right" vertical="center"/>
    </xf>
    <xf numFmtId="1" fontId="13" fillId="23" borderId="7" xfId="0" applyNumberFormat="1" applyFont="1" applyFill="1" applyBorder="1" applyAlignment="1">
      <alignment horizontal="center" vertical="center"/>
    </xf>
    <xf numFmtId="169" fontId="12" fillId="5" borderId="7" xfId="0" applyNumberFormat="1" applyFont="1" applyFill="1" applyBorder="1" applyAlignment="1">
      <alignment horizontal="center" vertical="center"/>
    </xf>
    <xf numFmtId="2" fontId="12" fillId="0" borderId="0" xfId="0" applyNumberFormat="1" applyFont="1" applyAlignment="1">
      <alignment vertical="center"/>
    </xf>
    <xf numFmtId="174" fontId="12" fillId="5" borderId="7" xfId="0" applyNumberFormat="1" applyFont="1" applyFill="1" applyBorder="1" applyAlignment="1">
      <alignment horizontal="center" vertical="center"/>
    </xf>
    <xf numFmtId="169" fontId="12" fillId="5" borderId="17" xfId="2" applyNumberFormat="1" applyFont="1" applyFill="1" applyBorder="1" applyAlignment="1">
      <alignment horizontal="center" vertical="center"/>
    </xf>
    <xf numFmtId="0" fontId="22" fillId="0" borderId="0" xfId="0" applyFont="1" applyAlignment="1">
      <alignment vertical="center"/>
    </xf>
    <xf numFmtId="0" fontId="61" fillId="0" borderId="0" xfId="0" applyFont="1" applyAlignment="1">
      <alignment horizontal="center" vertical="center"/>
    </xf>
    <xf numFmtId="174" fontId="62" fillId="2" borderId="0" xfId="0" applyNumberFormat="1" applyFont="1" applyFill="1" applyAlignment="1">
      <alignment vertical="center" wrapText="1"/>
    </xf>
    <xf numFmtId="0" fontId="13" fillId="0" borderId="0" xfId="0" applyFont="1" applyAlignment="1">
      <alignment horizontal="left" vertical="center"/>
    </xf>
    <xf numFmtId="0" fontId="0" fillId="2" borderId="0" xfId="0" applyFill="1" applyAlignment="1">
      <alignment vertical="center"/>
    </xf>
    <xf numFmtId="0" fontId="43" fillId="35" borderId="7" xfId="0" applyFont="1" applyFill="1" applyBorder="1" applyAlignment="1">
      <alignment horizontal="center" vertical="center"/>
    </xf>
    <xf numFmtId="0" fontId="12" fillId="2" borderId="11" xfId="0" applyFont="1" applyFill="1" applyBorder="1" applyAlignment="1">
      <alignment vertical="center"/>
    </xf>
    <xf numFmtId="0" fontId="12" fillId="2" borderId="12" xfId="0" applyFont="1" applyFill="1" applyBorder="1" applyAlignment="1">
      <alignment vertical="center"/>
    </xf>
    <xf numFmtId="0" fontId="12" fillId="2" borderId="13" xfId="0" applyFont="1" applyFill="1" applyBorder="1" applyAlignment="1">
      <alignment vertical="center"/>
    </xf>
    <xf numFmtId="0" fontId="48" fillId="37" borderId="29" xfId="0" applyFont="1" applyFill="1" applyBorder="1" applyAlignment="1">
      <alignment horizontal="left" vertical="center"/>
    </xf>
    <xf numFmtId="0" fontId="52" fillId="37" borderId="30" xfId="0" applyFont="1" applyFill="1" applyBorder="1" applyAlignment="1">
      <alignment horizontal="left" vertical="center"/>
    </xf>
    <xf numFmtId="0" fontId="43" fillId="37" borderId="30" xfId="0" applyFont="1" applyFill="1" applyBorder="1" applyAlignment="1">
      <alignment horizontal="left" vertical="center"/>
    </xf>
    <xf numFmtId="0" fontId="44" fillId="37" borderId="30" xfId="0" applyFont="1" applyFill="1" applyBorder="1" applyAlignment="1">
      <alignment vertical="center"/>
    </xf>
    <xf numFmtId="0" fontId="44" fillId="37" borderId="38" xfId="0" applyFont="1" applyFill="1" applyBorder="1" applyAlignment="1">
      <alignment vertical="center"/>
    </xf>
    <xf numFmtId="0" fontId="29" fillId="0" borderId="0" xfId="0" applyFont="1" applyAlignment="1">
      <alignment horizontal="left" vertical="center"/>
    </xf>
    <xf numFmtId="0" fontId="13" fillId="38" borderId="39" xfId="0" applyFont="1" applyFill="1" applyBorder="1" applyAlignment="1">
      <alignment horizontal="center" vertical="center"/>
    </xf>
    <xf numFmtId="0" fontId="13" fillId="38" borderId="40" xfId="0" applyFont="1" applyFill="1" applyBorder="1" applyAlignment="1">
      <alignment horizontal="center" vertical="center"/>
    </xf>
    <xf numFmtId="1" fontId="13" fillId="38" borderId="40" xfId="0" applyNumberFormat="1" applyFont="1" applyFill="1" applyBorder="1" applyAlignment="1">
      <alignment horizontal="center" vertical="center"/>
    </xf>
    <xf numFmtId="0" fontId="13" fillId="39" borderId="39" xfId="0" applyFont="1" applyFill="1" applyBorder="1" applyAlignment="1">
      <alignment horizontal="center" vertical="center"/>
    </xf>
    <xf numFmtId="0" fontId="13" fillId="0" borderId="39" xfId="0" applyFont="1" applyBorder="1" applyAlignment="1">
      <alignment horizontal="center" vertical="center"/>
    </xf>
    <xf numFmtId="0" fontId="13" fillId="0" borderId="1" xfId="0" applyFont="1" applyBorder="1" applyAlignment="1">
      <alignment horizontal="left" vertical="center"/>
    </xf>
    <xf numFmtId="3" fontId="13" fillId="39" borderId="1" xfId="0" applyNumberFormat="1" applyFont="1" applyFill="1" applyBorder="1" applyAlignment="1">
      <alignment horizontal="center" vertical="center"/>
    </xf>
    <xf numFmtId="3" fontId="12" fillId="0" borderId="41" xfId="0" applyNumberFormat="1" applyFont="1" applyBorder="1" applyAlignment="1">
      <alignment horizontal="center" vertical="center"/>
    </xf>
    <xf numFmtId="3" fontId="12" fillId="0" borderId="42" xfId="0" applyNumberFormat="1" applyFont="1" applyBorder="1" applyAlignment="1">
      <alignment horizontal="center" vertical="center"/>
    </xf>
    <xf numFmtId="0" fontId="13" fillId="0" borderId="43" xfId="0" applyFont="1" applyBorder="1" applyAlignment="1">
      <alignment horizontal="left" vertical="center"/>
    </xf>
    <xf numFmtId="3" fontId="12" fillId="0" borderId="44" xfId="0" applyNumberFormat="1" applyFont="1" applyBorder="1" applyAlignment="1">
      <alignment horizontal="center" vertical="center"/>
    </xf>
    <xf numFmtId="3" fontId="13" fillId="0" borderId="43" xfId="0" applyNumberFormat="1" applyFont="1" applyBorder="1" applyAlignment="1">
      <alignment horizontal="center" vertical="center"/>
    </xf>
    <xf numFmtId="3" fontId="12" fillId="0" borderId="45" xfId="0" applyNumberFormat="1" applyFont="1" applyBorder="1" applyAlignment="1">
      <alignment horizontal="center" vertical="center"/>
    </xf>
    <xf numFmtId="0" fontId="13" fillId="18" borderId="46" xfId="0" applyFont="1" applyFill="1" applyBorder="1" applyAlignment="1">
      <alignment horizontal="left" vertical="center"/>
    </xf>
    <xf numFmtId="3" fontId="13" fillId="18" borderId="46" xfId="0" applyNumberFormat="1" applyFont="1" applyFill="1" applyBorder="1" applyAlignment="1">
      <alignment horizontal="center" vertical="center"/>
    </xf>
    <xf numFmtId="3" fontId="12" fillId="18" borderId="47" xfId="1" applyNumberFormat="1" applyFont="1" applyFill="1" applyBorder="1" applyAlignment="1">
      <alignment horizontal="center" vertical="center"/>
    </xf>
    <xf numFmtId="3" fontId="12" fillId="18" borderId="48" xfId="1" applyNumberFormat="1" applyFont="1" applyFill="1" applyBorder="1" applyAlignment="1">
      <alignment horizontal="center" vertical="center"/>
    </xf>
    <xf numFmtId="3" fontId="12" fillId="18" borderId="49" xfId="1" applyNumberFormat="1" applyFont="1" applyFill="1" applyBorder="1" applyAlignment="1">
      <alignment horizontal="center" vertical="center"/>
    </xf>
    <xf numFmtId="0" fontId="63" fillId="15" borderId="34" xfId="0" applyFont="1" applyFill="1" applyBorder="1" applyAlignment="1">
      <alignment vertical="center"/>
    </xf>
    <xf numFmtId="0" fontId="63" fillId="15" borderId="35" xfId="0" applyFont="1" applyFill="1" applyBorder="1" applyAlignment="1">
      <alignment vertical="center"/>
    </xf>
    <xf numFmtId="0" fontId="63" fillId="15" borderId="3" xfId="0" applyFont="1" applyFill="1" applyBorder="1" applyAlignment="1">
      <alignment vertical="center"/>
    </xf>
    <xf numFmtId="0" fontId="7" fillId="26" borderId="17" xfId="0" applyFont="1" applyFill="1" applyBorder="1" applyAlignment="1">
      <alignment vertical="center"/>
    </xf>
    <xf numFmtId="165" fontId="7" fillId="23" borderId="7" xfId="0" applyNumberFormat="1" applyFont="1" applyFill="1" applyBorder="1" applyAlignment="1">
      <alignment horizontal="center" vertical="center"/>
    </xf>
    <xf numFmtId="168" fontId="7" fillId="23" borderId="44" xfId="0" applyNumberFormat="1" applyFont="1" applyFill="1" applyBorder="1" applyAlignment="1">
      <alignment horizontal="center" vertical="center"/>
    </xf>
    <xf numFmtId="3" fontId="7" fillId="23" borderId="17" xfId="0" applyNumberFormat="1" applyFont="1" applyFill="1" applyBorder="1" applyAlignment="1">
      <alignment horizontal="center" vertical="center"/>
    </xf>
    <xf numFmtId="168" fontId="7" fillId="23" borderId="7" xfId="0" applyNumberFormat="1" applyFont="1" applyFill="1" applyBorder="1" applyAlignment="1">
      <alignment horizontal="center" vertical="center"/>
    </xf>
    <xf numFmtId="169" fontId="7" fillId="23" borderId="49" xfId="2" applyNumberFormat="1" applyFont="1" applyFill="1" applyBorder="1" applyAlignment="1">
      <alignment horizontal="center" vertical="center"/>
    </xf>
    <xf numFmtId="168" fontId="7" fillId="23" borderId="17" xfId="0" applyNumberFormat="1" applyFont="1" applyFill="1" applyBorder="1" applyAlignment="1">
      <alignment horizontal="center" vertical="center"/>
    </xf>
    <xf numFmtId="0" fontId="7" fillId="0" borderId="45" xfId="0" applyFont="1" applyBorder="1" applyAlignment="1">
      <alignment vertical="center"/>
    </xf>
    <xf numFmtId="0" fontId="7" fillId="0" borderId="19" xfId="0" applyFont="1" applyBorder="1" applyAlignment="1">
      <alignment vertical="center"/>
    </xf>
    <xf numFmtId="2" fontId="7" fillId="23" borderId="44" xfId="0" applyNumberFormat="1" applyFont="1" applyFill="1" applyBorder="1" applyAlignment="1">
      <alignment horizontal="center" vertical="center"/>
    </xf>
    <xf numFmtId="3" fontId="7" fillId="0" borderId="0" xfId="0" applyNumberFormat="1" applyFont="1" applyAlignment="1">
      <alignment vertical="center"/>
    </xf>
    <xf numFmtId="3" fontId="7" fillId="23" borderId="7" xfId="0" applyNumberFormat="1" applyFont="1" applyFill="1" applyBorder="1" applyAlignment="1">
      <alignment horizontal="center" vertical="center"/>
    </xf>
    <xf numFmtId="0" fontId="7" fillId="0" borderId="47" xfId="0" applyFont="1" applyBorder="1" applyAlignment="1">
      <alignment vertical="center"/>
    </xf>
    <xf numFmtId="0" fontId="7" fillId="0" borderId="55" xfId="0" applyFont="1" applyBorder="1" applyAlignment="1">
      <alignment vertical="center"/>
    </xf>
    <xf numFmtId="2" fontId="7" fillId="23" borderId="49" xfId="0" applyNumberFormat="1" applyFont="1" applyFill="1" applyBorder="1" applyAlignment="1">
      <alignment horizontal="center" vertical="center"/>
    </xf>
    <xf numFmtId="168" fontId="7" fillId="23" borderId="48" xfId="2" applyNumberFormat="1" applyFont="1" applyFill="1" applyBorder="1" applyAlignment="1">
      <alignment horizontal="center" vertical="center"/>
    </xf>
    <xf numFmtId="0" fontId="63" fillId="15" borderId="58" xfId="0" applyFont="1" applyFill="1" applyBorder="1" applyAlignment="1">
      <alignment vertical="center"/>
    </xf>
    <xf numFmtId="0" fontId="63" fillId="15" borderId="58" xfId="0" applyFont="1" applyFill="1" applyBorder="1" applyAlignment="1">
      <alignment vertical="center" wrapText="1"/>
    </xf>
    <xf numFmtId="0" fontId="63" fillId="15" borderId="59" xfId="0" applyFont="1" applyFill="1" applyBorder="1" applyAlignment="1">
      <alignment vertical="center" wrapText="1"/>
    </xf>
    <xf numFmtId="3" fontId="7" fillId="0" borderId="17" xfId="0" applyNumberFormat="1" applyFont="1" applyBorder="1" applyAlignment="1">
      <alignment horizontal="center" vertical="center"/>
    </xf>
    <xf numFmtId="3" fontId="10" fillId="0" borderId="60" xfId="0" applyNumberFormat="1" applyFont="1" applyBorder="1" applyAlignment="1">
      <alignment horizontal="center" vertical="center"/>
    </xf>
    <xf numFmtId="168" fontId="7" fillId="0" borderId="7" xfId="0" applyNumberFormat="1" applyFont="1" applyBorder="1" applyAlignment="1">
      <alignment horizontal="center" vertical="center"/>
    </xf>
    <xf numFmtId="168" fontId="10" fillId="0" borderId="61" xfId="0" applyNumberFormat="1" applyFont="1" applyBorder="1" applyAlignment="1">
      <alignment horizontal="center" vertical="center"/>
    </xf>
    <xf numFmtId="168" fontId="10" fillId="0" borderId="16" xfId="0" applyNumberFormat="1" applyFont="1" applyBorder="1" applyAlignment="1">
      <alignment horizontal="center" vertical="center"/>
    </xf>
    <xf numFmtId="10" fontId="10" fillId="0" borderId="61" xfId="0" applyNumberFormat="1" applyFont="1" applyBorder="1" applyAlignment="1">
      <alignment horizontal="center" vertical="center"/>
    </xf>
    <xf numFmtId="10" fontId="10" fillId="0" borderId="16" xfId="0" applyNumberFormat="1" applyFont="1" applyBorder="1" applyAlignment="1">
      <alignment horizontal="center" vertical="center"/>
    </xf>
    <xf numFmtId="168" fontId="7" fillId="0" borderId="17" xfId="0" applyNumberFormat="1" applyFont="1" applyBorder="1" applyAlignment="1">
      <alignment horizontal="center" vertical="center"/>
    </xf>
    <xf numFmtId="168" fontId="7" fillId="0" borderId="7" xfId="2" applyNumberFormat="1" applyFont="1" applyBorder="1" applyAlignment="1">
      <alignment horizontal="center" vertical="center"/>
    </xf>
    <xf numFmtId="3" fontId="7" fillId="0" borderId="7" xfId="0" applyNumberFormat="1" applyFont="1" applyBorder="1" applyAlignment="1">
      <alignment horizontal="center" vertical="center"/>
    </xf>
    <xf numFmtId="0" fontId="10" fillId="0" borderId="61" xfId="0" applyFont="1" applyBorder="1" applyAlignment="1">
      <alignment horizontal="center" vertical="center"/>
    </xf>
    <xf numFmtId="168" fontId="7" fillId="0" borderId="48" xfId="2" applyNumberFormat="1" applyFont="1" applyBorder="1" applyAlignment="1">
      <alignment horizontal="center" vertical="center"/>
    </xf>
    <xf numFmtId="168" fontId="10" fillId="0" borderId="62" xfId="0" applyNumberFormat="1" applyFont="1" applyBorder="1" applyAlignment="1">
      <alignment horizontal="center" vertical="center"/>
    </xf>
    <xf numFmtId="10" fontId="10" fillId="0" borderId="62" xfId="0" applyNumberFormat="1" applyFont="1" applyBorder="1" applyAlignment="1">
      <alignment horizontal="center" vertical="center"/>
    </xf>
    <xf numFmtId="4" fontId="0" fillId="0" borderId="0" xfId="0" applyNumberFormat="1" applyAlignment="1">
      <alignment vertical="center"/>
    </xf>
    <xf numFmtId="168" fontId="0" fillId="0" borderId="0" xfId="0" applyNumberFormat="1" applyAlignment="1">
      <alignment vertical="center"/>
    </xf>
    <xf numFmtId="0" fontId="0" fillId="0" borderId="0" xfId="0" applyAlignment="1">
      <alignment horizontal="right" vertical="center"/>
    </xf>
    <xf numFmtId="0" fontId="3" fillId="40" borderId="0" xfId="0" applyFont="1" applyFill="1" applyAlignment="1">
      <alignment vertical="center"/>
    </xf>
    <xf numFmtId="0" fontId="0" fillId="41" borderId="0" xfId="0" applyFill="1" applyAlignment="1">
      <alignment vertical="center"/>
    </xf>
    <xf numFmtId="0" fontId="0" fillId="41" borderId="0" xfId="0" applyFill="1" applyAlignment="1">
      <alignment vertical="center" wrapText="1"/>
    </xf>
    <xf numFmtId="4" fontId="0" fillId="41" borderId="0" xfId="0" applyNumberFormat="1" applyFill="1" applyAlignment="1">
      <alignment vertical="center"/>
    </xf>
    <xf numFmtId="168" fontId="0" fillId="41" borderId="0" xfId="0" applyNumberFormat="1" applyFill="1" applyAlignment="1">
      <alignment vertical="center"/>
    </xf>
    <xf numFmtId="4" fontId="20" fillId="12" borderId="7" xfId="0" applyNumberFormat="1" applyFont="1" applyFill="1" applyBorder="1" applyAlignment="1">
      <alignment horizontal="center" vertical="center" wrapText="1"/>
    </xf>
    <xf numFmtId="4" fontId="20" fillId="12" borderId="17" xfId="0" applyNumberFormat="1" applyFont="1" applyFill="1" applyBorder="1" applyAlignment="1">
      <alignment horizontal="center" vertical="center" wrapText="1"/>
    </xf>
    <xf numFmtId="0" fontId="3" fillId="41" borderId="0" xfId="0" applyFont="1" applyFill="1" applyAlignment="1">
      <alignment vertical="center"/>
    </xf>
    <xf numFmtId="0" fontId="64" fillId="41" borderId="0" xfId="0" applyFont="1" applyFill="1" applyAlignment="1">
      <alignment vertical="center"/>
    </xf>
    <xf numFmtId="0" fontId="64" fillId="41" borderId="0" xfId="0" applyFont="1" applyFill="1" applyAlignment="1">
      <alignment vertical="center" wrapText="1"/>
    </xf>
    <xf numFmtId="4" fontId="64" fillId="41" borderId="0" xfId="0" applyNumberFormat="1" applyFont="1" applyFill="1" applyAlignment="1">
      <alignment vertical="center"/>
    </xf>
    <xf numFmtId="176" fontId="0" fillId="0" borderId="0" xfId="0" applyNumberFormat="1" applyAlignment="1">
      <alignment vertical="center" wrapText="1"/>
    </xf>
    <xf numFmtId="4" fontId="0" fillId="42" borderId="0" xfId="0" applyNumberFormat="1" applyFill="1" applyAlignment="1">
      <alignment vertical="center"/>
    </xf>
    <xf numFmtId="168" fontId="64" fillId="41" borderId="0" xfId="0" applyNumberFormat="1" applyFont="1" applyFill="1" applyAlignment="1">
      <alignment vertical="center"/>
    </xf>
    <xf numFmtId="0" fontId="3" fillId="41" borderId="0" xfId="0" applyFont="1" applyFill="1" applyAlignment="1">
      <alignment vertical="center" wrapText="1"/>
    </xf>
    <xf numFmtId="4" fontId="3" fillId="41" borderId="0" xfId="0" applyNumberFormat="1" applyFont="1" applyFill="1" applyAlignment="1">
      <alignment vertical="center"/>
    </xf>
    <xf numFmtId="168" fontId="3" fillId="41" borderId="0" xfId="0" applyNumberFormat="1" applyFont="1" applyFill="1" applyAlignment="1">
      <alignment vertical="center"/>
    </xf>
    <xf numFmtId="0" fontId="65" fillId="41" borderId="0" xfId="0" applyFont="1" applyFill="1" applyAlignment="1">
      <alignment vertical="center"/>
    </xf>
    <xf numFmtId="0" fontId="65" fillId="41" borderId="0" xfId="0" applyFont="1" applyFill="1" applyAlignment="1">
      <alignment vertical="center" wrapText="1"/>
    </xf>
    <xf numFmtId="4" fontId="65" fillId="41" borderId="0" xfId="0" applyNumberFormat="1" applyFont="1" applyFill="1" applyAlignment="1">
      <alignment vertical="center"/>
    </xf>
    <xf numFmtId="168" fontId="65" fillId="41" borderId="0" xfId="0" applyNumberFormat="1" applyFont="1" applyFill="1" applyAlignment="1">
      <alignment vertical="center"/>
    </xf>
    <xf numFmtId="0" fontId="0" fillId="0" borderId="0" xfId="0" applyAlignment="1">
      <alignment horizontal="left" vertical="center" wrapText="1"/>
    </xf>
    <xf numFmtId="168" fontId="66" fillId="41" borderId="0" xfId="0" applyNumberFormat="1" applyFont="1" applyFill="1" applyAlignment="1">
      <alignment vertical="center"/>
    </xf>
    <xf numFmtId="169" fontId="66" fillId="41" borderId="0" xfId="0" applyNumberFormat="1" applyFont="1" applyFill="1" applyAlignment="1">
      <alignment vertical="center"/>
    </xf>
    <xf numFmtId="4" fontId="66" fillId="41" borderId="0" xfId="0" applyNumberFormat="1" applyFont="1" applyFill="1" applyAlignment="1">
      <alignment vertical="center"/>
    </xf>
    <xf numFmtId="0" fontId="2" fillId="41" borderId="0" xfId="0" applyFont="1" applyFill="1" applyAlignment="1">
      <alignment vertical="center"/>
    </xf>
    <xf numFmtId="0" fontId="67" fillId="41" borderId="0" xfId="0" applyFont="1" applyFill="1" applyAlignment="1">
      <alignment vertical="center"/>
    </xf>
    <xf numFmtId="0" fontId="67" fillId="42" borderId="0" xfId="0" applyFont="1" applyFill="1" applyAlignment="1">
      <alignment vertical="center"/>
    </xf>
    <xf numFmtId="168" fontId="0" fillId="42" borderId="0" xfId="0" applyNumberFormat="1" applyFill="1" applyAlignment="1">
      <alignment vertical="center"/>
    </xf>
    <xf numFmtId="4" fontId="3" fillId="42" borderId="0" xfId="0" applyNumberFormat="1" applyFont="1" applyFill="1" applyAlignment="1">
      <alignment vertical="center"/>
    </xf>
    <xf numFmtId="0" fontId="0" fillId="42" borderId="0" xfId="0" applyFill="1" applyAlignment="1">
      <alignment vertical="center" wrapText="1"/>
    </xf>
    <xf numFmtId="0" fontId="0" fillId="42" borderId="0" xfId="0" applyFill="1" applyAlignment="1">
      <alignment vertical="center"/>
    </xf>
    <xf numFmtId="4" fontId="40" fillId="24" borderId="7" xfId="0" applyNumberFormat="1" applyFont="1" applyFill="1" applyBorder="1" applyAlignment="1">
      <alignment horizontal="center" vertical="center" wrapText="1"/>
    </xf>
    <xf numFmtId="0" fontId="67" fillId="0" borderId="0" xfId="0" applyFont="1" applyAlignment="1">
      <alignment vertical="center"/>
    </xf>
    <xf numFmtId="0" fontId="0" fillId="26" borderId="0" xfId="0" applyFill="1" applyAlignment="1">
      <alignment vertical="center"/>
    </xf>
    <xf numFmtId="0" fontId="0" fillId="43" borderId="0" xfId="0" applyFill="1" applyAlignment="1">
      <alignment vertical="center"/>
    </xf>
    <xf numFmtId="0" fontId="3" fillId="0" borderId="0" xfId="0" applyFont="1" applyAlignment="1">
      <alignment vertical="center"/>
    </xf>
    <xf numFmtId="4" fontId="3" fillId="0" borderId="0" xfId="0" applyNumberFormat="1" applyFont="1" applyAlignment="1">
      <alignment vertical="center"/>
    </xf>
    <xf numFmtId="168" fontId="3" fillId="0" borderId="0" xfId="0" applyNumberFormat="1" applyFont="1" applyAlignment="1">
      <alignment vertical="center"/>
    </xf>
    <xf numFmtId="4" fontId="0" fillId="43" borderId="0" xfId="0" applyNumberFormat="1" applyFill="1" applyAlignment="1">
      <alignment vertical="center"/>
    </xf>
    <xf numFmtId="0" fontId="3" fillId="0" borderId="0" xfId="0" applyFont="1" applyAlignment="1">
      <alignment vertical="center" wrapText="1"/>
    </xf>
    <xf numFmtId="4" fontId="0" fillId="43" borderId="0" xfId="0" applyNumberFormat="1" applyFill="1"/>
    <xf numFmtId="0" fontId="68" fillId="0" borderId="0" xfId="0" applyFont="1" applyAlignment="1">
      <alignment horizontal="left" vertical="top" wrapText="1"/>
    </xf>
    <xf numFmtId="0" fontId="67" fillId="0" borderId="0" xfId="0" applyFont="1"/>
    <xf numFmtId="0" fontId="1" fillId="0" borderId="0" xfId="0" applyFont="1"/>
    <xf numFmtId="165" fontId="1" fillId="44" borderId="0" xfId="2" applyNumberFormat="1" applyFont="1" applyFill="1" applyAlignment="1">
      <alignment horizontal="right" vertical="top" wrapText="1"/>
    </xf>
    <xf numFmtId="0" fontId="69" fillId="43" borderId="0" xfId="0" applyFont="1" applyFill="1" applyAlignment="1">
      <alignment horizontal="right" vertical="top"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2" fillId="45" borderId="0" xfId="0" applyFont="1" applyFill="1" applyAlignment="1">
      <alignment horizontal="left" vertical="top" wrapText="1"/>
    </xf>
    <xf numFmtId="4" fontId="2" fillId="44" borderId="0" xfId="0" applyNumberFormat="1" applyFont="1" applyFill="1" applyAlignment="1">
      <alignment horizontal="right" vertical="top" wrapText="1"/>
    </xf>
    <xf numFmtId="168" fontId="0" fillId="0" borderId="0" xfId="0" applyNumberFormat="1" applyAlignment="1">
      <alignment horizontal="left" vertical="top" wrapText="1"/>
    </xf>
    <xf numFmtId="4" fontId="2" fillId="46" borderId="0" xfId="0" applyNumberFormat="1" applyFont="1" applyFill="1" applyAlignment="1">
      <alignment horizontal="right" vertical="top" wrapText="1"/>
    </xf>
    <xf numFmtId="0" fontId="2" fillId="22" borderId="0" xfId="0" applyFont="1" applyFill="1" applyAlignment="1">
      <alignment horizontal="left" vertical="top" wrapText="1"/>
    </xf>
    <xf numFmtId="0" fontId="2" fillId="45" borderId="0" xfId="0" applyFont="1" applyFill="1" applyAlignment="1">
      <alignment horizontal="center" vertical="center" wrapText="1"/>
    </xf>
    <xf numFmtId="0" fontId="2" fillId="43" borderId="0" xfId="0" applyFont="1" applyFill="1" applyAlignment="1">
      <alignment horizontal="right" vertical="top" wrapText="1"/>
    </xf>
    <xf numFmtId="0" fontId="2" fillId="47" borderId="0" xfId="0" applyFont="1" applyFill="1" applyAlignment="1">
      <alignment horizontal="left" vertical="top" wrapText="1"/>
    </xf>
    <xf numFmtId="4" fontId="2" fillId="43" borderId="0" xfId="0" applyNumberFormat="1" applyFont="1" applyFill="1" applyAlignment="1">
      <alignment horizontal="right" vertical="top" wrapText="1"/>
    </xf>
    <xf numFmtId="0" fontId="2" fillId="48" borderId="0" xfId="0" applyFont="1" applyFill="1" applyAlignment="1">
      <alignment horizontal="left" vertical="top" wrapText="1"/>
    </xf>
    <xf numFmtId="0" fontId="2" fillId="49" borderId="0" xfId="0" applyFont="1" applyFill="1" applyAlignment="1">
      <alignment horizontal="left" vertical="top" wrapText="1"/>
    </xf>
    <xf numFmtId="2" fontId="2" fillId="43" borderId="0" xfId="0" applyNumberFormat="1" applyFont="1" applyFill="1" applyAlignment="1">
      <alignment horizontal="right" vertical="top" wrapText="1"/>
    </xf>
    <xf numFmtId="4" fontId="2" fillId="43" borderId="0" xfId="0" applyNumberFormat="1" applyFont="1" applyFill="1" applyAlignment="1">
      <alignment horizontal="left" vertical="top" wrapText="1"/>
    </xf>
    <xf numFmtId="4" fontId="0" fillId="46" borderId="0" xfId="0" applyNumberFormat="1" applyFill="1" applyAlignment="1">
      <alignment horizontal="left" vertical="top" wrapText="1"/>
    </xf>
    <xf numFmtId="0" fontId="3" fillId="43" borderId="0" xfId="0" applyFont="1" applyFill="1" applyAlignment="1">
      <alignment horizontal="left" vertical="center" wrapText="1"/>
    </xf>
    <xf numFmtId="0" fontId="1" fillId="0" borderId="0" xfId="0" applyFont="1" applyAlignment="1">
      <alignment horizontal="left" vertical="center" wrapText="1"/>
    </xf>
    <xf numFmtId="168" fontId="0" fillId="0" borderId="0" xfId="0" applyNumberFormat="1" applyAlignment="1">
      <alignment horizontal="left" vertical="center" wrapText="1"/>
    </xf>
    <xf numFmtId="4" fontId="0" fillId="0" borderId="0" xfId="0" applyNumberFormat="1" applyAlignment="1">
      <alignment horizontal="left" vertical="center" wrapText="1"/>
    </xf>
    <xf numFmtId="4" fontId="3" fillId="0" borderId="0" xfId="0" applyNumberFormat="1" applyFont="1" applyAlignment="1">
      <alignment horizontal="left" vertical="center" wrapText="1"/>
    </xf>
    <xf numFmtId="0" fontId="3" fillId="43" borderId="0" xfId="0" applyFont="1" applyFill="1" applyAlignment="1">
      <alignment horizontal="left" vertical="top" wrapText="1"/>
    </xf>
    <xf numFmtId="0" fontId="0" fillId="0" borderId="0" xfId="0" applyAlignment="1">
      <alignment horizontal="left" vertical="top" wrapText="1"/>
    </xf>
    <xf numFmtId="0" fontId="1" fillId="0" borderId="0" xfId="0" applyFont="1" applyAlignment="1">
      <alignment horizontal="left" vertical="top" wrapText="1"/>
    </xf>
    <xf numFmtId="4" fontId="2" fillId="0" borderId="0" xfId="0" applyNumberFormat="1" applyFont="1" applyAlignment="1">
      <alignment horizontal="left" vertical="top" wrapText="1"/>
    </xf>
    <xf numFmtId="168" fontId="2" fillId="0" borderId="0" xfId="0" applyNumberFormat="1" applyFont="1" applyAlignment="1">
      <alignment horizontal="left" vertical="top" wrapText="1"/>
    </xf>
    <xf numFmtId="4" fontId="0" fillId="0" borderId="0" xfId="0" applyNumberFormat="1" applyAlignment="1">
      <alignment horizontal="left" vertical="top" wrapText="1"/>
    </xf>
    <xf numFmtId="4" fontId="3" fillId="0" borderId="0" xfId="0" applyNumberFormat="1" applyFont="1" applyAlignment="1">
      <alignment horizontal="left" vertical="top" wrapText="1"/>
    </xf>
    <xf numFmtId="0" fontId="2" fillId="10" borderId="0" xfId="0" applyFont="1" applyFill="1" applyAlignment="1">
      <alignment horizontal="left" vertical="top" wrapText="1"/>
    </xf>
    <xf numFmtId="0" fontId="2" fillId="10" borderId="0" xfId="0" applyFont="1" applyFill="1" applyAlignment="1">
      <alignment horizontal="center" vertical="center" wrapText="1"/>
    </xf>
    <xf numFmtId="0" fontId="70" fillId="0" borderId="0" xfId="0" applyFont="1" applyAlignment="1">
      <alignment horizontal="left" vertical="top" wrapText="1"/>
    </xf>
    <xf numFmtId="4" fontId="3" fillId="46" borderId="0" xfId="0" applyNumberFormat="1" applyFont="1" applyFill="1" applyAlignment="1">
      <alignment horizontal="left" vertical="top" wrapText="1"/>
    </xf>
    <xf numFmtId="4" fontId="0" fillId="0" borderId="0" xfId="0" applyNumberFormat="1" applyAlignment="1">
      <alignment vertical="center" wrapText="1"/>
    </xf>
    <xf numFmtId="4" fontId="69" fillId="46" borderId="0" xfId="0" applyNumberFormat="1" applyFont="1" applyFill="1" applyAlignment="1">
      <alignment horizontal="right" vertical="top" wrapText="1"/>
    </xf>
    <xf numFmtId="0" fontId="66" fillId="41" borderId="0" xfId="0" applyFont="1" applyFill="1" applyAlignment="1">
      <alignment vertical="center"/>
    </xf>
    <xf numFmtId="0" fontId="1" fillId="41" borderId="0" xfId="0" applyFont="1" applyFill="1" applyAlignment="1">
      <alignment vertical="center"/>
    </xf>
    <xf numFmtId="0" fontId="1" fillId="41" borderId="0" xfId="0" applyFont="1" applyFill="1" applyAlignment="1">
      <alignment vertical="center" wrapText="1"/>
    </xf>
    <xf numFmtId="4" fontId="1" fillId="41" borderId="0" xfId="0" applyNumberFormat="1" applyFont="1" applyFill="1" applyAlignment="1">
      <alignment vertical="center"/>
    </xf>
    <xf numFmtId="0" fontId="0" fillId="11" borderId="0" xfId="0" applyFill="1" applyAlignment="1">
      <alignment vertical="center" wrapText="1"/>
    </xf>
    <xf numFmtId="0" fontId="66" fillId="41" borderId="0" xfId="0" applyFont="1" applyFill="1" applyAlignment="1">
      <alignment vertical="center" wrapText="1"/>
    </xf>
    <xf numFmtId="0" fontId="0" fillId="43" borderId="0" xfId="0" applyFill="1" applyAlignment="1">
      <alignment vertical="center" wrapText="1"/>
    </xf>
    <xf numFmtId="0" fontId="1" fillId="0" borderId="0" xfId="0" applyFont="1" applyAlignment="1">
      <alignment vertical="center"/>
    </xf>
    <xf numFmtId="169" fontId="65" fillId="41" borderId="0" xfId="0" applyNumberFormat="1" applyFont="1" applyFill="1" applyAlignment="1">
      <alignment vertical="center"/>
    </xf>
    <xf numFmtId="4" fontId="0" fillId="43" borderId="0" xfId="0" applyNumberFormat="1" applyFill="1" applyAlignment="1">
      <alignment vertical="center" wrapText="1"/>
    </xf>
    <xf numFmtId="0" fontId="71" fillId="0" borderId="0" xfId="0" applyFont="1"/>
    <xf numFmtId="0" fontId="72" fillId="37" borderId="0" xfId="0" applyFont="1" applyFill="1" applyAlignment="1">
      <alignment horizontal="center" vertical="center"/>
    </xf>
    <xf numFmtId="0" fontId="73" fillId="0" borderId="0" xfId="0" applyFont="1"/>
    <xf numFmtId="0" fontId="2" fillId="0" borderId="0" xfId="0" applyFont="1"/>
    <xf numFmtId="0" fontId="71" fillId="12" borderId="0" xfId="0" applyFont="1" applyFill="1"/>
    <xf numFmtId="0" fontId="74" fillId="4" borderId="4" xfId="10" applyFont="1" applyFill="1" applyBorder="1" applyAlignment="1">
      <alignment horizontal="center"/>
    </xf>
    <xf numFmtId="0" fontId="75" fillId="0" borderId="0" xfId="0" applyFont="1"/>
    <xf numFmtId="0" fontId="2" fillId="0" borderId="0" xfId="0" applyFont="1" applyAlignment="1">
      <alignment horizontal="right"/>
    </xf>
    <xf numFmtId="0" fontId="76" fillId="0" borderId="13" xfId="0" applyFont="1" applyBorder="1"/>
    <xf numFmtId="0" fontId="77" fillId="23" borderId="63" xfId="0" applyFont="1" applyFill="1" applyBorder="1" applyAlignment="1">
      <alignment horizontal="center" vertical="center"/>
    </xf>
    <xf numFmtId="0" fontId="77" fillId="23" borderId="64" xfId="0" applyFont="1" applyFill="1" applyBorder="1" applyAlignment="1">
      <alignment horizontal="center" vertical="center"/>
    </xf>
    <xf numFmtId="0" fontId="77" fillId="0" borderId="7" xfId="0" applyFont="1" applyBorder="1" applyAlignment="1">
      <alignment horizontal="center" vertical="center"/>
    </xf>
    <xf numFmtId="0" fontId="77" fillId="0" borderId="63" xfId="0" applyFont="1" applyBorder="1" applyAlignment="1">
      <alignment horizontal="center" vertical="center"/>
    </xf>
    <xf numFmtId="0" fontId="77" fillId="0" borderId="64" xfId="0" applyFont="1" applyBorder="1" applyAlignment="1">
      <alignment horizontal="center" vertical="center"/>
    </xf>
    <xf numFmtId="0" fontId="77" fillId="23" borderId="4" xfId="0" applyFont="1" applyFill="1" applyBorder="1" applyAlignment="1">
      <alignment horizontal="left" vertical="center"/>
    </xf>
    <xf numFmtId="0" fontId="71" fillId="0" borderId="65" xfId="0" applyFont="1" applyBorder="1" applyAlignment="1">
      <alignment horizontal="center" vertical="center"/>
    </xf>
    <xf numFmtId="1" fontId="71" fillId="0" borderId="65" xfId="0" applyNumberFormat="1" applyFont="1" applyBorder="1" applyAlignment="1">
      <alignment horizontal="center" vertical="center"/>
    </xf>
    <xf numFmtId="3" fontId="71" fillId="0" borderId="65" xfId="0" applyNumberFormat="1" applyFont="1" applyBorder="1" applyAlignment="1">
      <alignment horizontal="center" vertical="center"/>
    </xf>
    <xf numFmtId="1" fontId="71" fillId="0" borderId="7" xfId="0" applyNumberFormat="1" applyFont="1" applyBorder="1" applyAlignment="1">
      <alignment horizontal="center" vertical="center"/>
    </xf>
    <xf numFmtId="0" fontId="71" fillId="0" borderId="35" xfId="0" applyFont="1" applyBorder="1" applyAlignment="1">
      <alignment horizontal="left"/>
    </xf>
    <xf numFmtId="177" fontId="71" fillId="0" borderId="35" xfId="0" applyNumberFormat="1" applyFont="1" applyBorder="1" applyAlignment="1">
      <alignment horizontal="center" vertical="center"/>
    </xf>
    <xf numFmtId="177" fontId="71" fillId="0" borderId="0" xfId="0" applyNumberFormat="1" applyFont="1" applyAlignment="1">
      <alignment horizontal="center" vertical="center"/>
    </xf>
    <xf numFmtId="0" fontId="71" fillId="0" borderId="34" xfId="0" applyFont="1" applyBorder="1"/>
    <xf numFmtId="0" fontId="71" fillId="0" borderId="51" xfId="0" applyFont="1" applyBorder="1" applyAlignment="1">
      <alignment horizontal="left" vertical="center"/>
    </xf>
    <xf numFmtId="0" fontId="71" fillId="0" borderId="50" xfId="0" applyFont="1" applyBorder="1" applyAlignment="1">
      <alignment horizontal="left" vertical="center"/>
    </xf>
    <xf numFmtId="3" fontId="71" fillId="0" borderId="41" xfId="0" applyNumberFormat="1" applyFont="1" applyBorder="1" applyAlignment="1">
      <alignment horizontal="right" vertical="center"/>
    </xf>
    <xf numFmtId="3" fontId="71" fillId="0" borderId="7" xfId="0" applyNumberFormat="1" applyFont="1" applyBorder="1" applyAlignment="1">
      <alignment horizontal="center" vertical="center"/>
    </xf>
    <xf numFmtId="3" fontId="71" fillId="39" borderId="50" xfId="0" applyNumberFormat="1" applyFont="1" applyFill="1" applyBorder="1" applyAlignment="1">
      <alignment horizontal="right" vertical="center"/>
    </xf>
    <xf numFmtId="3" fontId="78" fillId="0" borderId="41" xfId="0" applyNumberFormat="1" applyFont="1" applyBorder="1" applyAlignment="1">
      <alignment horizontal="right" vertical="center"/>
    </xf>
    <xf numFmtId="0" fontId="71" fillId="0" borderId="5" xfId="0" applyFont="1" applyBorder="1"/>
    <xf numFmtId="0" fontId="71" fillId="0" borderId="66" xfId="0" applyFont="1" applyBorder="1" applyAlignment="1">
      <alignment horizontal="left" vertical="center"/>
    </xf>
    <xf numFmtId="3" fontId="71" fillId="0" borderId="45" xfId="0" applyNumberFormat="1" applyFont="1" applyBorder="1" applyAlignment="1">
      <alignment horizontal="right" vertical="center"/>
    </xf>
    <xf numFmtId="3" fontId="71" fillId="0" borderId="7" xfId="0" applyNumberFormat="1" applyFont="1" applyBorder="1" applyAlignment="1">
      <alignment horizontal="right" vertical="center"/>
    </xf>
    <xf numFmtId="3" fontId="77" fillId="0" borderId="7" xfId="0" applyNumberFormat="1" applyFont="1" applyBorder="1" applyAlignment="1">
      <alignment horizontal="right" vertical="center"/>
    </xf>
    <xf numFmtId="3" fontId="71" fillId="0" borderId="7" xfId="0" applyNumberFormat="1" applyFont="1" applyBorder="1" applyAlignment="1">
      <alignment vertical="center"/>
    </xf>
    <xf numFmtId="3" fontId="71" fillId="39" borderId="45" xfId="0" applyNumberFormat="1" applyFont="1" applyFill="1" applyBorder="1" applyAlignment="1">
      <alignment horizontal="right" vertical="center"/>
    </xf>
    <xf numFmtId="3" fontId="71" fillId="39" borderId="7" xfId="0" applyNumberFormat="1" applyFont="1" applyFill="1" applyBorder="1" applyAlignment="1">
      <alignment vertical="center"/>
    </xf>
    <xf numFmtId="0" fontId="71" fillId="0" borderId="45" xfId="0" applyFont="1" applyBorder="1" applyAlignment="1">
      <alignment horizontal="right" vertical="center"/>
    </xf>
    <xf numFmtId="0" fontId="73" fillId="0" borderId="5" xfId="0" applyFont="1" applyBorder="1"/>
    <xf numFmtId="0" fontId="79" fillId="38" borderId="66" xfId="0" applyFont="1" applyFill="1" applyBorder="1" applyAlignment="1">
      <alignment horizontal="left" vertical="center"/>
    </xf>
    <xf numFmtId="3" fontId="71" fillId="38" borderId="7" xfId="0" applyNumberFormat="1" applyFont="1" applyFill="1" applyBorder="1" applyAlignment="1">
      <alignment vertical="center"/>
    </xf>
    <xf numFmtId="3" fontId="73" fillId="38" borderId="7" xfId="0" applyNumberFormat="1" applyFont="1" applyFill="1" applyBorder="1" applyAlignment="1">
      <alignment horizontal="center" vertical="center"/>
    </xf>
    <xf numFmtId="1" fontId="71" fillId="0" borderId="45" xfId="0" applyNumberFormat="1" applyFont="1" applyBorder="1" applyAlignment="1">
      <alignment horizontal="left" vertical="center"/>
    </xf>
    <xf numFmtId="1" fontId="71" fillId="0" borderId="44" xfId="0" applyNumberFormat="1" applyFont="1" applyBorder="1"/>
    <xf numFmtId="1" fontId="71" fillId="0" borderId="7" xfId="0" applyNumberFormat="1" applyFont="1" applyBorder="1" applyAlignment="1">
      <alignment horizontal="center"/>
    </xf>
    <xf numFmtId="3" fontId="71" fillId="0" borderId="45" xfId="0" applyNumberFormat="1" applyFont="1" applyBorder="1" applyAlignment="1">
      <alignment horizontal="left" vertical="center"/>
    </xf>
    <xf numFmtId="0" fontId="71" fillId="0" borderId="7" xfId="0" applyFont="1" applyBorder="1" applyAlignment="1">
      <alignment horizontal="left" vertical="center"/>
    </xf>
    <xf numFmtId="3" fontId="71" fillId="38" borderId="45" xfId="0" applyNumberFormat="1" applyFont="1" applyFill="1" applyBorder="1" applyAlignment="1">
      <alignment horizontal="right" vertical="center"/>
    </xf>
    <xf numFmtId="3" fontId="27" fillId="0" borderId="0" xfId="0" applyNumberFormat="1" applyFont="1"/>
    <xf numFmtId="3" fontId="71" fillId="38" borderId="7" xfId="0" applyNumberFormat="1" applyFont="1" applyFill="1" applyBorder="1" applyAlignment="1">
      <alignment horizontal="center" vertical="center"/>
    </xf>
    <xf numFmtId="0" fontId="71" fillId="0" borderId="45" xfId="0" applyFont="1" applyBorder="1" applyAlignment="1">
      <alignment horizontal="left" vertical="center"/>
    </xf>
    <xf numFmtId="0" fontId="27" fillId="0" borderId="0" xfId="0" applyFont="1"/>
    <xf numFmtId="3" fontId="71" fillId="39" borderId="43" xfId="0" applyNumberFormat="1" applyFont="1" applyFill="1" applyBorder="1" applyAlignment="1">
      <alignment horizontal="right" vertical="center"/>
    </xf>
    <xf numFmtId="3" fontId="71" fillId="39" borderId="15" xfId="0" applyNumberFormat="1" applyFont="1" applyFill="1" applyBorder="1" applyAlignment="1">
      <alignment horizontal="right" vertical="center"/>
    </xf>
    <xf numFmtId="0" fontId="71" fillId="0" borderId="7" xfId="0" applyFont="1" applyBorder="1" applyAlignment="1">
      <alignment horizontal="right" vertical="center"/>
    </xf>
    <xf numFmtId="1" fontId="71" fillId="0" borderId="7" xfId="0" applyNumberFormat="1" applyFont="1" applyBorder="1" applyAlignment="1">
      <alignment horizontal="right" vertical="center"/>
    </xf>
    <xf numFmtId="1" fontId="71" fillId="39" borderId="45" xfId="0" applyNumberFormat="1" applyFont="1" applyFill="1" applyBorder="1" applyAlignment="1">
      <alignment horizontal="right" vertical="center"/>
    </xf>
    <xf numFmtId="1" fontId="71" fillId="0" borderId="45" xfId="0" applyNumberFormat="1" applyFont="1" applyBorder="1" applyAlignment="1">
      <alignment horizontal="right" vertical="center"/>
    </xf>
    <xf numFmtId="3" fontId="71" fillId="50" borderId="66" xfId="0" applyNumberFormat="1" applyFont="1" applyFill="1" applyBorder="1" applyAlignment="1">
      <alignment horizontal="left" vertical="center"/>
    </xf>
    <xf numFmtId="3" fontId="71" fillId="50" borderId="45" xfId="0" applyNumberFormat="1" applyFont="1" applyFill="1" applyBorder="1" applyAlignment="1">
      <alignment horizontal="right" vertical="center"/>
    </xf>
    <xf numFmtId="3" fontId="71" fillId="50" borderId="7" xfId="0" applyNumberFormat="1" applyFont="1" applyFill="1" applyBorder="1" applyAlignment="1">
      <alignment vertical="center"/>
    </xf>
    <xf numFmtId="3" fontId="71" fillId="50" borderId="7" xfId="0" applyNumberFormat="1" applyFont="1" applyFill="1" applyBorder="1" applyAlignment="1">
      <alignment horizontal="center" vertical="center"/>
    </xf>
    <xf numFmtId="0" fontId="71" fillId="0" borderId="43" xfId="0" applyFont="1" applyBorder="1" applyAlignment="1">
      <alignment horizontal="left" vertical="center"/>
    </xf>
    <xf numFmtId="0" fontId="71" fillId="0" borderId="11" xfId="0" applyFont="1" applyBorder="1"/>
    <xf numFmtId="0" fontId="71" fillId="0" borderId="67" xfId="0" applyFont="1" applyBorder="1" applyAlignment="1">
      <alignment horizontal="left" vertical="center"/>
    </xf>
    <xf numFmtId="3" fontId="71" fillId="0" borderId="47" xfId="0" applyNumberFormat="1" applyFont="1" applyBorder="1" applyAlignment="1">
      <alignment horizontal="right" vertical="center"/>
    </xf>
    <xf numFmtId="3" fontId="71" fillId="0" borderId="48" xfId="0" applyNumberFormat="1" applyFont="1" applyBorder="1" applyAlignment="1">
      <alignment vertical="center"/>
    </xf>
    <xf numFmtId="3" fontId="77" fillId="0" borderId="48" xfId="0" applyNumberFormat="1" applyFont="1" applyBorder="1" applyAlignment="1">
      <alignment vertical="center"/>
    </xf>
    <xf numFmtId="0" fontId="80" fillId="0" borderId="0" xfId="0" applyFont="1" applyAlignment="1">
      <alignment horizontal="left" vertical="center"/>
    </xf>
    <xf numFmtId="3" fontId="81" fillId="0" borderId="0" xfId="0" applyNumberFormat="1" applyFont="1" applyAlignment="1">
      <alignment vertical="center"/>
    </xf>
    <xf numFmtId="0" fontId="82" fillId="0" borderId="68" xfId="0" applyFont="1" applyBorder="1" applyAlignment="1">
      <alignment horizontal="left" vertical="center"/>
    </xf>
    <xf numFmtId="165" fontId="71" fillId="0" borderId="41" xfId="2" applyNumberFormat="1" applyFont="1" applyBorder="1" applyAlignment="1">
      <alignment horizontal="center" vertical="center"/>
    </xf>
    <xf numFmtId="165" fontId="71" fillId="0" borderId="42" xfId="2" applyNumberFormat="1" applyFont="1" applyBorder="1" applyAlignment="1">
      <alignment horizontal="center" vertical="center"/>
    </xf>
    <xf numFmtId="165" fontId="71" fillId="0" borderId="7" xfId="2" applyNumberFormat="1" applyFont="1" applyBorder="1" applyAlignment="1">
      <alignment horizontal="center" vertical="center"/>
    </xf>
    <xf numFmtId="165" fontId="24" fillId="0" borderId="0" xfId="0" applyNumberFormat="1" applyFont="1"/>
    <xf numFmtId="0" fontId="71" fillId="0" borderId="69" xfId="0" applyFont="1" applyBorder="1" applyAlignment="1">
      <alignment horizontal="left" vertical="center"/>
    </xf>
    <xf numFmtId="0" fontId="82" fillId="0" borderId="18" xfId="0" applyFont="1" applyBorder="1" applyAlignment="1">
      <alignment horizontal="left" vertical="center"/>
    </xf>
    <xf numFmtId="3" fontId="71" fillId="0" borderId="44" xfId="0" applyNumberFormat="1" applyFont="1" applyBorder="1" applyAlignment="1">
      <alignment horizontal="center" vertical="center"/>
    </xf>
    <xf numFmtId="0" fontId="82" fillId="0" borderId="70" xfId="0" applyFont="1" applyBorder="1" applyAlignment="1">
      <alignment horizontal="left" vertical="center"/>
    </xf>
    <xf numFmtId="168" fontId="71" fillId="0" borderId="48" xfId="2" applyNumberFormat="1" applyFont="1" applyBorder="1" applyAlignment="1">
      <alignment horizontal="center" vertical="center"/>
    </xf>
    <xf numFmtId="168" fontId="71" fillId="0" borderId="49" xfId="2" applyNumberFormat="1" applyFont="1" applyBorder="1" applyAlignment="1">
      <alignment horizontal="center" vertical="center"/>
    </xf>
    <xf numFmtId="168" fontId="71" fillId="0" borderId="7" xfId="2" applyNumberFormat="1" applyFont="1" applyBorder="1" applyAlignment="1">
      <alignment horizontal="center" vertical="center"/>
    </xf>
    <xf numFmtId="168" fontId="71" fillId="0" borderId="0" xfId="0" applyNumberFormat="1" applyFont="1" applyAlignment="1">
      <alignment horizontal="center"/>
    </xf>
    <xf numFmtId="0" fontId="71" fillId="0" borderId="0" xfId="0" applyFont="1" applyAlignment="1">
      <alignment horizontal="left" vertical="center"/>
    </xf>
    <xf numFmtId="168" fontId="81" fillId="0" borderId="0" xfId="2" applyNumberFormat="1" applyFont="1" applyAlignment="1">
      <alignment vertical="center"/>
    </xf>
    <xf numFmtId="168" fontId="81" fillId="0" borderId="0" xfId="2" applyNumberFormat="1" applyFont="1" applyAlignment="1">
      <alignment horizontal="center" vertical="center"/>
    </xf>
    <xf numFmtId="0" fontId="82" fillId="0" borderId="50" xfId="0" applyFont="1" applyBorder="1" applyAlignment="1">
      <alignment horizontal="center" vertical="center"/>
    </xf>
    <xf numFmtId="168" fontId="71" fillId="0" borderId="41" xfId="2" applyNumberFormat="1" applyFont="1" applyBorder="1" applyAlignment="1">
      <alignment horizontal="center" vertical="center"/>
    </xf>
    <xf numFmtId="0" fontId="71" fillId="0" borderId="0" xfId="0" applyFont="1" applyAlignment="1">
      <alignment horizontal="center"/>
    </xf>
    <xf numFmtId="0" fontId="73" fillId="0" borderId="0" xfId="0" applyFont="1" applyAlignment="1">
      <alignment horizontal="center"/>
    </xf>
    <xf numFmtId="0" fontId="82" fillId="0" borderId="47" xfId="0" applyFont="1" applyBorder="1" applyAlignment="1">
      <alignment horizontal="left" vertical="center"/>
    </xf>
    <xf numFmtId="167" fontId="71" fillId="0" borderId="0" xfId="0" applyNumberFormat="1" applyFont="1"/>
    <xf numFmtId="3" fontId="71" fillId="0" borderId="0" xfId="0" applyNumberFormat="1" applyFont="1"/>
    <xf numFmtId="165" fontId="71" fillId="0" borderId="0" xfId="0" applyNumberFormat="1" applyFont="1"/>
    <xf numFmtId="0" fontId="84" fillId="0" borderId="0" xfId="0" applyFont="1"/>
    <xf numFmtId="0" fontId="85" fillId="0" borderId="71" xfId="0" applyFont="1" applyBorder="1"/>
    <xf numFmtId="0" fontId="84" fillId="0" borderId="72" xfId="0" applyFont="1" applyBorder="1"/>
    <xf numFmtId="0" fontId="84" fillId="0" borderId="73" xfId="0" applyFont="1" applyBorder="1"/>
    <xf numFmtId="0" fontId="84" fillId="0" borderId="74" xfId="0" applyFont="1" applyBorder="1"/>
    <xf numFmtId="0" fontId="84" fillId="0" borderId="75" xfId="0" applyFont="1" applyBorder="1"/>
    <xf numFmtId="0" fontId="84" fillId="0" borderId="10" xfId="0" applyFont="1" applyBorder="1"/>
    <xf numFmtId="0" fontId="86" fillId="51" borderId="7" xfId="0" applyFont="1" applyFill="1" applyBorder="1" applyAlignment="1">
      <alignment horizontal="center"/>
    </xf>
    <xf numFmtId="0" fontId="84" fillId="0" borderId="24" xfId="0" applyFont="1" applyBorder="1"/>
    <xf numFmtId="0" fontId="84" fillId="0" borderId="76" xfId="0" applyFont="1" applyBorder="1"/>
    <xf numFmtId="178" fontId="86" fillId="51" borderId="7" xfId="0" applyNumberFormat="1" applyFont="1" applyFill="1" applyBorder="1" applyAlignment="1">
      <alignment horizontal="center" vertical="center"/>
    </xf>
    <xf numFmtId="0" fontId="86" fillId="51" borderId="7" xfId="0" applyFont="1" applyFill="1" applyBorder="1" applyAlignment="1">
      <alignment horizontal="center" vertical="center"/>
    </xf>
    <xf numFmtId="0" fontId="1" fillId="0" borderId="77" xfId="0" applyFont="1" applyBorder="1"/>
    <xf numFmtId="0" fontId="1" fillId="0" borderId="28" xfId="0" applyFont="1" applyBorder="1"/>
    <xf numFmtId="0" fontId="87" fillId="26" borderId="19" xfId="0" applyFont="1" applyFill="1" applyBorder="1" applyAlignment="1">
      <alignment horizontal="center" vertical="center"/>
    </xf>
    <xf numFmtId="178" fontId="87" fillId="26" borderId="19" xfId="0" applyNumberFormat="1" applyFont="1" applyFill="1" applyBorder="1" applyAlignment="1">
      <alignment horizontal="center" vertical="center"/>
    </xf>
    <xf numFmtId="0" fontId="1" fillId="52" borderId="28" xfId="0" applyFont="1" applyFill="1" applyBorder="1"/>
    <xf numFmtId="0" fontId="1" fillId="52" borderId="78" xfId="0" applyFont="1" applyFill="1" applyBorder="1"/>
    <xf numFmtId="0" fontId="88" fillId="53" borderId="7" xfId="0" applyFont="1" applyFill="1" applyBorder="1" applyAlignment="1">
      <alignment horizontal="center" vertical="center"/>
    </xf>
    <xf numFmtId="0" fontId="86" fillId="54" borderId="7" xfId="0" applyFont="1" applyFill="1" applyBorder="1" applyAlignment="1">
      <alignment horizontal="center" vertical="center" wrapText="1"/>
    </xf>
    <xf numFmtId="4" fontId="87" fillId="0" borderId="7" xfId="0" applyNumberFormat="1" applyFont="1" applyBorder="1" applyAlignment="1">
      <alignment horizontal="center" vertical="center" wrapText="1"/>
    </xf>
    <xf numFmtId="0" fontId="89" fillId="0" borderId="7" xfId="0" applyFont="1" applyBorder="1" applyAlignment="1">
      <alignment horizontal="center" vertical="center" wrapText="1"/>
    </xf>
    <xf numFmtId="0" fontId="89" fillId="0" borderId="17"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80" xfId="0" applyFont="1" applyBorder="1" applyAlignment="1">
      <alignment horizontal="center" vertical="center" wrapText="1"/>
    </xf>
    <xf numFmtId="0" fontId="90" fillId="55" borderId="79" xfId="0" applyFont="1" applyFill="1" applyBorder="1" applyAlignment="1">
      <alignment vertical="center"/>
    </xf>
    <xf numFmtId="0" fontId="90" fillId="55" borderId="7" xfId="0" applyFont="1" applyFill="1" applyBorder="1" applyAlignment="1">
      <alignment vertical="center"/>
    </xf>
    <xf numFmtId="179" fontId="87" fillId="55" borderId="7" xfId="1" applyNumberFormat="1" applyFont="1" applyFill="1" applyBorder="1" applyAlignment="1">
      <alignment vertical="center"/>
    </xf>
    <xf numFmtId="179" fontId="87" fillId="55" borderId="17" xfId="1" applyNumberFormat="1" applyFont="1" applyFill="1" applyBorder="1" applyAlignment="1">
      <alignment vertical="center"/>
    </xf>
    <xf numFmtId="179" fontId="87" fillId="55" borderId="15" xfId="1" applyNumberFormat="1" applyFont="1" applyFill="1" applyBorder="1" applyAlignment="1">
      <alignment vertical="center"/>
    </xf>
    <xf numFmtId="178" fontId="87" fillId="55" borderId="17" xfId="0" applyNumberFormat="1" applyFont="1" applyFill="1" applyBorder="1" applyAlignment="1">
      <alignment vertical="center"/>
    </xf>
    <xf numFmtId="178" fontId="87" fillId="55" borderId="15" xfId="0" applyNumberFormat="1" applyFont="1" applyFill="1" applyBorder="1" applyAlignment="1">
      <alignment vertical="center"/>
    </xf>
    <xf numFmtId="178" fontId="87" fillId="55" borderId="7" xfId="0" applyNumberFormat="1" applyFont="1" applyFill="1" applyBorder="1" applyAlignment="1">
      <alignment vertical="center"/>
    </xf>
    <xf numFmtId="178" fontId="87" fillId="55" borderId="17" xfId="1" applyNumberFormat="1" applyFont="1" applyFill="1" applyBorder="1" applyAlignment="1">
      <alignment vertical="center"/>
    </xf>
    <xf numFmtId="178" fontId="87" fillId="55" borderId="15" xfId="1" applyNumberFormat="1" applyFont="1" applyFill="1" applyBorder="1" applyAlignment="1">
      <alignment vertical="center"/>
    </xf>
    <xf numFmtId="0" fontId="87" fillId="55" borderId="7" xfId="0" applyFont="1" applyFill="1" applyBorder="1" applyAlignment="1">
      <alignment horizontal="center" vertical="center"/>
    </xf>
    <xf numFmtId="0" fontId="87" fillId="55" borderId="80" xfId="0" applyFont="1" applyFill="1" applyBorder="1" applyAlignment="1">
      <alignment horizontal="center" vertical="center"/>
    </xf>
    <xf numFmtId="0" fontId="1" fillId="0" borderId="81" xfId="0" applyFont="1" applyBorder="1"/>
    <xf numFmtId="0" fontId="84" fillId="0" borderId="14" xfId="0" applyFont="1" applyBorder="1" applyAlignment="1">
      <alignment horizontal="left" wrapText="1"/>
    </xf>
    <xf numFmtId="180" fontId="84" fillId="0" borderId="14" xfId="0" applyNumberFormat="1" applyFont="1" applyBorder="1" applyAlignment="1">
      <alignment horizontal="center"/>
    </xf>
    <xf numFmtId="180" fontId="84" fillId="0" borderId="14" xfId="0" applyNumberFormat="1" applyFont="1" applyBorder="1"/>
    <xf numFmtId="179" fontId="84" fillId="0" borderId="14" xfId="1" applyNumberFormat="1" applyFont="1" applyBorder="1"/>
    <xf numFmtId="179" fontId="84" fillId="0" borderId="82" xfId="1" applyNumberFormat="1" applyFont="1" applyBorder="1"/>
    <xf numFmtId="179" fontId="84" fillId="0" borderId="18" xfId="1" applyNumberFormat="1" applyFont="1" applyBorder="1"/>
    <xf numFmtId="178" fontId="84" fillId="0" borderId="7" xfId="0" applyNumberFormat="1" applyFont="1" applyBorder="1"/>
    <xf numFmtId="178" fontId="84" fillId="0" borderId="7" xfId="1" applyNumberFormat="1" applyFont="1" applyBorder="1"/>
    <xf numFmtId="0" fontId="84" fillId="0" borderId="14" xfId="0" applyFont="1" applyBorder="1"/>
    <xf numFmtId="0" fontId="1" fillId="0" borderId="83" xfId="0" applyFont="1" applyBorder="1"/>
    <xf numFmtId="0" fontId="86" fillId="53" borderId="15" xfId="0" applyFont="1" applyFill="1" applyBorder="1" applyAlignment="1">
      <alignment horizontal="center" vertical="center" wrapText="1"/>
    </xf>
    <xf numFmtId="0" fontId="86" fillId="53" borderId="7" xfId="0" applyFont="1" applyFill="1" applyBorder="1" applyAlignment="1">
      <alignment horizontal="center" vertical="center"/>
    </xf>
    <xf numFmtId="1" fontId="1" fillId="0" borderId="84" xfId="0" applyNumberFormat="1" applyFont="1" applyBorder="1"/>
    <xf numFmtId="0" fontId="84" fillId="0" borderId="23" xfId="0" applyFont="1" applyBorder="1" applyAlignment="1">
      <alignment horizontal="left" wrapText="1"/>
    </xf>
    <xf numFmtId="180" fontId="84" fillId="0" borderId="23" xfId="0" applyNumberFormat="1" applyFont="1" applyBorder="1" applyAlignment="1">
      <alignment horizontal="center"/>
    </xf>
    <xf numFmtId="180" fontId="84" fillId="0" borderId="23" xfId="0" applyNumberFormat="1" applyFont="1" applyBorder="1"/>
    <xf numFmtId="179" fontId="84" fillId="0" borderId="23" xfId="1" applyNumberFormat="1" applyFont="1" applyBorder="1"/>
    <xf numFmtId="179" fontId="84" fillId="0" borderId="24" xfId="1" applyNumberFormat="1" applyFont="1" applyBorder="1"/>
    <xf numFmtId="179" fontId="84" fillId="0" borderId="10" xfId="1" applyNumberFormat="1" applyFont="1" applyBorder="1"/>
    <xf numFmtId="0" fontId="84" fillId="0" borderId="23" xfId="0" applyFont="1" applyBorder="1"/>
    <xf numFmtId="0" fontId="1" fillId="0" borderId="85" xfId="0" applyFont="1" applyBorder="1"/>
    <xf numFmtId="3" fontId="84" fillId="0" borderId="0" xfId="0" applyNumberFormat="1" applyFont="1"/>
    <xf numFmtId="3" fontId="84" fillId="0" borderId="86" xfId="0" applyNumberFormat="1" applyFont="1" applyBorder="1"/>
    <xf numFmtId="178" fontId="84" fillId="0" borderId="14" xfId="0" applyNumberFormat="1" applyFont="1" applyBorder="1"/>
    <xf numFmtId="0" fontId="84" fillId="0" borderId="87" xfId="0" applyFont="1" applyBorder="1"/>
    <xf numFmtId="0" fontId="84" fillId="0" borderId="88" xfId="0" applyFont="1" applyBorder="1"/>
    <xf numFmtId="0" fontId="84" fillId="0" borderId="89" xfId="0" applyFont="1" applyBorder="1"/>
    <xf numFmtId="0" fontId="84" fillId="0" borderId="0" xfId="0" applyFont="1" applyAlignment="1">
      <alignment wrapText="1"/>
    </xf>
    <xf numFmtId="0" fontId="91" fillId="0" borderId="90" xfId="0" applyFont="1" applyBorder="1"/>
    <xf numFmtId="0" fontId="84" fillId="0" borderId="91" xfId="0" applyFont="1" applyBorder="1"/>
    <xf numFmtId="3" fontId="84" fillId="0" borderId="28" xfId="0" applyNumberFormat="1" applyFont="1" applyBorder="1"/>
    <xf numFmtId="0" fontId="84" fillId="0" borderId="90" xfId="0" applyFont="1" applyBorder="1"/>
    <xf numFmtId="178" fontId="84" fillId="0" borderId="91" xfId="0" applyNumberFormat="1" applyFont="1" applyBorder="1"/>
    <xf numFmtId="0" fontId="87" fillId="55" borderId="19" xfId="0" applyFont="1" applyFill="1" applyBorder="1" applyAlignment="1">
      <alignment horizontal="center" vertical="center"/>
    </xf>
    <xf numFmtId="181" fontId="87" fillId="55" borderId="17" xfId="0" applyNumberFormat="1" applyFont="1" applyFill="1" applyBorder="1" applyAlignment="1">
      <alignment vertical="center"/>
    </xf>
    <xf numFmtId="0" fontId="84" fillId="0" borderId="92" xfId="0" applyFont="1" applyBorder="1"/>
    <xf numFmtId="178" fontId="84" fillId="0" borderId="93" xfId="0" applyNumberFormat="1" applyFont="1" applyBorder="1"/>
    <xf numFmtId="178" fontId="84" fillId="0" borderId="0" xfId="0" applyNumberFormat="1" applyFont="1"/>
    <xf numFmtId="0" fontId="92" fillId="0" borderId="94" xfId="0" applyFont="1" applyBorder="1"/>
    <xf numFmtId="0" fontId="84" fillId="0" borderId="95" xfId="0" applyFont="1" applyBorder="1"/>
    <xf numFmtId="0" fontId="86" fillId="51" borderId="96" xfId="0" applyFont="1" applyFill="1" applyBorder="1" applyAlignment="1">
      <alignment horizontal="center"/>
    </xf>
    <xf numFmtId="0" fontId="84" fillId="0" borderId="97" xfId="0" applyFont="1" applyBorder="1"/>
    <xf numFmtId="0" fontId="84" fillId="0" borderId="98" xfId="0" applyFont="1" applyBorder="1"/>
    <xf numFmtId="0" fontId="84" fillId="0" borderId="99" xfId="0" applyFont="1" applyBorder="1"/>
    <xf numFmtId="0" fontId="1" fillId="0" borderId="98" xfId="0" applyFont="1" applyBorder="1"/>
    <xf numFmtId="0" fontId="87" fillId="26" borderId="0" xfId="0" applyFont="1" applyFill="1" applyAlignment="1">
      <alignment horizontal="center" vertical="center"/>
    </xf>
    <xf numFmtId="178" fontId="87" fillId="26" borderId="0" xfId="0" applyNumberFormat="1" applyFont="1" applyFill="1" applyAlignment="1">
      <alignment horizontal="center" vertical="center"/>
    </xf>
    <xf numFmtId="0" fontId="1" fillId="52" borderId="0" xfId="0" applyFont="1" applyFill="1"/>
    <xf numFmtId="0" fontId="1" fillId="52" borderId="99" xfId="0" applyFont="1" applyFill="1" applyBorder="1"/>
    <xf numFmtId="182" fontId="84" fillId="0" borderId="0" xfId="0" applyNumberFormat="1" applyFont="1"/>
    <xf numFmtId="0" fontId="84" fillId="0" borderId="0" xfId="0" applyFont="1" applyAlignment="1">
      <alignment horizontal="center" vertical="center"/>
    </xf>
    <xf numFmtId="0" fontId="89" fillId="0" borderId="101" xfId="0" applyFont="1" applyBorder="1" applyAlignment="1">
      <alignment horizontal="center" vertical="center" wrapText="1"/>
    </xf>
    <xf numFmtId="0" fontId="84" fillId="0" borderId="0" xfId="0" applyFont="1" applyAlignment="1">
      <alignment horizontal="left" vertical="center"/>
    </xf>
    <xf numFmtId="0" fontId="90" fillId="55" borderId="102" xfId="0" applyFont="1" applyFill="1" applyBorder="1" applyAlignment="1">
      <alignment vertical="center"/>
    </xf>
    <xf numFmtId="0" fontId="90" fillId="55" borderId="17" xfId="0" applyFont="1" applyFill="1" applyBorder="1" applyAlignment="1">
      <alignment vertical="center"/>
    </xf>
    <xf numFmtId="179" fontId="87" fillId="55" borderId="19" xfId="1" applyNumberFormat="1" applyFont="1" applyFill="1" applyBorder="1" applyAlignment="1">
      <alignment vertical="center"/>
    </xf>
    <xf numFmtId="0" fontId="87" fillId="55" borderId="15" xfId="0" applyFont="1" applyFill="1" applyBorder="1" applyAlignment="1">
      <alignment horizontal="center" vertical="center"/>
    </xf>
    <xf numFmtId="0" fontId="87" fillId="55" borderId="101" xfId="0" applyFont="1" applyFill="1" applyBorder="1" applyAlignment="1">
      <alignment horizontal="center" vertical="center"/>
    </xf>
    <xf numFmtId="1" fontId="1" fillId="0" borderId="98" xfId="0" applyNumberFormat="1" applyFont="1" applyBorder="1"/>
    <xf numFmtId="49" fontId="84" fillId="0" borderId="82" xfId="0" applyNumberFormat="1" applyFont="1" applyBorder="1" applyAlignment="1">
      <alignment horizontal="left" wrapText="1"/>
    </xf>
    <xf numFmtId="179" fontId="84" fillId="0" borderId="0" xfId="1" applyNumberFormat="1" applyFont="1"/>
    <xf numFmtId="0" fontId="84" fillId="0" borderId="18" xfId="0" applyFont="1" applyBorder="1"/>
    <xf numFmtId="0" fontId="1" fillId="0" borderId="99" xfId="0" applyFont="1" applyBorder="1"/>
    <xf numFmtId="0" fontId="1" fillId="0" borderId="86" xfId="0" applyFont="1" applyBorder="1"/>
    <xf numFmtId="0" fontId="84" fillId="0" borderId="24" xfId="0" applyFont="1" applyBorder="1" applyAlignment="1">
      <alignment horizontal="left" wrapText="1"/>
    </xf>
    <xf numFmtId="0" fontId="1" fillId="0" borderId="103" xfId="0" applyFont="1" applyBorder="1"/>
    <xf numFmtId="0" fontId="1" fillId="0" borderId="104" xfId="0" applyFont="1" applyBorder="1"/>
    <xf numFmtId="0" fontId="84" fillId="0" borderId="105" xfId="0" applyFont="1" applyBorder="1" applyAlignment="1">
      <alignment horizontal="left" indent="15"/>
    </xf>
    <xf numFmtId="0" fontId="84" fillId="0" borderId="106" xfId="0" applyFont="1" applyBorder="1" applyAlignment="1">
      <alignment horizontal="left" indent="15"/>
    </xf>
    <xf numFmtId="180" fontId="84" fillId="0" borderId="107" xfId="0" applyNumberFormat="1" applyFont="1" applyBorder="1" applyAlignment="1">
      <alignment horizontal="center"/>
    </xf>
    <xf numFmtId="180" fontId="84" fillId="0" borderId="107" xfId="0" applyNumberFormat="1" applyFont="1" applyBorder="1"/>
    <xf numFmtId="179" fontId="84" fillId="0" borderId="107" xfId="1" applyNumberFormat="1" applyFont="1" applyBorder="1"/>
    <xf numFmtId="179" fontId="84" fillId="0" borderId="108" xfId="1" applyNumberFormat="1" applyFont="1" applyBorder="1"/>
    <xf numFmtId="178" fontId="84" fillId="0" borderId="109" xfId="0" applyNumberFormat="1" applyFont="1" applyBorder="1"/>
    <xf numFmtId="178" fontId="84" fillId="0" borderId="109" xfId="1" applyNumberFormat="1" applyFont="1" applyBorder="1"/>
    <xf numFmtId="0" fontId="84" fillId="0" borderId="107" xfId="0" applyFont="1" applyBorder="1"/>
    <xf numFmtId="0" fontId="84" fillId="0" borderId="110" xfId="0" applyFont="1" applyBorder="1"/>
    <xf numFmtId="0" fontId="1" fillId="0" borderId="111" xfId="0" applyFont="1" applyBorder="1"/>
    <xf numFmtId="0" fontId="0" fillId="0" borderId="0" xfId="0" applyAlignment="1">
      <alignment vertical="top"/>
    </xf>
    <xf numFmtId="168" fontId="0" fillId="0" borderId="0" xfId="0" applyNumberFormat="1" applyAlignment="1">
      <alignment vertical="top"/>
    </xf>
    <xf numFmtId="183" fontId="0" fillId="0" borderId="0" xfId="0" applyNumberFormat="1" applyAlignment="1">
      <alignment horizontal="center" vertical="top"/>
    </xf>
    <xf numFmtId="183" fontId="0" fillId="0" borderId="0" xfId="0" applyNumberFormat="1" applyAlignment="1">
      <alignment vertical="top"/>
    </xf>
    <xf numFmtId="0" fontId="0" fillId="0" borderId="0" xfId="0" applyAlignment="1">
      <alignment vertical="top" wrapText="1"/>
    </xf>
    <xf numFmtId="0" fontId="0" fillId="41" borderId="0" xfId="0" applyFill="1" applyAlignment="1">
      <alignment vertical="top" wrapText="1"/>
    </xf>
    <xf numFmtId="0" fontId="0" fillId="41" borderId="0" xfId="0" applyFill="1" applyAlignment="1">
      <alignment vertical="top"/>
    </xf>
    <xf numFmtId="4" fontId="0" fillId="41" borderId="0" xfId="0" applyNumberFormat="1" applyFill="1" applyAlignment="1">
      <alignment vertical="top" wrapText="1"/>
    </xf>
    <xf numFmtId="168" fontId="0" fillId="41" borderId="0" xfId="0" applyNumberFormat="1" applyFill="1" applyAlignment="1">
      <alignment vertical="top" wrapText="1"/>
    </xf>
    <xf numFmtId="3" fontId="0" fillId="0" borderId="0" xfId="0" applyNumberFormat="1" applyAlignment="1">
      <alignment vertical="top" wrapText="1"/>
    </xf>
    <xf numFmtId="183" fontId="0" fillId="0" borderId="0" xfId="0" applyNumberFormat="1" applyAlignment="1">
      <alignment horizontal="center" vertical="top" textRotation="90" wrapText="1"/>
    </xf>
    <xf numFmtId="183" fontId="0" fillId="0" borderId="0" xfId="0" applyNumberFormat="1" applyAlignment="1">
      <alignment horizontal="right" vertical="top" textRotation="90" wrapText="1"/>
    </xf>
    <xf numFmtId="0" fontId="66" fillId="0" borderId="0" xfId="0" applyFont="1" applyAlignment="1">
      <alignment vertical="center" wrapText="1"/>
    </xf>
    <xf numFmtId="184" fontId="0" fillId="0" borderId="0" xfId="0" applyNumberFormat="1" applyAlignment="1">
      <alignment vertical="center"/>
    </xf>
    <xf numFmtId="183" fontId="93" fillId="0" borderId="0" xfId="0" applyNumberFormat="1" applyFont="1" applyAlignment="1">
      <alignment horizontal="center" vertical="center"/>
    </xf>
    <xf numFmtId="0" fontId="65" fillId="0" borderId="0" xfId="0" applyFont="1" applyAlignment="1">
      <alignment vertical="center" wrapText="1"/>
    </xf>
    <xf numFmtId="0" fontId="1" fillId="0" borderId="0" xfId="0" applyFont="1" applyAlignment="1">
      <alignment vertical="center" wrapText="1"/>
    </xf>
    <xf numFmtId="184" fontId="66" fillId="0" borderId="0" xfId="0" applyNumberFormat="1" applyFont="1" applyAlignment="1">
      <alignment vertical="center"/>
    </xf>
    <xf numFmtId="176" fontId="0" fillId="56" borderId="0" xfId="0" applyNumberFormat="1" applyFill="1" applyAlignment="1">
      <alignment vertical="center" wrapText="1"/>
    </xf>
    <xf numFmtId="184" fontId="0" fillId="0" borderId="0" xfId="0" applyNumberFormat="1" applyAlignment="1">
      <alignment vertical="center" wrapText="1"/>
    </xf>
    <xf numFmtId="0" fontId="66" fillId="0" borderId="0" xfId="0" applyFont="1" applyAlignment="1">
      <alignment horizontal="left" vertical="center" wrapText="1"/>
    </xf>
    <xf numFmtId="0" fontId="66" fillId="0" borderId="0" xfId="0" applyFont="1" applyAlignment="1">
      <alignment vertical="center"/>
    </xf>
    <xf numFmtId="0" fontId="0" fillId="47" borderId="0" xfId="0" applyFill="1" applyAlignment="1">
      <alignment vertical="center"/>
    </xf>
    <xf numFmtId="0" fontId="0" fillId="47" borderId="0" xfId="0" applyFill="1" applyAlignment="1">
      <alignment vertical="center" wrapText="1"/>
    </xf>
    <xf numFmtId="4" fontId="0" fillId="47" borderId="0" xfId="0" applyNumberFormat="1" applyFill="1" applyAlignment="1">
      <alignment vertical="center"/>
    </xf>
    <xf numFmtId="168" fontId="0" fillId="47" borderId="0" xfId="0" applyNumberFormat="1" applyFill="1" applyAlignment="1">
      <alignment vertical="center"/>
    </xf>
    <xf numFmtId="4" fontId="66" fillId="47" borderId="0" xfId="0" applyNumberFormat="1" applyFont="1" applyFill="1" applyAlignment="1">
      <alignment vertical="center"/>
    </xf>
    <xf numFmtId="0" fontId="94" fillId="41" borderId="0" xfId="0" applyFont="1" applyFill="1" applyAlignment="1">
      <alignment vertical="center" wrapText="1"/>
    </xf>
    <xf numFmtId="168" fontId="1" fillId="41" borderId="0" xfId="0" applyNumberFormat="1" applyFont="1" applyFill="1" applyAlignment="1">
      <alignment vertical="center"/>
    </xf>
    <xf numFmtId="0" fontId="95" fillId="41" borderId="0" xfId="0" applyFont="1" applyFill="1" applyAlignment="1">
      <alignment vertical="center" wrapText="1"/>
    </xf>
    <xf numFmtId="16" fontId="0" fillId="0" borderId="0" xfId="0" applyNumberFormat="1" applyAlignment="1">
      <alignment vertical="center"/>
    </xf>
    <xf numFmtId="16" fontId="0" fillId="0" borderId="0" xfId="0" applyNumberFormat="1" applyAlignment="1">
      <alignment vertical="center"/>
    </xf>
    <xf numFmtId="183" fontId="0" fillId="0" borderId="0" xfId="0" applyNumberFormat="1" applyAlignment="1">
      <alignment horizontal="center" vertical="center"/>
    </xf>
    <xf numFmtId="183" fontId="0" fillId="0" borderId="0" xfId="0" applyNumberFormat="1" applyAlignment="1">
      <alignment vertical="center"/>
    </xf>
    <xf numFmtId="0" fontId="23" fillId="41" borderId="0" xfId="0" applyFont="1" applyFill="1" applyAlignment="1">
      <alignment vertical="center"/>
    </xf>
    <xf numFmtId="3" fontId="20" fillId="12" borderId="7" xfId="0" applyNumberFormat="1" applyFont="1" applyFill="1" applyBorder="1" applyAlignment="1">
      <alignment horizontal="center" vertical="center" wrapText="1"/>
    </xf>
    <xf numFmtId="3" fontId="20" fillId="12" borderId="17" xfId="0" applyNumberFormat="1" applyFont="1" applyFill="1" applyBorder="1" applyAlignment="1">
      <alignment horizontal="center" vertical="center" wrapText="1"/>
    </xf>
    <xf numFmtId="0" fontId="96" fillId="41" borderId="0" xfId="0" applyFont="1" applyFill="1" applyAlignment="1">
      <alignment vertical="center"/>
    </xf>
    <xf numFmtId="0" fontId="0" fillId="28" borderId="0" xfId="0" applyFill="1" applyAlignment="1">
      <alignment vertical="center"/>
    </xf>
    <xf numFmtId="0" fontId="71" fillId="0" borderId="0" xfId="0" applyFont="1" applyAlignment="1">
      <alignment vertical="center" wrapText="1"/>
    </xf>
    <xf numFmtId="172" fontId="0" fillId="43" borderId="0" xfId="0" applyNumberFormat="1" applyFill="1" applyAlignment="1">
      <alignment vertical="center"/>
    </xf>
    <xf numFmtId="168" fontId="0" fillId="0" borderId="0" xfId="0" applyNumberFormat="1" applyAlignment="1">
      <alignment vertical="center" wrapText="1"/>
    </xf>
    <xf numFmtId="0" fontId="7" fillId="41" borderId="0" xfId="0" applyFont="1" applyFill="1" applyAlignment="1">
      <alignment vertical="center" wrapText="1"/>
    </xf>
    <xf numFmtId="0" fontId="10" fillId="41" borderId="0" xfId="0" applyFont="1" applyFill="1" applyAlignment="1">
      <alignment vertical="center" wrapText="1"/>
    </xf>
    <xf numFmtId="0" fontId="23" fillId="41" borderId="0" xfId="0" applyFont="1" applyFill="1" applyAlignment="1">
      <alignment vertical="center" wrapText="1"/>
    </xf>
    <xf numFmtId="0" fontId="3" fillId="28" borderId="0" xfId="0" applyFont="1" applyFill="1" applyAlignment="1">
      <alignment vertical="center"/>
    </xf>
    <xf numFmtId="185" fontId="0" fillId="41" borderId="0" xfId="0" applyNumberFormat="1" applyFill="1" applyAlignment="1">
      <alignment vertical="center"/>
    </xf>
    <xf numFmtId="186" fontId="0" fillId="41" borderId="0" xfId="0" applyNumberFormat="1" applyFill="1" applyAlignment="1">
      <alignment vertical="center"/>
    </xf>
    <xf numFmtId="4" fontId="40" fillId="24" borderId="0" xfId="0" applyNumberFormat="1" applyFont="1" applyFill="1" applyAlignment="1">
      <alignment horizontal="center" vertical="center" wrapText="1"/>
    </xf>
    <xf numFmtId="0" fontId="15" fillId="0" borderId="0" xfId="0" applyFont="1" applyAlignment="1">
      <alignment vertical="top"/>
    </xf>
    <xf numFmtId="0" fontId="15" fillId="0" borderId="0" xfId="0" applyFont="1" applyAlignment="1">
      <alignment vertical="top" wrapText="1"/>
    </xf>
    <xf numFmtId="187" fontId="15" fillId="0" borderId="0" xfId="0" applyNumberFormat="1" applyFont="1" applyAlignment="1">
      <alignment vertical="top"/>
    </xf>
    <xf numFmtId="187" fontId="15" fillId="0" borderId="112" xfId="0" applyNumberFormat="1" applyFont="1" applyBorder="1" applyAlignment="1">
      <alignment vertical="top"/>
    </xf>
    <xf numFmtId="187" fontId="15" fillId="0" borderId="0" xfId="0" applyNumberFormat="1" applyFont="1"/>
    <xf numFmtId="4" fontId="15" fillId="0" borderId="0" xfId="0" applyNumberFormat="1" applyFont="1"/>
    <xf numFmtId="165" fontId="15" fillId="0" borderId="0" xfId="0" applyNumberFormat="1" applyFont="1" applyAlignment="1">
      <alignment vertical="top"/>
    </xf>
    <xf numFmtId="21" fontId="15" fillId="0" borderId="0" xfId="0" applyNumberFormat="1" applyFont="1" applyAlignment="1">
      <alignment vertical="top"/>
    </xf>
    <xf numFmtId="21" fontId="15" fillId="0" borderId="0" xfId="0" applyNumberFormat="1" applyFont="1"/>
    <xf numFmtId="0" fontId="97" fillId="0" borderId="0" xfId="0" applyFont="1"/>
    <xf numFmtId="0" fontId="15" fillId="46" borderId="0" xfId="0" applyFont="1" applyFill="1" applyAlignment="1">
      <alignment vertical="top"/>
    </xf>
    <xf numFmtId="0" fontId="15" fillId="46" borderId="0" xfId="0" applyFont="1" applyFill="1" applyAlignment="1">
      <alignment vertical="top" wrapText="1"/>
    </xf>
    <xf numFmtId="4" fontId="15" fillId="46" borderId="0" xfId="0" applyNumberFormat="1" applyFont="1" applyFill="1" applyAlignment="1">
      <alignment vertical="top"/>
    </xf>
    <xf numFmtId="0" fontId="98" fillId="46" borderId="0" xfId="0" applyFont="1" applyFill="1" applyAlignment="1">
      <alignment vertical="top"/>
    </xf>
    <xf numFmtId="4" fontId="98" fillId="46" borderId="0" xfId="0" applyNumberFormat="1" applyFont="1" applyFill="1" applyAlignment="1">
      <alignment vertical="top"/>
    </xf>
    <xf numFmtId="0" fontId="12" fillId="0" borderId="0" xfId="0" applyFont="1" applyAlignment="1">
      <alignment horizontal="left"/>
    </xf>
    <xf numFmtId="0" fontId="12" fillId="0" borderId="0" xfId="0" applyFont="1" applyAlignment="1">
      <alignment horizontal="right"/>
    </xf>
    <xf numFmtId="0" fontId="12" fillId="0" borderId="51" xfId="0" applyFont="1" applyBorder="1" applyAlignment="1">
      <alignment horizontal="center" vertical="center" wrapText="1"/>
    </xf>
    <xf numFmtId="0" fontId="12" fillId="15" borderId="68" xfId="0" applyFont="1" applyFill="1" applyBorder="1" applyAlignment="1">
      <alignment horizontal="center" vertical="center" wrapText="1"/>
    </xf>
    <xf numFmtId="0" fontId="12" fillId="15" borderId="41" xfId="0" applyFont="1" applyFill="1" applyBorder="1" applyAlignment="1">
      <alignment horizontal="center" vertical="center" wrapText="1"/>
    </xf>
    <xf numFmtId="0" fontId="12" fillId="15" borderId="42"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3" fillId="0" borderId="43" xfId="0" applyFont="1" applyBorder="1"/>
    <xf numFmtId="3" fontId="12" fillId="0" borderId="45"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0" fontId="12" fillId="0" borderId="43" xfId="0" applyFont="1" applyBorder="1"/>
    <xf numFmtId="3" fontId="12" fillId="39" borderId="43" xfId="0" applyNumberFormat="1" applyFont="1" applyFill="1" applyBorder="1"/>
    <xf numFmtId="3" fontId="12" fillId="0" borderId="7" xfId="0" applyNumberFormat="1" applyFont="1" applyBorder="1"/>
    <xf numFmtId="0" fontId="13" fillId="0" borderId="43" xfId="0" applyFont="1" applyBorder="1" applyAlignment="1">
      <alignment horizontal="left" vertical="center" wrapText="1"/>
    </xf>
    <xf numFmtId="0" fontId="12" fillId="0" borderId="43" xfId="0" applyFont="1" applyBorder="1" applyAlignment="1">
      <alignment horizontal="left" vertical="center" wrapText="1"/>
    </xf>
    <xf numFmtId="3" fontId="12" fillId="0" borderId="15" xfId="0" applyNumberFormat="1" applyFont="1" applyBorder="1" applyAlignment="1">
      <alignment horizontal="center" vertical="center" wrapText="1"/>
    </xf>
    <xf numFmtId="3" fontId="12" fillId="0" borderId="114" xfId="0" applyNumberFormat="1" applyFont="1" applyBorder="1" applyAlignment="1">
      <alignment horizontal="center" vertical="center" wrapText="1"/>
    </xf>
    <xf numFmtId="3" fontId="12" fillId="0" borderId="0" xfId="0" applyNumberFormat="1" applyFont="1"/>
    <xf numFmtId="0" fontId="13" fillId="2" borderId="43" xfId="0" applyFont="1" applyFill="1" applyBorder="1" applyAlignment="1">
      <alignment vertical="center" wrapText="1"/>
    </xf>
    <xf numFmtId="3" fontId="12" fillId="2" borderId="45" xfId="0" applyNumberFormat="1" applyFont="1" applyFill="1" applyBorder="1" applyAlignment="1">
      <alignment horizontal="center" vertical="center" wrapText="1"/>
    </xf>
    <xf numFmtId="3" fontId="12" fillId="2" borderId="7" xfId="0" applyNumberFormat="1" applyFont="1" applyFill="1" applyBorder="1" applyAlignment="1">
      <alignment horizontal="center" vertical="center" wrapText="1"/>
    </xf>
    <xf numFmtId="3" fontId="12" fillId="2" borderId="15" xfId="0" applyNumberFormat="1" applyFont="1" applyFill="1" applyBorder="1" applyAlignment="1">
      <alignment horizontal="center" vertical="center" wrapText="1"/>
    </xf>
    <xf numFmtId="3" fontId="12" fillId="2" borderId="114" xfId="0" applyNumberFormat="1" applyFont="1" applyFill="1" applyBorder="1" applyAlignment="1">
      <alignment horizontal="center" vertical="center" wrapText="1"/>
    </xf>
    <xf numFmtId="0" fontId="12" fillId="58" borderId="43" xfId="0" applyFont="1" applyFill="1" applyBorder="1" applyAlignment="1">
      <alignment horizontal="left" vertical="center" wrapText="1"/>
    </xf>
    <xf numFmtId="1" fontId="12" fillId="58" borderId="115" xfId="0" applyNumberFormat="1" applyFont="1" applyFill="1" applyBorder="1" applyAlignment="1">
      <alignment horizontal="center" vertical="center" wrapText="1"/>
    </xf>
    <xf numFmtId="1" fontId="12" fillId="58" borderId="7" xfId="0" applyNumberFormat="1" applyFont="1" applyFill="1" applyBorder="1" applyAlignment="1">
      <alignment horizontal="center" vertical="center" wrapText="1"/>
    </xf>
    <xf numFmtId="1" fontId="12" fillId="58" borderId="44" xfId="0" applyNumberFormat="1" applyFont="1" applyFill="1" applyBorder="1" applyAlignment="1">
      <alignment horizontal="center" vertical="center" wrapText="1"/>
    </xf>
    <xf numFmtId="3" fontId="12" fillId="39" borderId="43" xfId="0" applyNumberFormat="1" applyFont="1" applyFill="1" applyBorder="1" applyAlignment="1">
      <alignment horizontal="right" vertical="center" wrapText="1"/>
    </xf>
    <xf numFmtId="3" fontId="12" fillId="0" borderId="115" xfId="0" applyNumberFormat="1" applyFont="1" applyBorder="1" applyAlignment="1">
      <alignment horizontal="center" vertical="center" wrapText="1"/>
    </xf>
    <xf numFmtId="3" fontId="12" fillId="0" borderId="15" xfId="0" applyNumberFormat="1" applyFont="1" applyBorder="1"/>
    <xf numFmtId="3" fontId="12" fillId="0" borderId="15" xfId="0" applyNumberFormat="1" applyFont="1" applyBorder="1" applyAlignment="1">
      <alignment horizontal="center"/>
    </xf>
    <xf numFmtId="3" fontId="49" fillId="5" borderId="15" xfId="0" applyNumberFormat="1" applyFont="1" applyFill="1" applyBorder="1" applyAlignment="1">
      <alignment horizontal="center" vertical="center" wrapText="1"/>
    </xf>
    <xf numFmtId="0" fontId="13" fillId="60" borderId="46" xfId="0" applyFont="1" applyFill="1" applyBorder="1" applyAlignment="1">
      <alignment horizontal="left" vertical="center" wrapText="1"/>
    </xf>
    <xf numFmtId="3" fontId="12" fillId="60" borderId="116" xfId="0" applyNumberFormat="1" applyFont="1" applyFill="1" applyBorder="1" applyAlignment="1">
      <alignment horizontal="center" vertical="center" wrapText="1"/>
    </xf>
    <xf numFmtId="3" fontId="12" fillId="60" borderId="48" xfId="0" applyNumberFormat="1" applyFont="1" applyFill="1" applyBorder="1" applyAlignment="1">
      <alignment horizontal="center" vertical="center" wrapText="1"/>
    </xf>
    <xf numFmtId="3" fontId="12" fillId="60" borderId="70" xfId="0" applyNumberFormat="1" applyFont="1" applyFill="1" applyBorder="1" applyAlignment="1">
      <alignment horizontal="center" vertical="center" wrapText="1"/>
    </xf>
    <xf numFmtId="3" fontId="12" fillId="60" borderId="117" xfId="0" applyNumberFormat="1" applyFont="1" applyFill="1" applyBorder="1" applyAlignment="1">
      <alignment horizontal="center" vertical="center" wrapText="1"/>
    </xf>
    <xf numFmtId="0" fontId="13" fillId="0" borderId="51" xfId="0" applyFont="1" applyBorder="1" applyAlignment="1">
      <alignment horizontal="left" vertical="center" wrapText="1"/>
    </xf>
    <xf numFmtId="3" fontId="12" fillId="0" borderId="41" xfId="0" applyNumberFormat="1" applyFont="1" applyBorder="1" applyAlignment="1">
      <alignment horizontal="center" vertical="center" wrapText="1"/>
    </xf>
    <xf numFmtId="3" fontId="12" fillId="0" borderId="42" xfId="0" applyNumberFormat="1" applyFont="1" applyBorder="1" applyAlignment="1">
      <alignment horizontal="center" vertical="center" wrapText="1"/>
    </xf>
    <xf numFmtId="0" fontId="13" fillId="61" borderId="67" xfId="0" applyFont="1" applyFill="1" applyBorder="1" applyAlignment="1">
      <alignment horizontal="left" vertical="center" wrapText="1"/>
    </xf>
    <xf numFmtId="3" fontId="13" fillId="61" borderId="55" xfId="0" applyNumberFormat="1" applyFont="1" applyFill="1" applyBorder="1" applyAlignment="1">
      <alignment horizontal="center" vertical="center" wrapText="1"/>
    </xf>
    <xf numFmtId="3" fontId="13" fillId="61" borderId="48" xfId="0" applyNumberFormat="1" applyFont="1" applyFill="1" applyBorder="1" applyAlignment="1">
      <alignment horizontal="center" vertical="center" wrapText="1"/>
    </xf>
    <xf numFmtId="3" fontId="13" fillId="61" borderId="49" xfId="0" applyNumberFormat="1" applyFont="1" applyFill="1" applyBorder="1" applyAlignment="1">
      <alignment horizontal="center" vertical="center" wrapText="1"/>
    </xf>
    <xf numFmtId="0" fontId="69" fillId="0" borderId="0" xfId="0" applyFont="1"/>
    <xf numFmtId="0" fontId="3" fillId="0" borderId="0" xfId="0" applyFont="1"/>
    <xf numFmtId="165" fontId="2" fillId="0" borderId="0" xfId="2" applyNumberFormat="1" applyFont="1"/>
    <xf numFmtId="0" fontId="2" fillId="12" borderId="0" xfId="0" applyFont="1" applyFill="1"/>
    <xf numFmtId="0" fontId="101" fillId="0" borderId="0" xfId="0" applyFont="1" applyAlignment="1">
      <alignment vertical="center"/>
    </xf>
    <xf numFmtId="0" fontId="69" fillId="15" borderId="7" xfId="0" applyFont="1" applyFill="1" applyBorder="1" applyAlignment="1">
      <alignment horizontal="center"/>
    </xf>
    <xf numFmtId="188" fontId="0" fillId="0" borderId="0" xfId="0" applyNumberFormat="1"/>
    <xf numFmtId="164" fontId="2" fillId="0" borderId="0" xfId="1" applyNumberFormat="1" applyFont="1"/>
    <xf numFmtId="0" fontId="2" fillId="0" borderId="7" xfId="0" applyFont="1" applyBorder="1" applyAlignment="1">
      <alignment horizontal="center" vertical="center" wrapText="1"/>
    </xf>
    <xf numFmtId="189" fontId="71" fillId="0" borderId="7" xfId="0" applyNumberFormat="1" applyFont="1" applyBorder="1" applyAlignment="1">
      <alignment horizontal="center"/>
    </xf>
    <xf numFmtId="165" fontId="2" fillId="0" borderId="0" xfId="0" applyNumberFormat="1" applyFont="1"/>
    <xf numFmtId="189" fontId="69" fillId="5" borderId="7" xfId="0" applyNumberFormat="1" applyFont="1" applyFill="1" applyBorder="1" applyAlignment="1">
      <alignment horizontal="center" vertical="center"/>
    </xf>
    <xf numFmtId="173" fontId="69" fillId="15" borderId="17" xfId="0" applyNumberFormat="1" applyFont="1" applyFill="1" applyBorder="1" applyAlignment="1">
      <alignment horizontal="center"/>
    </xf>
    <xf numFmtId="173" fontId="69" fillId="15" borderId="7" xfId="0" applyNumberFormat="1" applyFont="1" applyFill="1" applyBorder="1" applyAlignment="1">
      <alignment horizontal="center"/>
    </xf>
    <xf numFmtId="188" fontId="2" fillId="0" borderId="0" xfId="0" applyNumberFormat="1" applyFont="1" applyAlignment="1">
      <alignment horizontal="center"/>
    </xf>
    <xf numFmtId="0" fontId="2" fillId="0" borderId="7" xfId="0" applyFont="1" applyBorder="1" applyAlignment="1">
      <alignment horizontal="center"/>
    </xf>
    <xf numFmtId="188" fontId="2" fillId="4" borderId="7" xfId="0" applyNumberFormat="1" applyFont="1" applyFill="1" applyBorder="1" applyAlignment="1">
      <alignment horizontal="center" vertical="center" wrapText="1"/>
    </xf>
    <xf numFmtId="0" fontId="2" fillId="0" borderId="0" xfId="0" applyFont="1" applyAlignment="1">
      <alignment horizontal="center" vertical="center" wrapText="1"/>
    </xf>
    <xf numFmtId="0" fontId="69" fillId="0" borderId="0" xfId="0" applyFont="1" applyAlignment="1">
      <alignment vertical="center" wrapText="1"/>
    </xf>
    <xf numFmtId="190" fontId="2" fillId="4" borderId="7" xfId="0" applyNumberFormat="1" applyFont="1" applyFill="1" applyBorder="1" applyAlignment="1">
      <alignment horizontal="center" vertical="center" wrapText="1"/>
    </xf>
    <xf numFmtId="1" fontId="103" fillId="7" borderId="7" xfId="0" applyNumberFormat="1" applyFont="1" applyFill="1" applyBorder="1" applyAlignment="1">
      <alignment horizontal="center" vertical="center" wrapText="1"/>
    </xf>
    <xf numFmtId="0" fontId="2" fillId="0" borderId="7" xfId="0" applyFont="1" applyBorder="1" applyAlignment="1">
      <alignment horizontal="left" vertical="center" wrapText="1"/>
    </xf>
    <xf numFmtId="188" fontId="2" fillId="5" borderId="7" xfId="0" applyNumberFormat="1"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61" borderId="7" xfId="0" applyFont="1" applyFill="1" applyBorder="1" applyAlignment="1">
      <alignment horizontal="left" vertical="center" wrapText="1"/>
    </xf>
    <xf numFmtId="1" fontId="2" fillId="0" borderId="7" xfId="0" applyNumberFormat="1" applyFont="1" applyBorder="1" applyAlignment="1">
      <alignment horizontal="center" vertical="center" wrapText="1"/>
    </xf>
    <xf numFmtId="1" fontId="103" fillId="0" borderId="7" xfId="0" applyNumberFormat="1" applyFont="1" applyBorder="1" applyAlignment="1">
      <alignment horizontal="center" vertical="center" wrapText="1"/>
    </xf>
    <xf numFmtId="0" fontId="69" fillId="0" borderId="7" xfId="0" applyFont="1" applyBorder="1" applyAlignment="1">
      <alignment vertical="center" wrapText="1"/>
    </xf>
    <xf numFmtId="165" fontId="2" fillId="5" borderId="118" xfId="2" applyNumberFormat="1" applyFont="1" applyFill="1" applyBorder="1" applyAlignment="1">
      <alignment horizontal="center" vertical="center" wrapText="1"/>
    </xf>
    <xf numFmtId="165" fontId="2" fillId="61" borderId="7" xfId="2" applyNumberFormat="1" applyFont="1" applyFill="1" applyBorder="1" applyAlignment="1">
      <alignment horizontal="center" vertical="center" wrapText="1"/>
    </xf>
    <xf numFmtId="164" fontId="2" fillId="0" borderId="0" xfId="1" applyNumberFormat="1" applyFont="1" applyAlignment="1">
      <alignment horizontal="center" vertical="center" wrapText="1"/>
    </xf>
    <xf numFmtId="188" fontId="2" fillId="5" borderId="119" xfId="0" applyNumberFormat="1" applyFont="1" applyFill="1" applyBorder="1" applyAlignment="1">
      <alignment horizontal="center" vertical="center" wrapText="1"/>
    </xf>
    <xf numFmtId="188" fontId="2" fillId="61" borderId="7" xfId="0" applyNumberFormat="1" applyFont="1" applyFill="1" applyBorder="1" applyAlignment="1">
      <alignment horizontal="center" vertical="center" wrapText="1"/>
    </xf>
    <xf numFmtId="165" fontId="2" fillId="5" borderId="7" xfId="2" applyNumberFormat="1" applyFont="1" applyFill="1" applyBorder="1" applyAlignment="1">
      <alignment horizontal="center" vertical="center" wrapText="1"/>
    </xf>
    <xf numFmtId="0" fontId="69" fillId="0" borderId="7" xfId="0" applyFont="1" applyBorder="1" applyAlignment="1">
      <alignment horizontal="center" vertical="center" wrapText="1"/>
    </xf>
    <xf numFmtId="1" fontId="77" fillId="59" borderId="7" xfId="0" applyNumberFormat="1" applyFont="1" applyFill="1" applyBorder="1" applyAlignment="1">
      <alignment horizontal="center" vertical="center" wrapText="1"/>
    </xf>
    <xf numFmtId="0" fontId="69" fillId="60" borderId="82" xfId="0" applyFont="1" applyFill="1" applyBorder="1" applyAlignment="1">
      <alignment horizontal="left" vertical="center" wrapText="1"/>
    </xf>
    <xf numFmtId="0" fontId="69" fillId="60" borderId="86" xfId="0" applyFont="1" applyFill="1" applyBorder="1" applyAlignment="1">
      <alignment horizontal="left" vertical="center" wrapText="1"/>
    </xf>
    <xf numFmtId="1" fontId="104" fillId="60" borderId="86" xfId="0" applyNumberFormat="1" applyFont="1" applyFill="1" applyBorder="1" applyAlignment="1">
      <alignment horizontal="center" vertical="center" wrapText="1"/>
    </xf>
    <xf numFmtId="0" fontId="2" fillId="61" borderId="7" xfId="0" applyFont="1" applyFill="1" applyBorder="1" applyAlignment="1">
      <alignment horizontal="center"/>
    </xf>
    <xf numFmtId="0" fontId="0" fillId="61" borderId="7" xfId="0" applyFill="1" applyBorder="1"/>
    <xf numFmtId="0" fontId="69" fillId="60" borderId="7" xfId="0" applyFont="1" applyFill="1" applyBorder="1" applyAlignment="1">
      <alignment horizontal="left" vertical="center" wrapText="1"/>
    </xf>
    <xf numFmtId="1" fontId="104" fillId="60" borderId="7" xfId="0" applyNumberFormat="1" applyFont="1" applyFill="1" applyBorder="1" applyAlignment="1">
      <alignment horizontal="center" vertical="center" wrapText="1"/>
    </xf>
    <xf numFmtId="0" fontId="2" fillId="61" borderId="7" xfId="0" applyFont="1" applyFill="1" applyBorder="1" applyAlignment="1">
      <alignment horizontal="center" vertical="center" wrapText="1"/>
    </xf>
    <xf numFmtId="0" fontId="2" fillId="61" borderId="0" xfId="0" applyFont="1" applyFill="1" applyAlignment="1">
      <alignment horizontal="center" vertical="center" wrapText="1"/>
    </xf>
    <xf numFmtId="0" fontId="69" fillId="60" borderId="17" xfId="0" applyFont="1" applyFill="1" applyBorder="1" applyAlignment="1">
      <alignment horizontal="left" vertical="center" wrapText="1"/>
    </xf>
    <xf numFmtId="0" fontId="69" fillId="60" borderId="19" xfId="0" applyFont="1" applyFill="1" applyBorder="1" applyAlignment="1">
      <alignment horizontal="left" vertical="center" wrapText="1"/>
    </xf>
    <xf numFmtId="0" fontId="69" fillId="60" borderId="15" xfId="0" applyFont="1" applyFill="1" applyBorder="1" applyAlignment="1">
      <alignment horizontal="left" vertical="center" wrapText="1"/>
    </xf>
    <xf numFmtId="1" fontId="104" fillId="60" borderId="19" xfId="0" applyNumberFormat="1" applyFont="1" applyFill="1" applyBorder="1" applyAlignment="1">
      <alignment horizontal="center" vertical="center" wrapText="1"/>
    </xf>
    <xf numFmtId="1" fontId="104" fillId="60" borderId="15" xfId="0" applyNumberFormat="1" applyFont="1" applyFill="1" applyBorder="1" applyAlignment="1">
      <alignment horizontal="center" vertical="center" wrapText="1"/>
    </xf>
    <xf numFmtId="0" fontId="2" fillId="0" borderId="8" xfId="0" applyFont="1" applyBorder="1" applyAlignment="1">
      <alignment horizontal="left" vertical="center" wrapText="1"/>
    </xf>
    <xf numFmtId="0" fontId="2" fillId="61" borderId="8" xfId="0" applyFont="1" applyFill="1" applyBorder="1" applyAlignment="1">
      <alignment horizontal="left" vertical="center" wrapText="1"/>
    </xf>
    <xf numFmtId="0" fontId="2" fillId="61" borderId="8" xfId="0" applyFont="1" applyFill="1" applyBorder="1" applyAlignment="1">
      <alignment horizontal="center" vertical="center" wrapText="1"/>
    </xf>
    <xf numFmtId="1" fontId="2" fillId="0" borderId="120" xfId="0" applyNumberFormat="1" applyFont="1" applyBorder="1" applyAlignment="1">
      <alignment horizontal="center" vertical="center" wrapText="1"/>
    </xf>
    <xf numFmtId="1" fontId="2" fillId="0" borderId="8" xfId="0" applyNumberFormat="1" applyFont="1" applyBorder="1" applyAlignment="1">
      <alignment horizontal="center" vertical="center" wrapText="1"/>
    </xf>
    <xf numFmtId="0" fontId="2" fillId="61" borderId="14" xfId="0" applyFont="1" applyFill="1" applyBorder="1" applyAlignment="1">
      <alignment horizontal="center" vertical="center" wrapText="1"/>
    </xf>
    <xf numFmtId="188" fontId="2" fillId="5" borderId="14" xfId="0" applyNumberFormat="1" applyFont="1" applyFill="1" applyBorder="1" applyAlignment="1">
      <alignment horizontal="center" vertical="center" wrapText="1"/>
    </xf>
    <xf numFmtId="188" fontId="2" fillId="61" borderId="14" xfId="0" applyNumberFormat="1" applyFont="1" applyFill="1" applyBorder="1" applyAlignment="1">
      <alignment horizontal="center" vertical="center" wrapText="1"/>
    </xf>
    <xf numFmtId="188" fontId="2" fillId="61" borderId="8" xfId="0" applyNumberFormat="1" applyFont="1" applyFill="1" applyBorder="1" applyAlignment="1">
      <alignment horizontal="center" vertical="center" wrapText="1"/>
    </xf>
    <xf numFmtId="1" fontId="2" fillId="61" borderId="7" xfId="0" applyNumberFormat="1" applyFont="1" applyFill="1" applyBorder="1" applyAlignment="1">
      <alignment horizontal="center" vertical="center" wrapText="1"/>
    </xf>
    <xf numFmtId="0" fontId="105" fillId="6" borderId="19" xfId="0" applyFont="1" applyFill="1" applyBorder="1" applyAlignment="1">
      <alignment horizontal="center" vertical="center" wrapText="1"/>
    </xf>
    <xf numFmtId="3" fontId="105" fillId="6" borderId="19" xfId="0" applyNumberFormat="1" applyFont="1" applyFill="1" applyBorder="1" applyAlignment="1">
      <alignment horizontal="center" vertical="center" wrapText="1"/>
    </xf>
    <xf numFmtId="1" fontId="105" fillId="6" borderId="19" xfId="0" applyNumberFormat="1" applyFont="1" applyFill="1" applyBorder="1" applyAlignment="1">
      <alignment horizontal="center" vertical="center" wrapText="1"/>
    </xf>
    <xf numFmtId="0" fontId="69" fillId="36" borderId="7" xfId="0" applyFont="1" applyFill="1" applyBorder="1" applyAlignment="1">
      <alignment horizontal="left" vertical="center" wrapText="1"/>
    </xf>
    <xf numFmtId="1" fontId="69" fillId="36" borderId="7" xfId="0" applyNumberFormat="1" applyFont="1" applyFill="1" applyBorder="1" applyAlignment="1">
      <alignment horizontal="center" vertical="center" wrapText="1"/>
    </xf>
    <xf numFmtId="165" fontId="2" fillId="61" borderId="7" xfId="0" applyNumberFormat="1" applyFont="1" applyFill="1" applyBorder="1" applyAlignment="1">
      <alignment horizontal="center" vertical="center" wrapText="1"/>
    </xf>
    <xf numFmtId="172" fontId="2" fillId="0" borderId="7" xfId="0" applyNumberFormat="1" applyFont="1" applyBorder="1" applyAlignment="1">
      <alignment horizontal="center" vertical="center" wrapText="1"/>
    </xf>
    <xf numFmtId="165" fontId="2" fillId="5" borderId="7" xfId="2" applyNumberFormat="1" applyFont="1" applyFill="1" applyBorder="1" applyAlignment="1">
      <alignment horizontal="center" vertical="center"/>
    </xf>
    <xf numFmtId="0" fontId="2" fillId="36" borderId="7" xfId="0" applyFont="1" applyFill="1" applyBorder="1" applyAlignment="1">
      <alignment horizontal="center" vertical="center" wrapText="1"/>
    </xf>
    <xf numFmtId="0" fontId="69" fillId="4" borderId="7" xfId="0" applyFont="1" applyFill="1" applyBorder="1" applyAlignment="1">
      <alignment horizontal="left" vertical="center" wrapText="1"/>
    </xf>
    <xf numFmtId="1" fontId="2" fillId="4" borderId="7" xfId="0" applyNumberFormat="1" applyFont="1" applyFill="1" applyBorder="1" applyAlignment="1">
      <alignment horizontal="center" vertical="center" wrapText="1"/>
    </xf>
    <xf numFmtId="1" fontId="69" fillId="4" borderId="7" xfId="0" applyNumberFormat="1" applyFont="1" applyFill="1" applyBorder="1" applyAlignment="1">
      <alignment horizontal="center" vertical="center" wrapText="1"/>
    </xf>
    <xf numFmtId="0" fontId="106" fillId="0" borderId="0" xfId="0" applyFont="1" applyAlignment="1">
      <alignment horizontal="left" vertical="center" wrapText="1"/>
    </xf>
    <xf numFmtId="1" fontId="2" fillId="0" borderId="0" xfId="0" applyNumberFormat="1" applyFont="1" applyAlignment="1">
      <alignment horizontal="center" vertical="center" wrapText="1"/>
    </xf>
    <xf numFmtId="0" fontId="69" fillId="0" borderId="0" xfId="0" applyFont="1" applyAlignment="1">
      <alignment horizontal="center" vertical="center" wrapText="1"/>
    </xf>
    <xf numFmtId="0" fontId="2" fillId="0" borderId="19" xfId="0" applyFont="1" applyBorder="1"/>
    <xf numFmtId="0" fontId="2" fillId="0" borderId="15" xfId="0" applyFont="1" applyBorder="1"/>
    <xf numFmtId="165" fontId="2" fillId="5" borderId="0" xfId="2" applyNumberFormat="1" applyFont="1" applyFill="1" applyAlignment="1">
      <alignment horizontal="center" vertical="center"/>
    </xf>
    <xf numFmtId="1" fontId="2" fillId="0" borderId="0" xfId="0" applyNumberFormat="1" applyFont="1"/>
    <xf numFmtId="0" fontId="107" fillId="0" borderId="0" xfId="0" applyFont="1"/>
    <xf numFmtId="0" fontId="108" fillId="62" borderId="34" xfId="0" applyFont="1" applyFill="1" applyBorder="1"/>
    <xf numFmtId="0" fontId="108" fillId="62" borderId="3" xfId="0" applyFont="1" applyFill="1" applyBorder="1"/>
    <xf numFmtId="0" fontId="107" fillId="62" borderId="5" xfId="0" applyFont="1" applyFill="1" applyBorder="1"/>
    <xf numFmtId="0" fontId="109" fillId="62" borderId="6" xfId="0" applyFont="1" applyFill="1" applyBorder="1"/>
    <xf numFmtId="0" fontId="107" fillId="62" borderId="11" xfId="0" applyFont="1" applyFill="1" applyBorder="1"/>
    <xf numFmtId="0" fontId="109" fillId="62" borderId="13" xfId="0" applyFont="1" applyFill="1" applyBorder="1"/>
    <xf numFmtId="0" fontId="108" fillId="24" borderId="0" xfId="0" applyFont="1" applyFill="1"/>
    <xf numFmtId="0" fontId="108" fillId="0" borderId="0" xfId="0" applyFont="1"/>
    <xf numFmtId="0" fontId="10" fillId="0" borderId="0" xfId="0" applyFont="1"/>
    <xf numFmtId="0" fontId="108" fillId="38" borderId="0" xfId="0" applyFont="1" applyFill="1"/>
    <xf numFmtId="0" fontId="7" fillId="0" borderId="0" xfId="0" applyFont="1" applyAlignment="1">
      <alignment horizontal="left" vertical="center" wrapText="1" indent="15"/>
    </xf>
    <xf numFmtId="0" fontId="108" fillId="6" borderId="0" xfId="0" applyFont="1" applyFill="1"/>
    <xf numFmtId="0" fontId="111" fillId="5" borderId="121" xfId="0" applyFont="1" applyFill="1" applyBorder="1"/>
    <xf numFmtId="0" fontId="111" fillId="5" borderId="122" xfId="0" applyFont="1" applyFill="1" applyBorder="1"/>
    <xf numFmtId="0" fontId="111" fillId="5" borderId="123" xfId="0" applyFont="1" applyFill="1" applyBorder="1"/>
    <xf numFmtId="0" fontId="0" fillId="43" borderId="0" xfId="0" applyFill="1"/>
    <xf numFmtId="0" fontId="34" fillId="0" borderId="0" xfId="0" applyFont="1" applyAlignment="1">
      <alignment vertical="center"/>
    </xf>
    <xf numFmtId="0" fontId="3" fillId="43" borderId="0" xfId="0" applyFont="1" applyFill="1" applyAlignment="1">
      <alignment vertical="center"/>
    </xf>
    <xf numFmtId="0" fontId="67" fillId="0" borderId="0" xfId="0" applyFont="1" applyAlignment="1">
      <alignment vertical="center" wrapText="1"/>
    </xf>
    <xf numFmtId="0" fontId="112" fillId="41" borderId="0" xfId="0" applyFont="1" applyFill="1" applyAlignment="1">
      <alignment vertical="center"/>
    </xf>
    <xf numFmtId="0" fontId="112" fillId="42" borderId="0" xfId="0" applyFont="1" applyFill="1" applyAlignment="1">
      <alignment vertical="center"/>
    </xf>
    <xf numFmtId="0" fontId="112" fillId="0" borderId="0" xfId="0" applyFont="1" applyAlignment="1">
      <alignment vertical="center"/>
    </xf>
    <xf numFmtId="0" fontId="112" fillId="0" borderId="0" xfId="0" applyFont="1"/>
    <xf numFmtId="4" fontId="3" fillId="43" borderId="0" xfId="0" applyNumberFormat="1" applyFont="1" applyFill="1"/>
    <xf numFmtId="0" fontId="1" fillId="0" borderId="39" xfId="5" applyFont="1" applyBorder="1"/>
    <xf numFmtId="0" fontId="1" fillId="0" borderId="41" xfId="4" applyFont="1" applyBorder="1"/>
    <xf numFmtId="0" fontId="1" fillId="0" borderId="2" xfId="5" applyFont="1" applyBorder="1"/>
    <xf numFmtId="0" fontId="1" fillId="0" borderId="124" xfId="5" applyFont="1" applyBorder="1"/>
    <xf numFmtId="0" fontId="0" fillId="0" borderId="39" xfId="0" applyBorder="1"/>
    <xf numFmtId="0" fontId="1" fillId="0" borderId="45" xfId="4" applyFont="1" applyBorder="1"/>
    <xf numFmtId="0" fontId="1" fillId="0" borderId="126" xfId="3" applyFont="1" applyBorder="1" applyAlignment="1">
      <alignment horizontal="left"/>
    </xf>
    <xf numFmtId="0" fontId="1" fillId="0" borderId="28" xfId="3" applyFont="1" applyBorder="1" applyAlignment="1">
      <alignment horizontal="left"/>
    </xf>
    <xf numFmtId="0" fontId="1" fillId="0" borderId="127" xfId="3" applyFont="1" applyBorder="1" applyAlignment="1">
      <alignment horizontal="left"/>
    </xf>
    <xf numFmtId="0" fontId="0" fillId="0" borderId="45" xfId="0" applyBorder="1" applyAlignment="1">
      <alignment wrapText="1"/>
    </xf>
    <xf numFmtId="0" fontId="0" fillId="0" borderId="126" xfId="0" applyBorder="1" applyAlignment="1">
      <alignment horizontal="right" wrapText="1"/>
    </xf>
    <xf numFmtId="0" fontId="0" fillId="0" borderId="8" xfId="0" applyBorder="1" applyAlignment="1">
      <alignment horizontal="right" wrapText="1"/>
    </xf>
    <xf numFmtId="3" fontId="0" fillId="0" borderId="128" xfId="0" applyNumberFormat="1" applyBorder="1" applyAlignment="1">
      <alignment horizontal="right"/>
    </xf>
    <xf numFmtId="4" fontId="0" fillId="0" borderId="0" xfId="0" applyNumberFormat="1"/>
    <xf numFmtId="0" fontId="1" fillId="0" borderId="129" xfId="3" applyFont="1" applyBorder="1" applyAlignment="1">
      <alignment horizontal="left"/>
    </xf>
    <xf numFmtId="3" fontId="1" fillId="0" borderId="82" xfId="8" applyNumberFormat="1" applyFont="1" applyBorder="1"/>
    <xf numFmtId="3" fontId="1" fillId="0" borderId="86" xfId="8" applyNumberFormat="1" applyFont="1" applyBorder="1"/>
    <xf numFmtId="3" fontId="1" fillId="0" borderId="130" xfId="8" applyNumberFormat="1" applyFont="1" applyBorder="1"/>
    <xf numFmtId="0" fontId="0" fillId="0" borderId="129" xfId="0" applyBorder="1"/>
    <xf numFmtId="3" fontId="0" fillId="0" borderId="82" xfId="0" applyNumberFormat="1" applyBorder="1"/>
    <xf numFmtId="3" fontId="0" fillId="0" borderId="86" xfId="0" applyNumberFormat="1" applyBorder="1"/>
    <xf numFmtId="3" fontId="0" fillId="0" borderId="130" xfId="0" applyNumberFormat="1" applyBorder="1"/>
    <xf numFmtId="0" fontId="1" fillId="0" borderId="52" xfId="3" applyFont="1" applyBorder="1" applyAlignment="1">
      <alignment horizontal="left"/>
    </xf>
    <xf numFmtId="3" fontId="1" fillId="0" borderId="24" xfId="8" applyNumberFormat="1" applyFont="1" applyBorder="1"/>
    <xf numFmtId="3" fontId="1" fillId="0" borderId="0" xfId="8" applyNumberFormat="1" applyFont="1"/>
    <xf numFmtId="3" fontId="1" fillId="0" borderId="6" xfId="8" applyNumberFormat="1" applyFont="1" applyBorder="1"/>
    <xf numFmtId="0" fontId="0" fillId="0" borderId="52" xfId="0" applyBorder="1"/>
    <xf numFmtId="3" fontId="0" fillId="0" borderId="24" xfId="0" applyNumberFormat="1" applyBorder="1"/>
    <xf numFmtId="3" fontId="0" fillId="0" borderId="6" xfId="0" applyNumberFormat="1" applyBorder="1"/>
    <xf numFmtId="0" fontId="1" fillId="0" borderId="24" xfId="8" applyFont="1" applyBorder="1"/>
    <xf numFmtId="0" fontId="1" fillId="0" borderId="0" xfId="8" applyFont="1"/>
    <xf numFmtId="0" fontId="1" fillId="0" borderId="6" xfId="8" applyFont="1" applyBorder="1"/>
    <xf numFmtId="0" fontId="1" fillId="0" borderId="126" xfId="8" applyFont="1" applyBorder="1"/>
    <xf numFmtId="0" fontId="1" fillId="0" borderId="28" xfId="8" applyFont="1" applyBorder="1"/>
    <xf numFmtId="0" fontId="1" fillId="0" borderId="127" xfId="8" applyFont="1" applyBorder="1"/>
    <xf numFmtId="0" fontId="0" fillId="0" borderId="56" xfId="0" applyBorder="1"/>
    <xf numFmtId="3" fontId="0" fillId="0" borderId="131" xfId="12" applyNumberFormat="1" applyFont="1" applyBorder="1"/>
    <xf numFmtId="0" fontId="0" fillId="0" borderId="12" xfId="12" applyFont="1" applyBorder="1"/>
    <xf numFmtId="0" fontId="0" fillId="0" borderId="13" xfId="12" applyFont="1" applyBorder="1"/>
    <xf numFmtId="0" fontId="3" fillId="0" borderId="47" xfId="7" applyFont="1" applyBorder="1" applyAlignment="1">
      <alignment horizontal="left"/>
    </xf>
    <xf numFmtId="0" fontId="3" fillId="0" borderId="132" xfId="6" applyFont="1" applyBorder="1"/>
    <xf numFmtId="0" fontId="3" fillId="0" borderId="55" xfId="6" applyFont="1" applyBorder="1"/>
    <xf numFmtId="0" fontId="3" fillId="0" borderId="117" xfId="6" applyFont="1" applyBorder="1"/>
    <xf numFmtId="9" fontId="0" fillId="0" borderId="0" xfId="0" applyNumberFormat="1"/>
    <xf numFmtId="0" fontId="7" fillId="0" borderId="5" xfId="0" applyFont="1" applyBorder="1" applyAlignment="1">
      <alignment horizontal="left" vertical="center" wrapText="1"/>
    </xf>
    <xf numFmtId="0" fontId="14" fillId="6" borderId="9" xfId="0" applyFont="1" applyFill="1" applyBorder="1" applyAlignment="1">
      <alignment horizontal="left" vertical="center" wrapText="1"/>
    </xf>
    <xf numFmtId="0" fontId="13" fillId="0" borderId="0" xfId="0" applyFont="1" applyAlignment="1">
      <alignment horizontal="left" vertical="center" wrapText="1"/>
    </xf>
    <xf numFmtId="0" fontId="10" fillId="0" borderId="5" xfId="0" applyFont="1" applyBorder="1" applyAlignment="1">
      <alignment horizontal="right" vertical="center" wrapText="1"/>
    </xf>
    <xf numFmtId="0" fontId="13" fillId="5" borderId="7" xfId="0" applyFont="1" applyFill="1" applyBorder="1" applyAlignment="1">
      <alignment horizontal="center" vertical="center"/>
    </xf>
    <xf numFmtId="0" fontId="13" fillId="0" borderId="6" xfId="0" applyFont="1" applyBorder="1" applyAlignment="1">
      <alignment horizontal="left" vertical="center" wrapText="1"/>
    </xf>
    <xf numFmtId="1" fontId="43" fillId="31" borderId="7" xfId="0" applyNumberFormat="1" applyFont="1" applyFill="1" applyBorder="1" applyAlignment="1">
      <alignment horizontal="right" vertical="center"/>
    </xf>
    <xf numFmtId="1" fontId="43" fillId="32" borderId="7" xfId="0" applyNumberFormat="1" applyFont="1" applyFill="1" applyBorder="1" applyAlignment="1">
      <alignment horizontal="right" vertical="center"/>
    </xf>
    <xf numFmtId="0" fontId="13" fillId="11" borderId="7"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2" fillId="0" borderId="1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7" xfId="0" applyFont="1" applyBorder="1" applyAlignment="1">
      <alignment horizontal="center" vertical="center"/>
    </xf>
    <xf numFmtId="0" fontId="20" fillId="0" borderId="7" xfId="0" applyFont="1" applyBorder="1" applyAlignment="1">
      <alignment horizontal="center" vertical="center" wrapText="1"/>
    </xf>
    <xf numFmtId="0" fontId="6" fillId="0" borderId="7" xfId="0" applyFont="1" applyBorder="1" applyAlignment="1">
      <alignment horizontal="center"/>
    </xf>
    <xf numFmtId="0" fontId="13" fillId="17"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7" xfId="0" applyFont="1" applyFill="1" applyBorder="1" applyAlignment="1">
      <alignment horizontal="center" vertical="center" wrapText="1"/>
    </xf>
    <xf numFmtId="3" fontId="10" fillId="18" borderId="7" xfId="0" applyNumberFormat="1" applyFont="1" applyFill="1" applyBorder="1" applyAlignment="1">
      <alignment horizontal="center" vertical="center" wrapText="1"/>
    </xf>
    <xf numFmtId="3" fontId="10" fillId="19" borderId="7" xfId="0" applyNumberFormat="1" applyFont="1" applyFill="1" applyBorder="1" applyAlignment="1">
      <alignment horizontal="center" vertical="center" wrapText="1"/>
    </xf>
    <xf numFmtId="0" fontId="13" fillId="18" borderId="7"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0" fillId="15" borderId="14" xfId="0" applyFont="1" applyFill="1" applyBorder="1" applyAlignment="1">
      <alignment horizontal="center" vertical="center" wrapText="1"/>
    </xf>
    <xf numFmtId="0" fontId="10" fillId="15" borderId="7" xfId="0" applyFont="1" applyFill="1" applyBorder="1" applyAlignment="1">
      <alignment horizontal="center" vertical="center" wrapText="1"/>
    </xf>
    <xf numFmtId="0" fontId="13" fillId="8" borderId="7" xfId="0" applyFont="1" applyFill="1" applyBorder="1" applyAlignment="1">
      <alignment horizontal="center" vertical="center" wrapText="1"/>
    </xf>
    <xf numFmtId="3" fontId="13" fillId="21" borderId="7" xfId="0" applyNumberFormat="1" applyFont="1" applyFill="1" applyBorder="1" applyAlignment="1">
      <alignment horizontal="center" vertical="center" wrapText="1"/>
    </xf>
    <xf numFmtId="0" fontId="27" fillId="8" borderId="7" xfId="0" applyFont="1" applyFill="1" applyBorder="1" applyAlignment="1">
      <alignment horizontal="center" vertical="center" wrapText="1"/>
    </xf>
    <xf numFmtId="0" fontId="10" fillId="4" borderId="7" xfId="0" applyFont="1" applyFill="1" applyBorder="1" applyAlignment="1">
      <alignment horizontal="center" vertical="center" wrapText="1"/>
    </xf>
    <xf numFmtId="3" fontId="10" fillId="15" borderId="7" xfId="0" applyNumberFormat="1" applyFont="1" applyFill="1" applyBorder="1" applyAlignment="1">
      <alignment horizontal="center" vertical="center" wrapText="1"/>
    </xf>
    <xf numFmtId="0" fontId="10" fillId="16" borderId="7" xfId="0" applyFont="1" applyFill="1" applyBorder="1" applyAlignment="1">
      <alignment horizontal="center" vertical="center" wrapText="1"/>
    </xf>
    <xf numFmtId="0" fontId="25" fillId="16" borderId="7"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23" fillId="11" borderId="7" xfId="10" applyFont="1" applyFill="1" applyBorder="1" applyAlignment="1">
      <alignment horizontal="center" wrapText="1"/>
    </xf>
    <xf numFmtId="3" fontId="10" fillId="12" borderId="7" xfId="0" applyNumberFormat="1" applyFont="1" applyFill="1" applyBorder="1" applyAlignment="1">
      <alignment horizontal="center" vertical="center" wrapText="1"/>
    </xf>
    <xf numFmtId="3" fontId="10" fillId="13" borderId="7" xfId="0" applyNumberFormat="1" applyFont="1" applyFill="1" applyBorder="1" applyAlignment="1">
      <alignment horizontal="center" vertical="center" wrapText="1"/>
    </xf>
    <xf numFmtId="0" fontId="10" fillId="14" borderId="7" xfId="0" applyFont="1" applyFill="1" applyBorder="1" applyAlignment="1">
      <alignment horizontal="center" vertical="center" wrapText="1"/>
    </xf>
    <xf numFmtId="3" fontId="10" fillId="14" borderId="7" xfId="0" applyNumberFormat="1" applyFont="1" applyFill="1" applyBorder="1" applyAlignment="1">
      <alignment horizontal="center" vertical="center" wrapText="1"/>
    </xf>
    <xf numFmtId="0" fontId="7" fillId="0" borderId="56" xfId="0" applyFont="1" applyBorder="1" applyAlignment="1">
      <alignment horizontal="left" vertical="center"/>
    </xf>
    <xf numFmtId="0" fontId="10" fillId="0" borderId="49" xfId="0" applyFont="1" applyBorder="1" applyAlignment="1">
      <alignment horizontal="center" vertical="center"/>
    </xf>
    <xf numFmtId="0" fontId="63" fillId="15" borderId="57" xfId="0" applyFont="1" applyFill="1" applyBorder="1" applyAlignment="1">
      <alignment horizontal="left" vertical="center"/>
    </xf>
    <xf numFmtId="0" fontId="7" fillId="0" borderId="52" xfId="0" applyFont="1" applyBorder="1" applyAlignment="1">
      <alignment horizontal="left" vertical="center"/>
    </xf>
    <xf numFmtId="0" fontId="10" fillId="0" borderId="37" xfId="0" applyFont="1" applyBorder="1" applyAlignment="1">
      <alignment horizontal="center" vertical="center"/>
    </xf>
    <xf numFmtId="0" fontId="7" fillId="23" borderId="54" xfId="0" applyFont="1" applyFill="1" applyBorder="1" applyAlignment="1">
      <alignment horizontal="center" vertical="center"/>
    </xf>
    <xf numFmtId="0" fontId="63" fillId="15" borderId="51" xfId="0" applyFont="1" applyFill="1" applyBorder="1" applyAlignment="1">
      <alignment horizontal="left" vertical="center"/>
    </xf>
    <xf numFmtId="0" fontId="10" fillId="0" borderId="44" xfId="0" applyFont="1" applyBorder="1" applyAlignment="1">
      <alignment horizontal="center" vertical="center"/>
    </xf>
    <xf numFmtId="0" fontId="63" fillId="15" borderId="50" xfId="0" applyFont="1" applyFill="1" applyBorder="1" applyAlignment="1">
      <alignment horizontal="left" vertical="center"/>
    </xf>
    <xf numFmtId="0" fontId="63" fillId="4" borderId="51" xfId="0" applyFont="1" applyFill="1" applyBorder="1" applyAlignment="1">
      <alignment horizontal="left" vertical="center"/>
    </xf>
    <xf numFmtId="0" fontId="7" fillId="0" borderId="45" xfId="0" applyFont="1" applyBorder="1" applyAlignment="1">
      <alignment horizontal="left" vertical="center"/>
    </xf>
    <xf numFmtId="0" fontId="7" fillId="26" borderId="7" xfId="0" applyFont="1" applyFill="1" applyBorder="1" applyAlignment="1">
      <alignment horizontal="left" vertical="center"/>
    </xf>
    <xf numFmtId="0" fontId="7" fillId="0" borderId="47" xfId="0" applyFont="1" applyBorder="1" applyAlignment="1">
      <alignment horizontal="left" vertical="center"/>
    </xf>
    <xf numFmtId="0" fontId="10" fillId="23" borderId="53" xfId="0" applyFont="1" applyFill="1" applyBorder="1" applyAlignment="1">
      <alignment horizontal="center" vertical="center"/>
    </xf>
    <xf numFmtId="0" fontId="12" fillId="5" borderId="7" xfId="0" applyFont="1" applyFill="1" applyBorder="1" applyAlignment="1">
      <alignment horizontal="center" vertical="center"/>
    </xf>
    <xf numFmtId="174" fontId="60" fillId="2" borderId="37" xfId="0" applyNumberFormat="1" applyFont="1" applyFill="1" applyBorder="1" applyAlignment="1">
      <alignment horizontal="center" vertical="center" wrapText="1"/>
    </xf>
    <xf numFmtId="171" fontId="43" fillId="35" borderId="7" xfId="1" applyNumberFormat="1" applyFont="1" applyFill="1" applyBorder="1" applyAlignment="1">
      <alignment horizontal="center" vertical="center"/>
    </xf>
    <xf numFmtId="171" fontId="43" fillId="35" borderId="7" xfId="1" applyNumberFormat="1" applyFont="1" applyFill="1" applyBorder="1" applyAlignment="1">
      <alignment horizontal="center" vertical="center" wrapText="1"/>
    </xf>
    <xf numFmtId="171" fontId="52" fillId="35" borderId="7" xfId="1" applyNumberFormat="1" applyFont="1" applyFill="1" applyBorder="1" applyAlignment="1">
      <alignment horizontal="center" vertical="center"/>
    </xf>
    <xf numFmtId="174" fontId="41" fillId="2" borderId="0" xfId="0" applyNumberFormat="1" applyFont="1" applyFill="1" applyAlignment="1">
      <alignment horizontal="left" vertical="center" wrapText="1"/>
    </xf>
    <xf numFmtId="0" fontId="13" fillId="0" borderId="37" xfId="0" applyFont="1" applyBorder="1" applyAlignment="1">
      <alignment horizontal="center" vertical="center"/>
    </xf>
    <xf numFmtId="165" fontId="28" fillId="2" borderId="7" xfId="2" applyNumberFormat="1" applyFont="1" applyFill="1" applyBorder="1" applyAlignment="1">
      <alignment horizontal="center" vertical="center"/>
    </xf>
    <xf numFmtId="0" fontId="53" fillId="9" borderId="0" xfId="0" applyFont="1" applyFill="1" applyAlignment="1">
      <alignment horizontal="left" vertical="center"/>
    </xf>
    <xf numFmtId="0" fontId="13" fillId="23" borderId="7" xfId="0" applyFont="1" applyFill="1" applyBorder="1" applyAlignment="1">
      <alignment horizontal="center" vertical="center"/>
    </xf>
    <xf numFmtId="0" fontId="12" fillId="5" borderId="7" xfId="0" applyFont="1" applyFill="1" applyBorder="1" applyAlignment="1">
      <alignment horizontal="center" vertical="center" wrapText="1"/>
    </xf>
    <xf numFmtId="0" fontId="59" fillId="2" borderId="36" xfId="10" applyFont="1" applyFill="1" applyBorder="1" applyAlignment="1">
      <alignment horizontal="center" vertical="center" wrapText="1"/>
    </xf>
    <xf numFmtId="0" fontId="12" fillId="0" borderId="32" xfId="0" applyFont="1" applyBorder="1" applyAlignment="1">
      <alignment horizontal="left" vertical="center"/>
    </xf>
    <xf numFmtId="0" fontId="13" fillId="23" borderId="7" xfId="0" applyFont="1" applyFill="1" applyBorder="1" applyAlignment="1">
      <alignment horizontal="left" vertical="center"/>
    </xf>
    <xf numFmtId="0" fontId="12" fillId="5" borderId="7" xfId="0" applyFont="1" applyFill="1" applyBorder="1" applyAlignment="1">
      <alignment horizontal="left" vertical="center"/>
    </xf>
    <xf numFmtId="0" fontId="12" fillId="2" borderId="7" xfId="0" applyFont="1" applyFill="1" applyBorder="1" applyAlignment="1">
      <alignment horizontal="left" vertical="center"/>
    </xf>
    <xf numFmtId="0" fontId="28" fillId="2" borderId="7" xfId="0" applyFont="1" applyFill="1" applyBorder="1" applyAlignment="1">
      <alignment horizontal="left" vertical="center"/>
    </xf>
    <xf numFmtId="0" fontId="55" fillId="9" borderId="35" xfId="0" applyFont="1" applyFill="1" applyBorder="1" applyAlignment="1">
      <alignment horizontal="center" vertical="center"/>
    </xf>
    <xf numFmtId="0" fontId="56" fillId="35" borderId="32" xfId="0" applyFont="1" applyFill="1" applyBorder="1" applyAlignment="1">
      <alignment horizontal="left" vertical="center"/>
    </xf>
    <xf numFmtId="0" fontId="12" fillId="0" borderId="7" xfId="0" applyFont="1" applyBorder="1" applyAlignment="1">
      <alignment horizontal="left" vertical="center"/>
    </xf>
    <xf numFmtId="0" fontId="12" fillId="0" borderId="26" xfId="0" applyFont="1" applyBorder="1" applyAlignment="1">
      <alignment horizontal="left" vertical="center"/>
    </xf>
    <xf numFmtId="0" fontId="53" fillId="9" borderId="31" xfId="0" applyFont="1" applyFill="1" applyBorder="1" applyAlignment="1">
      <alignment horizontal="left" vertical="center"/>
    </xf>
    <xf numFmtId="0" fontId="43" fillId="32" borderId="26" xfId="0" applyFont="1" applyFill="1" applyBorder="1" applyAlignment="1">
      <alignment horizontal="left" vertical="center" wrapText="1"/>
    </xf>
    <xf numFmtId="0" fontId="50" fillId="33" borderId="25" xfId="0" applyFont="1" applyFill="1" applyBorder="1" applyAlignment="1">
      <alignment horizontal="left" vertical="center"/>
    </xf>
    <xf numFmtId="0" fontId="43" fillId="32" borderId="7" xfId="0" applyFont="1" applyFill="1" applyBorder="1" applyAlignment="1">
      <alignment horizontal="left" vertical="center" wrapText="1"/>
    </xf>
    <xf numFmtId="0" fontId="43" fillId="32" borderId="7" xfId="0" applyFont="1" applyFill="1" applyBorder="1" applyAlignment="1">
      <alignment horizontal="left" vertical="center"/>
    </xf>
    <xf numFmtId="0" fontId="50" fillId="33" borderId="28" xfId="0" applyFont="1" applyFill="1" applyBorder="1" applyAlignment="1">
      <alignment horizontal="left" vertical="center"/>
    </xf>
    <xf numFmtId="0" fontId="12" fillId="0" borderId="7" xfId="0" applyFont="1" applyBorder="1" applyAlignment="1">
      <alignment horizontal="left"/>
    </xf>
    <xf numFmtId="0" fontId="12" fillId="26" borderId="26" xfId="0" applyFont="1" applyFill="1" applyBorder="1" applyAlignment="1">
      <alignment horizontal="left" vertical="center"/>
    </xf>
    <xf numFmtId="0" fontId="47" fillId="3" borderId="0" xfId="0" applyFont="1" applyFill="1" applyAlignment="1">
      <alignment horizontal="center" vertical="center"/>
    </xf>
    <xf numFmtId="0" fontId="48" fillId="13" borderId="5" xfId="0" applyFont="1" applyFill="1" applyBorder="1" applyAlignment="1">
      <alignment horizontal="left"/>
    </xf>
    <xf numFmtId="0" fontId="12" fillId="23" borderId="7" xfId="0" applyFont="1" applyFill="1" applyBorder="1" applyAlignment="1">
      <alignment horizontal="center" vertical="center"/>
    </xf>
    <xf numFmtId="0" fontId="2" fillId="49" borderId="0" xfId="0" applyFont="1" applyFill="1" applyAlignment="1">
      <alignment horizontal="center" vertical="center" wrapText="1"/>
    </xf>
    <xf numFmtId="0" fontId="2" fillId="45" borderId="0" xfId="0" applyFont="1" applyFill="1" applyAlignment="1">
      <alignment horizontal="center" vertical="center" wrapText="1"/>
    </xf>
    <xf numFmtId="0" fontId="2" fillId="47" borderId="0" xfId="0" applyFont="1" applyFill="1" applyAlignment="1">
      <alignment horizontal="center" vertical="center" wrapText="1"/>
    </xf>
    <xf numFmtId="0" fontId="2" fillId="48" borderId="0" xfId="0" applyFont="1" applyFill="1" applyAlignment="1">
      <alignment horizontal="center" vertical="center" wrapText="1"/>
    </xf>
    <xf numFmtId="0" fontId="7" fillId="0" borderId="0" xfId="0" applyFont="1" applyAlignment="1">
      <alignment horizontal="left" vertical="center"/>
    </xf>
    <xf numFmtId="0" fontId="0" fillId="0" borderId="0" xfId="0" applyAlignment="1">
      <alignment horizontal="left" vertical="center" wrapText="1"/>
    </xf>
    <xf numFmtId="0" fontId="72" fillId="37" borderId="0" xfId="0" applyFont="1" applyFill="1" applyAlignment="1">
      <alignment horizontal="center" vertical="center"/>
    </xf>
    <xf numFmtId="0" fontId="83" fillId="0" borderId="0" xfId="0" applyFont="1" applyAlignment="1">
      <alignment horizontal="center" wrapText="1"/>
    </xf>
    <xf numFmtId="168" fontId="71" fillId="0" borderId="0" xfId="0" applyNumberFormat="1" applyFont="1" applyAlignment="1">
      <alignment horizontal="center"/>
    </xf>
    <xf numFmtId="0" fontId="33" fillId="0" borderId="0" xfId="0" applyFont="1" applyAlignment="1">
      <alignment horizontal="left" vertical="center"/>
    </xf>
    <xf numFmtId="0" fontId="86" fillId="53" borderId="7" xfId="0" applyFont="1" applyFill="1" applyBorder="1" applyAlignment="1">
      <alignment horizontal="center" vertical="center" wrapText="1"/>
    </xf>
    <xf numFmtId="0" fontId="86" fillId="53" borderId="15" xfId="0" applyFont="1" applyFill="1" applyBorder="1" applyAlignment="1">
      <alignment horizontal="center" vertical="center" wrapText="1"/>
    </xf>
    <xf numFmtId="0" fontId="86" fillId="53" borderId="101" xfId="0" applyFont="1" applyFill="1" applyBorder="1" applyAlignment="1">
      <alignment horizontal="center" vertical="center" wrapText="1"/>
    </xf>
    <xf numFmtId="0" fontId="86" fillId="53" borderId="28" xfId="0" applyFont="1" applyFill="1" applyBorder="1" applyAlignment="1">
      <alignment horizontal="center" vertical="center" wrapText="1"/>
    </xf>
    <xf numFmtId="0" fontId="87" fillId="0" borderId="102" xfId="0" applyFont="1" applyBorder="1" applyAlignment="1">
      <alignment horizontal="right" vertical="center" wrapText="1"/>
    </xf>
    <xf numFmtId="0" fontId="86" fillId="53" borderId="100" xfId="0" applyFont="1" applyFill="1" applyBorder="1" applyAlignment="1">
      <alignment horizontal="center" vertical="center" wrapText="1"/>
    </xf>
    <xf numFmtId="0" fontId="86" fillId="53" borderId="17" xfId="0" applyFont="1" applyFill="1" applyBorder="1" applyAlignment="1">
      <alignment horizontal="center" vertical="center" wrapText="1"/>
    </xf>
    <xf numFmtId="178" fontId="86" fillId="51" borderId="7" xfId="0" applyNumberFormat="1" applyFont="1" applyFill="1" applyBorder="1" applyAlignment="1">
      <alignment horizontal="center" vertical="center"/>
    </xf>
    <xf numFmtId="0" fontId="84" fillId="52" borderId="99" xfId="0" applyFont="1" applyFill="1" applyBorder="1" applyAlignment="1">
      <alignment horizontal="center" vertical="center" wrapText="1"/>
    </xf>
    <xf numFmtId="178" fontId="87" fillId="26" borderId="19" xfId="0" applyNumberFormat="1" applyFont="1" applyFill="1" applyBorder="1" applyAlignment="1">
      <alignment horizontal="center"/>
    </xf>
    <xf numFmtId="0" fontId="87" fillId="0" borderId="79" xfId="0" applyFont="1" applyBorder="1" applyAlignment="1">
      <alignment horizontal="right" vertical="center" wrapText="1"/>
    </xf>
    <xf numFmtId="0" fontId="86" fillId="53" borderId="0" xfId="0" applyFont="1" applyFill="1" applyAlignment="1">
      <alignment horizontal="center" vertical="center" wrapText="1"/>
    </xf>
    <xf numFmtId="0" fontId="5" fillId="2" borderId="0" xfId="11" applyFont="1" applyFill="1" applyAlignment="1">
      <alignment horizontal="center"/>
    </xf>
    <xf numFmtId="0" fontId="86" fillId="51" borderId="96" xfId="0" applyFont="1" applyFill="1" applyBorder="1" applyAlignment="1">
      <alignment horizontal="center"/>
    </xf>
    <xf numFmtId="0" fontId="84" fillId="52" borderId="76" xfId="0" applyFont="1" applyFill="1" applyBorder="1" applyAlignment="1">
      <alignment horizontal="center" vertical="center" wrapText="1"/>
    </xf>
    <xf numFmtId="0" fontId="86" fillId="53" borderId="79" xfId="0" applyFont="1" applyFill="1" applyBorder="1" applyAlignment="1">
      <alignment horizontal="center" vertical="center" wrapText="1"/>
    </xf>
    <xf numFmtId="0" fontId="86" fillId="53" borderId="80" xfId="0" applyFont="1" applyFill="1" applyBorder="1" applyAlignment="1">
      <alignment horizontal="center" vertical="center" wrapText="1"/>
    </xf>
    <xf numFmtId="0" fontId="86" fillId="51" borderId="7" xfId="0" applyFont="1" applyFill="1" applyBorder="1" applyAlignment="1">
      <alignment horizontal="center"/>
    </xf>
    <xf numFmtId="0" fontId="33" fillId="0" borderId="0" xfId="0" applyFont="1" applyAlignment="1">
      <alignment horizontal="left" vertical="top"/>
    </xf>
    <xf numFmtId="3" fontId="10" fillId="18" borderId="7" xfId="0" applyNumberFormat="1" applyFont="1" applyFill="1" applyBorder="1" applyAlignment="1">
      <alignment horizontal="center" vertical="top" wrapText="1"/>
    </xf>
    <xf numFmtId="0" fontId="2" fillId="0" borderId="0" xfId="0" applyFont="1" applyAlignment="1">
      <alignment horizontal="left" vertical="center"/>
    </xf>
    <xf numFmtId="0" fontId="66" fillId="0" borderId="0" xfId="0" applyFont="1" applyAlignment="1">
      <alignment horizontal="left" vertical="center" wrapText="1"/>
    </xf>
    <xf numFmtId="0" fontId="99" fillId="57" borderId="0" xfId="0" applyFont="1" applyFill="1" applyAlignment="1">
      <alignment horizontal="center" vertical="center"/>
    </xf>
    <xf numFmtId="0" fontId="12" fillId="0" borderId="51" xfId="0" applyFont="1" applyBorder="1" applyAlignment="1">
      <alignment horizontal="center" vertical="center" wrapText="1"/>
    </xf>
    <xf numFmtId="0" fontId="100" fillId="9" borderId="113" xfId="0" applyFont="1" applyFill="1" applyBorder="1" applyAlignment="1">
      <alignment horizontal="left" vertical="center" wrapText="1"/>
    </xf>
    <xf numFmtId="0" fontId="100" fillId="59" borderId="66" xfId="0" applyFont="1" applyFill="1" applyBorder="1" applyAlignment="1">
      <alignment horizontal="left" vertical="center" wrapText="1"/>
    </xf>
    <xf numFmtId="0" fontId="2" fillId="61" borderId="7" xfId="0" applyFont="1" applyFill="1" applyBorder="1" applyAlignment="1">
      <alignment horizontal="center" vertical="center" wrapText="1"/>
    </xf>
    <xf numFmtId="0" fontId="77" fillId="6" borderId="17" xfId="0" applyFont="1" applyFill="1" applyBorder="1" applyAlignment="1">
      <alignment horizontal="left" vertical="center" wrapText="1"/>
    </xf>
    <xf numFmtId="1" fontId="2" fillId="0" borderId="7" xfId="0" applyNumberFormat="1" applyFont="1" applyBorder="1" applyAlignment="1">
      <alignment horizontal="center" vertical="center" wrapText="1"/>
    </xf>
    <xf numFmtId="0" fontId="2" fillId="0" borderId="7" xfId="0" applyFont="1" applyBorder="1" applyAlignment="1">
      <alignment horizontal="left" vertical="center" wrapText="1"/>
    </xf>
    <xf numFmtId="1" fontId="2" fillId="26" borderId="7" xfId="0" applyNumberFormat="1" applyFont="1" applyFill="1" applyBorder="1" applyAlignment="1">
      <alignment horizontal="center" vertical="center" wrapText="1"/>
    </xf>
    <xf numFmtId="0" fontId="2" fillId="0" borderId="7" xfId="0" applyFont="1" applyBorder="1" applyAlignment="1">
      <alignment horizontal="center" vertical="center" wrapText="1"/>
    </xf>
    <xf numFmtId="0" fontId="69" fillId="0" borderId="7" xfId="0" applyFont="1" applyBorder="1" applyAlignment="1">
      <alignment horizontal="center" vertical="center" wrapText="1"/>
    </xf>
    <xf numFmtId="0" fontId="69" fillId="59" borderId="17" xfId="0" applyFont="1" applyFill="1" applyBorder="1" applyAlignment="1">
      <alignment horizontal="left" vertical="center" wrapText="1"/>
    </xf>
    <xf numFmtId="0" fontId="99" fillId="37" borderId="0" xfId="0" applyFont="1" applyFill="1" applyAlignment="1">
      <alignment horizontal="left" vertical="center"/>
    </xf>
    <xf numFmtId="0" fontId="69" fillId="0" borderId="7" xfId="0" applyFont="1" applyBorder="1" applyAlignment="1">
      <alignment horizontal="center"/>
    </xf>
    <xf numFmtId="0" fontId="102" fillId="0" borderId="7" xfId="0" applyFont="1" applyBorder="1" applyAlignment="1">
      <alignment horizontal="center" vertical="center" wrapText="1"/>
    </xf>
    <xf numFmtId="0" fontId="69" fillId="7" borderId="17" xfId="0" applyFont="1" applyFill="1" applyBorder="1" applyAlignment="1">
      <alignment horizontal="left" vertical="center" wrapText="1"/>
    </xf>
    <xf numFmtId="0" fontId="110" fillId="24" borderId="0" xfId="0" applyFont="1" applyFill="1" applyAlignment="1">
      <alignment horizontal="center" vertical="center"/>
    </xf>
    <xf numFmtId="0" fontId="110" fillId="38" borderId="0" xfId="0" applyFont="1" applyFill="1" applyAlignment="1">
      <alignment horizontal="center" vertical="center" wrapText="1"/>
    </xf>
    <xf numFmtId="0" fontId="110" fillId="6"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2" fillId="18" borderId="7" xfId="0" applyFont="1" applyFill="1" applyBorder="1" applyAlignment="1">
      <alignment horizontal="center" vertical="center" wrapText="1"/>
    </xf>
    <xf numFmtId="3" fontId="7" fillId="14" borderId="7"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41" xfId="0" applyBorder="1" applyAlignment="1">
      <alignment horizontal="center" vertical="center"/>
    </xf>
    <xf numFmtId="0" fontId="0" fillId="0" borderId="2" xfId="0" applyBorder="1" applyAlignment="1">
      <alignment horizontal="center" vertical="center"/>
    </xf>
    <xf numFmtId="0" fontId="0" fillId="0" borderId="125" xfId="0" applyBorder="1" applyAlignment="1">
      <alignment horizontal="center" vertical="center"/>
    </xf>
  </cellXfs>
  <cellStyles count="13">
    <cellStyle name="Catégorie de la table dynamique" xfId="3"/>
    <cellStyle name="Champ de la table dynamique" xfId="4"/>
    <cellStyle name="Coin de la table dynamique" xfId="5"/>
    <cellStyle name="Excel Built-in Explanatory Text" xfId="12"/>
    <cellStyle name="Excel Built-in Good" xfId="11"/>
    <cellStyle name="ExtConditionalStyle_1" xfId="9"/>
    <cellStyle name="Lien hypertexte" xfId="10" builtinId="8"/>
    <cellStyle name="Milliers" xfId="1" builtinId="3"/>
    <cellStyle name="Normal" xfId="0" builtinId="0"/>
    <cellStyle name="Pourcentage" xfId="2" builtinId="5"/>
    <cellStyle name="Résultat de la table dynamique" xfId="6"/>
    <cellStyle name="Titre de la table dynamique" xfId="7"/>
    <cellStyle name="Valeur de la table dynamique" xfId="8"/>
  </cellStyles>
  <dxfs count="38">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
      <font>
        <name val="MS Sans Serif"/>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600" b="1" strike="noStrike" spc="-1">
                <a:solidFill>
                  <a:srgbClr val="000000"/>
                </a:solidFill>
                <a:latin typeface="Calibri"/>
                <a:ea typeface="Calibri"/>
              </a:defRPr>
            </a:pPr>
            <a:r>
              <a:rPr lang="fr-FR" sz="1600" b="1" strike="noStrike" spc="-1">
                <a:solidFill>
                  <a:srgbClr val="000000"/>
                </a:solidFill>
                <a:latin typeface="Calibri"/>
                <a:ea typeface="Calibri"/>
              </a:rPr>
              <a:t>SOLDE TRESORERIE 22 ANS CVSSB LOTS 2018_21 + 543</a:t>
            </a:r>
            <a:endParaRPr lang="fr-FR"/>
          </a:p>
        </c:rich>
      </c:tx>
      <c:layout>
        <c:manualLayout>
          <c:xMode val="edge"/>
          <c:yMode val="edge"/>
          <c:x val="8.0664826834098202E-2"/>
          <c:y val="0.12529740433174205"/>
        </c:manualLayout>
      </c:layout>
      <c:overlay val="0"/>
      <c:spPr>
        <a:solidFill>
          <a:srgbClr val="FFFFFF"/>
        </a:solidFill>
        <a:ln>
          <a:noFill/>
        </a:ln>
      </c:spPr>
    </c:title>
    <c:autoTitleDeleted val="0"/>
    <c:plotArea>
      <c:layout>
        <c:manualLayout>
          <c:layoutTarget val="inner"/>
          <c:xMode val="edge"/>
          <c:yMode val="edge"/>
          <c:x val="6.6721369124369906E-2"/>
          <c:y val="5.1766025042048198E-2"/>
          <c:w val="0.93013714687609905"/>
          <c:h val="0.92636890300878305"/>
        </c:manualLayout>
      </c:layout>
      <c:lineChart>
        <c:grouping val="standard"/>
        <c:varyColors val="0"/>
        <c:ser>
          <c:idx val="0"/>
          <c:order val="0"/>
          <c:tx>
            <c:strRef>
              <c:f>Plan_de_trésorerie!$B$35</c:f>
              <c:strCache>
                <c:ptCount val="1"/>
                <c:pt idx="0">
                  <c:v>Solde annuel</c:v>
                </c:pt>
              </c:strCache>
            </c:strRef>
          </c:tx>
          <c:spPr>
            <a:ln w="38160">
              <a:solidFill>
                <a:srgbClr val="6699FF"/>
              </a:solidFill>
              <a:round/>
            </a:ln>
          </c:spPr>
          <c:marker>
            <c:symbol val="x"/>
            <c:size val="6"/>
            <c:spPr>
              <a:solidFill>
                <a:srgbClr val="6699FF"/>
              </a:solidFill>
            </c:spPr>
          </c:marker>
          <c:dPt>
            <c:idx val="17"/>
            <c:bubble3D val="0"/>
          </c:dPt>
          <c:val>
            <c:numRef>
              <c:f>Plan_de_trésorerie!$D$35:$Y$35</c:f>
              <c:numCache>
                <c:formatCode>#,##0</c:formatCode>
                <c:ptCount val="22"/>
                <c:pt idx="0">
                  <c:v>11160</c:v>
                </c:pt>
                <c:pt idx="1">
                  <c:v>18940.29930709998</c:v>
                </c:pt>
                <c:pt idx="2">
                  <c:v>-3792.4286464693223</c:v>
                </c:pt>
                <c:pt idx="3">
                  <c:v>10024.139394962291</c:v>
                </c:pt>
                <c:pt idx="4">
                  <c:v>9712.8705515307847</c:v>
                </c:pt>
                <c:pt idx="5">
                  <c:v>9975.4710773402148</c:v>
                </c:pt>
                <c:pt idx="6">
                  <c:v>9072.7786072253293</c:v>
                </c:pt>
                <c:pt idx="7">
                  <c:v>8949.2734307621868</c:v>
                </c:pt>
                <c:pt idx="8">
                  <c:v>8830.3814558940558</c:v>
                </c:pt>
                <c:pt idx="9">
                  <c:v>8708.4005651825373</c:v>
                </c:pt>
                <c:pt idx="10">
                  <c:v>14373.064922629776</c:v>
                </c:pt>
                <c:pt idx="11">
                  <c:v>15477.25864479647</c:v>
                </c:pt>
                <c:pt idx="12">
                  <c:v>12305.401559977945</c:v>
                </c:pt>
                <c:pt idx="13">
                  <c:v>13829.541233016967</c:v>
                </c:pt>
                <c:pt idx="14">
                  <c:v>12905.058090189737</c:v>
                </c:pt>
                <c:pt idx="15">
                  <c:v>13606.604248632786</c:v>
                </c:pt>
                <c:pt idx="16">
                  <c:v>13093.119819983245</c:v>
                </c:pt>
                <c:pt idx="17">
                  <c:v>14939.787337766184</c:v>
                </c:pt>
                <c:pt idx="18">
                  <c:v>13696.8548359079</c:v>
                </c:pt>
                <c:pt idx="19">
                  <c:v>13745.912797690393</c:v>
                </c:pt>
                <c:pt idx="20">
                  <c:v>9855.9438654987298</c:v>
                </c:pt>
                <c:pt idx="21">
                  <c:v>22989.451733769314</c:v>
                </c:pt>
              </c:numCache>
            </c:numRef>
          </c:val>
          <c:smooth val="0"/>
        </c:ser>
        <c:ser>
          <c:idx val="1"/>
          <c:order val="1"/>
          <c:tx>
            <c:strRef>
              <c:f>Plan_de_trésorerie!$B$36</c:f>
              <c:strCache>
                <c:ptCount val="1"/>
                <c:pt idx="0">
                  <c:v>Solde cumulé</c:v>
                </c:pt>
              </c:strCache>
            </c:strRef>
          </c:tx>
          <c:spPr>
            <a:ln w="38160">
              <a:solidFill>
                <a:srgbClr val="E46C0A"/>
              </a:solidFill>
              <a:round/>
            </a:ln>
          </c:spPr>
          <c:marker>
            <c:symbol val="circle"/>
            <c:size val="6"/>
            <c:spPr>
              <a:solidFill>
                <a:srgbClr val="E46C0A"/>
              </a:solidFill>
            </c:spPr>
          </c:marker>
          <c:val>
            <c:numRef>
              <c:f>Plan_de_trésorerie!$D$36:$Y$36</c:f>
              <c:numCache>
                <c:formatCode>#,##0</c:formatCode>
                <c:ptCount val="22"/>
                <c:pt idx="0">
                  <c:v>91816.458505668197</c:v>
                </c:pt>
                <c:pt idx="1">
                  <c:v>110756.75781276818</c:v>
                </c:pt>
                <c:pt idx="2">
                  <c:v>106964.32916629885</c:v>
                </c:pt>
                <c:pt idx="3">
                  <c:v>116988.46856126114</c:v>
                </c:pt>
                <c:pt idx="4">
                  <c:v>126701.33911279192</c:v>
                </c:pt>
                <c:pt idx="5">
                  <c:v>136676.81019013212</c:v>
                </c:pt>
                <c:pt idx="6">
                  <c:v>145749.58879735746</c:v>
                </c:pt>
                <c:pt idx="7">
                  <c:v>154698.86222811963</c:v>
                </c:pt>
                <c:pt idx="8">
                  <c:v>163529.24368401369</c:v>
                </c:pt>
                <c:pt idx="9">
                  <c:v>172237.64424919622</c:v>
                </c:pt>
                <c:pt idx="10">
                  <c:v>186610.70917182599</c:v>
                </c:pt>
                <c:pt idx="11">
                  <c:v>202087.96781662246</c:v>
                </c:pt>
                <c:pt idx="12">
                  <c:v>214393.3693766004</c:v>
                </c:pt>
                <c:pt idx="13">
                  <c:v>228222.91060961736</c:v>
                </c:pt>
                <c:pt idx="14">
                  <c:v>241127.9686998071</c:v>
                </c:pt>
                <c:pt idx="15">
                  <c:v>254734.57294843989</c:v>
                </c:pt>
                <c:pt idx="16">
                  <c:v>267827.69276842312</c:v>
                </c:pt>
                <c:pt idx="17">
                  <c:v>282767.48010618932</c:v>
                </c:pt>
                <c:pt idx="18">
                  <c:v>296464.33494209719</c:v>
                </c:pt>
                <c:pt idx="19">
                  <c:v>310210.24773978756</c:v>
                </c:pt>
                <c:pt idx="20">
                  <c:v>320066.19160528627</c:v>
                </c:pt>
                <c:pt idx="21">
                  <c:v>343055.64333905559</c:v>
                </c:pt>
              </c:numCache>
            </c:numRef>
          </c:val>
          <c:smooth val="0"/>
        </c:ser>
        <c:dLbls>
          <c:showLegendKey val="0"/>
          <c:showVal val="0"/>
          <c:showCatName val="0"/>
          <c:showSerName val="0"/>
          <c:showPercent val="0"/>
          <c:showBubbleSize val="0"/>
        </c:dLbls>
        <c:hiLowLines>
          <c:spPr>
            <a:ln>
              <a:noFill/>
            </a:ln>
          </c:spPr>
        </c:hiLowLines>
        <c:marker val="1"/>
        <c:smooth val="0"/>
        <c:axId val="156750336"/>
        <c:axId val="146273344"/>
      </c:lineChart>
      <c:catAx>
        <c:axId val="156750336"/>
        <c:scaling>
          <c:orientation val="minMax"/>
        </c:scaling>
        <c:delete val="0"/>
        <c:axPos val="b"/>
        <c:majorGridlines>
          <c:spPr>
            <a:ln w="9360">
              <a:solidFill>
                <a:srgbClr val="878787"/>
              </a:solidFill>
              <a:round/>
            </a:ln>
          </c:spPr>
        </c:majorGridlines>
        <c:numFmt formatCode="General" sourceLinked="1"/>
        <c:majorTickMark val="out"/>
        <c:minorTickMark val="none"/>
        <c:tickLblPos val="nextTo"/>
        <c:spPr>
          <a:ln w="3240">
            <a:solidFill>
              <a:srgbClr val="808080"/>
            </a:solidFill>
            <a:round/>
          </a:ln>
        </c:spPr>
        <c:txPr>
          <a:bodyPr/>
          <a:lstStyle/>
          <a:p>
            <a:pPr>
              <a:defRPr sz="1000" b="0" strike="noStrike" spc="-1">
                <a:solidFill>
                  <a:srgbClr val="000000"/>
                </a:solidFill>
                <a:latin typeface="Calibri"/>
                <a:ea typeface="Calibri"/>
              </a:defRPr>
            </a:pPr>
            <a:endParaRPr lang="fr-FR"/>
          </a:p>
        </c:txPr>
        <c:crossAx val="146273344"/>
        <c:crosses val="autoZero"/>
        <c:auto val="1"/>
        <c:lblAlgn val="ctr"/>
        <c:lblOffset val="100"/>
        <c:noMultiLvlLbl val="0"/>
      </c:catAx>
      <c:valAx>
        <c:axId val="146273344"/>
        <c:scaling>
          <c:orientation val="minMax"/>
        </c:scaling>
        <c:delete val="0"/>
        <c:axPos val="l"/>
        <c:majorGridlines>
          <c:spPr>
            <a:ln w="3240">
              <a:solidFill>
                <a:srgbClr val="808080"/>
              </a:solidFill>
              <a:round/>
            </a:ln>
          </c:spPr>
        </c:majorGridlines>
        <c:numFmt formatCode="#,##0&quot;   &quot;" sourceLinked="0"/>
        <c:majorTickMark val="out"/>
        <c:minorTickMark val="none"/>
        <c:tickLblPos val="nextTo"/>
        <c:spPr>
          <a:ln w="3240">
            <a:solidFill>
              <a:srgbClr val="808080"/>
            </a:solidFill>
            <a:round/>
          </a:ln>
        </c:spPr>
        <c:txPr>
          <a:bodyPr/>
          <a:lstStyle/>
          <a:p>
            <a:pPr>
              <a:defRPr sz="1000" b="0" strike="noStrike" spc="-1">
                <a:solidFill>
                  <a:srgbClr val="000000"/>
                </a:solidFill>
                <a:latin typeface="Calibri"/>
                <a:ea typeface="Calibri"/>
              </a:defRPr>
            </a:pPr>
            <a:endParaRPr lang="fr-FR"/>
          </a:p>
        </c:txPr>
        <c:crossAx val="156750336"/>
        <c:crosses val="autoZero"/>
        <c:crossBetween val="midCat"/>
      </c:valAx>
      <c:spPr>
        <a:solidFill>
          <a:srgbClr val="FFFFFF"/>
        </a:solidFill>
        <a:ln w="25560">
          <a:noFill/>
        </a:ln>
      </c:spPr>
    </c:plotArea>
    <c:legend>
      <c:legendPos val="r"/>
      <c:layout>
        <c:manualLayout>
          <c:xMode val="edge"/>
          <c:yMode val="edge"/>
          <c:x val="0.72651386200946699"/>
          <c:y val="0.56508952512758404"/>
          <c:w val="0.11637830527444901"/>
          <c:h val="9.3685121107266497E-2"/>
        </c:manualLayout>
      </c:layout>
      <c:overlay val="0"/>
      <c:spPr>
        <a:noFill/>
        <a:ln w="25560">
          <a:noFill/>
        </a:ln>
      </c:spPr>
      <c:txPr>
        <a:bodyPr/>
        <a:lstStyle/>
        <a:p>
          <a:pPr>
            <a:defRPr sz="1000" b="0" strike="noStrike" spc="-1">
              <a:solidFill>
                <a:srgbClr val="000000"/>
              </a:solidFill>
              <a:latin typeface="Arial"/>
              <a:ea typeface="Arial"/>
            </a:defRPr>
          </a:pPr>
          <a:endParaRPr lang="fr-FR"/>
        </a:p>
      </c:txPr>
    </c:legend>
    <c:plotVisOnly val="1"/>
    <c:dispBlanksAs val="zero"/>
    <c:showDLblsOverMax val="0"/>
  </c:chart>
  <c:spPr>
    <a:solidFill>
      <a:srgbClr val="E6E0EC"/>
    </a:solidFill>
    <a:ln w="3240">
      <a:solidFill>
        <a:srgbClr val="808080"/>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53968253968294E-2"/>
          <c:y val="8.9276906382558904E-2"/>
          <c:w val="0.849803174603175"/>
          <c:h val="0.87017855381276499"/>
        </c:manualLayout>
      </c:layout>
      <c:lineChart>
        <c:grouping val="standard"/>
        <c:varyColors val="0"/>
        <c:ser>
          <c:idx val="0"/>
          <c:order val="0"/>
          <c:tx>
            <c:strRef>
              <c:f>Tresorerie_mensuelle!$B$68</c:f>
              <c:strCache>
                <c:ptCount val="1"/>
                <c:pt idx="0">
                  <c:v>Variation de trésorerie</c:v>
                </c:pt>
              </c:strCache>
            </c:strRef>
          </c:tx>
          <c:spPr>
            <a:ln w="38160">
              <a:solidFill>
                <a:srgbClr val="666699"/>
              </a:solidFill>
              <a:round/>
            </a:ln>
          </c:spPr>
          <c:marker>
            <c:symbol val="diamond"/>
            <c:size val="9"/>
            <c:spPr>
              <a:solidFill>
                <a:srgbClr val="666699"/>
              </a:solidFill>
            </c:spPr>
          </c:marker>
          <c:val>
            <c:numRef>
              <c:f>Tresorerie_mensuelle!$G$68:$AP$68</c:f>
              <c:numCache>
                <c:formatCode>0</c:formatCode>
                <c:ptCount val="36"/>
                <c:pt idx="0">
                  <c:v>70488.458529239986</c:v>
                </c:pt>
                <c:pt idx="1">
                  <c:v>-16287.523903904996</c:v>
                </c:pt>
                <c:pt idx="2">
                  <c:v>8338.8958992000007</c:v>
                </c:pt>
                <c:pt idx="3">
                  <c:v>-20109.34275</c:v>
                </c:pt>
                <c:pt idx="4">
                  <c:v>-26981.452138235003</c:v>
                </c:pt>
                <c:pt idx="5">
                  <c:v>-12558.402865599983</c:v>
                </c:pt>
                <c:pt idx="6">
                  <c:v>2461.4256137982734</c:v>
                </c:pt>
                <c:pt idx="7">
                  <c:v>-120.2796</c:v>
                </c:pt>
                <c:pt idx="8">
                  <c:v>20.000000000000004</c:v>
                </c:pt>
                <c:pt idx="9">
                  <c:v>0</c:v>
                </c:pt>
                <c:pt idx="10">
                  <c:v>0</c:v>
                </c:pt>
                <c:pt idx="11">
                  <c:v>-1664.1751026017241</c:v>
                </c:pt>
                <c:pt idx="12">
                  <c:v>160.00000000000003</c:v>
                </c:pt>
                <c:pt idx="13">
                  <c:v>0</c:v>
                </c:pt>
                <c:pt idx="14">
                  <c:v>0</c:v>
                </c:pt>
                <c:pt idx="15">
                  <c:v>0</c:v>
                </c:pt>
                <c:pt idx="16">
                  <c:v>0</c:v>
                </c:pt>
                <c:pt idx="17">
                  <c:v>-579.4079999999999</c:v>
                </c:pt>
                <c:pt idx="18">
                  <c:v>-614.64885362774135</c:v>
                </c:pt>
                <c:pt idx="19">
                  <c:v>-120.2796</c:v>
                </c:pt>
                <c:pt idx="20">
                  <c:v>20.000000000000004</c:v>
                </c:pt>
                <c:pt idx="21">
                  <c:v>0</c:v>
                </c:pt>
                <c:pt idx="22">
                  <c:v>0</c:v>
                </c:pt>
                <c:pt idx="23">
                  <c:v>-1671.2168536277413</c:v>
                </c:pt>
                <c:pt idx="24">
                  <c:v>160.00000000000003</c:v>
                </c:pt>
                <c:pt idx="25">
                  <c:v>0</c:v>
                </c:pt>
                <c:pt idx="26">
                  <c:v>0</c:v>
                </c:pt>
                <c:pt idx="27">
                  <c:v>0</c:v>
                </c:pt>
                <c:pt idx="28">
                  <c:v>0</c:v>
                </c:pt>
                <c:pt idx="29">
                  <c:v>20167.389600000002</c:v>
                </c:pt>
                <c:pt idx="30">
                  <c:v>-621.76102216401875</c:v>
                </c:pt>
                <c:pt idx="31">
                  <c:v>-120.2796</c:v>
                </c:pt>
                <c:pt idx="32">
                  <c:v>20.000000000000004</c:v>
                </c:pt>
                <c:pt idx="33">
                  <c:v>0</c:v>
                </c:pt>
                <c:pt idx="34">
                  <c:v>0</c:v>
                </c:pt>
                <c:pt idx="35">
                  <c:v>-1678.3290221640186</c:v>
                </c:pt>
              </c:numCache>
            </c:numRef>
          </c:val>
          <c:smooth val="0"/>
        </c:ser>
        <c:ser>
          <c:idx val="1"/>
          <c:order val="1"/>
          <c:tx>
            <c:strRef>
              <c:f>Tresorerie_mensuelle!$B$69</c:f>
              <c:strCache>
                <c:ptCount val="1"/>
                <c:pt idx="0">
                  <c:v>Solde de trésorerie</c:v>
                </c:pt>
              </c:strCache>
            </c:strRef>
          </c:tx>
          <c:spPr>
            <a:ln w="38160">
              <a:solidFill>
                <a:srgbClr val="E46C0A"/>
              </a:solidFill>
              <a:round/>
            </a:ln>
          </c:spPr>
          <c:marker>
            <c:symbol val="square"/>
            <c:size val="4"/>
            <c:spPr>
              <a:solidFill>
                <a:srgbClr val="E46C0A"/>
              </a:solidFill>
            </c:spPr>
          </c:marker>
          <c:val>
            <c:numRef>
              <c:f>Tresorerie_mensuelle!$G$69:$AP$69</c:f>
              <c:numCache>
                <c:formatCode>0</c:formatCode>
                <c:ptCount val="36"/>
                <c:pt idx="0">
                  <c:v>70488.458529239986</c:v>
                </c:pt>
                <c:pt idx="1">
                  <c:v>54200.934625334994</c:v>
                </c:pt>
                <c:pt idx="2">
                  <c:v>62539.830524534991</c:v>
                </c:pt>
                <c:pt idx="3">
                  <c:v>42430.487774534995</c:v>
                </c:pt>
                <c:pt idx="4">
                  <c:v>15449.035636299992</c:v>
                </c:pt>
                <c:pt idx="5">
                  <c:v>2890.6327707000091</c:v>
                </c:pt>
                <c:pt idx="6">
                  <c:v>5352.058384498283</c:v>
                </c:pt>
                <c:pt idx="7">
                  <c:v>5231.7787844982831</c:v>
                </c:pt>
                <c:pt idx="8">
                  <c:v>5251.7787844982831</c:v>
                </c:pt>
                <c:pt idx="9">
                  <c:v>5251.7787844982831</c:v>
                </c:pt>
                <c:pt idx="10">
                  <c:v>5251.7787844982831</c:v>
                </c:pt>
                <c:pt idx="11">
                  <c:v>3587.603681896559</c:v>
                </c:pt>
                <c:pt idx="12">
                  <c:v>3747.603681896559</c:v>
                </c:pt>
                <c:pt idx="13">
                  <c:v>3747.603681896559</c:v>
                </c:pt>
                <c:pt idx="14">
                  <c:v>3747.603681896559</c:v>
                </c:pt>
                <c:pt idx="15">
                  <c:v>3747.603681896559</c:v>
                </c:pt>
                <c:pt idx="16">
                  <c:v>3747.603681896559</c:v>
                </c:pt>
                <c:pt idx="17">
                  <c:v>3168.1956818965591</c:v>
                </c:pt>
                <c:pt idx="18">
                  <c:v>2553.546828268818</c:v>
                </c:pt>
                <c:pt idx="19">
                  <c:v>2433.2672282688181</c:v>
                </c:pt>
                <c:pt idx="20">
                  <c:v>2453.2672282688181</c:v>
                </c:pt>
                <c:pt idx="21">
                  <c:v>2453.2672282688181</c:v>
                </c:pt>
                <c:pt idx="22">
                  <c:v>2453.2672282688181</c:v>
                </c:pt>
                <c:pt idx="23">
                  <c:v>782.05037464107681</c:v>
                </c:pt>
                <c:pt idx="24">
                  <c:v>942.05037464107681</c:v>
                </c:pt>
                <c:pt idx="25">
                  <c:v>942.05037464107681</c:v>
                </c:pt>
                <c:pt idx="26">
                  <c:v>942.05037464107681</c:v>
                </c:pt>
                <c:pt idx="27">
                  <c:v>942.05037464107681</c:v>
                </c:pt>
                <c:pt idx="28">
                  <c:v>942.05037464107681</c:v>
                </c:pt>
                <c:pt idx="29">
                  <c:v>21109.439974641078</c:v>
                </c:pt>
                <c:pt idx="30">
                  <c:v>20487.678952477061</c:v>
                </c:pt>
                <c:pt idx="31">
                  <c:v>20367.399352477059</c:v>
                </c:pt>
                <c:pt idx="32">
                  <c:v>20387.399352477059</c:v>
                </c:pt>
                <c:pt idx="33">
                  <c:v>20387.399352477059</c:v>
                </c:pt>
                <c:pt idx="34">
                  <c:v>20387.399352477059</c:v>
                </c:pt>
                <c:pt idx="35">
                  <c:v>18709.070330313039</c:v>
                </c:pt>
              </c:numCache>
            </c:numRef>
          </c:val>
          <c:smooth val="0"/>
        </c:ser>
        <c:dLbls>
          <c:showLegendKey val="0"/>
          <c:showVal val="0"/>
          <c:showCatName val="0"/>
          <c:showSerName val="0"/>
          <c:showPercent val="0"/>
          <c:showBubbleSize val="0"/>
        </c:dLbls>
        <c:hiLowLines>
          <c:spPr>
            <a:ln>
              <a:noFill/>
            </a:ln>
          </c:spPr>
        </c:hiLowLines>
        <c:marker val="1"/>
        <c:smooth val="0"/>
        <c:axId val="146948096"/>
        <c:axId val="158270016"/>
      </c:lineChart>
      <c:catAx>
        <c:axId val="146948096"/>
        <c:scaling>
          <c:orientation val="minMax"/>
        </c:scaling>
        <c:delete val="0"/>
        <c:axPos val="b"/>
        <c:numFmt formatCode="General" sourceLinked="1"/>
        <c:majorTickMark val="out"/>
        <c:minorTickMark val="none"/>
        <c:tickLblPos val="nextTo"/>
        <c:spPr>
          <a:ln w="3240">
            <a:solidFill>
              <a:srgbClr val="808080"/>
            </a:solidFill>
            <a:round/>
          </a:ln>
        </c:spPr>
        <c:txPr>
          <a:bodyPr/>
          <a:lstStyle/>
          <a:p>
            <a:pPr>
              <a:defRPr sz="1000" b="0" strike="noStrike" spc="-1">
                <a:solidFill>
                  <a:srgbClr val="000000"/>
                </a:solidFill>
                <a:latin typeface="Calibri"/>
                <a:ea typeface="Calibri"/>
              </a:defRPr>
            </a:pPr>
            <a:endParaRPr lang="fr-FR"/>
          </a:p>
        </c:txPr>
        <c:crossAx val="158270016"/>
        <c:crosses val="autoZero"/>
        <c:auto val="1"/>
        <c:lblAlgn val="ctr"/>
        <c:lblOffset val="100"/>
        <c:noMultiLvlLbl val="0"/>
      </c:catAx>
      <c:valAx>
        <c:axId val="158270016"/>
        <c:scaling>
          <c:orientation val="minMax"/>
        </c:scaling>
        <c:delete val="0"/>
        <c:axPos val="l"/>
        <c:majorGridlines>
          <c:spPr>
            <a:ln w="3240">
              <a:solidFill>
                <a:srgbClr val="808080"/>
              </a:solidFill>
              <a:round/>
            </a:ln>
          </c:spPr>
        </c:majorGridlines>
        <c:numFmt formatCode="0" sourceLinked="0"/>
        <c:majorTickMark val="out"/>
        <c:minorTickMark val="none"/>
        <c:tickLblPos val="nextTo"/>
        <c:spPr>
          <a:ln w="3240">
            <a:solidFill>
              <a:srgbClr val="808080"/>
            </a:solidFill>
            <a:round/>
          </a:ln>
        </c:spPr>
        <c:txPr>
          <a:bodyPr/>
          <a:lstStyle/>
          <a:p>
            <a:pPr>
              <a:defRPr sz="1000" b="0" strike="noStrike" spc="-1">
                <a:solidFill>
                  <a:srgbClr val="000000"/>
                </a:solidFill>
                <a:latin typeface="Calibri"/>
                <a:ea typeface="Calibri"/>
              </a:defRPr>
            </a:pPr>
            <a:endParaRPr lang="fr-FR"/>
          </a:p>
        </c:txPr>
        <c:crossAx val="146948096"/>
        <c:crosses val="autoZero"/>
        <c:crossBetween val="midCat"/>
      </c:valAx>
      <c:spPr>
        <a:solidFill>
          <a:srgbClr val="FFFFFF"/>
        </a:solidFill>
        <a:ln w="25560">
          <a:noFill/>
        </a:ln>
      </c:spPr>
    </c:plotArea>
    <c:legend>
      <c:legendPos val="r"/>
      <c:layout>
        <c:manualLayout>
          <c:xMode val="edge"/>
          <c:yMode val="edge"/>
          <c:x val="0.78824546240276605"/>
          <c:y val="0.79551930824408001"/>
        </c:manualLayout>
      </c:layout>
      <c:overlay val="0"/>
      <c:spPr>
        <a:noFill/>
        <a:ln w="25560">
          <a:noFill/>
        </a:ln>
      </c:spPr>
      <c:txPr>
        <a:bodyPr/>
        <a:lstStyle/>
        <a:p>
          <a:pPr>
            <a:defRPr sz="1000" b="0" strike="noStrike" spc="-1">
              <a:solidFill>
                <a:srgbClr val="000000"/>
              </a:solidFill>
              <a:latin typeface="Arial"/>
              <a:ea typeface="Arial"/>
            </a:defRPr>
          </a:pPr>
          <a:endParaRPr lang="fr-FR"/>
        </a:p>
      </c:txPr>
    </c:legend>
    <c:plotVisOnly val="1"/>
    <c:dispBlanksAs val="zero"/>
    <c:showDLblsOverMax val="0"/>
  </c:chart>
  <c:spPr>
    <a:solidFill>
      <a:srgbClr val="FFFFFF"/>
    </a:solidFill>
    <a:ln w="3240">
      <a:solidFill>
        <a:srgbClr val="808080"/>
      </a:solidFill>
      <a:round/>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12960</xdr:colOff>
      <xdr:row>4</xdr:row>
      <xdr:rowOff>205920</xdr:rowOff>
    </xdr:from>
    <xdr:to>
      <xdr:col>2</xdr:col>
      <xdr:colOff>2674</xdr:colOff>
      <xdr:row>5</xdr:row>
      <xdr:rowOff>55079</xdr:rowOff>
    </xdr:to>
    <xdr:sp macro="" textlink="">
      <xdr:nvSpPr>
        <xdr:cNvPr id="2" name="CustomShape 1"/>
        <xdr:cNvSpPr/>
      </xdr:nvSpPr>
      <xdr:spPr bwMode="auto">
        <a:xfrm>
          <a:off x="404640" y="1343520"/>
          <a:ext cx="537480" cy="722520"/>
        </a:xfrm>
        <a:prstGeom prst="downArrow">
          <a:avLst>
            <a:gd name="adj1" fmla="val 50000"/>
            <a:gd name="adj2" fmla="val 50000"/>
          </a:avLst>
        </a:prstGeom>
        <a:solidFill>
          <a:srgbClr val="FF0000"/>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2504160</xdr:colOff>
      <xdr:row>29</xdr:row>
      <xdr:rowOff>147600</xdr:rowOff>
    </xdr:from>
    <xdr:to>
      <xdr:col>9</xdr:col>
      <xdr:colOff>26640</xdr:colOff>
      <xdr:row>41</xdr:row>
      <xdr:rowOff>159120</xdr:rowOff>
    </xdr:to>
    <xdr:pic>
      <xdr:nvPicPr>
        <xdr:cNvPr id="2" name="Image 1"/>
        <xdr:cNvPicPr/>
      </xdr:nvPicPr>
      <xdr:blipFill>
        <a:blip xmlns:r="http://schemas.openxmlformats.org/officeDocument/2006/relationships" r:embed="rId1"/>
        <a:stretch/>
      </xdr:blipFill>
      <xdr:spPr bwMode="auto">
        <a:xfrm>
          <a:off x="12089160" y="6043320"/>
          <a:ext cx="3524760" cy="34120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68040</xdr:colOff>
      <xdr:row>38</xdr:row>
      <xdr:rowOff>9360</xdr:rowOff>
    </xdr:from>
    <xdr:to>
      <xdr:col>25</xdr:col>
      <xdr:colOff>45000</xdr:colOff>
      <xdr:row>61</xdr:row>
      <xdr:rowOff>137520</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771840</xdr:colOff>
      <xdr:row>72</xdr:row>
      <xdr:rowOff>0</xdr:rowOff>
    </xdr:from>
    <xdr:to>
      <xdr:col>17</xdr:col>
      <xdr:colOff>756000</xdr:colOff>
      <xdr:row>93</xdr:row>
      <xdr:rowOff>160920</xdr:rowOff>
    </xdr:to>
    <xdr:graphicFrame macro="">
      <xdr:nvGraphicFramePr>
        <xdr:cNvPr id="4"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866879</xdr:colOff>
      <xdr:row>3</xdr:row>
      <xdr:rowOff>106198</xdr:rowOff>
    </xdr:from>
    <xdr:to>
      <xdr:col>15</xdr:col>
      <xdr:colOff>45720</xdr:colOff>
      <xdr:row>10</xdr:row>
      <xdr:rowOff>161280</xdr:rowOff>
    </xdr:to>
    <xdr:sp macro="" textlink="">
      <xdr:nvSpPr>
        <xdr:cNvPr id="5" name="CustomShape 1"/>
        <xdr:cNvSpPr/>
      </xdr:nvSpPr>
      <xdr:spPr bwMode="auto">
        <a:xfrm>
          <a:off x="7074360" y="843840"/>
          <a:ext cx="5756400" cy="1687680"/>
        </a:xfrm>
        <a:prstGeom prst="rect">
          <a:avLst/>
        </a:prstGeom>
        <a:solidFill>
          <a:srgbClr val="FFFF00"/>
        </a:solidFill>
        <a:ln>
          <a:noFill/>
        </a:ln>
      </xdr:spPr>
      <xdr:style>
        <a:lnRef idx="0">
          <a:scrgbClr r="0" g="0" b="0"/>
        </a:lnRef>
        <a:fillRef idx="0">
          <a:scrgbClr r="0" g="0" b="0"/>
        </a:fillRef>
        <a:effectRef idx="0">
          <a:scrgbClr r="0" g="0" b="0"/>
        </a:effectRef>
        <a:fontRef idx="minor"/>
      </xdr:style>
      <xdr:txBody>
        <a:bodyPr lIns="0" tIns="0" rIns="0" bIns="0">
          <a:spAutoFit/>
        </a:bodyPr>
        <a:lstStyle/>
        <a:p>
          <a:pPr>
            <a:lnSpc>
              <a:spcPct val="100000"/>
            </a:lnSpc>
            <a:defRPr/>
          </a:pPr>
          <a:r>
            <a:rPr lang="fr-FR" sz="4000" b="1" strike="noStrike" spc="-1">
              <a:solidFill>
                <a:srgbClr val="000000"/>
              </a:solidFill>
              <a:latin typeface="Times New Roman"/>
              <a:ea typeface="Arial"/>
            </a:rPr>
            <a:t>A REVOIR COMPLETEMENT POUR INTEGRER 2018</a:t>
          </a:r>
          <a:endParaRPr lang="fr-FR" sz="4000" b="0" strike="noStrike" spc="-1">
            <a:latin typeface="Times New Roman"/>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 " id="{5632DFA3-6699-C121-4C85-1CAC4C97A610}"/>
</personList>
</file>

<file path=xl/theme/theme1.xml><?xml version="1.0" encoding="utf-8"?>
<a:theme xmlns:a="http://schemas.openxmlformats.org/drawingml/2006/main">
  <a:themeElements>
    <a:clrScheme na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
      <a:majorFont>
        <a:latin typeface="Calibri"/>
        <a:ea typeface="Arial"/>
        <a:cs typeface="Arial"/>
      </a:majorFont>
      <a:minorFont>
        <a:latin typeface="Calibri"/>
        <a:ea typeface="Arial"/>
        <a:cs typeface="Arial"/>
      </a:minorFont>
    </a:fontScheme>
    <a:fmtScheme>
      <a:fillStyleLst>
        <a:solidFill>
          <a:schemeClr val="phClr"/>
        </a:solidFill>
        <a:solidFill/>
        <a:solidFill/>
      </a:fillStyleLst>
      <a:lnStyleLst>
        <a:ln w="9525">
          <a:solidFill>
            <a:schemeClr val="phClr">
              <a:shade val="95000"/>
              <a:satMod val="105000"/>
            </a:schemeClr>
          </a:solidFill>
        </a:ln>
        <a:ln w="25400">
          <a:solidFill>
            <a:schemeClr val="phClr"/>
          </a:solidFill>
        </a:ln>
        <a:ln w="38100">
          <a:solidFill>
            <a:schemeClr val="phClr"/>
          </a:solidFill>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rgbClr val="000000"/>
        </a:solidFill>
        <a:solidFill>
          <a:srgbClr val="000000"/>
        </a:soli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8" personId="{5632DFA3-6699-C121-4C85-1CAC4C97A610}" id="{00BA002D-00CA-49E1-B346-002700850047}" done="0">
    <text xml:space="preserve">Comment:
Comment:
 :
MGL:
MGL:
cliquer sur Ctrl+Shift+Entrer pour la mise à jour du chiffre
</text>
  </threadedComment>
  <threadedComment ref="D3" personId="{5632DFA3-6699-C121-4C85-1CAC4C97A610}" id="{00620017-0073-48D5-8D3F-006C00A60027}" done="0">
    <text xml:space="preserve">Comment:
Comment:
 :
MGL:
MGL:
saisir le nom
</text>
  </threadedComment>
</ThreadedComments>
</file>

<file path=xl/threadedComments/threadedComment10.xml><?xml version="1.0" encoding="utf-8"?>
<ThreadedComments xmlns="http://schemas.microsoft.com/office/spreadsheetml/2018/threadedcomments" xmlns:x="http://schemas.openxmlformats.org/spreadsheetml/2006/main">
  <threadedComment ref="P3" personId="{5632DFA3-6699-C121-4C85-1CAC4C97A610}" id="{982CB671-99E7-3B69-764E-6699E23EDB4B}" done="0">
    <text xml:space="preserve">Comment:
Comment:
 :
MGL:
MGL:
il est important de distinguer les coûts de pose pour pouvoir chiffrer l'assurance
</text>
  </threadedComment>
  <threadedComment ref="Q3" personId="{5632DFA3-6699-C121-4C85-1CAC4C97A610}" id="{29A6A55B-F5E1-4E7E-DCFE-BC3D9434C4B1}" done="0">
    <text xml:space="preserve">Comment:
Comment:
 :
MGL:
MGL:
Selon devis ENEDIS fournis dans les PDR
</text>
  </threadedComment>
  <threadedComment ref="A134" personId="{5632DFA3-6699-C121-4C85-1CAC4C97A610}" id="{FCD67B2E-6309-5B9B-6838-5A97AD4D1ABC}"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14F4E815-5871-D784-28F6-5284CC6CEC55}" done="0">
    <text xml:space="preserve">Comment:
Comment:
 :
MGL:
MGL:
Boîtiers RBEE SOLAR : compter 550 € HT par boitier pour un abonnement sur 10 ans sur une installation de 9 kW - Voir fiche MONITORING des CVP
</text>
  </threadedComment>
</ThreadedComments>
</file>

<file path=xl/threadedComments/threadedComment11.xml><?xml version="1.0" encoding="utf-8"?>
<ThreadedComments xmlns="http://schemas.microsoft.com/office/spreadsheetml/2018/threadedcomments" xmlns:x="http://schemas.openxmlformats.org/spreadsheetml/2006/main">
  <threadedComment ref="B42" personId="{5632DFA3-6699-C121-4C85-1CAC4C97A610}" id="{001B008B-0066-40F8-BA3D-00C90094009C}" done="0">
    <text xml:space="preserve">Comment:
Comment:
 :
MGL:
MGL:
Estimations faites en fonction du résultat mis en réserve et en déduisant la CSG
</text>
  </threadedComment>
  <threadedComment ref="C9" personId="{5632DFA3-6699-C121-4C85-1CAC4C97A610}" id="{00820003-0084-4918-AC13-0072002D00B6}" done="0">
    <text xml:space="preserve">Comment:
Comment:
 :
 :
='file:///home/mgl/Bureau/CVSSB/Economique/CVSSB_Simulation_Lot_2018.ods'#$SIG.D17
</text>
  </threadedComment>
  <threadedComment ref="E38" personId="{5632DFA3-6699-C121-4C85-1CAC4C97A610}" id="{0094003A-009B-4F46-BD11-00CA008900E5}" done="0">
    <text xml:space="preserve">Comment:
Comment:
 :
 :
='file:///home/mgl/Bureau/CVSSB/Economique/CVSSB_Simulation_Lot_2018.ods'#$SIG.F38
</text>
  </threadedComment>
  <threadedComment ref="C11" personId="{5632DFA3-6699-C121-4C85-1CAC4C97A610}" id="{00290070-009F-481A-9F39-009F00E40023}" done="0">
    <text xml:space="preserve">Comment:
Comment:
 :
 :
='file:///home/mgl/Bureau/CVSSB/Economique/CVSSB_Simulation_Lot_2018.ods'#$SIG.D19
</text>
  </threadedComment>
  <threadedComment ref="C27" personId="{5632DFA3-6699-C121-4C85-1CAC4C97A610}" id="{004C009C-0063-4AA2-8225-009100180069}" done="0">
    <text xml:space="preserve">Comment:
Comment:
 :
 :
='file:///home/mgl/Bureau/CVSSB/Economique/CVSSB_Simulation_Lot_2018.ods'#$SIG.D29
</text>
  </threadedComment>
  <threadedComment ref="C14" personId="{5632DFA3-6699-C121-4C85-1CAC4C97A610}" id="{00A10011-00EB-49AB-9E7C-00F3001A004E}" done="0">
    <text xml:space="preserve">Comment:
Comment:
 :
 :
='file:///home/mgl/Bureau/CVSSB/Economique/CVSSB_Simulation_Lot_2018.ods'#$SIG.D20
</text>
  </threadedComment>
  <threadedComment ref="C31" personId="{5632DFA3-6699-C121-4C85-1CAC4C97A610}" id="{009600D1-00BD-49BE-A543-00190046000E}" done="0">
    <text xml:space="preserve">Comment:
Comment:
 :
 :
='file:///home/mgl/Bureau/CVSSB/Economique/CVSSB_Simulation_Lot_2018.ods'#$SIG.D32
</text>
  </threadedComment>
  <threadedComment ref="C20" personId="{5632DFA3-6699-C121-4C85-1CAC4C97A610}" id="{00230000-0036-482A-97A6-004800BF00A9}" done="0">
    <text xml:space="preserve">Comment:
Comment:
 :
 :
='file:///home/mgl/Bureau/CVSSB/Economique/CVSSB_Simulation_Lot_2018.ods'#$SIG.D25
</text>
  </threadedComment>
  <threadedComment ref="C25" personId="{5632DFA3-6699-C121-4C85-1CAC4C97A610}" id="{005500D2-008A-40DE-860A-0007007E00F6}" done="0">
    <text xml:space="preserve">Comment:
Comment:
 :
 :
='file:///home/mgl/Bureau/CVSSB/Economique/CVSSB_Simulation_Lot_2018.ods'#$SIG.D28
</text>
  </threadedComment>
  <threadedComment ref="C22" personId="{5632DFA3-6699-C121-4C85-1CAC4C97A610}" id="{003300F7-0091-4890-B185-0049009100D8}" done="0">
    <text xml:space="preserve">Comment:
Comment:
 :
 :
='file:///home/mgl/Bureau/CVSSB/Economique/CVSSB_Simulation_Lot_2018.ods'#$SIG.D26
</text>
  </threadedComment>
  <threadedComment ref="C35" personId="{5632DFA3-6699-C121-4C85-1CAC4C97A610}" id="{003000A4-0078-4592-9A84-004600D800F8}" done="0">
    <text xml:space="preserve">Comment:
Comment:
 :
 :
Lot 2018
='file:///home/mgl/Bureau/CVSSB/Economique/CVSSB_Simulation_Lot_2018.ods'#$SIG.D35
</text>
  </threadedComment>
  <threadedComment ref="D35" personId="{5632DFA3-6699-C121-4C85-1CAC4C97A610}" id="{00AD00EE-006B-4FA9-800C-00ED001F0077}" done="0">
    <text xml:space="preserve">Comment:
Comment:
 :
MGL:
Lot 2018
</text>
  </threadedComment>
  <threadedComment ref="E35" personId="{5632DFA3-6699-C121-4C85-1CAC4C97A610}" id="{00E20083-005F-4CFA-9124-0087006500A3}" done="0">
    <text xml:space="preserve">Comment:
Comment:
 :
MGL:
Lot 2018
</text>
  </threadedComment>
</ThreadedComments>
</file>

<file path=xl/threadedComments/threadedComment12.xml><?xml version="1.0" encoding="utf-8"?>
<ThreadedComments xmlns="http://schemas.microsoft.com/office/spreadsheetml/2018/threadedcomments" xmlns:x="http://schemas.openxmlformats.org/spreadsheetml/2006/main">
  <threadedComment ref="A128" personId="{5632DFA3-6699-C121-4C85-1CAC4C97A610}" id="{00CD00B5-009A-4783-A3DE-000F001D00A2}"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D00053-000E-4F34-8389-000B00B000B9}" done="0">
    <text xml:space="preserve">Comment:
Comment:
 :
MGL:
MGL:
il est important de distinguer les coûts de pose pour pouvoir chiffrer l'assurance
</text>
  </threadedComment>
  <threadedComment ref="Q3" personId="{5632DFA3-6699-C121-4C85-1CAC4C97A610}" id="{00A9003D-008B-49F3-B384-005100580062}" done="0">
    <text xml:space="preserve">Comment:
Comment:
 :
MGL:
MGL:
Selon devis ENEDIS fournis dans les PDR
</text>
  </threadedComment>
  <threadedComment ref="S3" personId="{5632DFA3-6699-C121-4C85-1CAC4C97A610}" id="{00AE008E-00D9-4EC9-9B71-0068002A004A}" done="0">
    <text xml:space="preserve">Comment:
Comment:
 :
MGL:
MGL:
Boîtiers RBEE SOLAR : compter 550 € HT par boitier pour un abonnement sur 10 ans sur une installation de 9 kW - Voir fiche MONITORING des CVP
</text>
  </threadedComment>
</ThreadedComments>
</file>

<file path=xl/threadedComments/threadedComment13.xml><?xml version="1.0" encoding="utf-8"?>
<ThreadedComments xmlns="http://schemas.microsoft.com/office/spreadsheetml/2018/threadedcomments" xmlns:x="http://schemas.openxmlformats.org/spreadsheetml/2006/main">
  <threadedComment ref="A128" personId="{5632DFA3-6699-C121-4C85-1CAC4C97A610}" id="{00630064-00C1-4A9E-8710-000B0004001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7100F4-00F6-4DCE-9C48-00A300C000F0}" done="0">
    <text xml:space="preserve">Comment:
Comment:
 :
MGL:
MGL:
il est important de distinguer les coûts de pose pour pouvoir chiffrer l'assurance
</text>
  </threadedComment>
  <threadedComment ref="Q3" personId="{5632DFA3-6699-C121-4C85-1CAC4C97A610}" id="{00D100B5-0040-4018-AEC4-0002008D0018}" done="0">
    <text xml:space="preserve">Comment:
Comment:
 :
MGL:
MGL:
Selon devis ENEDIS fournis dans les PDR
</text>
  </threadedComment>
  <threadedComment ref="S3" personId="{5632DFA3-6699-C121-4C85-1CAC4C97A610}" id="{0059003B-00C0-4AF7-B5A1-0032001E00C4}" done="0">
    <text xml:space="preserve">Comment:
Comment:
 :
MGL:
MGL:
Boîtiers RBEE SOLAR : compter 550 € HT par boitier pour un abonnement sur 10 ans sur une installation de 9 kW - Voir fiche MONITORING des CVP
</text>
  </threadedComment>
</ThreadedComments>
</file>

<file path=xl/threadedComments/threadedComment14.xml><?xml version="1.0" encoding="utf-8"?>
<ThreadedComments xmlns="http://schemas.microsoft.com/office/spreadsheetml/2018/threadedcomments" xmlns:x="http://schemas.openxmlformats.org/spreadsheetml/2006/main">
  <threadedComment ref="A70" personId="{5632DFA3-6699-C121-4C85-1CAC4C97A610}" id="{00DC0080-004A-4EFD-8108-00E6003C007E}"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500031-007A-4C3C-996F-0086004600F1}" done="0">
    <text xml:space="preserve">Comment:
Comment:
 :
MGL:
MGL:
il est important de distinguer les coûts de pose pour pouvoir chiffrer l'assurance
</text>
  </threadedComment>
  <threadedComment ref="Q3" personId="{5632DFA3-6699-C121-4C85-1CAC4C97A610}" id="{006200A3-0031-4972-9445-007B003200B9}" done="0">
    <text xml:space="preserve">Comment:
Comment:
 :
MGL:
MGL:
Selon devis ENEDIS fournis dans les PDR
</text>
  </threadedComment>
  <threadedComment ref="S3" personId="{5632DFA3-6699-C121-4C85-1CAC4C97A610}" id="{006F002F-002C-4957-817E-00F0009600DF}" done="0">
    <text xml:space="preserve">Comment:
Comment:
 :
MGL:
MGL:
Boîtiers RBEE SOLAR : compter 550 € HT par boitier pour un abonnement sur 10 ans sur une installation de 9 kW - Voir fiche MONITORING des CVP
</text>
  </threadedComment>
</ThreadedComments>
</file>

<file path=xl/threadedComments/threadedComment15.xml><?xml version="1.0" encoding="utf-8"?>
<ThreadedComments xmlns="http://schemas.microsoft.com/office/spreadsheetml/2018/threadedcomments" xmlns:x="http://schemas.openxmlformats.org/spreadsheetml/2006/main">
  <threadedComment ref="A128" personId="{5632DFA3-6699-C121-4C85-1CAC4C97A610}" id="{00AE004D-0004-42CD-A09F-00840083007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67009C-0036-4CE8-81D8-0005006E0010}" done="0">
    <text xml:space="preserve">Comment:
Comment:
 :
MGL:
MGL:
il est important de distinguer les coûts de pose pour pouvoir chiffrer l'assurance
</text>
  </threadedComment>
  <threadedComment ref="Q3" personId="{5632DFA3-6699-C121-4C85-1CAC4C97A610}" id="{004500E8-00CA-4954-8D74-002700230014}" done="0">
    <text xml:space="preserve">Comment:
Comment:
 :
MGL:
MGL:
Selon devis ENEDIS fournis dans les PDR
</text>
  </threadedComment>
  <threadedComment ref="S3" personId="{5632DFA3-6699-C121-4C85-1CAC4C97A610}" id="{005500A7-00E2-479C-981D-00B2007000E1}" done="0">
    <text xml:space="preserve">Comment:
Comment:
 :
MGL:
MGL:
Boîtiers RBEE SOLAR : compter 550 € HT par boitier pour un abonnement sur 10 ans sur une installation de 9 kW - Voir fiche MONITORING des CVP
</text>
  </threadedComment>
</ThreadedComments>
</file>

<file path=xl/threadedComments/threadedComment16.xml><?xml version="1.0" encoding="utf-8"?>
<ThreadedComments xmlns="http://schemas.microsoft.com/office/spreadsheetml/2018/threadedcomments" xmlns:x="http://schemas.openxmlformats.org/spreadsheetml/2006/main">
  <threadedComment ref="A128" personId="{5632DFA3-6699-C121-4C85-1CAC4C97A610}" id="{00DF00BB-00FF-4CFF-8CDA-007B0055009A}"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1400FB-009B-4356-AB9B-0007003D005B}" done="0">
    <text xml:space="preserve">Comment:
Comment:
 :
MGL:
MGL:
il est important de distinguer les coûts de pose pour pouvoir chiffrer l'assurance
</text>
  </threadedComment>
  <threadedComment ref="Q3" personId="{5632DFA3-6699-C121-4C85-1CAC4C97A610}" id="{006C0045-00C6-4857-A4B0-00E40093009A}" done="0">
    <text xml:space="preserve">Comment:
Comment:
 :
MGL:
MGL:
Selon devis ENEDIS fournis dans les PDR
</text>
  </threadedComment>
  <threadedComment ref="S3" personId="{5632DFA3-6699-C121-4C85-1CAC4C97A610}" id="{006A0019-0091-4148-9412-000400B300E0}" done="0">
    <text xml:space="preserve">Comment:
Comment:
 :
MGL:
MGL:
Boîtiers RBEE SOLAR : compter 550 € HT par boitier pour un abonnement sur 10 ans sur une installation de 9 kW - Voir fiche MONITORING des CVP
</text>
  </threadedComment>
</ThreadedComments>
</file>

<file path=xl/threadedComments/threadedComment17.xml><?xml version="1.0" encoding="utf-8"?>
<ThreadedComments xmlns="http://schemas.microsoft.com/office/spreadsheetml/2018/threadedcomments" xmlns:x="http://schemas.openxmlformats.org/spreadsheetml/2006/main">
  <threadedComment ref="A128" personId="{5632DFA3-6699-C121-4C85-1CAC4C97A610}" id="{001D004F-00B7-45A9-ABA0-006A00A500D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F90021-0050-4886-B4AC-00B4005000D1}" done="0">
    <text xml:space="preserve">Comment:
Comment:
 :
MGL:
MGL:
il est important de distinguer les coûts de pose pour pouvoir chiffrer l'assurance
</text>
  </threadedComment>
  <threadedComment ref="Q3" personId="{5632DFA3-6699-C121-4C85-1CAC4C97A610}" id="{0067004A-0063-4D57-85F0-007B008D00B1}" done="0">
    <text xml:space="preserve">Comment:
Comment:
 :
MGL:
MGL:
Selon devis ENEDIS fournis dans les PDR
</text>
  </threadedComment>
  <threadedComment ref="S3" personId="{5632DFA3-6699-C121-4C85-1CAC4C97A610}" id="{00F50066-008E-4EE1-A947-00E600FF0074}" done="0">
    <text xml:space="preserve">Comment:
Comment:
 :
MGL:
MGL:
Boîtiers RBEE SOLAR : compter 550 € HT par boitier pour un abonnement sur 10 ans sur une installation de 9 kW - Voir fiche MONITORING des CVP
</text>
  </threadedComment>
</ThreadedComments>
</file>

<file path=xl/threadedComments/threadedComment18.xml><?xml version="1.0" encoding="utf-8"?>
<ThreadedComments xmlns="http://schemas.microsoft.com/office/spreadsheetml/2018/threadedcomments" xmlns:x="http://schemas.openxmlformats.org/spreadsheetml/2006/main">
  <threadedComment ref="A127" personId="{5632DFA3-6699-C121-4C85-1CAC4C97A610}" id="{00F0000C-00C9-4A41-9419-003E0011006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100B0-00E9-4697-99E3-00EA009800B4}" done="0">
    <text xml:space="preserve">Comment:
Comment:
 :
MGL:
MGL:
il est important de distinguer les coûts de pose pour pouvoir chiffrer l'assurance
</text>
  </threadedComment>
  <threadedComment ref="Q3" personId="{5632DFA3-6699-C121-4C85-1CAC4C97A610}" id="{007900B3-001A-46C9-866B-00E900A70028}" done="0">
    <text xml:space="preserve">Comment:
Comment:
 :
MGL:
MGL:
Selon devis ENEDIS fournis dans les PDR
</text>
  </threadedComment>
  <threadedComment ref="S3" personId="{5632DFA3-6699-C121-4C85-1CAC4C97A610}" id="{00660056-005D-4224-B8CE-00D400F100AE}" done="0">
    <text xml:space="preserve">Comment:
Comment:
 :
MGL:
MGL:
Boîtiers RBEE SOLAR : compter 550 € HT par boitier pour un abonnement sur 10 ans sur une installation de 9 kW - Voir fiche MONITORING des CVP
</text>
  </threadedComment>
</ThreadedComments>
</file>

<file path=xl/threadedComments/threadedComment19.xml><?xml version="1.0" encoding="utf-8"?>
<ThreadedComments xmlns="http://schemas.microsoft.com/office/spreadsheetml/2018/threadedcomments" xmlns:x="http://schemas.openxmlformats.org/spreadsheetml/2006/main">
  <threadedComment ref="P3" personId="{5632DFA3-6699-C121-4C85-1CAC4C97A610}" id="{002E00FB-008F-48C6-B35E-00DE00DD00A3}" done="0">
    <text xml:space="preserve">Comment:
Comment:
 :
MGL:
MGL:
il est important de distinguer les coûts de pose pour pouvoir chiffrer l'assurance
</text>
  </threadedComment>
  <threadedComment ref="Q3" personId="{5632DFA3-6699-C121-4C85-1CAC4C97A610}" id="{00FC00F3-000B-4747-A10B-0058002D00B0}" done="0">
    <text xml:space="preserve">Comment:
Comment:
 :
MGL:
MGL:
Selon devis ENEDIS fournis dans les PDR
</text>
  </threadedComment>
  <threadedComment ref="A144" personId="{5632DFA3-6699-C121-4C85-1CAC4C97A610}" id="{00BD00D1-00C6-4303-BF87-00BA003A00A0}"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650044-0009-4E3D-A48E-00B300E000BA}" done="0">
    <text xml:space="preserve">Comment:
Comment:
 :
MGL:
MGL:
Boîtiers RBEE SOLAR : compter 550 € HT par boitier pour un abonnement sur 10 ans sur une installation de 9 kW - Voir fiche MONITORING des CVP
</text>
  </threadedComment>
</ThreadedComments>
</file>

<file path=xl/threadedComments/threadedComment2.xml><?xml version="1.0" encoding="utf-8"?>
<ThreadedComments xmlns="http://schemas.microsoft.com/office/spreadsheetml/2018/threadedcomments" xmlns:x="http://schemas.openxmlformats.org/spreadsheetml/2006/main">
  <threadedComment ref="D5" personId="{5632DFA3-6699-C121-4C85-1CAC4C97A610}" id="{000D00D0-00A5-4952-8E7A-007F002B00A0}" done="0">
    <text xml:space="preserve">Comment:
Comment:
 :
MGL:
MGL:
désigner chaque bâtiment par un nom caractéristique
</text>
  </threadedComment>
  <threadedComment ref="R25" personId="{5632DFA3-6699-C121-4C85-1CAC4C97A610}" id="{008E001A-0094-40C1-874A-0068008D00F6}" done="0">
    <text xml:space="preserve">Comment:
Comment:
 :
MGL:
MGL:
Budget du réseau des CV
</text>
  </threadedComment>
  <threadedComment ref="H5" personId="{5632DFA3-6699-C121-4C85-1CAC4C97A610}" id="{00AE00D2-00FE-4741-A035-0042000F007F}" done="0">
    <text xml:space="preserve">Comment:
Comment:
 :
MGL:
Débuter par Prélim ou Final
</text>
  </threadedComment>
  <threadedComment ref="S25" personId="{5632DFA3-6699-C121-4C85-1CAC4C97A610}" id="{003500CC-0096-48F8-9F82-00AE00B600BB}" done="0">
    <text xml:space="preserve">Comment:
Comment:
 :
MGL:
MGL:
Budget du réseau des CV
</text>
  </threadedComment>
  <threadedComment ref="M20" personId="{5632DFA3-6699-C121-4C85-1CAC4C97A610}" id="{003D0026-0027-49F2-BDBB-0011000C00CD}" done="0">
    <text xml:space="preserve">Comment:
mgl:
Non confirm par SOLARTEC mais selon pvsyst
</text>
  </threadedComment>
  <threadedComment ref="M21" personId="{5632DFA3-6699-C121-4C85-1CAC4C97A610}" id="{00F5002B-0034-442E-8EE0-00BB00F8006D}" done="0">
    <text xml:space="preserve">Comment:
mgl:
Selon pvsyst, y/c masques proches
</text>
  </threadedComment>
  <threadedComment ref="Q25" personId="{5632DFA3-6699-C121-4C85-1CAC4C97A610}" id="{007300E8-0041-4E9E-9EDB-00900094004B}" done="0">
    <text xml:space="preserve">Comment:
Comment:
 :
MGL:
MGL:
EKLOR FRONIUS SYMO 15
</text>
  </threadedComment>
  <threadedComment ref="J5" personId="{5632DFA3-6699-C121-4C85-1CAC4C97A610}" id="{001500BC-0032-4D3E-A1C5-004200E8003D}" done="0">
    <text xml:space="preserve">Comment:
Comment:
 :
MGL:
MGL:
il s'agit de la surface d'emprise du photovoltaïque
</text>
  </threadedComment>
  <threadedComment ref="M17" personId="{5632DFA3-6699-C121-4C85-1CAC4C97A610}" id="{00360015-00E6-4823-8B09-00E0009800C7}" done="0">
    <text xml:space="preserve">Comment:
mgl:
PVSYST confirme 1181h/an avec des modules SUNPOWER PERFOMANCE, masque compris, au lieu des 1196h/an avancé par pvgis et repris par DNE.
</text>
  </threadedComment>
  <threadedComment ref="S26" personId="{5632DFA3-6699-C121-4C85-1CAC4C97A610}" id="{00710079-0036-434C-A658-003C003B00D7}" done="0">
    <text xml:space="preserve">Comment:
Comment:
 :
MGL:
MGL:
Offre Deliot + 3 %
</text>
  </threadedComment>
  <threadedComment ref="P25" personId="{5632DFA3-6699-C121-4C85-1CAC4C97A610}" id="{00AE00EF-0055-49D0-84BD-000000FB00D5}" done="0">
    <text xml:space="preserve">Comment:
Comment:
 :
MGL:
MGL:
Ofre EKLOR et pro rata de la puissance
</text>
  </threadedComment>
  <threadedComment ref="AR5" personId="{5632DFA3-6699-C121-4C85-1CAC4C97A610}" id="{00D300FA-0011-4ECF-B2B3-004C008100DE}" done="0">
    <text xml:space="preserve">Comment:
Comment:
 :
MGL:
MGL:
prend en compte la base de calcul du loyer ET les investisements éventuellement déduits
</text>
  </threadedComment>
  <threadedComment ref="M18" personId="{5632DFA3-6699-C121-4C85-1CAC4C97A610}" id="{00F90006-008B-4754-97EF-001F00910025}" done="0">
    <text xml:space="preserve">Comment:
mgl:
PVSYST confirme 1181h/an avec des modules SUNPOWER PERFOMANCE, masque compris, au lieu des 1196h/an avancé par pvgis et repris par DNE.
</text>
  </threadedComment>
  <threadedComment ref="AM25" personId="{5632DFA3-6699-C121-4C85-1CAC4C97A610}" id="{007800B1-000A-4C25-8263-007E00640012}" done="0">
    <text xml:space="preserve">Comment:
Comment:
 :
MGL:
500E d’entretien PV et 300E pour contrôle technique en ERP
</text>
  </threadedComment>
  <threadedComment ref="U25" personId="{5632DFA3-6699-C121-4C85-1CAC4C97A610}" id="{006C00C5-004D-4BAF-9561-002C00090027}" done="0">
    <text xml:space="preserve">Comment:
Comment:
 :
MGL:
MGL:
250€ pour coffret DC
</text>
  </threadedComment>
  <threadedComment ref="Z5" personId="{5632DFA3-6699-C121-4C85-1CAC4C97A610}" id="{0097006C-00C3-454A-AFE2-009700140004}" done="0">
    <text xml:space="preserve">Comment:
Comment:
 :
MGL:
MGL:
A priori la société locale doit prendre 100% du cout en charge, sauf cas particulier où le coût est partagé avec le propriétaire (dans ce cas, diminuer le %)
</text>
  </threadedComment>
  <threadedComment ref="AE5" personId="{5632DFA3-6699-C121-4C85-1CAC4C97A610}" id="{0057008B-00C1-4247-9025-005E008700A5}" done="0">
    <text xml:space="preserve">Comment:
Comment:
 :
MGL:
MGL:
colonne doit rester par défaut à "non" pour que les formules marchent. A basculer en "oui" si déduction effective des loyers
</text>
  </threadedComment>
  <threadedComment ref="AN5" personId="{5632DFA3-6699-C121-4C85-1CAC4C97A610}" id="{00200055-00D5-46F9-8102-004A00CB0052}" done="0">
    <text xml:space="preserve">Comment:
Comment:
 :
MGL:
MGL:
Tarif d'Utilisation du Réseau Public d'Electricité, dû annuellement par tous les producteurs d'électricité
</text>
  </threadedComment>
  <threadedComment ref="P26" personId="{5632DFA3-6699-C121-4C85-1CAC4C97A610}" id="{00CD008B-002E-4535-AEDC-004000910010}" done="0">
    <text xml:space="preserve">Comment:
Comment:
 :
MGL:
MGL:
Offre Deliot + 3 %
</text>
  </threadedComment>
  <threadedComment ref="M22" personId="{5632DFA3-6699-C121-4C85-1CAC4C97A610}" id="{00060062-00C0-48E0-AA41-001B00E2004D}" done="0">
    <text xml:space="preserve">Comment:
Comment:
 :
MGL:
1050 à l’égout, 1100 au faîte
</text>
  </threadedComment>
  <threadedComment ref="T25" personId="{5632DFA3-6699-C121-4C85-1CAC4C97A610}" id="{0020002B-0036-4E47-AAD8-004F00B700BD}" done="0">
    <text xml:space="preserve">Comment:
Comment:
 :
MGL:
MGL:
Tarif révisé 2019
</text>
  </threadedComment>
  <threadedComment ref="P29" personId="{5632DFA3-6699-C121-4C85-1CAC4C97A610}" id="{00990021-00A6-4F04-8437-007E00F90098}" done="0">
    <text xml:space="preserve">Comment:
Comment:
 :
MGL:
Offre EKLOR pour salle polyvalente 
LRV
</text>
  </threadedComment>
  <threadedComment ref="AA5" personId="{5632DFA3-6699-C121-4C85-1CAC4C97A610}" id="{009800EE-00A4-41E2-A4D9-002F00500026}" done="0">
    <text xml:space="preserve">Comment:
Comment:
 :
MGL:
MGL:
Dans le cas où le propriétaire partage cet investissement, il peut déduire sa contribution des loyers
</text>
  </threadedComment>
  <threadedComment ref="X4" personId="{5632DFA3-6699-C121-4C85-1CAC4C97A610}" id="{000000E7-0090-4B6E-9729-009500160095}" done="0">
    <text xml:space="preserve">Comment:
Comment:
 :
MGL:
MGL:
Non directement liés au PV, mais qui n'auraient pas lieu sans l'installation PV : déplacement de velux, suppression de cheminée, renforcement de charpentes, etc. 
</text>
  </threadedComment>
  <threadedComment ref="S5" personId="{5632DFA3-6699-C121-4C85-1CAC4C97A610}" id="{00C30028-000B-41C6-AF87-000B00F400B6}" done="0">
    <text xml:space="preserve">Comment:
Comment:
 :
MGL:
MGL:
il est important de distinguer les coûts de pose pour pouvoir chiffrer l'assurance
</text>
  </threadedComment>
  <threadedComment ref="Q26" personId="{5632DFA3-6699-C121-4C85-1CAC4C97A610}" id="{009B00A4-00FE-457A-ADD6-00B6001700D9}" done="0">
    <text xml:space="preserve">Comment:
Comment:
 :
MGL:
MGL:
Offre Deliot + 3 %
</text>
  </threadedComment>
  <threadedComment ref="T26" personId="{5632DFA3-6699-C121-4C85-1CAC4C97A610}" id="{003100FA-0057-4D20-BEE5-00EE008900FC}" done="0">
    <text xml:space="preserve">Comment:
Comment:
 :
MGL:
MGL:
Tarif révisé 2019
</text>
  </threadedComment>
  <threadedComment ref="AU4" personId="{5632DFA3-6699-C121-4C85-1CAC4C97A610}" id="{00E50009-00B6-427A-A10B-008900B0006E}" done="0">
    <text xml:space="preserve">Comment:
Comment:
 :
MGL:
MGL:
voir Explication donnée dans l'AIDE
</text>
  </threadedComment>
  <threadedComment ref="U26" personId="{5632DFA3-6699-C121-4C85-1CAC4C97A610}" id="{00B40075-0092-4313-9032-00AB00280020}" done="0">
    <text xml:space="preserve">Comment:
Comment:
 :
MGL:
MGL:
Offre Deliot + 3 %
</text>
  </threadedComment>
  <threadedComment ref="T5" personId="{5632DFA3-6699-C121-4C85-1CAC4C97A610}" id="{00A90047-0063-4121-9CB3-003000490092}" done="0">
    <text xml:space="preserve">Comment:
Comment:
 :
MGL:
MGL:
Selon devis ENEDIS fournis dans les PDR
</text>
  </threadedComment>
  <threadedComment ref="AD5" personId="{5632DFA3-6699-C121-4C85-1CAC4C97A610}" id="{00280069-0097-4ED6-94A1-0089002A0013}" done="0">
    <text xml:space="preserve">Comment:
Comment:
 :
MGL:
MGL:
Texte à saisir pour information
</text>
  </threadedComment>
  <threadedComment ref="AY4" personId="{5632DFA3-6699-C121-4C85-1CAC4C97A610}" id="{00AA0053-000C-4AB5-B56E-003C00B7006D}" done="0">
    <text xml:space="preserve">Comment:
Comment:
 :
MGL:
MGL:
le tarif d'achat change tous les trimestres. Se reporter aux valeurs en ligne sur www.centralesvillageoises.fr (Actualités)
</text>
  </threadedComment>
  <threadedComment ref="X5" personId="{5632DFA3-6699-C121-4C85-1CAC4C97A610}" id="{00E100E7-00EA-4B73-8EB8-00E100BD0088}" done="0">
    <text xml:space="preserve">Comment:
Comment:
 :
MGL:
MGL:
texte à remplir pour info
</text>
  </threadedComment>
  <threadedComment ref="AV4" personId="{5632DFA3-6699-C121-4C85-1CAC4C97A610}" id="{00350089-00E8-4CED-93A6-00D1007A0052}" done="0">
    <text xml:space="preserve">Comment:
Comment:
 :
MGL:
MGL:
ne pas oublier de remplir
</text>
  </threadedComment>
  <threadedComment ref="BE4" personId="{5632DFA3-6699-C121-4C85-1CAC4C97A610}" id="{00BE000E-00AC-4A97-B942-00D6000700F5}" done="0">
    <text xml:space="preserve">Comment:
Comment:
 :
MGL:
MGL:
RECETTES divisées par l'investissement total (tous coûts confondus)
</text>
  </threadedComment>
  <threadedComment ref="AB5" personId="{5632DFA3-6699-C121-4C85-1CAC4C97A610}" id="{00910033-00D8-4323-A7FB-004F003B0011}" done="0">
    <text xml:space="preserve">Comment:
Comment:
 :
MGL:
MGL:
Couts d'investissement pour la société
</text>
  </threadedComment>
  <threadedComment ref="BF4" personId="{5632DFA3-6699-C121-4C85-1CAC4C97A610}" id="{00B500CF-00FE-4130-9938-00AD00B7006B}" done="0">
    <text xml:space="preserve">Comment:
Comment:
 :
MGL:
MGL:
RECETTES divisées par l'investissement photovoltaïque (direct + induit)
</text>
  </threadedComment>
  <threadedComment ref="V5" personId="{5632DFA3-6699-C121-4C85-1CAC4C97A610}" id="{00430000-00D2-4B2F-88B2-007F002300A1}" done="0">
    <text xml:space="preserve">Comment:
Comment:
 :
MGL:
MGL:
Boîtiers RBEE SOLAR : compter 550 € HT par boitier pour un abonnement sur 10 ans sur une installation de 9 kW - Voir fiche MONITORING des CVP
</text>
  </threadedComment>
</ThreadedComments>
</file>

<file path=xl/threadedComments/threadedComment20.xml><?xml version="1.0" encoding="utf-8"?>
<ThreadedComments xmlns="http://schemas.microsoft.com/office/spreadsheetml/2018/threadedcomments" xmlns:x="http://schemas.openxmlformats.org/spreadsheetml/2006/main">
  <threadedComment ref="A128" personId="{5632DFA3-6699-C121-4C85-1CAC4C97A610}" id="{006C0084-00AA-4DB5-B5D8-005A00FE00BE}"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B90094-0019-40E6-B46C-00F800950014}" done="0">
    <text xml:space="preserve">Comment:
Comment:
 :
MGL:
MGL:
il est important de distinguer les coûts de pose pour pouvoir chiffrer l'assurance
</text>
  </threadedComment>
  <threadedComment ref="Q3" personId="{5632DFA3-6699-C121-4C85-1CAC4C97A610}" id="{003E00E1-00C4-4C6C-9BDA-007A00090022}" done="0">
    <text xml:space="preserve">Comment:
Comment:
 :
MGL:
MGL:
Selon devis ENEDIS fournis dans les PDR
</text>
  </threadedComment>
  <threadedComment ref="S3" personId="{5632DFA3-6699-C121-4C85-1CAC4C97A610}" id="{0075008D-0095-4FC4-A5C1-002E003600B6}" done="0">
    <text xml:space="preserve">Comment:
Comment:
 :
MGL:
MGL:
Boîtiers RBEE SOLAR : compter 550 € HT par boitier pour un abonnement sur 10 ans sur une installation de 9 kW - Voir fiche MONITORING des CVP
</text>
  </threadedComment>
</ThreadedComments>
</file>

<file path=xl/threadedComments/threadedComment21.xml><?xml version="1.0" encoding="utf-8"?>
<ThreadedComments xmlns="http://schemas.microsoft.com/office/spreadsheetml/2018/threadedcomments" xmlns:x="http://schemas.openxmlformats.org/spreadsheetml/2006/main">
  <threadedComment ref="A128" personId="{5632DFA3-6699-C121-4C85-1CAC4C97A610}" id="{000B00DC-003A-4059-8C59-007F005900FD}"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2F00DE-00A7-4695-9A14-00AC00FA0074}" done="0">
    <text xml:space="preserve">Comment:
Comment:
 :
MGL:
MGL:
il est important de distinguer les coûts de pose pour pouvoir chiffrer l'assurance
</text>
  </threadedComment>
  <threadedComment ref="Q3" personId="{5632DFA3-6699-C121-4C85-1CAC4C97A610}" id="{006B00F3-0037-480F-8E7E-00F20049002F}" done="0">
    <text xml:space="preserve">Comment:
Comment:
 :
MGL:
MGL:
Selon devis ENEDIS fournis dans les PDR
</text>
  </threadedComment>
  <threadedComment ref="S3" personId="{5632DFA3-6699-C121-4C85-1CAC4C97A610}" id="{00EB0065-009C-4851-B7B9-008300BF00B2}" done="0">
    <text xml:space="preserve">Comment:
Comment:
 :
MGL:
MGL:
Boîtiers RBEE SOLAR : compter 550 € HT par boitier pour un abonnement sur 10 ans sur une installation de 9 kW - Voir fiche MONITORING des CVP
</text>
  </threadedComment>
</ThreadedComments>
</file>

<file path=xl/threadedComments/threadedComment22.xml><?xml version="1.0" encoding="utf-8"?>
<ThreadedComments xmlns="http://schemas.microsoft.com/office/spreadsheetml/2018/threadedcomments" xmlns:x="http://schemas.openxmlformats.org/spreadsheetml/2006/main">
  <threadedComment ref="A128" personId="{5632DFA3-6699-C121-4C85-1CAC4C97A610}" id="{0018003C-0058-431E-9CCC-007C00E300D7}"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800064-007E-4983-B50A-009F00DB009F}" done="0">
    <text xml:space="preserve">Comment:
Comment:
 :
MGL:
MGL:
il est important de distinguer les coûts de pose pour pouvoir chiffrer l'assurance
</text>
  </threadedComment>
  <threadedComment ref="Q3" personId="{5632DFA3-6699-C121-4C85-1CAC4C97A610}" id="{00D5002F-00A5-4860-8960-00B2002900B4}" done="0">
    <text xml:space="preserve">Comment:
Comment:
 :
MGL:
MGL:
Selon devis ENEDIS fournis dans les PDR
</text>
  </threadedComment>
  <threadedComment ref="S3" personId="{5632DFA3-6699-C121-4C85-1CAC4C97A610}" id="{002B0036-006B-4FFC-82F2-0006005F00FA}" done="0">
    <text xml:space="preserve">Comment:
Comment:
 :
MGL:
MGL:
Boîtiers RBEE SOLAR : compter 550 € HT par boitier pour un abonnement sur 10 ans sur une installation de 9 kW - Voir fiche MONITORING des CVP
</text>
  </threadedComment>
</ThreadedComments>
</file>

<file path=xl/threadedComments/threadedComment23.xml><?xml version="1.0" encoding="utf-8"?>
<ThreadedComments xmlns="http://schemas.microsoft.com/office/spreadsheetml/2018/threadedcomments" xmlns:x="http://schemas.openxmlformats.org/spreadsheetml/2006/main">
  <threadedComment ref="A128" personId="{5632DFA3-6699-C121-4C85-1CAC4C97A610}" id="{00C0008A-0059-4308-8071-001D00AF0054}"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ED0033-0070-4115-8C6B-000C00970030}" done="0">
    <text xml:space="preserve">Comment:
Comment:
 :
MGL:
MGL:
il est important de distinguer les coûts de pose pour pouvoir chiffrer l'assurance
</text>
  </threadedComment>
  <threadedComment ref="Q3" personId="{5632DFA3-6699-C121-4C85-1CAC4C97A610}" id="{00D700F8-0054-4F37-877E-0025009200C2}" done="0">
    <text xml:space="preserve">Comment:
Comment:
 :
MGL:
MGL:
Selon devis ENEDIS fournis dans les PDR
</text>
  </threadedComment>
  <threadedComment ref="S3" personId="{5632DFA3-6699-C121-4C85-1CAC4C97A610}" id="{006100DF-0099-4BAD-B21A-0063004200B8}" done="0">
    <text xml:space="preserve">Comment:
Comment:
 :
MGL:
MGL:
Boîtiers RBEE SOLAR : compter 550 € HT par boitier pour un abonnement sur 10 ans sur une installation de 9 kW - Voir fiche MONITORING des CVP
</text>
  </threadedComment>
</ThreadedComments>
</file>

<file path=xl/threadedComments/threadedComment24.xml><?xml version="1.0" encoding="utf-8"?>
<ThreadedComments xmlns="http://schemas.microsoft.com/office/spreadsheetml/2018/threadedcomments" xmlns:x="http://schemas.openxmlformats.org/spreadsheetml/2006/main">
  <threadedComment ref="A128" personId="{5632DFA3-6699-C121-4C85-1CAC4C97A610}" id="{001000B1-00C0-4F75-84E3-0036001B00E9}"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400FE-003A-4070-8B69-0007000000FB}" done="0">
    <text xml:space="preserve">Comment:
Comment:
 :
MGL:
MGL:
il est important de distinguer les coûts de pose pour pouvoir chiffrer l'assurance
</text>
  </threadedComment>
  <threadedComment ref="Q3" personId="{5632DFA3-6699-C121-4C85-1CAC4C97A610}" id="{005400F4-0064-4C24-99C1-006C00CF00E5}" done="0">
    <text xml:space="preserve">Comment:
Comment:
 :
MGL:
MGL:
Selon devis ENEDIS fournis dans les PDR
</text>
  </threadedComment>
  <threadedComment ref="S3" personId="{5632DFA3-6699-C121-4C85-1CAC4C97A610}" id="{004900AA-0053-4086-B558-007400ED009B}" done="0">
    <text xml:space="preserve">Comment:
Comment:
 :
MGL:
MGL:
Boîtiers RBEE SOLAR : compter 550 € HT par boitier pour un abonnement sur 10 ans sur une installation de 9 kW - Voir fiche MONITORING des CVP
</text>
  </threadedComment>
</ThreadedComments>
</file>

<file path=xl/threadedComments/threadedComment25.xml><?xml version="1.0" encoding="utf-8"?>
<ThreadedComments xmlns="http://schemas.microsoft.com/office/spreadsheetml/2018/threadedcomments" xmlns:x="http://schemas.openxmlformats.org/spreadsheetml/2006/main">
  <threadedComment ref="A128" personId="{5632DFA3-6699-C121-4C85-1CAC4C97A610}" id="{004900F8-0018-459B-B5DE-006600DB007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7500A4-0057-4D8B-988C-00590051006F}" done="0">
    <text xml:space="preserve">Comment:
Comment:
 :
MGL:
MGL:
il est important de distinguer les coûts de pose pour pouvoir chiffrer l'assurance
</text>
  </threadedComment>
  <threadedComment ref="Q3" personId="{5632DFA3-6699-C121-4C85-1CAC4C97A610}" id="{0048004A-006F-484D-AEAD-007B00E900D2}" done="0">
    <text xml:space="preserve">Comment:
Comment:
 :
MGL:
MGL:
Selon devis ENEDIS fournis dans les PDR
</text>
  </threadedComment>
  <threadedComment ref="S3" personId="{5632DFA3-6699-C121-4C85-1CAC4C97A610}" id="{005E007D-0003-4679-A41C-0059002500AD}" done="0">
    <text xml:space="preserve">Comment:
Comment:
 :
MGL:
MGL:
Boîtiers RBEE SOLAR : compter 550 € HT par boitier pour un abonnement sur 10 ans sur une installation de 9 kW - Voir fiche MONITORING des CVP
</text>
  </threadedComment>
</ThreadedComments>
</file>

<file path=xl/threadedComments/threadedComment26.xml><?xml version="1.0" encoding="utf-8"?>
<ThreadedComments xmlns="http://schemas.microsoft.com/office/spreadsheetml/2018/threadedcomments" xmlns:x="http://schemas.openxmlformats.org/spreadsheetml/2006/main">
  <threadedComment ref="A128" personId="{5632DFA3-6699-C121-4C85-1CAC4C97A610}" id="{007600B3-007D-4038-8602-0084002000CF}"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9C00BA-00F4-4929-AE7D-004F00D200B9}" done="0">
    <text xml:space="preserve">Comment:
Comment:
 :
MGL:
MGL:
il est important de distinguer les coûts de pose pour pouvoir chiffrer l'assurance
</text>
  </threadedComment>
  <threadedComment ref="Q3" personId="{5632DFA3-6699-C121-4C85-1CAC4C97A610}" id="{006F0078-0068-4600-A70C-001D009000E3}" done="0">
    <text xml:space="preserve">Comment:
Comment:
 :
MGL:
MGL:
Selon devis ENEDIS fournis dans les PDR
</text>
  </threadedComment>
  <threadedComment ref="S3" personId="{5632DFA3-6699-C121-4C85-1CAC4C97A610}" id="{00270015-00FA-4754-B4C4-007D0051003D}" done="0">
    <text xml:space="preserve">Comment:
Comment:
 :
MGL:
MGL:
Boîtiers RBEE SOLAR : compter 550 € HT par boitier pour un abonnement sur 10 ans sur une installation de 9 kW - Voir fiche MONITORING des CVP
</text>
  </threadedComment>
</ThreadedComments>
</file>

<file path=xl/threadedComments/threadedComment27.xml><?xml version="1.0" encoding="utf-8"?>
<ThreadedComments xmlns="http://schemas.microsoft.com/office/spreadsheetml/2018/threadedcomments" xmlns:x="http://schemas.openxmlformats.org/spreadsheetml/2006/main">
  <threadedComment ref="A128" personId="{5632DFA3-6699-C121-4C85-1CAC4C97A610}" id="{001E0057-0072-4D4F-89D0-00BE00D200A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54004E-0088-4885-8380-00CE00910088}" done="0">
    <text xml:space="preserve">Comment:
Comment:
 :
MGL:
MGL:
il est important de distinguer les coûts de pose pour pouvoir chiffrer l'assurance
</text>
  </threadedComment>
  <threadedComment ref="Q3" personId="{5632DFA3-6699-C121-4C85-1CAC4C97A610}" id="{00890041-00B6-4DCF-B611-003D006700D2}" done="0">
    <text xml:space="preserve">Comment:
Comment:
 :
MGL:
MGL:
Selon devis ENEDIS fournis dans les PDR
</text>
  </threadedComment>
  <threadedComment ref="S3" personId="{5632DFA3-6699-C121-4C85-1CAC4C97A610}" id="{000D004A-0041-432A-BC97-002C003000CE}" done="0">
    <text xml:space="preserve">Comment:
Comment:
 :
MGL:
MGL:
Boîtiers RBEE SOLAR : compter 550 € HT par boitier pour un abonnement sur 10 ans sur une installation de 9 kW - Voir fiche MONITORING des CVP
</text>
  </threadedComment>
</ThreadedComments>
</file>

<file path=xl/threadedComments/threadedComment28.xml><?xml version="1.0" encoding="utf-8"?>
<ThreadedComments xmlns="http://schemas.microsoft.com/office/spreadsheetml/2018/threadedcomments" xmlns:x="http://schemas.openxmlformats.org/spreadsheetml/2006/main">
  <threadedComment ref="A128" personId="{5632DFA3-6699-C121-4C85-1CAC4C97A610}" id="{00E70095-0081-4F45-B815-002A00D3002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490014-0055-4AA1-BEBB-00070019003B}" done="0">
    <text xml:space="preserve">Comment:
Comment:
 :
MGL:
MGL:
il est important de distinguer les coûts de pose pour pouvoir chiffrer l'assurance
</text>
  </threadedComment>
  <threadedComment ref="Q3" personId="{5632DFA3-6699-C121-4C85-1CAC4C97A610}" id="{0056004B-00AA-42CE-8C42-0069001800F2}" done="0">
    <text xml:space="preserve">Comment:
Comment:
 :
MGL:
MGL:
Selon devis ENEDIS fournis dans les PDR
</text>
  </threadedComment>
  <threadedComment ref="S3" personId="{5632DFA3-6699-C121-4C85-1CAC4C97A610}" id="{009700DA-008B-47C5-8028-0041008300A2}" done="0">
    <text xml:space="preserve">Comment:
Comment:
 :
MGL:
MGL:
Boîtiers RBEE SOLAR : compter 550 € HT par boitier pour un abonnement sur 10 ans sur une installation de 9 kW - Voir fiche MONITORING des CVP
</text>
  </threadedComment>
</ThreadedComments>
</file>

<file path=xl/threadedComments/threadedComment29.xml><?xml version="1.0" encoding="utf-8"?>
<ThreadedComments xmlns="http://schemas.microsoft.com/office/spreadsheetml/2018/threadedcomments" xmlns:x="http://schemas.openxmlformats.org/spreadsheetml/2006/main">
  <threadedComment ref="P3" personId="{5632DFA3-6699-C121-4C85-1CAC4C97A610}" id="{E4C6176E-411A-0FD2-E10A-9B5B0144ADD7}" done="0">
    <text xml:space="preserve">Comment:
Comment:
 :
MGL:
MGL:
il est important de distinguer les coûts de pose pour pouvoir chiffrer l'assurance
</text>
  </threadedComment>
  <threadedComment ref="Q3" personId="{5632DFA3-6699-C121-4C85-1CAC4C97A610}" id="{20E77720-7C58-3F73-ED39-8B64EDD50660}" done="0">
    <text xml:space="preserve">Comment:
Comment:
 :
MGL:
MGL:
Selon devis ENEDIS fournis dans les PDR
</text>
  </threadedComment>
  <threadedComment ref="A134" personId="{5632DFA3-6699-C121-4C85-1CAC4C97A610}" id="{DD769B93-5C5D-ADDE-F106-AC09DCEDE40F}"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DAC1DED2-C778-30A1-9A3D-A1C8716788C6}" done="0">
    <text xml:space="preserve">Comment:
Comment:
 :
MGL:
MGL:
Boîtiers RBEE SOLAR : compter 550 € HT par boitier pour un abonnement sur 10 ans sur une installation de 9 kW - Voir fiche MONITORING des CVP
</text>
  </threadedComment>
</ThreadedComments>
</file>

<file path=xl/threadedComments/threadedComment3.xml><?xml version="1.0" encoding="utf-8"?>
<ThreadedComments xmlns="http://schemas.microsoft.com/office/spreadsheetml/2018/threadedcomments" xmlns:x="http://schemas.openxmlformats.org/spreadsheetml/2006/main">
  <threadedComment ref="A34" personId="{5632DFA3-6699-C121-4C85-1CAC4C97A610}" id="{009A0048-00FF-4B85-99E6-00ED005F009E}" done="0">
    <text xml:space="preserve">Comment:
mgl:
npoize:
assimilés = sociétés détenues par des personnes physiques
</text>
  </threadedComment>
  <threadedComment ref="A37" personId="{5632DFA3-6699-C121-4C85-1CAC4C97A610}" id="{00AE0032-00BA-47FD-9900-00EA008D0003}" done="0">
    <text xml:space="preserve">Comment:
Comment:
 :
MGL:
MGL:
Idéalement, doit être supérieur à 25%
</text>
  </threadedComment>
  <threadedComment ref="B56" personId="{5632DFA3-6699-C121-4C85-1CAC4C97A610}" id="{00FB007D-008A-4A7C-A950-009C001700E8}" done="0">
    <text xml:space="preserve">Comment:
Comment:
 :
 :
='file:///home/mgl/Bureau/CVSSB/Economique/CVSSB_Simulation_Lot_2018.ods'#$Ana_eco.C55
</text>
  </threadedComment>
  <threadedComment ref="B57" personId="{5632DFA3-6699-C121-4C85-1CAC4C97A610}" id="{00AF00D8-0095-4B30-B0E6-001D00A40015}" done="0">
    <text xml:space="preserve">Comment:
mgl:
='file:///home/mgl/Bureau/CVSSB/Economique/CVSSB_Simulation_Lot_2018.ods'#$Ana_eco.C56
</text>
  </threadedComment>
  <threadedComment ref="M24" personId="{5632DFA3-6699-C121-4C85-1CAC4C97A610}" id="{002F0012-0025-467A-8A20-002D00E400B0}" done="0">
    <text xml:space="preserve">Comment:
mgl:
on considère qu'elle s'applique une fois la réserve légale déduite
</text>
  </threadedComment>
  <threadedComment ref="C22" personId="{5632DFA3-6699-C121-4C85-1CAC4C97A610}" id="{009900CF-0070-4E95-B14B-00100079007F}" done="0">
    <text xml:space="preserve">Comment:
mgl:
on prend en compte des interruptions de production (décrochage onduleurs) au cours de l'année
</text>
  </threadedComment>
  <threadedComment ref="C57" personId="{5632DFA3-6699-C121-4C85-1CAC4C97A610}" id="{00EC0078-008B-46D7-B1C2-009200F000B5}" done="0">
    <text xml:space="preserve">Comment:
Comment:
 :
 :
='file:///home/mgl/Bureau/CVSSB/Economique/CVSSB_Simulation_Lot_2018.ods'#$Ana_eco.D56
</text>
  </threadedComment>
  <threadedComment ref="E18" personId="{5632DFA3-6699-C121-4C85-1CAC4C97A610}" id="{007200ED-0064-4123-A77A-003F0053007F}" done="0">
    <text xml:space="preserve">Comment:
mgl:
subvention d'équipement hors équipement PV (bon pour renforcement charpente, etc.)
</text>
  </threadedComment>
  <threadedComment ref="M14" personId="{5632DFA3-6699-C121-4C85-1CAC4C97A610}" id="{00E00060-001C-4570-AB71-008C001A004E}" done="0">
    <text xml:space="preserve">Comment:
mgl:
Supporté par le lot 2018
</text>
  </threadedComment>
  <threadedComment ref="C23" personId="{5632DFA3-6699-C121-4C85-1CAC4C97A610}" id="{00D300F8-0096-4C8E-A181-001400400004}" done="0">
    <text xml:space="preserve">Comment:
mgl:
Pour modules DUALSUN FLASH, prendre 0,7%
Pour modules modules LG NEON2, prendre 0,40%
Si modules SUNPOWER PERFORMANCE, prendre 0,512%
Si modules TRINA VERTEXS, prendre 0,608%
</text>
  </threadedComment>
  <threadedComment ref="C56" personId="{5632DFA3-6699-C121-4C85-1CAC4C97A610}" id="{008A00F9-00E7-4238-AF04-00F7001E0044}" done="0">
    <text xml:space="preserve">Comment:
Comment:
 :
 :
='file:///home/mgl/Bureau/CVSSB/Economique/CVSSB_Simulation_Lot_2018.ods'#$Ana_eco.D55
</text>
  </threadedComment>
  <threadedComment ref="G41" personId="{5632DFA3-6699-C121-4C85-1CAC4C97A610}" id="{00000025-00D0-476D-B2E9-00DB00F40015}" done="0">
    <text xml:space="preserve">Comment:
Comment:
 :
MGL:
MGL:
Case obligatoire. S'il y a un seul prêtur, mettre 100%
</text>
  </threadedComment>
  <threadedComment ref="F13" personId="{5632DFA3-6699-C121-4C85-1CAC4C97A610}" id="{004D006D-00A7-4DC5-87CD-005800190072}" done="0">
    <text xml:space="preserve">Comment:
mgl:
dans le cas des boîtiers RTONE : dépend de la durée d'abonnement
</text>
  </threadedComment>
  <threadedComment ref="H19" personId="{5632DFA3-6699-C121-4C85-1CAC4C97A610}" id="{00040061-00D1-49F8-B974-008800190094}" done="0">
    <text xml:space="preserve">Comment:
mgl:
hors frais de personnel
</text>
  </threadedComment>
  <threadedComment ref="M16" personId="{5632DFA3-6699-C121-4C85-1CAC4C97A610}" id="{005D007D-0084-49BD-9672-0089002E0088}" done="0">
    <text xml:space="preserve">Comment:
mgl:
Supporté par le lot 2018
</text>
  </threadedComment>
  <threadedComment ref="H41" personId="{5632DFA3-6699-C121-4C85-1CAC4C97A610}" id="{00A5007E-0010-4BFE-877F-003E003800BE}" done="0">
    <text xml:space="preserve">Comment:
Comment:
 :
MGL:
MGL:
case obligatoire
</text>
  </threadedComment>
  <threadedComment ref="E23" personId="{5632DFA3-6699-C121-4C85-1CAC4C97A610}" id="{00C20090-0056-454F-A432-00F5007E0093}" done="0">
    <text xml:space="preserve">Comment:
mgl:
npoize:
Les Zones de Revitalisation Rurale disposent d'une fiscalité spécifique. Voir ici : http://www.datar.gouv.fr/ma-commune-est-elle-classee-en-zrr
</text>
  </threadedComment>
  <threadedComment ref="E25" personId="{5632DFA3-6699-C121-4C85-1CAC4C97A610}" id="{00650082-004E-438F-B351-00E000E8006F}" done="0">
    <text xml:space="preserve">Comment:
mgl:
Se renseigner auprès de sa commune
</text>
  </threadedComment>
  <threadedComment ref="J22" personId="{5632DFA3-6699-C121-4C85-1CAC4C97A610}" id="{004F004F-00AB-46AC-821F-00B800A1000C}" done="0">
    <text xml:space="preserve">Comment:
mgl:
indiquer ici le TMO à prendre en compte pour limiter le montant des dividendes pour les SCIC (cf fiche dividendes)
</text>
  </threadedComment>
  <threadedComment ref="E62" personId="{5632DFA3-6699-C121-4C85-1CAC4C97A610}" id="{003900EF-001A-427B-A358-009C00F600D5}" done="0">
    <text xml:space="preserve">Comment:
Comment:
 :
MGL:
MGL:
CMPC = Coût moyen pondéré du capital - La formule, un peu simplifiée, prend en compte un impôt sur les sociétés de 15%
</text>
  </threadedComment>
  <threadedComment ref="E63" personId="{5632DFA3-6699-C121-4C85-1CAC4C97A610}" id="{00D200F5-0079-463E-B85C-00FB002E0052}" done="0">
    <text xml:space="preserve">Comment:
Comment:
 :
MGL:
MGL:
npoize:
avec l'inflation
</text>
  </threadedComment>
  <threadedComment ref="M15" personId="{5632DFA3-6699-C121-4C85-1CAC4C97A610}" id="{003E0049-00DF-418E-9DB9-009B008400A6}" done="0">
    <text xml:space="preserve">Comment:
mgl:
MGL:
Supporté par le lot 2018
</text>
  </threadedComment>
</ThreadedComments>
</file>

<file path=xl/threadedComments/threadedComment30.xml><?xml version="1.0" encoding="utf-8"?>
<ThreadedComments xmlns="http://schemas.microsoft.com/office/spreadsheetml/2018/threadedcomments" xmlns:x="http://schemas.openxmlformats.org/spreadsheetml/2006/main">
  <threadedComment ref="P3" personId="{5632DFA3-6699-C121-4C85-1CAC4C97A610}" id="{AF7C5245-0639-9EC4-2961-90FA4C7BF4B3}" done="0">
    <text xml:space="preserve">Comment:
Comment:
 :
MGL:
MGL:
il est important de distinguer les coûts de pose pour pouvoir chiffrer l'assurance
</text>
  </threadedComment>
  <threadedComment ref="Q3" personId="{5632DFA3-6699-C121-4C85-1CAC4C97A610}" id="{BA88B928-9772-4965-FED6-A6B0A868B6CA}" done="0">
    <text xml:space="preserve">Comment:
Comment:
 :
MGL:
MGL:
Selon devis ENEDIS fournis dans les PDR
</text>
  </threadedComment>
  <threadedComment ref="A134" personId="{5632DFA3-6699-C121-4C85-1CAC4C97A610}" id="{F8DA9416-B369-F8A1-795C-839E9BE9ABA4}"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18675C2E-0916-9101-79C8-4DF44012A68F}" done="0">
    <text xml:space="preserve">Comment:
Comment:
 :
MGL:
MGL:
Boîtiers RBEE SOLAR : compter 550 € HT par boitier pour un abonnement sur 10 ans sur une installation de 9 kW - Voir fiche MONITORING des CVP
</text>
  </threadedComment>
</ThreadedComments>
</file>

<file path=xl/threadedComments/threadedComment31.xml><?xml version="1.0" encoding="utf-8"?>
<ThreadedComments xmlns="http://schemas.microsoft.com/office/spreadsheetml/2018/threadedcomments" xmlns:x="http://schemas.openxmlformats.org/spreadsheetml/2006/main">
  <threadedComment ref="A128" personId="{5632DFA3-6699-C121-4C85-1CAC4C97A610}" id="{0051000E-009E-471E-893C-001900C100E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7C00F9-0059-4C24-A7A7-00F5009F0081}" done="0">
    <text xml:space="preserve">Comment:
Comment:
 :
MGL:
MGL:
il est important de distinguer les coûts de pose pour pouvoir chiffrer l'assurance
</text>
  </threadedComment>
  <threadedComment ref="Q3" personId="{5632DFA3-6699-C121-4C85-1CAC4C97A610}" id="{00DA002F-00AF-4960-B380-00E400FF000A}" done="0">
    <text xml:space="preserve">Comment:
Comment:
 :
MGL:
MGL:
Selon devis ENEDIS fournis dans les PDR
</text>
  </threadedComment>
  <threadedComment ref="S3" personId="{5632DFA3-6699-C121-4C85-1CAC4C97A610}" id="{006F00E9-0040-41C8-835B-00DF00390033}" done="0">
    <text xml:space="preserve">Comment:
Comment:
 :
MGL:
MGL:
Boîtiers RBEE SOLAR : compter 550 € HT par boitier pour un abonnement sur 10 ans sur une installation de 9 kW - Voir fiche MONITORING des CVP
</text>
  </threadedComment>
</ThreadedComments>
</file>

<file path=xl/threadedComments/threadedComment32.xml><?xml version="1.0" encoding="utf-8"?>
<ThreadedComments xmlns="http://schemas.microsoft.com/office/spreadsheetml/2018/threadedcomments" xmlns:x="http://schemas.openxmlformats.org/spreadsheetml/2006/main">
  <threadedComment ref="A128" personId="{5632DFA3-6699-C121-4C85-1CAC4C97A610}" id="{00B600F6-0047-4ADF-9195-003800410086}"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3F0027-00C5-4157-94BA-00CC00FD0086}" done="0">
    <text xml:space="preserve">Comment:
Comment:
 :
MGL:
MGL:
il est important de distinguer les coûts de pose pour pouvoir chiffrer l'assurance
</text>
  </threadedComment>
  <threadedComment ref="Q3" personId="{5632DFA3-6699-C121-4C85-1CAC4C97A610}" id="{00220008-00E7-46A1-8112-00B800F200CE}" done="0">
    <text xml:space="preserve">Comment:
Comment:
 :
MGL:
MGL:
Selon devis ENEDIS fournis dans les PDR
</text>
  </threadedComment>
  <threadedComment ref="S3" personId="{5632DFA3-6699-C121-4C85-1CAC4C97A610}" id="{0039000E-00CF-442E-B483-00E600EE00D7}" done="0">
    <text xml:space="preserve">Comment:
Comment:
 :
MGL:
MGL:
Boîtiers RBEE SOLAR : compter 550 € HT par boitier pour un abonnement sur 10 ans sur une installation de 9 kW - Voir fiche MONITORING des CVP
</text>
  </threadedComment>
</ThreadedComments>
</file>

<file path=xl/threadedComments/threadedComment33.xml><?xml version="1.0" encoding="utf-8"?>
<ThreadedComments xmlns="http://schemas.microsoft.com/office/spreadsheetml/2018/threadedcomments" xmlns:x="http://schemas.openxmlformats.org/spreadsheetml/2006/main">
  <threadedComment ref="A128" personId="{5632DFA3-6699-C121-4C85-1CAC4C97A610}" id="{00FA006A-00CB-43C5-A012-00D5007E00D5}"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300045-0094-45AA-9421-006D00E400AF}" done="0">
    <text xml:space="preserve">Comment:
Comment:
 :
MGL:
MGL:
il est important de distinguer les coûts de pose pour pouvoir chiffrer l'assurance
</text>
  </threadedComment>
  <threadedComment ref="Q3" personId="{5632DFA3-6699-C121-4C85-1CAC4C97A610}" id="{00C20018-00B1-453B-A011-00A900540055}" done="0">
    <text xml:space="preserve">Comment:
Comment:
 :
MGL:
MGL:
Selon devis ENEDIS fournis dans les PDR
</text>
  </threadedComment>
  <threadedComment ref="S3" personId="{5632DFA3-6699-C121-4C85-1CAC4C97A610}" id="{007A009C-0063-48AC-A42C-005500DC0035}" done="0">
    <text xml:space="preserve">Comment:
Comment:
 :
MGL:
MGL:
Boîtiers RBEE SOLAR : compter 550 € HT par boitier pour un abonnement sur 10 ans sur une installation de 9 kW - Voir fiche MONITORING des CVP
</text>
  </threadedComment>
</ThreadedComments>
</file>

<file path=xl/threadedComments/threadedComment34.xml><?xml version="1.0" encoding="utf-8"?>
<ThreadedComments xmlns="http://schemas.microsoft.com/office/spreadsheetml/2018/threadedcomments" xmlns:x="http://schemas.openxmlformats.org/spreadsheetml/2006/main">
  <threadedComment ref="C9" personId="{5632DFA3-6699-C121-4C85-1CAC4C97A610}" id="{002000DE-008C-411F-8675-002C00DD006D}" done="0">
    <text xml:space="preserve">Comment:
Comment:
 :
 :
='file:///home/mgl/Bureau/CVSSB/Economique/CVSSB_Simulation_Lot_2018.ods'#$'Plan de trésorerie'.C8
</text>
  </threadedComment>
  <threadedComment ref="C21" personId="{5632DFA3-6699-C121-4C85-1CAC4C97A610}" id="{00C60005-0053-4725-A0A4-000E00020095}" done="0">
    <text xml:space="preserve">Comment:
Comment:
 :
 :
='file:///home/mgl/Bureau/CVSSB/Economique/CVSSB_Simulation_Lot_2018.ods'#$'Plan de trésorerie'.C20
</text>
  </threadedComment>
  <threadedComment ref="C10" personId="{5632DFA3-6699-C121-4C85-1CAC4C97A610}" id="{00F90025-00DC-4F8F-AFEC-009000090025}" done="0">
    <text xml:space="preserve">Comment:
Comment:
 :
 :
='file:///home/mgl/Bureau/CVSSB/Economique/CVSSB_Simulation_Lot_2018.ods'#$'Plan de trésorerie'.C9
</text>
  </threadedComment>
  <threadedComment ref="C14" personId="{5632DFA3-6699-C121-4C85-1CAC4C97A610}" id="{0006009B-00AE-4DB7-A95B-00E000BD0001}" done="0">
    <text xml:space="preserve">Comment:
Comment:
 :
 :
='file:///home/mgl/Bureau/CVSSB/Economique/CVSSB_Simulation_Lot_2018.ods'#$'Plan de trésorerie'.C13
</text>
  </threadedComment>
  <threadedComment ref="C18" personId="{5632DFA3-6699-C121-4C85-1CAC4C97A610}" id="{008C0060-0042-4FE5-BF9B-00D7001A00A1}" done="0">
    <text xml:space="preserve">Comment:
Comment:
 :
 :
='file:///home/mgl/Bureau/CVSSB/Economique/CVSSB_Simulation_Lot_2018.ods'#$'Plan de trésorerie'.C17
</text>
  </threadedComment>
  <threadedComment ref="C19" personId="{5632DFA3-6699-C121-4C85-1CAC4C97A610}" id="{00230045-0023-444D-B0D5-00DD00B9006A}" done="0">
    <text xml:space="preserve">Comment:
Comment:
 :
 :
='file:///home/mgl/Bureau/CVSSB/Economique/CVSSB_Simulation_Lot_2018.ods'#$'Plan de trésorerie'.C18
</text>
  </threadedComment>
  <threadedComment ref="C20" personId="{5632DFA3-6699-C121-4C85-1CAC4C97A610}" id="{00D7004C-0086-4828-A982-006D0077004E}" done="0">
    <text xml:space="preserve">Comment:
Comment:
 :
 :
='file:///home/mgl/Bureau/CVSSB/Economique/CVSSB_Simulation_Lot_2018.ods'#$'Plan de trésorerie'.C19
</text>
  </threadedComment>
  <threadedComment ref="C22" personId="{5632DFA3-6699-C121-4C85-1CAC4C97A610}" id="{007700CE-00FA-4122-B573-005D00BF00A7}" done="0">
    <text xml:space="preserve">Comment:
Comment:
 :
 :
='file:///home/mgl/Bureau/CVSSB/Economique/CVSSB_Simulation_Lot_2018.ods'#$'Plan de trésorerie'.C21
</text>
  </threadedComment>
</ThreadedComments>
</file>

<file path=xl/threadedComments/threadedComment35.xml><?xml version="1.0" encoding="utf-8"?>
<ThreadedComments xmlns="http://schemas.microsoft.com/office/spreadsheetml/2018/threadedcomments" xmlns:x="http://schemas.openxmlformats.org/spreadsheetml/2006/main">
  <threadedComment ref="AR9" personId="{5632DFA3-6699-C121-4C85-1CAC4C97A610}" id="{00F5000D-0070-4EAB-AE42-0091001F00CD}" done="0">
    <text xml:space="preserve">Comment:
Comment:
 :
MGL:
MGL:
somme sur 12 mois
</text>
  </threadedComment>
  <threadedComment ref="AR10" personId="{5632DFA3-6699-C121-4C85-1CAC4C97A610}" id="{003F00F2-00F0-4AD2-A776-00EB007F0006}" done="0">
    <text xml:space="preserve">Comment:
Comment:
 :
MGL:
MGL:
somme sur 12 mois
</text>
  </threadedComment>
  <threadedComment ref="AR12" personId="{5632DFA3-6699-C121-4C85-1CAC4C97A610}" id="{00080071-0004-4F73-96C6-00DF009700E9}" done="0">
    <text xml:space="preserve">Comment:
Comment:
 :
MGL:
MGL:
somme sur 12 mois
</text>
  </threadedComment>
  <threadedComment ref="AR21" personId="{5632DFA3-6699-C121-4C85-1CAC4C97A610}" id="{00910007-00E0-406C-8224-004400BE004A}" done="0">
    <text xml:space="preserve">Comment:
Comment:
 :
MGL:
MGL:
somme sur 12 mois
</text>
  </threadedComment>
</ThreadedComments>
</file>

<file path=xl/threadedComments/threadedComment36.xml><?xml version="1.0" encoding="utf-8"?>
<ThreadedComments xmlns="http://schemas.microsoft.com/office/spreadsheetml/2018/threadedcomments" xmlns:x="http://schemas.openxmlformats.org/spreadsheetml/2006/main">
  <threadedComment ref="A99" personId="{5632DFA3-6699-C121-4C85-1CAC4C97A610}" id="{00C500F4-00B4-4397-9140-00A70027005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BB0095-0034-43ED-9F68-004200FD0083}" done="0">
    <text xml:space="preserve">Comment:
Comment:
 :
MGL:
MGL:
il est important de distinguer les coûts de pose pour pouvoir chiffrer l'assurance
</text>
  </threadedComment>
  <threadedComment ref="Q3" personId="{5632DFA3-6699-C121-4C85-1CAC4C97A610}" id="{00160012-0004-490F-8FD7-0092000B0096}" done="0">
    <text xml:space="preserve">Comment:
Comment:
 :
MGL:
MGL:
Selon devis ENEDIS fournis dans les PDR
</text>
  </threadedComment>
  <threadedComment ref="S3" personId="{5632DFA3-6699-C121-4C85-1CAC4C97A610}" id="{001A002C-00FE-4D31-9AA9-00F70051002E}" done="0">
    <text xml:space="preserve">Comment:
Comment:
 :
MGL:
MGL:
Boîtiers RBEE SOLAR : compter 550 € HT par boitier pour un abonnement sur 10 ans sur une installation de 9 kW - Voir fiche MONITORING des CVP
</text>
  </threadedComment>
</ThreadedComments>
</file>

<file path=xl/threadedComments/threadedComment37.xml><?xml version="1.0" encoding="utf-8"?>
<ThreadedComments xmlns="http://schemas.microsoft.com/office/spreadsheetml/2018/threadedcomments" xmlns:x="http://schemas.openxmlformats.org/spreadsheetml/2006/main">
  <threadedComment ref="A99" personId="{5632DFA3-6699-C121-4C85-1CAC4C97A610}" id="{00A300DB-007B-489D-A2E0-008700E8007E}"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880041-0057-4D34-BE83-00C200000098}" done="0">
    <text xml:space="preserve">Comment:
Comment:
 :
MGL:
MGL:
il est important de distinguer les coûts de pose pour pouvoir chiffrer l'assurance
</text>
  </threadedComment>
  <threadedComment ref="Q3" personId="{5632DFA3-6699-C121-4C85-1CAC4C97A610}" id="{006C00BE-009B-41E8-A4D9-008900E40098}" done="0">
    <text xml:space="preserve">Comment:
Comment:
 :
MGL:
MGL:
Selon devis ENEDIS fournis dans les PDR
</text>
  </threadedComment>
  <threadedComment ref="S3" personId="{5632DFA3-6699-C121-4C85-1CAC4C97A610}" id="{00800052-008D-4DEA-AD4B-006000EB0006}" done="0">
    <text xml:space="preserve">Comment:
Comment:
 :
MGL:
MGL:
Boîtiers RBEE SOLAR : compter 550 € HT par boitier pour un abonnement sur 10 ans sur une installation de 9 kW - Voir fiche MONITORING des CVP
</text>
  </threadedComment>
</ThreadedComments>
</file>

<file path=xl/threadedComments/threadedComment38.xml><?xml version="1.0" encoding="utf-8"?>
<ThreadedComments xmlns="http://schemas.microsoft.com/office/spreadsheetml/2018/threadedcomments" xmlns:x="http://schemas.openxmlformats.org/spreadsheetml/2006/main">
  <threadedComment ref="A101" personId="{5632DFA3-6699-C121-4C85-1CAC4C97A610}" id="{00ED007E-00EE-4786-A0FA-0013000A003E}" done="0">
    <text xml:space="preserve">Comment:
Comment:
 :
MGL:
MGL:
Non directement liés au PV, mais qui n'auraient pas lieu sans l'installation PV : déplacement de velux, suppression de cheminée, renforcement de charpentes, etc. 
</text>
  </threadedComment>
  <threadedComment ref="Q3" personId="{5632DFA3-6699-C121-4C85-1CAC4C97A610}" id="{00FD0083-0055-477F-B29A-0014002700C7}" done="0">
    <text xml:space="preserve">Comment:
Comment:
 :
MGL:
MGL:
Selon devis ENEDIS fournis dans les PDR
</text>
  </threadedComment>
  <threadedComment ref="P3" personId="{5632DFA3-6699-C121-4C85-1CAC4C97A610}" id="{008E0065-00C7-46F6-8573-0009005A0011}" done="0">
    <text xml:space="preserve">Comment:
Comment:
 :
MGL:
MGL:
il est important de distinguer les coûts de pose pour pouvoir chiffrer l'assurance
</text>
  </threadedComment>
  <threadedComment ref="S3" personId="{5632DFA3-6699-C121-4C85-1CAC4C97A610}" id="{006100D1-002C-4CC8-8252-00DA003B0067}" done="0">
    <text xml:space="preserve">Comment:
Comment:
 :
MGL:
MGL:
Boîtiers RBEE SOLAR : compter 550 € HT par boitier pour un abonnement sur 10 ans sur une installation de 9 kW - Voir fiche MONITORING des CVP
</text>
  </threadedComment>
</ThreadedComments>
</file>

<file path=xl/threadedComments/threadedComment39.xml><?xml version="1.0" encoding="utf-8"?>
<ThreadedComments xmlns="http://schemas.microsoft.com/office/spreadsheetml/2018/threadedcomments" xmlns:x="http://schemas.openxmlformats.org/spreadsheetml/2006/main">
  <threadedComment ref="A99" personId="{5632DFA3-6699-C121-4C85-1CAC4C97A610}" id="{00C300E6-00EF-499A-A3AF-007100AC007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960099-0069-4D58-A97C-00E50002001C}" done="0">
    <text xml:space="preserve">Comment:
Comment:
 :
MGL:
MGL:
il est important de distinguer les coûts de pose pour pouvoir chiffrer l'assurance
</text>
  </threadedComment>
  <threadedComment ref="Q3" personId="{5632DFA3-6699-C121-4C85-1CAC4C97A610}" id="{00EA00EE-00F5-4B23-BA3A-008F005C0069}" done="0">
    <text xml:space="preserve">Comment:
Comment:
 :
MGL:
MGL:
Selon devis ENEDIS fournis dans les PDR
</text>
  </threadedComment>
  <threadedComment ref="S3" personId="{5632DFA3-6699-C121-4C85-1CAC4C97A610}" id="{00960053-000F-4E85-8615-003E00580029}" done="0">
    <text xml:space="preserve">Comment:
Comment:
 :
MGL:
MGL:
Boîtiers RBEE SOLAR : compter 550 € HT par boitier pour un abonnement sur 10 ans sur une installation de 9 kW - Voir fiche MONITORING des CVP
</text>
  </threadedComment>
</ThreadedComments>
</file>

<file path=xl/threadedComments/threadedComment4.xml><?xml version="1.0" encoding="utf-8"?>
<ThreadedComments xmlns="http://schemas.microsoft.com/office/spreadsheetml/2018/threadedcomments" xmlns:x="http://schemas.openxmlformats.org/spreadsheetml/2006/main">
  <threadedComment ref="A139" personId="{5632DFA3-6699-C121-4C85-1CAC4C97A610}" id="{0080008A-0030-4324-AB20-0060007E002A}"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E00FF-00FF-4E2E-BB47-00E5009A00AF}" done="0">
    <text xml:space="preserve">Comment:
Comment:
 :
MGL:
MGL:
il est important de distinguer les coûts de pose pour pouvoir chiffrer l'assurance
</text>
  </threadedComment>
  <threadedComment ref="Q3" personId="{5632DFA3-6699-C121-4C85-1CAC4C97A610}" id="{00C00031-0022-47CA-92F4-005000CB0042}" done="0">
    <text xml:space="preserve">Comment:
Comment:
 :
MGL:
MGL:
Selon devis ENEDIS fournis dans les PDR
</text>
  </threadedComment>
  <threadedComment ref="S3" personId="{5632DFA3-6699-C121-4C85-1CAC4C97A610}" id="{00930089-0033-4014-BE37-0066007E005C}" done="0">
    <text xml:space="preserve">Comment:
Comment:
 :
MGL:
MGL:
Boîtiers RBEE SOLAR : compter 550 € HT par boitier pour un abonnement sur 10 ans sur une installation de 9 kW - Voir fiche MONITORING des CVP
</text>
  </threadedComment>
</ThreadedComments>
</file>

<file path=xl/threadedComments/threadedComment40.xml><?xml version="1.0" encoding="utf-8"?>
<ThreadedComments xmlns="http://schemas.microsoft.com/office/spreadsheetml/2018/threadedcomments" xmlns:x="http://schemas.openxmlformats.org/spreadsheetml/2006/main">
  <threadedComment ref="A70" personId="{5632DFA3-6699-C121-4C85-1CAC4C97A610}" id="{00820041-0013-403B-A75D-002D004C00E4}"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3300DB-0038-46C0-9CB0-009F005700ED}" done="0">
    <text xml:space="preserve">Comment:
Comment:
 :
MGL:
MGL:
il est important de distinguer les coûts de pose pour pouvoir chiffrer l'assurance
</text>
  </threadedComment>
  <threadedComment ref="Q3" personId="{5632DFA3-6699-C121-4C85-1CAC4C97A610}" id="{00030071-00EA-44E7-A9A2-00FC00F20064}" done="0">
    <text xml:space="preserve">Comment:
Comment:
 :
MGL:
MGL:
Selon devis ENEDIS fournis dans les PDR
</text>
  </threadedComment>
  <threadedComment ref="S3" personId="{5632DFA3-6699-C121-4C85-1CAC4C97A610}" id="{009D0062-0008-4833-8237-00B500240047}" done="0">
    <text xml:space="preserve">Comment:
Comment:
 :
MGL:
MGL:
Boîtiers RBEE SOLAR : compter 550 € HT par boitier pour un abonnement sur 10 ans sur une installation de 9 kW - Voir fiche MONITORING des CVP
</text>
  </threadedComment>
</ThreadedComments>
</file>

<file path=xl/threadedComments/threadedComment41.xml><?xml version="1.0" encoding="utf-8"?>
<ThreadedComments xmlns="http://schemas.microsoft.com/office/spreadsheetml/2018/threadedcomments" xmlns:x="http://schemas.openxmlformats.org/spreadsheetml/2006/main">
  <threadedComment ref="A85" personId="{5632DFA3-6699-C121-4C85-1CAC4C97A610}" id="{00200006-0008-4DE8-8331-00C700D4004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4900A7-00FC-4965-AF97-0021002D00B4}" done="0">
    <text xml:space="preserve">Comment:
Comment:
 :
MGL:
MGL:
il est important de distinguer les coûts de pose pour pouvoir chiffrer l'assurance
</text>
  </threadedComment>
  <threadedComment ref="Q3" personId="{5632DFA3-6699-C121-4C85-1CAC4C97A610}" id="{00DC008E-005D-4BEF-BB9C-00EB000500A3}" done="0">
    <text xml:space="preserve">Comment:
Comment:
 :
MGL:
MGL:
Selon devis ENEDIS fournis dans les PDR
</text>
  </threadedComment>
  <threadedComment ref="S3" personId="{5632DFA3-6699-C121-4C85-1CAC4C97A610}" id="{00640008-00B1-45FF-9768-004F00F70038}" done="0">
    <text xml:space="preserve">Comment:
Comment:
 :
MGL:
MGL:
Boîtiers RBEE SOLAR : compter 550 € HT par boitier pour un abonnement sur 10 ans sur une installation de 9 kW - Voir fiche MONITORING des CVP
</text>
  </threadedComment>
</ThreadedComments>
</file>

<file path=xl/threadedComments/threadedComment42.xml><?xml version="1.0" encoding="utf-8"?>
<ThreadedComments xmlns="http://schemas.microsoft.com/office/spreadsheetml/2018/threadedcomments" xmlns:x="http://schemas.openxmlformats.org/spreadsheetml/2006/main">
  <threadedComment ref="A72" personId="{5632DFA3-6699-C121-4C85-1CAC4C97A610}" id="{006C0057-0055-4E6D-B7A4-004F0064004F}"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B009D-007B-4283-8C70-00D3008600EF}" done="0">
    <text xml:space="preserve">Comment:
Comment:
 :
MGL:
MGL:
il est important de distinguer les coûts de pose pour pouvoir chiffrer l'assurance
</text>
  </threadedComment>
  <threadedComment ref="Q3" personId="{5632DFA3-6699-C121-4C85-1CAC4C97A610}" id="{005F0065-00C2-4BAB-9CF3-0034004E0099}" done="0">
    <text xml:space="preserve">Comment:
Comment:
 :
MGL:
MGL:
Selon devis ENEDIS fournis dans les PDR
</text>
  </threadedComment>
  <threadedComment ref="S3" personId="{5632DFA3-6699-C121-4C85-1CAC4C97A610}" id="{00AA0063-0094-4B06-9774-008B005500FF}" done="0">
    <text xml:space="preserve">Comment:
Comment:
 :
MGL:
MGL:
Boîtiers RBEE SOLAR : compter 550 € HT par boitier pour un abonnement sur 10 ans sur une installation de 9 kW - Voir fiche MONITORING des CVP
</text>
  </threadedComment>
</ThreadedComments>
</file>

<file path=xl/threadedComments/threadedComment43.xml><?xml version="1.0" encoding="utf-8"?>
<ThreadedComments xmlns="http://schemas.microsoft.com/office/spreadsheetml/2018/threadedcomments" xmlns:x="http://schemas.openxmlformats.org/spreadsheetml/2006/main">
  <threadedComment ref="A93" personId="{5632DFA3-6699-C121-4C85-1CAC4C97A610}" id="{00200071-0055-4776-B497-00FD00210097}"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C600D2-0033-4676-B864-009500FB0084}" done="0">
    <text xml:space="preserve">Comment:
Comment:
 :
MGL:
MGL:
Boîtiers RBEE SOLAR : compter 550 € HT par boitier pour un abonnement sur 10 ans sur une installation de 9 kW - Voir fiche MONITORING des CVP
</text>
  </threadedComment>
  <threadedComment ref="P3" personId="{5632DFA3-6699-C121-4C85-1CAC4C97A610}" id="{00410028-00FD-4B51-B024-0098008F001D}" done="0">
    <text xml:space="preserve">Comment:
Comment:
 :
MGL:
MGL:
il est important de distinguer les coûts de pose pour pouvoir chiffrer l'assurance
</text>
  </threadedComment>
  <threadedComment ref="Q3" personId="{5632DFA3-6699-C121-4C85-1CAC4C97A610}" id="{0010005A-00CE-4677-BCC6-006B00E300AA}" done="0">
    <text xml:space="preserve">Comment:
Comment:
 :
MGL:
MGL:
Selon devis ENEDIS fournis dans les PDR
</text>
  </threadedComment>
</ThreadedComments>
</file>

<file path=xl/threadedComments/threadedComment44.xml><?xml version="1.0" encoding="utf-8"?>
<ThreadedComments xmlns="http://schemas.microsoft.com/office/spreadsheetml/2018/threadedcomments" xmlns:x="http://schemas.openxmlformats.org/spreadsheetml/2006/main">
  <threadedComment ref="A85" personId="{5632DFA3-6699-C121-4C85-1CAC4C97A610}" id="{007B006B-0022-4543-8520-00B100EE00D4}"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AD00F0-00B2-4415-955C-00E000E200B4}" done="0">
    <text xml:space="preserve">Comment:
Comment:
 :
MGL:
MGL:
il est important de distinguer les coûts de pose pour pouvoir chiffrer l'assurance
</text>
  </threadedComment>
  <threadedComment ref="Q3" personId="{5632DFA3-6699-C121-4C85-1CAC4C97A610}" id="{00D9004D-00B8-4B55-853D-0090005700BA}" done="0">
    <text xml:space="preserve">Comment:
Comment:
 :
MGL:
MGL:
Selon devis ENEDIS fournis dans les PDR
</text>
  </threadedComment>
  <threadedComment ref="S3" personId="{5632DFA3-6699-C121-4C85-1CAC4C97A610}" id="{00C800BF-002B-48AB-86B0-00D100DC0038}" done="0">
    <text xml:space="preserve">Comment:
Comment:
 :
MGL:
MGL:
Boîtiers RBEE SOLAR : compter 550 € HT par boitier pour un abonnement sur 10 ans sur une installation de 9 kW - Voir fiche MONITORING des CVP
</text>
  </threadedComment>
</ThreadedComments>
</file>

<file path=xl/threadedComments/threadedComment45.xml><?xml version="1.0" encoding="utf-8"?>
<ThreadedComments xmlns="http://schemas.microsoft.com/office/spreadsheetml/2018/threadedcomments" xmlns:x="http://schemas.openxmlformats.org/spreadsheetml/2006/main">
  <threadedComment ref="A68" personId="{5632DFA3-6699-C121-4C85-1CAC4C97A610}" id="{00F30036-008A-43F4-A46B-001F00D10078}"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D50020-008A-4501-81CE-0099004E005D}" done="0">
    <text xml:space="preserve">Comment:
Comment:
 :
MGL:
MGL:
il est important de distinguer les coûts de pose pour pouvoir chiffrer l'assurance
</text>
  </threadedComment>
  <threadedComment ref="Q3" personId="{5632DFA3-6699-C121-4C85-1CAC4C97A610}" id="{006F006E-007B-41BB-B5BA-002E00020040}" done="0">
    <text xml:space="preserve">Comment:
Comment:
 :
MGL:
MGL:
Selon devis ENEDIS fournis dans les PDR
</text>
  </threadedComment>
  <threadedComment ref="S3" personId="{5632DFA3-6699-C121-4C85-1CAC4C97A610}" id="{00220072-00E9-4E67-AC2E-002A003C00FF}" done="0">
    <text xml:space="preserve">Comment:
Comment:
 :
MGL:
MGL:
Boîtiers RBEE SOLAR : compter 550 € HT par boitier pour un abonnement sur 10 ans sur une installation de 9 kW - Voir fiche MONITORING des CVP
</text>
  </threadedComment>
</ThreadedComments>
</file>

<file path=xl/threadedComments/threadedComment46.xml><?xml version="1.0" encoding="utf-8"?>
<ThreadedComments xmlns="http://schemas.microsoft.com/office/spreadsheetml/2018/threadedcomments" xmlns:x="http://schemas.openxmlformats.org/spreadsheetml/2006/main">
  <threadedComment ref="A66" personId="{5632DFA3-6699-C121-4C85-1CAC4C97A610}" id="{002200A2-00C8-425C-8408-009200D100BB}"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D700B2-00E9-455F-9665-00C900D500DC}" done="0">
    <text xml:space="preserve">Comment:
Comment:
 :
MGL:
MGL:
il est important de distinguer les coûts de pose pour pouvoir chiffrer l'assurance
</text>
  </threadedComment>
  <threadedComment ref="Q3" personId="{5632DFA3-6699-C121-4C85-1CAC4C97A610}" id="{0056003B-008D-4AF9-AA7C-001F007E0011}" done="0">
    <text xml:space="preserve">Comment:
Comment:
 :
MGL:
MGL:
Selon devis ENEDIS fournis dans les PDR
</text>
  </threadedComment>
  <threadedComment ref="S3" personId="{5632DFA3-6699-C121-4C85-1CAC4C97A610}" id="{00890050-000F-4F49-B2AE-009D006000C6}" done="0">
    <text xml:space="preserve">Comment:
Comment:
 :
MGL:
MGL:
Boîtiers RBEE SOLAR : compter 550 € HT par boitier pour un abonnement sur 10 ans sur une installation de 9 kW - Voir fiche MONITORING des CVP
</text>
  </threadedComment>
</ThreadedComments>
</file>

<file path=xl/threadedComments/threadedComment47.xml><?xml version="1.0" encoding="utf-8"?>
<ThreadedComments xmlns="http://schemas.microsoft.com/office/spreadsheetml/2018/threadedcomments" xmlns:x="http://schemas.openxmlformats.org/spreadsheetml/2006/main">
  <threadedComment ref="A70" personId="{5632DFA3-6699-C121-4C85-1CAC4C97A610}" id="{00F40062-002D-4ECC-A4A7-008B000400E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DC0072-0012-4921-9805-00600037003C}" done="0">
    <text xml:space="preserve">Comment:
Comment:
 :
MGL:
MGL:
il est important de distinguer les coûts de pose pour pouvoir chiffrer l'assurance
</text>
  </threadedComment>
  <threadedComment ref="Q3" personId="{5632DFA3-6699-C121-4C85-1CAC4C97A610}" id="{0083006E-0067-49A7-A8CD-002C0019001E}" done="0">
    <text xml:space="preserve">Comment:
Comment:
 :
MGL:
MGL:
Selon devis ENEDIS fournis dans les PDR
</text>
  </threadedComment>
  <threadedComment ref="S3" personId="{5632DFA3-6699-C121-4C85-1CAC4C97A610}" id="{005F00FA-00A0-494E-97E7-0050003F0028}" done="0">
    <text xml:space="preserve">Comment:
Comment:
 :
MGL:
MGL:
Boîtiers RBEE SOLAR : compter 550 € HT par boitier pour un abonnement sur 10 ans sur une installation de 9 kW - Voir fiche MONITORING des CVP
</text>
  </threadedComment>
</ThreadedComments>
</file>

<file path=xl/threadedComments/threadedComment48.xml><?xml version="1.0" encoding="utf-8"?>
<ThreadedComments xmlns="http://schemas.microsoft.com/office/spreadsheetml/2018/threadedcomments" xmlns:x="http://schemas.openxmlformats.org/spreadsheetml/2006/main">
  <threadedComment ref="A70" personId="{5632DFA3-6699-C121-4C85-1CAC4C97A610}" id="{004F00BD-009A-42E3-9CDE-003800B600FC}"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F9002B-00F7-4115-8367-00850003002E}" done="0">
    <text xml:space="preserve">Comment:
Comment:
 :
MGL:
MGL:
il est important de distinguer les coûts de pose pour pouvoir chiffrer l'assurance
</text>
  </threadedComment>
  <threadedComment ref="Q3" personId="{5632DFA3-6699-C121-4C85-1CAC4C97A610}" id="{00E900A3-00F7-4DAD-844E-008900450079}" done="0">
    <text xml:space="preserve">Comment:
Comment:
 :
MGL:
MGL:
Selon devis ENEDIS fournis dans les PDR
</text>
  </threadedComment>
  <threadedComment ref="S3" personId="{5632DFA3-6699-C121-4C85-1CAC4C97A610}" id="{00710019-0060-4153-AA87-006500B2006C}" done="0">
    <text xml:space="preserve">Comment:
Comment:
 :
MGL:
MGL:
Boîtiers RBEE SOLAR : compter 550 € HT par boitier pour un abonnement sur 10 ans sur une installation de 9 kW - Voir fiche MONITORING des CVP
</text>
  </threadedComment>
</ThreadedComments>
</file>

<file path=xl/threadedComments/threadedComment49.xml><?xml version="1.0" encoding="utf-8"?>
<ThreadedComments xmlns="http://schemas.microsoft.com/office/spreadsheetml/2018/threadedcomments" xmlns:x="http://schemas.openxmlformats.org/spreadsheetml/2006/main">
  <threadedComment ref="A69" personId="{5632DFA3-6699-C121-4C85-1CAC4C97A610}" id="{00F20024-00FD-4AA5-B44E-0040000A00F1}"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7700D2-003B-447B-B6A2-000F008400C3}" done="0">
    <text xml:space="preserve">Comment:
Comment:
 :
MGL:
MGL:
il est important de distinguer les coûts de pose pour pouvoir chiffrer l'assurance
</text>
  </threadedComment>
  <threadedComment ref="Q3" personId="{5632DFA3-6699-C121-4C85-1CAC4C97A610}" id="{00C000FF-00C0-4C91-9368-001C009A0068}" done="0">
    <text xml:space="preserve">Comment:
Comment:
 :
MGL:
MGL:
Selon devis ENEDIS fournis dans les PDR
</text>
  </threadedComment>
  <threadedComment ref="S3" personId="{5632DFA3-6699-C121-4C85-1CAC4C97A610}" id="{00FC0011-0023-4A82-8C6B-00090022004D}" done="0">
    <text xml:space="preserve">Comment:
Comment:
 :
MGL:
MGL:
Boîtiers RBEE SOLAR : compter 550 € HT par boitier pour un abonnement sur 10 ans sur une installation de 9 kW - Voir fiche MONITORING des CVP
</text>
  </threadedComment>
</ThreadedComments>
</file>

<file path=xl/threadedComments/threadedComment5.xml><?xml version="1.0" encoding="utf-8"?>
<ThreadedComments xmlns="http://schemas.microsoft.com/office/spreadsheetml/2018/threadedcomments" xmlns:x="http://schemas.openxmlformats.org/spreadsheetml/2006/main">
  <threadedComment ref="P3" personId="{5632DFA3-6699-C121-4C85-1CAC4C97A610}" id="{6870FDC2-5C07-ABE3-0A6C-8DDFC1E0D3D1}" done="0">
    <text xml:space="preserve">Comment:
Comment:
 :
MGL:
MGL:
il est important de distinguer les coûts de pose pour pouvoir chiffrer l'assurance
</text>
  </threadedComment>
  <threadedComment ref="A145" personId="{5632DFA3-6699-C121-4C85-1CAC4C97A610}" id="{9B51B100-B7D8-40DB-4386-E90B120F8D87}" done="0">
    <text xml:space="preserve">Comment:
Comment:
 :
MGL:
MGL:
Non directement liés au PV, mais qui n'auraient pas lieu sans l'installation PV : déplacement de velux, suppression de cheminée, renforcement de charpentes, etc. 
</text>
  </threadedComment>
  <threadedComment ref="Q3" personId="{5632DFA3-6699-C121-4C85-1CAC4C97A610}" id="{AD8297B6-10DD-A259-4418-6423364D7FAA}" done="0">
    <text xml:space="preserve">Comment:
Comment:
 :
MGL:
MGL:
Selon devis ENEDIS fournis dans les PDR
</text>
  </threadedComment>
  <threadedComment ref="S3" personId="{5632DFA3-6699-C121-4C85-1CAC4C97A610}" id="{622C5AB0-FCE8-A997-40F4-E82EC311574F}" done="0">
    <text xml:space="preserve">Comment:
Comment:
 :
MGL:
MGL:
Boîtiers RBEE SOLAR : compter 550 € HT par boitier pour un abonnement sur 10 ans sur une installation de 9 kW - Voir fiche MONITORING des CVP
</text>
  </threadedComment>
</ThreadedComments>
</file>

<file path=xl/threadedComments/threadedComment50.xml><?xml version="1.0" encoding="utf-8"?>
<ThreadedComments xmlns="http://schemas.microsoft.com/office/spreadsheetml/2018/threadedcomments" xmlns:x="http://schemas.openxmlformats.org/spreadsheetml/2006/main">
  <threadedComment ref="A66" personId="{5632DFA3-6699-C121-4C85-1CAC4C97A610}" id="{00A1008A-00C5-4F82-AD5E-00A0008500F3}"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B0045-00E9-42DA-865E-0017009F0052}" done="0">
    <text xml:space="preserve">Comment:
Comment:
 :
MGL:
MGL:
il est important de distinguer les coûts de pose pour pouvoir chiffrer l'assurance
</text>
  </threadedComment>
  <threadedComment ref="Q3" personId="{5632DFA3-6699-C121-4C85-1CAC4C97A610}" id="{003E008F-00CE-4B7A-B529-00CF00BA003E}" done="0">
    <text xml:space="preserve">Comment:
Comment:
 :
MGL:
MGL:
Selon devis ENEDIS fournis dans les PDR
</text>
  </threadedComment>
  <threadedComment ref="S3" personId="{5632DFA3-6699-C121-4C85-1CAC4C97A610}" id="{00B9009E-00A3-4A51-B5FC-0092002E001F}" done="0">
    <text xml:space="preserve">Comment:
Comment:
 :
MGL:
MGL:
Boîtiers RBEE SOLAR : compter 550 € HT par boitier pour un abonnement sur 10 ans sur une installation de 9 kW - Voir fiche MONITORING des CVP
</text>
  </threadedComment>
</ThreadedComments>
</file>

<file path=xl/threadedComments/threadedComment51.xml><?xml version="1.0" encoding="utf-8"?>
<ThreadedComments xmlns="http://schemas.microsoft.com/office/spreadsheetml/2018/threadedcomments" xmlns:x="http://schemas.openxmlformats.org/spreadsheetml/2006/main">
  <threadedComment ref="A70" personId="{5632DFA3-6699-C121-4C85-1CAC4C97A610}" id="{00FA00A7-006B-4207-8709-00E000420084}"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4800A1-00FF-4754-A236-00BA006B00FC}" done="0">
    <text xml:space="preserve">Comment:
Comment:
 :
MGL:
MGL:
il est important de distinguer les coûts de pose pour pouvoir chiffrer l'assurance
</text>
  </threadedComment>
  <threadedComment ref="Q3" personId="{5632DFA3-6699-C121-4C85-1CAC4C97A610}" id="{00EC0054-005D-4E9A-9601-00CD00CC009C}" done="0">
    <text xml:space="preserve">Comment:
Comment:
 :
MGL:
MGL:
Selon devis ENEDIS fournis dans les PDR
</text>
  </threadedComment>
  <threadedComment ref="S3" personId="{5632DFA3-6699-C121-4C85-1CAC4C97A610}" id="{00FE00FD-00E1-46C0-B59A-0043001C00F3}" done="0">
    <text xml:space="preserve">Comment:
Comment:
 :
MGL:
MGL:
Boîtiers RBEE SOLAR : compter 550 € HT par boitier pour un abonnement sur 10 ans sur une installation de 9 kW - Voir fiche MONITORING des CVP
</text>
  </threadedComment>
</ThreadedComments>
</file>

<file path=xl/threadedComments/threadedComment52.xml><?xml version="1.0" encoding="utf-8"?>
<ThreadedComments xmlns="http://schemas.microsoft.com/office/spreadsheetml/2018/threadedcomments" xmlns:x="http://schemas.openxmlformats.org/spreadsheetml/2006/main">
  <threadedComment ref="A88" personId="{5632DFA3-6699-C121-4C85-1CAC4C97A610}" id="{00AE0026-0079-4127-B000-00D200BC0025}"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CC00DB-00E3-4348-995D-00420049003F}" done="0">
    <text xml:space="preserve">Comment:
Comment:
 :
MGL:
MGL:
il est important de distinguer les coûts de pose pour pouvoir chiffrer l'assurance
</text>
  </threadedComment>
  <threadedComment ref="Q3" personId="{5632DFA3-6699-C121-4C85-1CAC4C97A610}" id="{006C008F-00D3-4770-837E-007F00130008}" done="0">
    <text xml:space="preserve">Comment:
Comment:
 :
MGL:
MGL:
Selon devis ENEDIS fournis dans les PDR
</text>
  </threadedComment>
  <threadedComment ref="S3" personId="{5632DFA3-6699-C121-4C85-1CAC4C97A610}" id="{00680045-003B-43CC-A003-003E00EB0087}" done="0">
    <text xml:space="preserve">Comment:
Comment:
 :
MGL:
MGL:
Boîtiers RBEE SOLAR : compter 550 € HT par boitier pour un abonnement sur 10 ans sur une installation de 9 kW - Voir fiche MONITORING des CVP
</text>
  </threadedComment>
</ThreadedComments>
</file>

<file path=xl/threadedComments/threadedComment53.xml><?xml version="1.0" encoding="utf-8"?>
<ThreadedComments xmlns="http://schemas.microsoft.com/office/spreadsheetml/2018/threadedcomments" xmlns:x="http://schemas.openxmlformats.org/spreadsheetml/2006/main">
  <threadedComment ref="A71" personId="{5632DFA3-6699-C121-4C85-1CAC4C97A610}" id="{00E6002B-00C8-4782-9AD4-00A200080056}"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750036-009A-4350-A127-00BE006C0022}" done="0">
    <text xml:space="preserve">Comment:
Comment:
 :
MGL:
MGL:
il est important de distinguer les coûts de pose pour pouvoir chiffrer l'assurance
</text>
  </threadedComment>
  <threadedComment ref="Q3" personId="{5632DFA3-6699-C121-4C85-1CAC4C97A610}" id="{002B002A-00D9-4CEC-B65B-004A0018004E}" done="0">
    <text xml:space="preserve">Comment:
Comment:
 :
MGL:
MGL:
Selon devis ENEDIS fournis dans les PDR
</text>
  </threadedComment>
  <threadedComment ref="S3" personId="{5632DFA3-6699-C121-4C85-1CAC4C97A610}" id="{00A80099-003B-4CA0-9563-00F600640064}" done="0">
    <text xml:space="preserve">Comment:
Comment:
 :
MGL:
MGL:
Boîtiers RBEE SOLAR : compter 550 € HT par boitier pour un abonnement sur 10 ans sur une installation de 9 kW - Voir fiche MONITORING des CVP
</text>
  </threadedComment>
</ThreadedComments>
</file>

<file path=xl/threadedComments/threadedComment54.xml><?xml version="1.0" encoding="utf-8"?>
<ThreadedComments xmlns="http://schemas.microsoft.com/office/spreadsheetml/2018/threadedcomments" xmlns:x="http://schemas.openxmlformats.org/spreadsheetml/2006/main">
  <threadedComment ref="A88" personId="{5632DFA3-6699-C121-4C85-1CAC4C97A610}" id="{005E00CD-0037-4031-924C-000C00680065}"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8F00C6-005C-4D39-947B-0026009F0001}" done="0">
    <text xml:space="preserve">Comment:
Comment:
 :
MGL:
MGL:
il est important de distinguer les coûts de pose pour pouvoir chiffrer l'assurance
</text>
  </threadedComment>
  <threadedComment ref="Q3" personId="{5632DFA3-6699-C121-4C85-1CAC4C97A610}" id="{00BB00E0-0094-4199-A90C-006A00BF00C9}" done="0">
    <text xml:space="preserve">Comment:
Comment:
 :
MGL:
MGL:
Selon devis ENEDIS fournis dans les PDR
</text>
  </threadedComment>
  <threadedComment ref="S3" personId="{5632DFA3-6699-C121-4C85-1CAC4C97A610}" id="{00AB0075-00B1-445D-9462-00170021002D}" done="0">
    <text xml:space="preserve">Comment:
Comment:
 :
MGL:
MGL:
Boîtiers RBEE SOLAR : compter 550 € HT par boitier pour un abonnement sur 10 ans sur une installation de 9 kW - Voir fiche MONITORING des CVP
</text>
  </threadedComment>
</ThreadedComments>
</file>

<file path=xl/threadedComments/threadedComment55.xml><?xml version="1.0" encoding="utf-8"?>
<ThreadedComments xmlns="http://schemas.microsoft.com/office/spreadsheetml/2018/threadedcomments" xmlns:x="http://schemas.openxmlformats.org/spreadsheetml/2006/main">
  <threadedComment ref="A88" personId="{5632DFA3-6699-C121-4C85-1CAC4C97A610}" id="{00F90070-0050-4DA0-925C-0082006800E1}"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9B005C-0078-4936-9E16-00B200DA0094}" done="0">
    <text xml:space="preserve">Comment:
Comment:
 :
MGL:
MGL:
il est important de distinguer les coûts de pose pour pouvoir chiffrer l'assurance
</text>
  </threadedComment>
  <threadedComment ref="Q3" personId="{5632DFA3-6699-C121-4C85-1CAC4C97A610}" id="{006100B4-00F5-4660-9F68-001500CB005F}" done="0">
    <text xml:space="preserve">Comment:
Comment:
 :
MGL:
MGL:
Selon devis ENEDIS fournis dans les PDR
</text>
  </threadedComment>
  <threadedComment ref="S3" personId="{5632DFA3-6699-C121-4C85-1CAC4C97A610}" id="{005F0061-00A0-4B96-A17D-002B00E50059}" done="0">
    <text xml:space="preserve">Comment:
Comment:
 :
MGL:
MGL:
Boîtiers RBEE SOLAR : compter 550 € HT par boitier pour un abonnement sur 10 ans sur une installation de 9 kW - Voir fiche MONITORING des CVP
</text>
  </threadedComment>
</ThreadedComments>
</file>

<file path=xl/threadedComments/threadedComment56.xml><?xml version="1.0" encoding="utf-8"?>
<ThreadedComments xmlns="http://schemas.microsoft.com/office/spreadsheetml/2018/threadedcomments" xmlns:x="http://schemas.openxmlformats.org/spreadsheetml/2006/main">
  <threadedComment ref="A89" personId="{5632DFA3-6699-C121-4C85-1CAC4C97A610}" id="{00FA00F5-002A-4FC5-80C0-00BA0075005C}"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A800F3-00F3-4DC7-9D7E-0097004F0021}" done="0">
    <text xml:space="preserve">Comment:
Comment:
 :
MGL:
MGL:
Boîtiers RBEE SOLAR : compter 550 € HT par boitier pour un abonnement sur 10 ans sur une installation de 9 kW - Voir fiche MONITORING des CVP
</text>
  </threadedComment>
  <threadedComment ref="P3" personId="{5632DFA3-6699-C121-4C85-1CAC4C97A610}" id="{00C9009D-0047-4935-A05A-0093003F00DC}" done="0">
    <text xml:space="preserve">Comment:
Comment:
 :
MGL:
MGL:
il est important de distinguer les coûts de pose pour pouvoir chiffrer l'assurance
</text>
  </threadedComment>
  <threadedComment ref="Q3" personId="{5632DFA3-6699-C121-4C85-1CAC4C97A610}" id="{009A002A-0010-403B-AEB7-00AF009B0035}" done="0">
    <text xml:space="preserve">Comment:
Comment:
 :
MGL:
MGL:
Selon devis ENEDIS fournis dans les PDR
</text>
  </threadedComment>
</ThreadedComments>
</file>

<file path=xl/threadedComments/threadedComment57.xml><?xml version="1.0" encoding="utf-8"?>
<ThreadedComments xmlns="http://schemas.microsoft.com/office/spreadsheetml/2018/threadedcomments" xmlns:x="http://schemas.openxmlformats.org/spreadsheetml/2006/main">
  <threadedComment ref="A100" personId="{5632DFA3-6699-C121-4C85-1CAC4C97A610}" id="{00D30016-0005-490D-822D-001000E30056}" done="0">
    <text xml:space="preserve">Comment:
Comment:
 :
MGL:
MGL:
Non directement liés au PV, mais qui n'auraient pas lieu sans l'installation PV : déplacement de velux, suppression de cheminée, renforcement de charpentes, etc. 
</text>
  </threadedComment>
  <threadedComment ref="P3" personId="{5632DFA3-6699-C121-4C85-1CAC4C97A610}" id="{00140028-00E0-4FB8-92EF-00ED00C500B8}" done="0">
    <text xml:space="preserve">Comment:
Comment:
 :
MGL:
MGL:
il est important de distinguer les coûts de pose pour pouvoir chiffrer l'assurance
</text>
  </threadedComment>
  <threadedComment ref="Q3" personId="{5632DFA3-6699-C121-4C85-1CAC4C97A610}" id="{0096002E-0069-4175-B0DB-00CC002E002F}" done="0">
    <text xml:space="preserve">Comment:
Comment:
 :
MGL:
MGL:
Selon devis ENEDIS fournis dans les PDR
</text>
  </threadedComment>
  <threadedComment ref="S3" personId="{5632DFA3-6699-C121-4C85-1CAC4C97A610}" id="{0090009B-00F0-4CB4-A0E6-00C500A400C5}" done="0">
    <text xml:space="preserve">Comment:
Comment:
 :
MGL:
MGL:
Boîtiers RBEE SOLAR : compter 550 € HT par boitier pour un abonnement sur 10 ans sur une installation de 9 kW - Voir fiche MONITORING des CVP
</text>
  </threadedComment>
</ThreadedComments>
</file>

<file path=xl/threadedComments/threadedComment58.xml><?xml version="1.0" encoding="utf-8"?>
<ThreadedComments xmlns="http://schemas.microsoft.com/office/spreadsheetml/2018/threadedcomments" xmlns:x="http://schemas.openxmlformats.org/spreadsheetml/2006/main">
  <threadedComment ref="A104" personId="{5632DFA3-6699-C121-4C85-1CAC4C97A610}" id="{00DF0049-00FD-4835-B9CD-00E700300068}"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CB001F-0085-4975-BCBE-005D00950052}" done="0">
    <text xml:space="preserve">Comment:
Comment:
 :
MGL:
MGL:
Boîtiers RBEE SOLAR : compter 550 € HT par boitier pour un abonnement sur 10 ans sur une installation de 9 kW - Voir fiche MONITORING des CVP
</text>
  </threadedComment>
  <threadedComment ref="P3" personId="{5632DFA3-6699-C121-4C85-1CAC4C97A610}" id="{00DD00A7-008D-4124-BE47-005F00BB009C}" done="0">
    <text xml:space="preserve">Comment:
Comment:
 :
MGL:
MGL:
il est important de distinguer les coûts de pose pour pouvoir chiffrer l'assurance
</text>
  </threadedComment>
  <threadedComment ref="Q3" personId="{5632DFA3-6699-C121-4C85-1CAC4C97A610}" id="{00FB00EE-006E-40CB-A081-00D300DB00A9}" done="0">
    <text xml:space="preserve">Comment:
Comment:
 :
MGL:
MGL:
Selon devis ENEDIS fournis dans les PDR
</text>
  </threadedComment>
</ThreadedComments>
</file>

<file path=xl/threadedComments/threadedComment59.xml><?xml version="1.0" encoding="utf-8"?>
<ThreadedComments xmlns="http://schemas.microsoft.com/office/spreadsheetml/2018/threadedcomments" xmlns:x="http://schemas.openxmlformats.org/spreadsheetml/2006/main">
  <threadedComment ref="A104" personId="{5632DFA3-6699-C121-4C85-1CAC4C97A610}" id="{0073004D-00F2-429A-8F07-00A9009D0039}"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3300B6-0009-47CA-9324-00E900450075}" done="0">
    <text xml:space="preserve">Comment:
Comment:
 :
MGL:
MGL:
Boîtiers RBEE SOLAR : compter 550 € HT par boitier pour un abonnement sur 10 ans sur une installation de 9 kW - Voir fiche MONITORING des CVP
</text>
  </threadedComment>
  <threadedComment ref="P3" personId="{5632DFA3-6699-C121-4C85-1CAC4C97A610}" id="{00DE00E8-00E0-438C-920D-003900FE00E6}" done="0">
    <text xml:space="preserve">Comment:
Comment:
 :
MGL:
MGL:
il est important de distinguer les coûts de pose pour pouvoir chiffrer l'assurance
</text>
  </threadedComment>
  <threadedComment ref="Q3" personId="{5632DFA3-6699-C121-4C85-1CAC4C97A610}" id="{0027009F-002B-418B-BD9C-003D001C00D8}" done="0">
    <text xml:space="preserve">Comment:
Comment:
 :
MGL:
MGL:
Selon devis ENEDIS fournis dans les PDR
</text>
  </threadedComment>
</ThreadedComments>
</file>

<file path=xl/threadedComments/threadedComment6.xml><?xml version="1.0" encoding="utf-8"?>
<ThreadedComments xmlns="http://schemas.microsoft.com/office/spreadsheetml/2018/threadedcomments" xmlns:x="http://schemas.openxmlformats.org/spreadsheetml/2006/main">
  <threadedComment ref="P3" personId="{5632DFA3-6699-C121-4C85-1CAC4C97A610}" id="{4021FFC5-20B8-513D-FC89-8915725BE45C}" done="0">
    <text xml:space="preserve">Comment:
Comment:
 :
MGL:
MGL:
il est important de distinguer les coûts de pose pour pouvoir chiffrer l'assurance
</text>
  </threadedComment>
  <threadedComment ref="Q3" personId="{5632DFA3-6699-C121-4C85-1CAC4C97A610}" id="{AC9DFD03-38B1-4793-B197-E56C7B72A5D1}" done="0">
    <text xml:space="preserve">Comment:
Comment:
 :
MGL:
MGL:
Selon devis ENEDIS fournis dans les PDR
</text>
  </threadedComment>
  <threadedComment ref="A134" personId="{5632DFA3-6699-C121-4C85-1CAC4C97A610}" id="{29836513-2FDF-28B0-6097-0F653A39E076}"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CA9ECD47-63B7-D92E-8CBE-82F703C0E8F1}" done="0">
    <text xml:space="preserve">Comment:
Comment:
 :
MGL:
MGL:
Boîtiers RBEE SOLAR : compter 550 € HT par boitier pour un abonnement sur 10 ans sur une installation de 9 kW - Voir fiche MONITORING des CVP
</text>
  </threadedComment>
</ThreadedComments>
</file>

<file path=xl/threadedComments/threadedComment60.xml><?xml version="1.0" encoding="utf-8"?>
<ThreadedComments xmlns="http://schemas.microsoft.com/office/spreadsheetml/2018/threadedcomments" xmlns:x="http://schemas.openxmlformats.org/spreadsheetml/2006/main">
  <threadedComment ref="A101" personId="{5632DFA3-6699-C121-4C85-1CAC4C97A610}" id="{007B009C-0006-446D-AA46-00B9007B008F}" done="0">
    <text xml:space="preserve">Comment:
Comment:
 :
MGL:
MGL:
Non directement liés au PV, mais qui n'auraient pas lieu sans l'installation PV : déplacement de velux, suppression de cheminée, renforcement de charpentes, etc. 
</text>
  </threadedComment>
  <threadedComment ref="Q3" personId="{5632DFA3-6699-C121-4C85-1CAC4C97A610}" id="{004A00D2-00F1-4D11-94E1-003B000800D4}" done="0">
    <text xml:space="preserve">Comment:
Comment:
 :
MGL:
MGL:
Selon devis ENEDIS fournis dans les PDR
</text>
  </threadedComment>
  <threadedComment ref="P3" personId="{5632DFA3-6699-C121-4C85-1CAC4C97A610}" id="{0050001F-008F-49DA-8B47-00A700FA00B4}" done="0">
    <text xml:space="preserve">Comment:
Comment:
 :
MGL:
MGL:
il est important de distinguer les coûts de pose pour pouvoir chiffrer l'assurance
</text>
  </threadedComment>
  <threadedComment ref="S3" personId="{5632DFA3-6699-C121-4C85-1CAC4C97A610}" id="{009C00C1-00B6-43B6-BBCD-0017008A000E}" done="0">
    <text xml:space="preserve">Comment:
Comment:
 :
MGL:
MGL:
Boîtiers RBEE SOLAR : compter 550 € HT par boitier pour un abonnement sur 10 ans sur une installation de 9 kW - Voir fiche MONITORING des CVP
</text>
  </threadedComment>
</ThreadedComments>
</file>

<file path=xl/threadedComments/threadedComment7.xml><?xml version="1.0" encoding="utf-8"?>
<ThreadedComments xmlns="http://schemas.microsoft.com/office/spreadsheetml/2018/threadedcomments" xmlns:x="http://schemas.openxmlformats.org/spreadsheetml/2006/main">
  <threadedComment ref="P3" personId="{5632DFA3-6699-C121-4C85-1CAC4C97A610}" id="{DDE7DE63-13C3-CAAA-AA38-451DE75D80A8}" done="0">
    <text xml:space="preserve">Comment:
Comment:
 :
MGL:
MGL:
il est important de distinguer les coûts de pose pour pouvoir chiffrer l'assurance
</text>
  </threadedComment>
  <threadedComment ref="Q3" personId="{5632DFA3-6699-C121-4C85-1CAC4C97A610}" id="{3814D792-474C-6A85-21CD-D4DDF7ED1102}" done="0">
    <text xml:space="preserve">Comment:
Comment:
 :
MGL:
MGL:
Selon devis ENEDIS fournis dans les PDR
</text>
  </threadedComment>
  <threadedComment ref="A134" personId="{5632DFA3-6699-C121-4C85-1CAC4C97A610}" id="{F41183E6-61C8-992A-1765-21710BE7C401}"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8408ACD7-C48D-8F69-6978-5E7B8AA6C70A}" done="0">
    <text xml:space="preserve">Comment:
Comment:
 :
MGL:
MGL:
Boîtiers RBEE SOLAR : compter 550 € HT par boitier pour un abonnement sur 10 ans sur une installation de 9 kW - Voir fiche MONITORING des CVP
</text>
  </threadedComment>
</ThreadedComments>
</file>

<file path=xl/threadedComments/threadedComment8.xml><?xml version="1.0" encoding="utf-8"?>
<ThreadedComments xmlns="http://schemas.microsoft.com/office/spreadsheetml/2018/threadedcomments" xmlns:x="http://schemas.openxmlformats.org/spreadsheetml/2006/main">
  <threadedComment ref="P3" personId="{5632DFA3-6699-C121-4C85-1CAC4C97A610}" id="{7E67D8EA-4DE7-57CD-2099-C03F2F21F521}" done="0">
    <text xml:space="preserve">Comment:
Comment:
 :
MGL:
MGL:
il est important de distinguer les coûts de pose pour pouvoir chiffrer l'assurance
</text>
  </threadedComment>
  <threadedComment ref="Q3" personId="{5632DFA3-6699-C121-4C85-1CAC4C97A610}" id="{4B3745C4-A6BB-6DC6-3311-6FBC8B334CE1}" done="0">
    <text xml:space="preserve">Comment:
Comment:
 :
MGL:
MGL:
Selon devis ENEDIS fournis dans les PDR
</text>
  </threadedComment>
  <threadedComment ref="A134" personId="{5632DFA3-6699-C121-4C85-1CAC4C97A610}" id="{BACCAD11-B50D-DA14-29C1-19E4ADB4543D}"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3A0096F3-2178-8217-DBA3-7DD876389DEA}" done="0">
    <text xml:space="preserve">Comment:
Comment:
 :
MGL:
MGL:
Boîtiers RBEE SOLAR : compter 550 € HT par boitier pour un abonnement sur 10 ans sur une installation de 9 kW - Voir fiche MONITORING des CVP
</text>
  </threadedComment>
</ThreadedComments>
</file>

<file path=xl/threadedComments/threadedComment9.xml><?xml version="1.0" encoding="utf-8"?>
<ThreadedComments xmlns="http://schemas.microsoft.com/office/spreadsheetml/2018/threadedcomments" xmlns:x="http://schemas.openxmlformats.org/spreadsheetml/2006/main">
  <threadedComment ref="P3" personId="{5632DFA3-6699-C121-4C85-1CAC4C97A610}" id="{00500064-0085-4028-8E60-007000D2007A}" done="0">
    <text xml:space="preserve">Comment:
Comment:
 :
MGL:
MGL:
il est important de distinguer les coûts de pose pour pouvoir chiffrer l'assurance
</text>
  </threadedComment>
  <threadedComment ref="Q3" personId="{5632DFA3-6699-C121-4C85-1CAC4C97A610}" id="{00B000CB-0061-4874-B4E6-001600CA00A7}" done="0">
    <text xml:space="preserve">Comment:
Comment:
 :
MGL:
MGL:
Selon devis ENEDIS fournis dans les PDR
</text>
  </threadedComment>
  <threadedComment ref="A134" personId="{5632DFA3-6699-C121-4C85-1CAC4C97A610}" id="{00150084-005D-4E10-8BF9-00C7008F0058}" done="0">
    <text xml:space="preserve">Comment:
Comment:
 :
MGL:
MGL:
Non directement liés au PV, mais qui n'auraient pas lieu sans l'installation PV : déplacement de velux, suppression de cheminée, renforcement de charpentes, etc. 
</text>
  </threadedComment>
  <threadedComment ref="S3" personId="{5632DFA3-6699-C121-4C85-1CAC4C97A610}" id="{00540061-008F-4961-AA2F-00B400D60005}" done="0">
    <text xml:space="preserve">Comment:
Comment:
 :
MGL:
MGL:
Boîtiers RBEE SOLAR : compter 550 € HT par boitier pour un abonnement sur 10 ans sur une installation de 9 kW - Voir fiche MONITORING des CVP
</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clemsys.com/" TargetMode="External"/><Relationship Id="rId18" Type="http://schemas.openxmlformats.org/officeDocument/2006/relationships/hyperlink" Target="https://www.clemsys.com/" TargetMode="External"/><Relationship Id="rId26" Type="http://schemas.openxmlformats.org/officeDocument/2006/relationships/hyperlink" Target="http://www.wattuneed.com/" TargetMode="External"/><Relationship Id="rId39" Type="http://schemas.openxmlformats.org/officeDocument/2006/relationships/hyperlink" Target="http://www.wattuneed.com/" TargetMode="External"/><Relationship Id="rId21" Type="http://schemas.openxmlformats.org/officeDocument/2006/relationships/hyperlink" Target="https://www.ubaldi.com/" TargetMode="External"/><Relationship Id="rId34" Type="http://schemas.openxmlformats.org/officeDocument/2006/relationships/hyperlink" Target="http://www.wattuneed.com/" TargetMode="External"/><Relationship Id="rId42" Type="http://schemas.openxmlformats.org/officeDocument/2006/relationships/hyperlink" Target="http://www.wattuneed.com/" TargetMode="External"/><Relationship Id="rId47" Type="http://schemas.openxmlformats.org/officeDocument/2006/relationships/hyperlink" Target="http://www.alma-solarshop.fr/" TargetMode="External"/><Relationship Id="rId50" Type="http://schemas.openxmlformats.org/officeDocument/2006/relationships/hyperlink" Target="https://www.solaredge.com/fr/satellite" TargetMode="External"/><Relationship Id="rId7" Type="http://schemas.openxmlformats.org/officeDocument/2006/relationships/hyperlink" Target="https://www.monkitsolaire.fr/" TargetMode="External"/><Relationship Id="rId2" Type="http://schemas.openxmlformats.org/officeDocument/2006/relationships/hyperlink" Target="https://www.monkitsolaire.fr/" TargetMode="External"/><Relationship Id="rId16" Type="http://schemas.openxmlformats.org/officeDocument/2006/relationships/hyperlink" Target="https://www.clemsys.com/" TargetMode="External"/><Relationship Id="rId29" Type="http://schemas.openxmlformats.org/officeDocument/2006/relationships/hyperlink" Target="http://www.wattuneed.com/" TargetMode="External"/><Relationship Id="rId11" Type="http://schemas.openxmlformats.org/officeDocument/2006/relationships/hyperlink" Target="https://www.clemsys.com/" TargetMode="External"/><Relationship Id="rId24" Type="http://schemas.openxmlformats.org/officeDocument/2006/relationships/hyperlink" Target="http://www.wattuneed.com/" TargetMode="External"/><Relationship Id="rId32" Type="http://schemas.openxmlformats.org/officeDocument/2006/relationships/hyperlink" Target="http://www.wattuneed.com/" TargetMode="External"/><Relationship Id="rId37" Type="http://schemas.openxmlformats.org/officeDocument/2006/relationships/hyperlink" Target="http://www.wattuneed.com/" TargetMode="External"/><Relationship Id="rId40" Type="http://schemas.openxmlformats.org/officeDocument/2006/relationships/hyperlink" Target="http://www.wattuneed.com/" TargetMode="External"/><Relationship Id="rId45" Type="http://schemas.openxmlformats.org/officeDocument/2006/relationships/hyperlink" Target="http://www.wattuneed.com/" TargetMode="External"/><Relationship Id="rId5" Type="http://schemas.openxmlformats.org/officeDocument/2006/relationships/hyperlink" Target="https://www.monkitsolaire.fr/" TargetMode="External"/><Relationship Id="rId15" Type="http://schemas.openxmlformats.org/officeDocument/2006/relationships/hyperlink" Target="https://www.clemsys.com/" TargetMode="External"/><Relationship Id="rId23" Type="http://schemas.openxmlformats.org/officeDocument/2006/relationships/hyperlink" Target="http://www.wattuneed.com/" TargetMode="External"/><Relationship Id="rId28" Type="http://schemas.openxmlformats.org/officeDocument/2006/relationships/hyperlink" Target="http://www.wattuneed.com/" TargetMode="External"/><Relationship Id="rId36" Type="http://schemas.openxmlformats.org/officeDocument/2006/relationships/hyperlink" Target="http://www.wattuneed.com/" TargetMode="External"/><Relationship Id="rId49" Type="http://schemas.openxmlformats.org/officeDocument/2006/relationships/hyperlink" Target="https://www.rexel.fr/frx/Cat&#233;gorie/Distribution-et-gestion-de-l%27&#233;nergie/Distribution-et-protection-de-l%27&#233;nergie/Disjoncteur-diff&#233;rentiel-modulaire/Disj-diff-monobloc-DX&#179;6000-10kA-arriv&#233;e-haut-d&#233;part-bas-vis-4P-50A-typeAC-30mA/LEG411191/p/69705136" TargetMode="External"/><Relationship Id="rId10" Type="http://schemas.openxmlformats.org/officeDocument/2006/relationships/hyperlink" Target="https://www.monkitsolaire.fr/" TargetMode="External"/><Relationship Id="rId19" Type="http://schemas.openxmlformats.org/officeDocument/2006/relationships/hyperlink" Target="https://www.clemsys.com/" TargetMode="External"/><Relationship Id="rId31" Type="http://schemas.openxmlformats.org/officeDocument/2006/relationships/hyperlink" Target="http://www.wattuneed.com/" TargetMode="External"/><Relationship Id="rId44" Type="http://schemas.openxmlformats.org/officeDocument/2006/relationships/hyperlink" Target="http://www.wattuneed.com/" TargetMode="External"/><Relationship Id="rId52" Type="http://schemas.openxmlformats.org/officeDocument/2006/relationships/hyperlink" Target="https://www.senetic.fr/product/RUT950V022C0" TargetMode="External"/><Relationship Id="rId4" Type="http://schemas.openxmlformats.org/officeDocument/2006/relationships/hyperlink" Target="https://www.monkitsolaire.fr/" TargetMode="External"/><Relationship Id="rId9" Type="http://schemas.openxmlformats.org/officeDocument/2006/relationships/hyperlink" Target="https://www.monkitsolaire.fr/" TargetMode="External"/><Relationship Id="rId14" Type="http://schemas.openxmlformats.org/officeDocument/2006/relationships/hyperlink" Target="https://www.clemsys.com/" TargetMode="External"/><Relationship Id="rId22" Type="http://schemas.openxmlformats.org/officeDocument/2006/relationships/hyperlink" Target="http://www.wattuneed.com/" TargetMode="External"/><Relationship Id="rId27" Type="http://schemas.openxmlformats.org/officeDocument/2006/relationships/hyperlink" Target="http://www.wattuneed.com/" TargetMode="External"/><Relationship Id="rId30" Type="http://schemas.openxmlformats.org/officeDocument/2006/relationships/hyperlink" Target="http://www.wattuneed.com/" TargetMode="External"/><Relationship Id="rId35" Type="http://schemas.openxmlformats.org/officeDocument/2006/relationships/hyperlink" Target="http://www.wattuneed.com/" TargetMode="External"/><Relationship Id="rId43" Type="http://schemas.openxmlformats.org/officeDocument/2006/relationships/hyperlink" Target="http://www.wattuneed.com/" TargetMode="External"/><Relationship Id="rId48" Type="http://schemas.openxmlformats.org/officeDocument/2006/relationships/hyperlink" Target="https://www.rexel.fr/frx/Cat&#233;gorie/Distribution-et-gestion-de-l%27&#233;nergie/Distribution-et-protection-de-l%27&#233;nergie/Disjoncteur-diff&#233;rentiel-modulaire/Disj-diff-monobloc-DX&#179;6000-10kA-arriv&#233;e-haut-d&#233;part-bas-vis-4P-50A-typeAC-300mA/LEG411210/p/69704800" TargetMode="External"/><Relationship Id="rId8" Type="http://schemas.openxmlformats.org/officeDocument/2006/relationships/hyperlink" Target="https://www.monkitsolaire.fr/" TargetMode="External"/><Relationship Id="rId51" Type="http://schemas.openxmlformats.org/officeDocument/2006/relationships/hyperlink" Target="https://www.senetic.fr/product/RUT950U022C0" TargetMode="External"/><Relationship Id="rId3" Type="http://schemas.openxmlformats.org/officeDocument/2006/relationships/hyperlink" Target="https://www.monkitsolaire.fr/" TargetMode="External"/><Relationship Id="rId12" Type="http://schemas.openxmlformats.org/officeDocument/2006/relationships/hyperlink" Target="https://www.clemsys.com/" TargetMode="External"/><Relationship Id="rId17" Type="http://schemas.openxmlformats.org/officeDocument/2006/relationships/hyperlink" Target="https://www.clemsys.com/" TargetMode="External"/><Relationship Id="rId25" Type="http://schemas.openxmlformats.org/officeDocument/2006/relationships/hyperlink" Target="http://www.wattuneed.com/" TargetMode="External"/><Relationship Id="rId33" Type="http://schemas.openxmlformats.org/officeDocument/2006/relationships/hyperlink" Target="http://www.wattuneed.com/" TargetMode="External"/><Relationship Id="rId38" Type="http://schemas.openxmlformats.org/officeDocument/2006/relationships/hyperlink" Target="http://www.wattuneed.com/" TargetMode="External"/><Relationship Id="rId46" Type="http://schemas.openxmlformats.org/officeDocument/2006/relationships/hyperlink" Target="http://www.alma-solarshop.fr/" TargetMode="External"/><Relationship Id="rId20" Type="http://schemas.openxmlformats.org/officeDocument/2006/relationships/hyperlink" Target="https://www.ubaldi.com/" TargetMode="External"/><Relationship Id="rId41" Type="http://schemas.openxmlformats.org/officeDocument/2006/relationships/hyperlink" Target="http://www.wattuneed.com/" TargetMode="External"/><Relationship Id="rId1" Type="http://schemas.openxmlformats.org/officeDocument/2006/relationships/hyperlink" Target="https://www.monkitsolaire.fr/" TargetMode="External"/><Relationship Id="rId6" Type="http://schemas.openxmlformats.org/officeDocument/2006/relationships/hyperlink" Target="https://www.monkitsolaire.fr/"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lma-solarshop.fr/" TargetMode="External"/><Relationship Id="rId4" Type="http://schemas.microsoft.com/office/2017/10/relationships/threadedComment" Target="../threadedComments/threadedComment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lma-solarshop.fr/" TargetMode="External"/><Relationship Id="rId4" Type="http://schemas.microsoft.com/office/2017/10/relationships/threadedComment" Target="../threadedComments/threadedComment13.x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 Id="rId4"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hyperlink" Target="https://www.quincaillerie.pro/produit/p246448/ecran-sous-toiture-exxtrem-delta-sous-panneaux-photovoltaiques-tuile-creuses" TargetMode="External"/><Relationship Id="rId1" Type="http://schemas.openxmlformats.org/officeDocument/2006/relationships/hyperlink" Target="https://www.vis-express.fr/fr/250-vis-bois?q=Diametre-6/Longueur-90/Matiere-Inox" TargetMode="External"/><Relationship Id="rId5" Type="http://schemas.microsoft.com/office/2017/10/relationships/threadedComment" Target="../threadedComments/threadedComment22.xml"/><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hyperlink" Target="https://www.quincaillerie.pro/produit/p246448/ecran-sous-toiture-exxtrem-delta-sous-panneaux-photovoltaiques-tuile-creuses" TargetMode="External"/><Relationship Id="rId1" Type="http://schemas.openxmlformats.org/officeDocument/2006/relationships/hyperlink" Target="https://www.vis-express.fr/fr/250-vis-bois?q=Diametre-6/Longueur-90/Matiere-Inox" TargetMode="External"/><Relationship Id="rId5" Type="http://schemas.microsoft.com/office/2017/10/relationships/threadedComment" Target="../threadedComments/threadedComment23.xml"/><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25.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31.xml"/><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32.xml"/><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rexel.fr/frx/Cat&#233;gorie/Distribution-et-gestion-de-l%27&#233;nergie/Distribution-et-protection-de-l%27&#233;nergie/Disjoncteur-diff&#233;rentiel-modulaire/Disj-diff-monobloc-DX&#179;6000-10kA-arriv&#233;e-haut-d&#233;part-bas-vis-4P-50A-typeAC-30mA/LEG411191/p/69705136" TargetMode="External"/><Relationship Id="rId2" Type="http://schemas.openxmlformats.org/officeDocument/2006/relationships/hyperlink" Target="http://www.alma-solarshop.fr/" TargetMode="External"/><Relationship Id="rId1" Type="http://schemas.openxmlformats.org/officeDocument/2006/relationships/hyperlink" Target="http://www.wattuneed.com/" TargetMode="External"/><Relationship Id="rId6" Type="http://schemas.microsoft.com/office/2017/10/relationships/threadedComment" Target="../threadedComments/threadedComment33.xml"/><Relationship Id="rId5" Type="http://schemas.openxmlformats.org/officeDocument/2006/relationships/comments" Target="../comments33.xm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xml"/><Relationship Id="rId4" Type="http://schemas.microsoft.com/office/2017/10/relationships/threadedComment" Target="../threadedComments/threadedComment3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4.xml"/><Relationship Id="rId4" Type="http://schemas.microsoft.com/office/2017/10/relationships/threadedComment" Target="../threadedComments/threadedComment35.xml"/></Relationships>
</file>

<file path=xl/worksheets/_rels/sheet41.xml.rels><?xml version="1.0" encoding="UTF-8" standalone="yes"?>
<Relationships xmlns="http://schemas.openxmlformats.org/package/2006/relationships"><Relationship Id="rId3" Type="http://schemas.microsoft.com/office/2017/10/relationships/threadedComment" Target="../threadedComments/threadedComment36.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2.xml.rels><?xml version="1.0" encoding="UTF-8" standalone="yes"?>
<Relationships xmlns="http://schemas.openxmlformats.org/package/2006/relationships"><Relationship Id="rId3" Type="http://schemas.microsoft.com/office/2017/10/relationships/threadedComment" Target="../threadedComments/threadedComment37.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43.xml.rels><?xml version="1.0" encoding="UTF-8" standalone="yes"?>
<Relationships xmlns="http://schemas.openxmlformats.org/package/2006/relationships"><Relationship Id="rId3" Type="http://schemas.microsoft.com/office/2017/10/relationships/threadedComment" Target="../threadedComments/threadedComment38.xml"/><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39.xml"/><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40.xml"/><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41.xml"/><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7.xml.rels><?xml version="1.0" encoding="UTF-8" standalone="yes"?>
<Relationships xmlns="http://schemas.openxmlformats.org/package/2006/relationships"><Relationship Id="rId3" Type="http://schemas.microsoft.com/office/2017/10/relationships/threadedComment" Target="../threadedComments/threadedComment42.xml"/><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43.xml"/><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44.xml"/><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45.xml"/><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51.xml.rels><?xml version="1.0" encoding="UTF-8" standalone="yes"?>
<Relationships xmlns="http://schemas.openxmlformats.org/package/2006/relationships"><Relationship Id="rId3" Type="http://schemas.microsoft.com/office/2017/10/relationships/threadedComment" Target="../threadedComments/threadedComment46.xml"/><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47.xml"/><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53.xml.rels><?xml version="1.0" encoding="UTF-8" standalone="yes"?>
<Relationships xmlns="http://schemas.openxmlformats.org/package/2006/relationships"><Relationship Id="rId3" Type="http://schemas.microsoft.com/office/2017/10/relationships/threadedComment" Target="../threadedComments/threadedComment48.xml"/><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49.xml"/><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50.xml"/><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6.xml.rels><?xml version="1.0" encoding="UTF-8" standalone="yes"?>
<Relationships xmlns="http://schemas.openxmlformats.org/package/2006/relationships"><Relationship Id="rId3" Type="http://schemas.microsoft.com/office/2017/10/relationships/threadedComment" Target="../threadedComments/threadedComment51.xml"/><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52.xml"/><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53.xml"/><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9.xml.rels><?xml version="1.0" encoding="UTF-8" standalone="yes"?>
<Relationships xmlns="http://schemas.openxmlformats.org/package/2006/relationships"><Relationship Id="rId3" Type="http://schemas.microsoft.com/office/2017/10/relationships/threadedComment" Target="../threadedComments/threadedComment54.xml"/><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microsoft.com/office/2017/10/relationships/threadedComment" Target="../threadedComments/threadedComment55.xml"/><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61.xml.rels><?xml version="1.0" encoding="UTF-8" standalone="yes"?>
<Relationships xmlns="http://schemas.openxmlformats.org/package/2006/relationships"><Relationship Id="rId3" Type="http://schemas.microsoft.com/office/2017/10/relationships/threadedComment" Target="../threadedComments/threadedComment56.xml"/><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2.xml.rels><?xml version="1.0" encoding="UTF-8" standalone="yes"?>
<Relationships xmlns="http://schemas.openxmlformats.org/package/2006/relationships"><Relationship Id="rId3" Type="http://schemas.microsoft.com/office/2017/10/relationships/threadedComment" Target="../threadedComments/threadedComment57.xml"/><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63.xml.rels><?xml version="1.0" encoding="UTF-8" standalone="yes"?>
<Relationships xmlns="http://schemas.openxmlformats.org/package/2006/relationships"><Relationship Id="rId3" Type="http://schemas.microsoft.com/office/2017/10/relationships/threadedComment" Target="../threadedComments/threadedComment58.xml"/><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64.xml.rels><?xml version="1.0" encoding="UTF-8" standalone="yes"?>
<Relationships xmlns="http://schemas.openxmlformats.org/package/2006/relationships"><Relationship Id="rId3" Type="http://schemas.microsoft.com/office/2017/10/relationships/threadedComment" Target="../threadedComments/threadedComment59.xml"/><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5.xml.rels><?xml version="1.0" encoding="UTF-8" standalone="yes"?>
<Relationships xmlns="http://schemas.openxmlformats.org/package/2006/relationships"><Relationship Id="rId3" Type="http://schemas.microsoft.com/office/2017/10/relationships/threadedComment" Target="../threadedComments/threadedComment60.xml"/><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0"/>
  <sheetViews>
    <sheetView showGridLines="0" zoomScale="95" workbookViewId="0">
      <selection activeCell="I13" activeCellId="1" sqref="G16 I13"/>
    </sheetView>
  </sheetViews>
  <sheetFormatPr baseColWidth="10" defaultColWidth="11.28515625" defaultRowHeight="15.75"/>
  <cols>
    <col min="1" max="1" width="7.140625" style="1" customWidth="1"/>
    <col min="2" max="2" width="90.28515625" style="1" customWidth="1"/>
    <col min="3" max="3" width="2.42578125" style="1" customWidth="1"/>
    <col min="4" max="4" width="34.28515625" style="1" customWidth="1"/>
    <col min="5" max="5" width="18.5703125" style="2" customWidth="1"/>
    <col min="6" max="6" width="4.42578125" style="1" customWidth="1"/>
    <col min="7" max="7" width="1.85546875" style="1" customWidth="1"/>
    <col min="8" max="8" width="6.42578125" style="1" customWidth="1"/>
    <col min="9" max="9" width="11.7109375" style="1" customWidth="1"/>
    <col min="10" max="10" width="14.140625" style="1" customWidth="1"/>
    <col min="11" max="11" width="13.28515625" style="1" customWidth="1"/>
    <col min="12" max="13" width="11.28515625" style="1"/>
    <col min="14" max="14" width="16.7109375" style="1" customWidth="1"/>
    <col min="15" max="15" width="16" style="1" customWidth="1"/>
    <col min="16" max="16" width="14.5703125" style="1" customWidth="1"/>
    <col min="17" max="17" width="14.140625" style="1" customWidth="1"/>
    <col min="18" max="18" width="13.5703125" style="1" customWidth="1"/>
    <col min="19" max="22" width="11.28515625" style="1"/>
    <col min="23" max="23" width="13" style="1" customWidth="1"/>
    <col min="24" max="24" width="13.5703125" style="1" customWidth="1"/>
    <col min="25" max="1024" width="11.28515625" style="1"/>
  </cols>
  <sheetData>
    <row r="1" spans="1:1024" ht="20.3">
      <c r="A1" s="3" t="s">
        <v>0</v>
      </c>
      <c r="B1" s="4"/>
      <c r="C1" s="4"/>
      <c r="D1" s="4"/>
      <c r="E1" s="5"/>
      <c r="F1" s="6"/>
      <c r="H1" s="7" t="s">
        <v>1</v>
      </c>
    </row>
    <row r="2" spans="1:1024" s="8" customFormat="1">
      <c r="A2" s="9"/>
      <c r="E2" s="2"/>
      <c r="F2" s="10"/>
    </row>
    <row r="3" spans="1:1024" ht="15.75" customHeight="1">
      <c r="A3" s="969" t="s">
        <v>2</v>
      </c>
      <c r="B3" s="969"/>
      <c r="C3" s="8"/>
      <c r="D3" s="970" t="s">
        <v>3</v>
      </c>
      <c r="E3" s="970"/>
      <c r="F3" s="10"/>
      <c r="G3" s="8"/>
      <c r="H3" s="8"/>
      <c r="I3" s="8"/>
      <c r="J3" s="8"/>
      <c r="K3" s="8"/>
      <c r="L3" s="8"/>
      <c r="M3" s="8"/>
      <c r="N3" s="11" t="s">
        <v>4</v>
      </c>
    </row>
    <row r="4" spans="1:1024">
      <c r="A4" s="12"/>
      <c r="B4" s="13" t="s">
        <v>5</v>
      </c>
      <c r="C4" s="8"/>
      <c r="D4" s="14" t="s">
        <v>6</v>
      </c>
      <c r="F4" s="10"/>
      <c r="N4" s="11" t="s">
        <v>6</v>
      </c>
    </row>
    <row r="5" spans="1:1024">
      <c r="A5" s="15"/>
      <c r="B5" s="16"/>
      <c r="C5" s="8"/>
      <c r="D5" s="17"/>
      <c r="F5" s="10"/>
      <c r="K5" s="8"/>
      <c r="N5" s="11" t="s">
        <v>7</v>
      </c>
    </row>
    <row r="6" spans="1:1024" ht="15.75" customHeight="1">
      <c r="A6" s="967" t="s">
        <v>8</v>
      </c>
      <c r="B6" s="967"/>
      <c r="C6" s="2"/>
      <c r="D6" s="2"/>
      <c r="F6" s="10"/>
      <c r="K6" s="17"/>
    </row>
    <row r="7" spans="1:1024">
      <c r="A7" s="966" t="str">
        <f>"Le projet porte sur un ensemble de "&amp;COUNTA(Installations!D7:D88)&amp;" installations photovoltaïques réparties sur "</f>
        <v xml:space="preserve">Le projet porte sur un ensemble de 59 installations photovoltaïques réparties sur </v>
      </c>
      <c r="B7" s="966"/>
      <c r="C7" s="2"/>
      <c r="D7" s="18" t="s">
        <v>9</v>
      </c>
      <c r="E7" s="19">
        <f>Installations!B90</f>
        <v>2</v>
      </c>
      <c r="F7" s="10"/>
    </row>
    <row r="8" spans="1:1024">
      <c r="A8" s="20">
        <f>SUM(IF(COUNTIF(Installations!H7:H88,Installations!H7:H88)&lt;&gt;0,1/COUNTIF(Installations!H7:H88,Installations!H7:H88),""))</f>
        <v>0.33333333333333331</v>
      </c>
      <c r="B8" s="21" t="s">
        <v>10</v>
      </c>
      <c r="C8" s="2"/>
      <c r="D8" s="18" t="s">
        <v>11</v>
      </c>
      <c r="E8" s="22">
        <f>Installations!K90</f>
        <v>179.52</v>
      </c>
      <c r="F8" s="10"/>
    </row>
    <row r="9" spans="1:1024">
      <c r="A9" s="966" t="str">
        <f>"La puissance photovoltaïque installée au total est de "&amp;TEXT(Installations!K90,"# ##0")&amp;" kW pour une surface de "&amp;TEXT(Installations!J90,"# ##0")&amp;" m2."</f>
        <v>La puissance photovoltaïque installée au total est de 180 kW pour une surface de 706 m2.</v>
      </c>
      <c r="B9" s="966"/>
      <c r="C9" s="23"/>
      <c r="D9" s="18" t="s">
        <v>12</v>
      </c>
      <c r="E9" s="24">
        <f>Installations!N90</f>
        <v>216211.68000000002</v>
      </c>
      <c r="F9" s="10"/>
      <c r="I9" s="25"/>
    </row>
    <row r="10" spans="1:1024">
      <c r="A10" s="966" t="str">
        <f>"La production annuelle d'électricité est estimée à "&amp;TEXT(Installations!N90,"# ##0")&amp;" kWh/an"</f>
        <v>La production annuelle d'électricité est estimée à 216 212 kWh/an</v>
      </c>
      <c r="B10" s="966"/>
      <c r="C10" s="2"/>
      <c r="D10" s="2"/>
      <c r="F10" s="10"/>
    </row>
    <row r="11" spans="1:1024" ht="17.05">
      <c r="A11" s="966"/>
      <c r="B11" s="966"/>
      <c r="C11" s="2"/>
      <c r="D11" s="26"/>
      <c r="E11" s="27"/>
      <c r="F11" s="10"/>
    </row>
    <row r="12" spans="1:1024" s="28" customFormat="1" ht="15.75" customHeight="1">
      <c r="A12" s="967" t="s">
        <v>13</v>
      </c>
      <c r="B12" s="967"/>
      <c r="C12" s="29"/>
      <c r="D12" s="29"/>
      <c r="E12" s="971"/>
      <c r="F12" s="971"/>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c r="AU12" s="968"/>
      <c r="AV12" s="968"/>
      <c r="AW12" s="968"/>
      <c r="AX12" s="968"/>
      <c r="AY12" s="968"/>
      <c r="AZ12" s="968"/>
      <c r="BA12" s="968"/>
      <c r="BB12" s="968"/>
      <c r="BC12" s="968"/>
      <c r="BD12" s="968"/>
      <c r="BE12" s="968"/>
      <c r="BF12" s="968"/>
      <c r="BG12" s="968"/>
      <c r="BH12" s="968"/>
      <c r="BI12" s="968"/>
      <c r="BJ12" s="968"/>
      <c r="BK12" s="968"/>
      <c r="BL12" s="968"/>
      <c r="BM12" s="968"/>
      <c r="BN12" s="968"/>
      <c r="BO12" s="968"/>
      <c r="BP12" s="968"/>
      <c r="BQ12" s="968"/>
      <c r="BR12" s="968"/>
      <c r="BS12" s="968"/>
      <c r="BT12" s="968"/>
      <c r="BU12" s="968"/>
      <c r="BV12" s="968"/>
      <c r="BW12" s="968"/>
      <c r="BX12" s="968"/>
      <c r="BY12" s="968"/>
      <c r="BZ12" s="968"/>
      <c r="CA12" s="968"/>
      <c r="CB12" s="968"/>
      <c r="CC12" s="968"/>
      <c r="CD12" s="968"/>
      <c r="CE12" s="968"/>
      <c r="CF12" s="968"/>
      <c r="CG12" s="968"/>
      <c r="CH12" s="968"/>
      <c r="CI12" s="968"/>
      <c r="CJ12" s="968"/>
      <c r="CK12" s="968"/>
      <c r="CL12" s="968"/>
      <c r="CM12" s="968"/>
      <c r="CN12" s="968"/>
      <c r="CO12" s="968"/>
      <c r="CP12" s="968"/>
      <c r="CQ12" s="968"/>
      <c r="CR12" s="968"/>
      <c r="CS12" s="968"/>
      <c r="CT12" s="968"/>
      <c r="CU12" s="968"/>
      <c r="CV12" s="968"/>
      <c r="CW12" s="968"/>
      <c r="CX12" s="968"/>
      <c r="CY12" s="968"/>
      <c r="CZ12" s="968"/>
      <c r="DA12" s="968"/>
      <c r="DB12" s="968"/>
      <c r="DC12" s="968"/>
      <c r="DD12" s="968"/>
      <c r="DE12" s="968"/>
      <c r="DF12" s="968"/>
      <c r="DG12" s="968"/>
      <c r="DH12" s="968"/>
      <c r="DI12" s="968"/>
      <c r="DJ12" s="968"/>
      <c r="DK12" s="968"/>
      <c r="DL12" s="968"/>
      <c r="DM12" s="968"/>
      <c r="DN12" s="968"/>
      <c r="DO12" s="968"/>
      <c r="DP12" s="968"/>
      <c r="DQ12" s="968"/>
      <c r="DR12" s="968"/>
      <c r="DS12" s="968"/>
      <c r="DT12" s="968"/>
      <c r="DU12" s="968"/>
      <c r="DV12" s="968"/>
      <c r="DW12" s="968"/>
      <c r="DX12" s="968"/>
      <c r="DY12" s="968"/>
      <c r="DZ12" s="968"/>
      <c r="EA12" s="968"/>
      <c r="EB12" s="968"/>
      <c r="EC12" s="968"/>
      <c r="ED12" s="968"/>
      <c r="EE12" s="968"/>
      <c r="EF12" s="968"/>
      <c r="EG12" s="968"/>
      <c r="EH12" s="968"/>
      <c r="EI12" s="968"/>
      <c r="EJ12" s="968"/>
      <c r="EK12" s="968"/>
      <c r="EL12" s="968"/>
      <c r="EM12" s="968"/>
      <c r="EN12" s="968"/>
      <c r="EO12" s="968"/>
      <c r="EP12" s="968"/>
      <c r="EQ12" s="968"/>
      <c r="ER12" s="968"/>
      <c r="ES12" s="968"/>
      <c r="ET12" s="968"/>
      <c r="EU12" s="968"/>
      <c r="EV12" s="968"/>
      <c r="EW12" s="968"/>
      <c r="EX12" s="968"/>
      <c r="EY12" s="968"/>
      <c r="EZ12" s="968"/>
      <c r="FA12" s="968"/>
      <c r="FB12" s="968"/>
      <c r="FC12" s="968"/>
      <c r="FD12" s="968"/>
      <c r="FE12" s="968"/>
      <c r="FF12" s="968"/>
      <c r="FG12" s="968"/>
      <c r="FH12" s="968"/>
      <c r="FI12" s="968"/>
      <c r="FJ12" s="968"/>
      <c r="FK12" s="968"/>
      <c r="FL12" s="968"/>
      <c r="FM12" s="968"/>
      <c r="FN12" s="968"/>
      <c r="FO12" s="968"/>
      <c r="FP12" s="968"/>
      <c r="FQ12" s="968"/>
      <c r="FR12" s="968"/>
      <c r="FS12" s="968"/>
      <c r="FT12" s="968"/>
      <c r="FU12" s="968"/>
      <c r="FV12" s="968"/>
      <c r="FW12" s="968"/>
      <c r="FX12" s="968"/>
      <c r="FY12" s="968"/>
      <c r="FZ12" s="968"/>
      <c r="GA12" s="968"/>
      <c r="GB12" s="968"/>
      <c r="GC12" s="968"/>
      <c r="GD12" s="968"/>
      <c r="GE12" s="968"/>
      <c r="GF12" s="968"/>
      <c r="GG12" s="968"/>
      <c r="GH12" s="968"/>
      <c r="GI12" s="968"/>
      <c r="GJ12" s="968"/>
      <c r="GK12" s="968"/>
      <c r="GL12" s="968"/>
      <c r="GM12" s="968"/>
      <c r="GN12" s="968"/>
      <c r="GO12" s="968"/>
      <c r="GP12" s="968"/>
      <c r="GQ12" s="968"/>
      <c r="GR12" s="968"/>
      <c r="GS12" s="968"/>
      <c r="GT12" s="968"/>
      <c r="GU12" s="968"/>
      <c r="GV12" s="968"/>
      <c r="GW12" s="968"/>
      <c r="GX12" s="968"/>
      <c r="GY12" s="968"/>
      <c r="GZ12" s="968"/>
      <c r="HA12" s="968"/>
      <c r="HB12" s="968"/>
      <c r="HC12" s="968"/>
      <c r="HD12" s="968"/>
      <c r="HE12" s="968"/>
      <c r="HF12" s="968"/>
      <c r="HG12" s="968"/>
      <c r="HH12" s="968"/>
      <c r="HI12" s="968"/>
      <c r="HJ12" s="968"/>
      <c r="HK12" s="968"/>
      <c r="HL12" s="968"/>
      <c r="HM12" s="968"/>
      <c r="HN12" s="968"/>
      <c r="HO12" s="968"/>
      <c r="HP12" s="968"/>
      <c r="HQ12" s="968"/>
      <c r="HR12" s="968"/>
      <c r="HS12" s="968"/>
      <c r="HT12" s="968"/>
      <c r="HU12" s="968"/>
      <c r="HV12" s="968"/>
      <c r="HW12" s="968"/>
      <c r="HX12" s="968"/>
      <c r="HY12" s="968"/>
      <c r="HZ12" s="968"/>
      <c r="IA12" s="968"/>
      <c r="IB12" s="968"/>
      <c r="IC12" s="968"/>
      <c r="ID12" s="968"/>
      <c r="IE12" s="968"/>
      <c r="IF12" s="968"/>
      <c r="IG12" s="968"/>
      <c r="IH12" s="968"/>
      <c r="II12" s="968"/>
      <c r="IJ12" s="968"/>
      <c r="IK12" s="968"/>
      <c r="IL12" s="968"/>
      <c r="IM12" s="968"/>
      <c r="IN12" s="968"/>
      <c r="IO12" s="968"/>
      <c r="IP12" s="968"/>
      <c r="IQ12" s="968"/>
      <c r="IR12" s="968"/>
      <c r="IS12" s="968"/>
      <c r="IT12" s="968"/>
      <c r="IU12" s="968"/>
      <c r="IV12" s="968"/>
      <c r="IW12" s="968"/>
      <c r="IX12" s="968"/>
      <c r="IY12" s="968"/>
      <c r="IZ12" s="968"/>
      <c r="JA12" s="968"/>
      <c r="JB12" s="968"/>
      <c r="JC12" s="968"/>
      <c r="JD12" s="968"/>
      <c r="JE12" s="968"/>
      <c r="JF12" s="968"/>
      <c r="JG12" s="968"/>
      <c r="JH12" s="968"/>
      <c r="JI12" s="968"/>
      <c r="JJ12" s="968"/>
      <c r="JK12" s="968"/>
      <c r="JL12" s="968"/>
      <c r="JM12" s="968"/>
      <c r="JN12" s="968"/>
      <c r="JO12" s="968"/>
      <c r="JP12" s="968"/>
      <c r="JQ12" s="968"/>
      <c r="JR12" s="968"/>
      <c r="JS12" s="968"/>
      <c r="JT12" s="968"/>
      <c r="JU12" s="968"/>
      <c r="JV12" s="968"/>
      <c r="JW12" s="968"/>
      <c r="JX12" s="968"/>
      <c r="JY12" s="968"/>
      <c r="JZ12" s="968"/>
      <c r="KA12" s="968"/>
      <c r="KB12" s="968"/>
      <c r="KC12" s="968"/>
      <c r="KD12" s="968"/>
      <c r="KE12" s="968"/>
      <c r="KF12" s="968"/>
      <c r="KG12" s="968"/>
      <c r="KH12" s="968"/>
      <c r="KI12" s="968"/>
      <c r="KJ12" s="968"/>
      <c r="KK12" s="968"/>
      <c r="KL12" s="968"/>
      <c r="KM12" s="968"/>
      <c r="KN12" s="968"/>
      <c r="KO12" s="968"/>
      <c r="KP12" s="968"/>
      <c r="KQ12" s="968"/>
      <c r="KR12" s="968"/>
      <c r="KS12" s="968"/>
      <c r="KT12" s="968"/>
      <c r="KU12" s="968"/>
      <c r="KV12" s="968"/>
      <c r="KW12" s="968"/>
      <c r="KX12" s="968"/>
      <c r="KY12" s="968"/>
      <c r="KZ12" s="968"/>
      <c r="LA12" s="968"/>
      <c r="LB12" s="968"/>
      <c r="LC12" s="968"/>
      <c r="LD12" s="968"/>
      <c r="LE12" s="968"/>
      <c r="LF12" s="968"/>
      <c r="LG12" s="968"/>
      <c r="LH12" s="968"/>
      <c r="LI12" s="968"/>
      <c r="LJ12" s="968"/>
      <c r="LK12" s="968"/>
      <c r="LL12" s="968"/>
      <c r="LM12" s="968"/>
      <c r="LN12" s="968"/>
      <c r="LO12" s="968"/>
      <c r="LP12" s="968"/>
      <c r="LQ12" s="968"/>
      <c r="LR12" s="968"/>
      <c r="LS12" s="968"/>
      <c r="LT12" s="968"/>
      <c r="LU12" s="968"/>
      <c r="LV12" s="968"/>
      <c r="LW12" s="968"/>
      <c r="LX12" s="968"/>
      <c r="LY12" s="968"/>
      <c r="LZ12" s="968"/>
      <c r="MA12" s="968"/>
      <c r="MB12" s="968"/>
      <c r="MC12" s="968"/>
      <c r="MD12" s="968"/>
      <c r="ME12" s="968"/>
      <c r="MF12" s="968"/>
      <c r="MG12" s="968"/>
      <c r="MH12" s="968"/>
      <c r="MI12" s="968"/>
      <c r="MJ12" s="968"/>
      <c r="MK12" s="968"/>
      <c r="ML12" s="968"/>
      <c r="MM12" s="968"/>
      <c r="MN12" s="968"/>
      <c r="MO12" s="968"/>
      <c r="MP12" s="968"/>
      <c r="MQ12" s="968"/>
      <c r="MR12" s="968"/>
      <c r="MS12" s="968"/>
      <c r="MT12" s="968"/>
      <c r="MU12" s="968"/>
      <c r="MV12" s="968"/>
      <c r="MW12" s="968"/>
      <c r="MX12" s="968"/>
      <c r="MY12" s="968"/>
      <c r="MZ12" s="968"/>
      <c r="NA12" s="968"/>
      <c r="NB12" s="968"/>
      <c r="NC12" s="968"/>
      <c r="ND12" s="968"/>
      <c r="NE12" s="968"/>
      <c r="NF12" s="968"/>
      <c r="NG12" s="968"/>
      <c r="NH12" s="968"/>
      <c r="NI12" s="968"/>
      <c r="NJ12" s="968"/>
      <c r="NK12" s="968"/>
      <c r="NL12" s="968"/>
      <c r="NM12" s="968"/>
      <c r="NN12" s="968"/>
      <c r="NO12" s="968"/>
      <c r="NP12" s="968"/>
      <c r="NQ12" s="968"/>
      <c r="NR12" s="968"/>
      <c r="NS12" s="968"/>
      <c r="NT12" s="968"/>
      <c r="NU12" s="968"/>
      <c r="NV12" s="968"/>
      <c r="NW12" s="968"/>
      <c r="NX12" s="968"/>
      <c r="NY12" s="968"/>
      <c r="NZ12" s="968"/>
      <c r="OA12" s="968"/>
      <c r="OB12" s="968"/>
      <c r="OC12" s="968"/>
      <c r="OD12" s="968"/>
      <c r="OE12" s="968"/>
      <c r="OF12" s="968"/>
      <c r="OG12" s="968"/>
      <c r="OH12" s="968"/>
      <c r="OI12" s="968"/>
      <c r="OJ12" s="968"/>
      <c r="OK12" s="968"/>
      <c r="OL12" s="968"/>
      <c r="OM12" s="968"/>
      <c r="ON12" s="968"/>
      <c r="OO12" s="968"/>
      <c r="OP12" s="968"/>
      <c r="OQ12" s="968"/>
      <c r="OR12" s="968"/>
      <c r="OS12" s="968"/>
      <c r="OT12" s="968"/>
      <c r="OU12" s="968"/>
      <c r="OV12" s="968"/>
      <c r="OW12" s="968"/>
      <c r="OX12" s="968"/>
      <c r="OY12" s="968"/>
      <c r="OZ12" s="968"/>
      <c r="PA12" s="968"/>
      <c r="PB12" s="968"/>
      <c r="PC12" s="968"/>
      <c r="PD12" s="968"/>
      <c r="PE12" s="968"/>
      <c r="PF12" s="968"/>
      <c r="PG12" s="968"/>
      <c r="PH12" s="968"/>
      <c r="PI12" s="968"/>
      <c r="PJ12" s="968"/>
      <c r="PK12" s="968"/>
      <c r="PL12" s="968"/>
      <c r="PM12" s="968"/>
      <c r="PN12" s="968"/>
      <c r="PO12" s="968"/>
      <c r="PP12" s="968"/>
      <c r="PQ12" s="968"/>
      <c r="PR12" s="968"/>
      <c r="PS12" s="968"/>
      <c r="PT12" s="968"/>
      <c r="PU12" s="968"/>
      <c r="PV12" s="968"/>
      <c r="PW12" s="968"/>
      <c r="PX12" s="968"/>
      <c r="PY12" s="968"/>
      <c r="PZ12" s="968"/>
      <c r="QA12" s="968"/>
      <c r="QB12" s="968"/>
      <c r="QC12" s="968"/>
      <c r="QD12" s="968"/>
      <c r="QE12" s="968"/>
      <c r="QF12" s="968"/>
      <c r="QG12" s="968"/>
      <c r="QH12" s="968"/>
      <c r="QI12" s="968"/>
      <c r="QJ12" s="968"/>
      <c r="QK12" s="968"/>
      <c r="QL12" s="968"/>
      <c r="QM12" s="968"/>
      <c r="QN12" s="968"/>
      <c r="QO12" s="968"/>
      <c r="QP12" s="968"/>
      <c r="QQ12" s="968"/>
      <c r="QR12" s="968"/>
      <c r="QS12" s="968"/>
      <c r="QT12" s="968"/>
      <c r="QU12" s="968"/>
      <c r="QV12" s="968"/>
      <c r="QW12" s="968"/>
      <c r="QX12" s="968"/>
      <c r="QY12" s="968"/>
      <c r="QZ12" s="968"/>
      <c r="RA12" s="968"/>
      <c r="RB12" s="968"/>
      <c r="RC12" s="968"/>
      <c r="RD12" s="968"/>
      <c r="RE12" s="968"/>
      <c r="RF12" s="968"/>
      <c r="RG12" s="968"/>
      <c r="RH12" s="968"/>
      <c r="RI12" s="968"/>
      <c r="RJ12" s="968"/>
      <c r="RK12" s="968"/>
      <c r="RL12" s="968"/>
      <c r="RM12" s="968"/>
      <c r="RN12" s="968"/>
      <c r="RO12" s="968"/>
      <c r="RP12" s="968"/>
      <c r="RQ12" s="968"/>
      <c r="RR12" s="968"/>
      <c r="RS12" s="968"/>
      <c r="RT12" s="968"/>
      <c r="RU12" s="968"/>
      <c r="RV12" s="968"/>
      <c r="RW12" s="968"/>
      <c r="RX12" s="968"/>
      <c r="RY12" s="968"/>
      <c r="RZ12" s="968"/>
      <c r="SA12" s="968"/>
      <c r="SB12" s="968"/>
      <c r="SC12" s="968"/>
      <c r="SD12" s="968"/>
      <c r="SE12" s="968"/>
      <c r="SF12" s="968"/>
      <c r="SG12" s="968"/>
      <c r="SH12" s="968"/>
      <c r="SI12" s="968"/>
      <c r="SJ12" s="968"/>
      <c r="SK12" s="968"/>
      <c r="SL12" s="968"/>
      <c r="SM12" s="968"/>
      <c r="SN12" s="968"/>
      <c r="SO12" s="968"/>
      <c r="SP12" s="968"/>
      <c r="SQ12" s="968"/>
      <c r="SR12" s="968"/>
      <c r="SS12" s="968"/>
      <c r="ST12" s="968"/>
      <c r="SU12" s="968"/>
      <c r="SV12" s="968"/>
      <c r="SW12" s="968"/>
      <c r="SX12" s="968"/>
      <c r="SY12" s="968"/>
      <c r="SZ12" s="968"/>
      <c r="TA12" s="968"/>
      <c r="TB12" s="968"/>
      <c r="TC12" s="968"/>
      <c r="TD12" s="968"/>
      <c r="TE12" s="968"/>
      <c r="TF12" s="968"/>
      <c r="TG12" s="968"/>
      <c r="TH12" s="968"/>
      <c r="TI12" s="968"/>
      <c r="TJ12" s="968"/>
      <c r="TK12" s="968"/>
      <c r="TL12" s="968"/>
      <c r="TM12" s="968"/>
      <c r="TN12" s="968"/>
      <c r="TO12" s="968"/>
      <c r="TP12" s="968"/>
      <c r="TQ12" s="968"/>
      <c r="TR12" s="968"/>
      <c r="TS12" s="968"/>
      <c r="TT12" s="968"/>
      <c r="TU12" s="968"/>
      <c r="TV12" s="968"/>
      <c r="TW12" s="968"/>
      <c r="TX12" s="968"/>
      <c r="TY12" s="968"/>
      <c r="TZ12" s="968"/>
      <c r="UA12" s="968"/>
      <c r="UB12" s="968"/>
      <c r="UC12" s="968"/>
      <c r="UD12" s="968"/>
      <c r="UE12" s="968"/>
      <c r="UF12" s="968"/>
      <c r="UG12" s="968"/>
      <c r="UH12" s="968"/>
      <c r="UI12" s="968"/>
      <c r="UJ12" s="968"/>
      <c r="UK12" s="968"/>
      <c r="UL12" s="968"/>
      <c r="UM12" s="968"/>
      <c r="UN12" s="968"/>
      <c r="UO12" s="968"/>
      <c r="UP12" s="968"/>
      <c r="UQ12" s="968"/>
      <c r="UR12" s="968"/>
      <c r="US12" s="968"/>
      <c r="UT12" s="968"/>
      <c r="UU12" s="968"/>
      <c r="UV12" s="968"/>
      <c r="UW12" s="968"/>
      <c r="UX12" s="968"/>
      <c r="UY12" s="968"/>
      <c r="UZ12" s="968"/>
      <c r="VA12" s="968"/>
      <c r="VB12" s="968"/>
      <c r="VC12" s="968"/>
      <c r="VD12" s="968"/>
      <c r="VE12" s="968"/>
      <c r="VF12" s="968"/>
      <c r="VG12" s="968"/>
      <c r="VH12" s="968"/>
      <c r="VI12" s="968"/>
      <c r="VJ12" s="968"/>
      <c r="VK12" s="968"/>
      <c r="VL12" s="968"/>
      <c r="VM12" s="968"/>
      <c r="VN12" s="968"/>
      <c r="VO12" s="968"/>
      <c r="VP12" s="968"/>
      <c r="VQ12" s="968"/>
      <c r="VR12" s="968"/>
      <c r="VS12" s="968"/>
      <c r="VT12" s="968"/>
      <c r="VU12" s="968"/>
      <c r="VV12" s="968"/>
      <c r="VW12" s="968"/>
      <c r="VX12" s="968"/>
      <c r="VY12" s="968"/>
      <c r="VZ12" s="968"/>
      <c r="WA12" s="968"/>
      <c r="WB12" s="968"/>
      <c r="WC12" s="968"/>
      <c r="WD12" s="968"/>
      <c r="WE12" s="968"/>
      <c r="WF12" s="968"/>
      <c r="WG12" s="968"/>
      <c r="WH12" s="968"/>
      <c r="WI12" s="968"/>
      <c r="WJ12" s="968"/>
      <c r="WK12" s="968"/>
      <c r="WL12" s="968"/>
      <c r="WM12" s="968"/>
      <c r="WN12" s="968"/>
      <c r="WO12" s="968"/>
      <c r="WP12" s="968"/>
      <c r="WQ12" s="968"/>
      <c r="WR12" s="968"/>
      <c r="WS12" s="968"/>
      <c r="WT12" s="968"/>
      <c r="WU12" s="968"/>
      <c r="WV12" s="968"/>
      <c r="WW12" s="968"/>
      <c r="WX12" s="968"/>
      <c r="WY12" s="968"/>
      <c r="WZ12" s="968"/>
      <c r="XA12" s="968"/>
      <c r="XB12" s="968"/>
      <c r="XC12" s="968"/>
      <c r="XD12" s="968"/>
      <c r="XE12" s="968"/>
      <c r="XF12" s="968"/>
      <c r="XG12" s="968"/>
      <c r="XH12" s="968"/>
      <c r="XI12" s="968"/>
      <c r="XJ12" s="968"/>
      <c r="XK12" s="968"/>
      <c r="XL12" s="968"/>
      <c r="XM12" s="968"/>
      <c r="XN12" s="968"/>
      <c r="XO12" s="968"/>
      <c r="XP12" s="968"/>
      <c r="XQ12" s="968"/>
      <c r="XR12" s="968"/>
      <c r="XS12" s="968"/>
      <c r="XT12" s="968"/>
      <c r="XU12" s="968"/>
      <c r="XV12" s="968"/>
      <c r="XW12" s="968"/>
      <c r="XX12" s="968"/>
      <c r="XY12" s="968"/>
      <c r="XZ12" s="968"/>
      <c r="YA12" s="968"/>
      <c r="YB12" s="968"/>
      <c r="YC12" s="968"/>
      <c r="YD12" s="968"/>
      <c r="YE12" s="968"/>
      <c r="YF12" s="968"/>
      <c r="YG12" s="968"/>
      <c r="YH12" s="968"/>
      <c r="YI12" s="968"/>
      <c r="YJ12" s="968"/>
      <c r="YK12" s="968"/>
      <c r="YL12" s="968"/>
      <c r="YM12" s="968"/>
      <c r="YN12" s="968"/>
      <c r="YO12" s="968"/>
      <c r="YP12" s="968"/>
      <c r="YQ12" s="968"/>
      <c r="YR12" s="968"/>
      <c r="YS12" s="968"/>
      <c r="YT12" s="968"/>
      <c r="YU12" s="968"/>
      <c r="YV12" s="968"/>
      <c r="YW12" s="968"/>
      <c r="YX12" s="968"/>
      <c r="YY12" s="968"/>
      <c r="YZ12" s="968"/>
      <c r="ZA12" s="968"/>
      <c r="ZB12" s="968"/>
      <c r="ZC12" s="968"/>
      <c r="ZD12" s="968"/>
      <c r="ZE12" s="968"/>
      <c r="ZF12" s="968"/>
      <c r="ZG12" s="968"/>
      <c r="ZH12" s="968"/>
      <c r="ZI12" s="968"/>
      <c r="ZJ12" s="968"/>
      <c r="ZK12" s="968"/>
      <c r="ZL12" s="968"/>
      <c r="ZM12" s="968"/>
      <c r="ZN12" s="968"/>
      <c r="ZO12" s="968"/>
      <c r="ZP12" s="968"/>
      <c r="ZQ12" s="968"/>
      <c r="ZR12" s="968"/>
      <c r="ZS12" s="968"/>
      <c r="ZT12" s="968"/>
      <c r="ZU12" s="968"/>
      <c r="ZV12" s="968"/>
      <c r="ZW12" s="968"/>
      <c r="ZX12" s="968"/>
      <c r="ZY12" s="968"/>
      <c r="ZZ12" s="968"/>
      <c r="AAA12" s="968"/>
      <c r="AAB12" s="968"/>
      <c r="AAC12" s="968"/>
      <c r="AAD12" s="968"/>
      <c r="AAE12" s="968"/>
      <c r="AAF12" s="968"/>
      <c r="AAG12" s="968"/>
      <c r="AAH12" s="968"/>
      <c r="AAI12" s="968"/>
      <c r="AAJ12" s="968"/>
      <c r="AAK12" s="968"/>
      <c r="AAL12" s="968"/>
      <c r="AAM12" s="968"/>
      <c r="AAN12" s="968"/>
      <c r="AAO12" s="968"/>
      <c r="AAP12" s="968"/>
      <c r="AAQ12" s="968"/>
      <c r="AAR12" s="968"/>
      <c r="AAS12" s="968"/>
      <c r="AAT12" s="968"/>
      <c r="AAU12" s="968"/>
      <c r="AAV12" s="968"/>
      <c r="AAW12" s="968"/>
      <c r="AAX12" s="968"/>
      <c r="AAY12" s="968"/>
      <c r="AAZ12" s="968"/>
      <c r="ABA12" s="968"/>
      <c r="ABB12" s="968"/>
      <c r="ABC12" s="968"/>
      <c r="ABD12" s="968"/>
      <c r="ABE12" s="968"/>
      <c r="ABF12" s="968"/>
      <c r="ABG12" s="968"/>
      <c r="ABH12" s="968"/>
      <c r="ABI12" s="968"/>
      <c r="ABJ12" s="968"/>
      <c r="ABK12" s="968"/>
      <c r="ABL12" s="968"/>
      <c r="ABM12" s="968"/>
      <c r="ABN12" s="968"/>
      <c r="ABO12" s="968"/>
      <c r="ABP12" s="968"/>
      <c r="ABQ12" s="968"/>
      <c r="ABR12" s="968"/>
      <c r="ABS12" s="968"/>
      <c r="ABT12" s="968"/>
      <c r="ABU12" s="968"/>
      <c r="ABV12" s="968"/>
      <c r="ABW12" s="968"/>
      <c r="ABX12" s="968"/>
      <c r="ABY12" s="968"/>
      <c r="ABZ12" s="968"/>
      <c r="ACA12" s="968"/>
      <c r="ACB12" s="968"/>
      <c r="ACC12" s="968"/>
      <c r="ACD12" s="968"/>
      <c r="ACE12" s="968"/>
      <c r="ACF12" s="968"/>
      <c r="ACG12" s="968"/>
      <c r="ACH12" s="968"/>
      <c r="ACI12" s="968"/>
      <c r="ACJ12" s="968"/>
      <c r="ACK12" s="968"/>
      <c r="ACL12" s="968"/>
      <c r="ACM12" s="968"/>
      <c r="ACN12" s="968"/>
      <c r="ACO12" s="968"/>
      <c r="ACP12" s="968"/>
      <c r="ACQ12" s="968"/>
      <c r="ACR12" s="968"/>
      <c r="ACS12" s="968"/>
      <c r="ACT12" s="968"/>
      <c r="ACU12" s="968"/>
      <c r="ACV12" s="968"/>
      <c r="ACW12" s="968"/>
      <c r="ACX12" s="968"/>
      <c r="ACY12" s="968"/>
      <c r="ACZ12" s="968"/>
      <c r="ADA12" s="968"/>
      <c r="ADB12" s="968"/>
      <c r="ADC12" s="968"/>
      <c r="ADD12" s="968"/>
      <c r="ADE12" s="968"/>
      <c r="ADF12" s="968"/>
      <c r="ADG12" s="968"/>
      <c r="ADH12" s="968"/>
      <c r="ADI12" s="968"/>
      <c r="ADJ12" s="968"/>
      <c r="ADK12" s="968"/>
      <c r="ADL12" s="968"/>
      <c r="ADM12" s="968"/>
      <c r="ADN12" s="968"/>
      <c r="ADO12" s="968"/>
      <c r="ADP12" s="968"/>
      <c r="ADQ12" s="968"/>
      <c r="ADR12" s="968"/>
      <c r="ADS12" s="968"/>
      <c r="ADT12" s="968"/>
      <c r="ADU12" s="968"/>
      <c r="ADV12" s="968"/>
      <c r="ADW12" s="968"/>
      <c r="ADX12" s="968"/>
      <c r="ADY12" s="968"/>
      <c r="ADZ12" s="968"/>
      <c r="AEA12" s="968"/>
      <c r="AEB12" s="968"/>
      <c r="AEC12" s="968"/>
      <c r="AED12" s="968"/>
      <c r="AEE12" s="968"/>
      <c r="AEF12" s="968"/>
      <c r="AEG12" s="968"/>
      <c r="AEH12" s="968"/>
      <c r="AEI12" s="968"/>
      <c r="AEJ12" s="968"/>
      <c r="AEK12" s="968"/>
      <c r="AEL12" s="968"/>
      <c r="AEM12" s="968"/>
      <c r="AEN12" s="968"/>
      <c r="AEO12" s="968"/>
      <c r="AEP12" s="968"/>
      <c r="AEQ12" s="968"/>
      <c r="AER12" s="968"/>
      <c r="AES12" s="968"/>
      <c r="AET12" s="968"/>
      <c r="AEU12" s="968"/>
      <c r="AEV12" s="968"/>
      <c r="AEW12" s="968"/>
      <c r="AEX12" s="968"/>
      <c r="AEY12" s="968"/>
      <c r="AEZ12" s="968"/>
      <c r="AFA12" s="968"/>
      <c r="AFB12" s="968"/>
      <c r="AFC12" s="968"/>
      <c r="AFD12" s="968"/>
      <c r="AFE12" s="968"/>
      <c r="AFF12" s="968"/>
      <c r="AFG12" s="968"/>
      <c r="AFH12" s="968"/>
      <c r="AFI12" s="968"/>
      <c r="AFJ12" s="968"/>
      <c r="AFK12" s="968"/>
      <c r="AFL12" s="968"/>
      <c r="AFM12" s="968"/>
      <c r="AFN12" s="968"/>
      <c r="AFO12" s="968"/>
      <c r="AFP12" s="968"/>
      <c r="AFQ12" s="968"/>
      <c r="AFR12" s="968"/>
      <c r="AFS12" s="968"/>
      <c r="AFT12" s="968"/>
      <c r="AFU12" s="968"/>
      <c r="AFV12" s="968"/>
      <c r="AFW12" s="968"/>
      <c r="AFX12" s="968"/>
      <c r="AFY12" s="968"/>
      <c r="AFZ12" s="968"/>
      <c r="AGA12" s="968"/>
      <c r="AGB12" s="968"/>
      <c r="AGC12" s="968"/>
      <c r="AGD12" s="968"/>
      <c r="AGE12" s="968"/>
      <c r="AGF12" s="968"/>
      <c r="AGG12" s="968"/>
      <c r="AGH12" s="968"/>
      <c r="AGI12" s="968"/>
      <c r="AGJ12" s="968"/>
      <c r="AGK12" s="968"/>
      <c r="AGL12" s="968"/>
      <c r="AGM12" s="968"/>
      <c r="AGN12" s="968"/>
      <c r="AGO12" s="968"/>
      <c r="AGP12" s="968"/>
      <c r="AGQ12" s="968"/>
      <c r="AGR12" s="968"/>
      <c r="AGS12" s="968"/>
      <c r="AGT12" s="968"/>
      <c r="AGU12" s="968"/>
      <c r="AGV12" s="968"/>
      <c r="AGW12" s="968"/>
      <c r="AGX12" s="968"/>
      <c r="AGY12" s="968"/>
      <c r="AGZ12" s="968"/>
      <c r="AHA12" s="968"/>
      <c r="AHB12" s="968"/>
      <c r="AHC12" s="968"/>
      <c r="AHD12" s="968"/>
      <c r="AHE12" s="968"/>
      <c r="AHF12" s="968"/>
      <c r="AHG12" s="968"/>
      <c r="AHH12" s="968"/>
      <c r="AHI12" s="968"/>
      <c r="AHJ12" s="968"/>
      <c r="AHK12" s="968"/>
      <c r="AHL12" s="968"/>
      <c r="AHM12" s="968"/>
      <c r="AHN12" s="968"/>
      <c r="AHO12" s="968"/>
      <c r="AHP12" s="968"/>
      <c r="AHQ12" s="968"/>
      <c r="AHR12" s="968"/>
      <c r="AHS12" s="968"/>
      <c r="AHT12" s="968"/>
      <c r="AHU12" s="968"/>
      <c r="AHV12" s="968"/>
      <c r="AHW12" s="968"/>
      <c r="AHX12" s="968"/>
      <c r="AHY12" s="968"/>
      <c r="AHZ12" s="968"/>
      <c r="AIA12" s="968"/>
      <c r="AIB12" s="968"/>
      <c r="AIC12" s="968"/>
      <c r="AID12" s="968"/>
      <c r="AIE12" s="968"/>
      <c r="AIF12" s="968"/>
      <c r="AIG12" s="968"/>
      <c r="AIH12" s="968"/>
      <c r="AII12" s="968"/>
      <c r="AIJ12" s="968"/>
      <c r="AIK12" s="968"/>
      <c r="AIL12" s="968"/>
      <c r="AIM12" s="968"/>
      <c r="AIN12" s="968"/>
      <c r="AIO12" s="968"/>
      <c r="AIP12" s="968"/>
      <c r="AIQ12" s="968"/>
      <c r="AIR12" s="968"/>
      <c r="AIS12" s="968"/>
      <c r="AIT12" s="968"/>
      <c r="AIU12" s="968"/>
      <c r="AIV12" s="968"/>
      <c r="AIW12" s="968"/>
      <c r="AIX12" s="968"/>
      <c r="AIY12" s="968"/>
      <c r="AIZ12" s="968"/>
      <c r="AJA12" s="968"/>
      <c r="AJB12" s="968"/>
      <c r="AJC12" s="968"/>
      <c r="AJD12" s="968"/>
      <c r="AJE12" s="968"/>
      <c r="AJF12" s="968"/>
      <c r="AJG12" s="968"/>
      <c r="AJH12" s="968"/>
      <c r="AJI12" s="968"/>
      <c r="AJJ12" s="968"/>
      <c r="AJK12" s="968"/>
      <c r="AJL12" s="968"/>
      <c r="AJM12" s="968"/>
      <c r="AJN12" s="968"/>
      <c r="AJO12" s="968"/>
      <c r="AJP12" s="968"/>
      <c r="AJQ12" s="968"/>
      <c r="AJR12" s="968"/>
      <c r="AJS12" s="968"/>
      <c r="AJT12" s="968"/>
      <c r="AJU12" s="968"/>
      <c r="AJV12" s="968"/>
      <c r="AJW12" s="968"/>
      <c r="AJX12" s="968"/>
      <c r="AJY12" s="968"/>
      <c r="AJZ12" s="968"/>
      <c r="AKA12" s="968"/>
      <c r="AKB12" s="968"/>
      <c r="AKC12" s="968"/>
      <c r="AKD12" s="968"/>
      <c r="AKE12" s="968"/>
      <c r="AKF12" s="968"/>
      <c r="AKG12" s="968"/>
      <c r="AKH12" s="968"/>
      <c r="AKI12" s="968"/>
      <c r="AKJ12" s="968"/>
      <c r="AKK12" s="968"/>
      <c r="AKL12" s="968"/>
      <c r="AKM12" s="968"/>
      <c r="AKN12" s="968"/>
      <c r="AKO12" s="968"/>
      <c r="AKP12" s="968"/>
      <c r="AKQ12" s="968"/>
      <c r="AKR12" s="968"/>
      <c r="AKS12" s="968"/>
      <c r="AKT12" s="968"/>
      <c r="AKU12" s="968"/>
      <c r="AKV12" s="968"/>
      <c r="AKW12" s="968"/>
      <c r="AKX12" s="968"/>
      <c r="AKY12" s="968"/>
      <c r="AKZ12" s="968"/>
      <c r="ALA12" s="968"/>
      <c r="ALB12" s="968"/>
      <c r="ALC12" s="968"/>
      <c r="ALD12" s="968"/>
      <c r="ALE12" s="968"/>
      <c r="ALF12" s="968"/>
      <c r="ALG12" s="968"/>
      <c r="ALH12" s="968"/>
      <c r="ALI12" s="968"/>
      <c r="ALJ12" s="968"/>
      <c r="ALK12" s="968"/>
      <c r="ALL12" s="968"/>
      <c r="ALM12" s="968"/>
      <c r="ALN12" s="968"/>
      <c r="ALO12" s="968"/>
      <c r="ALP12" s="968"/>
      <c r="ALQ12" s="968"/>
      <c r="ALR12" s="968"/>
      <c r="ALS12" s="968"/>
      <c r="ALT12" s="968"/>
      <c r="ALU12" s="968"/>
      <c r="ALV12" s="968"/>
      <c r="ALW12" s="968"/>
      <c r="ALX12" s="968"/>
      <c r="ALY12" s="968"/>
      <c r="ALZ12" s="968"/>
      <c r="AMA12" s="968"/>
      <c r="AMB12" s="968"/>
      <c r="AMC12" s="968"/>
      <c r="AMD12" s="968"/>
      <c r="AME12" s="968"/>
      <c r="AMF12" s="968"/>
      <c r="AMG12" s="968"/>
      <c r="AMH12" s="968"/>
      <c r="AMI12" s="968"/>
      <c r="AMJ12" s="968"/>
    </row>
    <row r="13" spans="1:1024" ht="35.200000000000003" customHeight="1">
      <c r="A13" s="966" t="str">
        <f>"Le montant total de l'investissement (ensemble des travaux portés par la société, y compris les travaux annexes au photovoltaïques) est de "&amp;TEXT(Installations!AH90,"# ##0")&amp;" euros HT."</f>
        <v>Le montant total de l'investissement (ensemble des travaux portés par la société, y compris les travaux annexes au photovoltaïques) est de 194 497 euros HT.</v>
      </c>
      <c r="B13" s="966"/>
      <c r="C13" s="2"/>
      <c r="D13" s="30" t="s">
        <v>14</v>
      </c>
      <c r="E13" s="31">
        <f>TRUNC(Installations!AH90,0)</f>
        <v>194497</v>
      </c>
      <c r="F13" s="10"/>
    </row>
    <row r="14" spans="1:1024" ht="14.4" customHeight="1">
      <c r="A14" s="966" t="str">
        <f>"Les recettes annuelles générées par la vente d'électricité sont de "&amp;TEXT(Installations!AZ90,"# ##0")&amp;" euros HT / an."</f>
        <v>Les recettes annuelles générées par la vente d'électricité sont de 20 747 euros HT / an.</v>
      </c>
      <c r="B14" s="966"/>
      <c r="C14" s="23"/>
      <c r="D14" s="32" t="s">
        <v>15</v>
      </c>
      <c r="E14" s="33">
        <f>Installations!W90-Installations!T90</f>
        <v>166539.81831999999</v>
      </c>
      <c r="F14" s="10"/>
    </row>
    <row r="15" spans="1:1024">
      <c r="A15" s="966" t="str">
        <f>"Les charges annuelles (assurances, maintenance, etc.) sont de " &amp;TEXT(Ana_eco!M19,"# ##0")&amp;" € HT/an"</f>
        <v>Les charges annuelles (assurances, maintenance, etc.) sont de 5 860 € HT/an</v>
      </c>
      <c r="B15" s="966"/>
      <c r="C15" s="2"/>
      <c r="D15" s="32" t="s">
        <v>16</v>
      </c>
      <c r="E15" s="33">
        <f>Installations!AH90-Installations!W90</f>
        <v>1580</v>
      </c>
      <c r="F15" s="10"/>
    </row>
    <row r="16" spans="1:1024">
      <c r="A16" s="34"/>
      <c r="B16" s="35"/>
      <c r="C16" s="2"/>
      <c r="D16" s="32" t="s">
        <v>17</v>
      </c>
      <c r="E16" s="36">
        <f>Installations!T90</f>
        <v>26377.57</v>
      </c>
      <c r="F16" s="10"/>
    </row>
    <row r="17" spans="1:6">
      <c r="A17" s="34"/>
      <c r="B17" s="35"/>
      <c r="C17" s="2"/>
      <c r="D17" s="30" t="s">
        <v>18</v>
      </c>
      <c r="E17" s="31">
        <f>TRUNC(Installations!AZ90,0)</f>
        <v>20746</v>
      </c>
      <c r="F17" s="10"/>
    </row>
    <row r="18" spans="1:6" ht="15.75" customHeight="1">
      <c r="A18" s="967" t="s">
        <v>19</v>
      </c>
      <c r="B18" s="967"/>
      <c r="C18" s="2"/>
      <c r="D18" s="30" t="s">
        <v>20</v>
      </c>
      <c r="E18" s="31">
        <f>Ana_eco!M19</f>
        <v>5859.8302052034487</v>
      </c>
      <c r="F18" s="10"/>
    </row>
    <row r="19" spans="1:6" ht="15.05" customHeight="1">
      <c r="A19" s="966" t="s">
        <v>21</v>
      </c>
      <c r="B19" s="966"/>
      <c r="C19" s="2"/>
      <c r="D19" s="2"/>
      <c r="E19" s="37"/>
      <c r="F19" s="10"/>
    </row>
    <row r="20" spans="1:6">
      <c r="A20" s="38">
        <f ca="1">Ana_eco!D37</f>
        <v>0.75902476889496984</v>
      </c>
      <c r="B20" s="35" t="str">
        <f>" de l'investisement soit un apport de "&amp;TEXT(fonds_propres,"# ##0")&amp;" euros"</f>
        <v xml:space="preserve"> de l'investisement soit un apport de 153 000 euros</v>
      </c>
      <c r="C20" s="2"/>
      <c r="D20" s="30" t="s">
        <v>22</v>
      </c>
      <c r="E20" s="36">
        <f>fonds_propres</f>
        <v>153000</v>
      </c>
      <c r="F20" s="10"/>
    </row>
    <row r="21" spans="1:6">
      <c r="A21" s="966" t="str">
        <f>"Un apport en compte-courants d'associés est également envisagé à hauteur de "&amp;TEXT(Ana_eco!I38,"# ##0")&amp;" euros."</f>
        <v>Un apport en compte-courants d'associés est également envisagé à hauteur de 0 euros.</v>
      </c>
      <c r="B21" s="966"/>
      <c r="C21" s="23"/>
      <c r="D21" s="30" t="s">
        <v>23</v>
      </c>
      <c r="E21" s="36">
        <f>Ana_eco!I38</f>
        <v>0</v>
      </c>
      <c r="F21" s="10"/>
    </row>
    <row r="22" spans="1:6">
      <c r="A22" s="966" t="str">
        <f ca="1">"L'apport en dette bancaire prévu est ainsi de "&amp;TEXT(Ana_eco!B49,"# ##0")&amp;" euros sur une durée de "&amp;Ana_eco!D42&amp;" ans."</f>
        <v>L'apport en dette bancaire prévu est ainsi de 54 931 euros sur une durée de 8 ans.</v>
      </c>
      <c r="B22" s="966"/>
      <c r="C22" s="2"/>
      <c r="D22" s="30" t="s">
        <v>24</v>
      </c>
      <c r="E22" s="36">
        <f ca="1">dette</f>
        <v>54930.683057099988</v>
      </c>
      <c r="F22" s="10"/>
    </row>
    <row r="23" spans="1:6">
      <c r="A23" s="966"/>
      <c r="B23" s="966"/>
      <c r="C23" s="2"/>
      <c r="D23" s="2"/>
      <c r="F23" s="10"/>
    </row>
    <row r="24" spans="1:6" ht="15.75" customHeight="1">
      <c r="A24" s="967" t="s">
        <v>25</v>
      </c>
      <c r="B24" s="967"/>
      <c r="C24" s="2"/>
      <c r="D24" s="2"/>
      <c r="F24" s="10"/>
    </row>
    <row r="25" spans="1:6">
      <c r="A25" s="39" t="s">
        <v>26</v>
      </c>
      <c r="B25" s="2"/>
      <c r="C25" s="2"/>
      <c r="D25" s="30" t="s">
        <v>27</v>
      </c>
      <c r="E25" s="40">
        <f ca="1">Ana_eco!M64</f>
        <v>4.6184280680860335E-2</v>
      </c>
      <c r="F25" s="10"/>
    </row>
    <row r="26" spans="1:6">
      <c r="A26" s="41">
        <f ca="1">Ana_eco!M65</f>
        <v>1.6659837379236517E-2</v>
      </c>
      <c r="B26" s="2" t="s">
        <v>28</v>
      </c>
      <c r="C26" s="2"/>
      <c r="D26" s="30" t="s">
        <v>29</v>
      </c>
      <c r="E26" s="42">
        <f ca="1">Ana_eco!M63</f>
        <v>4.6459598584219775E-2</v>
      </c>
      <c r="F26" s="10"/>
    </row>
    <row r="27" spans="1:6">
      <c r="A27" s="43"/>
      <c r="B27" s="44"/>
      <c r="C27" s="44"/>
      <c r="D27" s="44"/>
      <c r="E27" s="45"/>
      <c r="F27" s="46"/>
    </row>
    <row r="30" spans="1:6">
      <c r="A30" s="47"/>
      <c r="B30" s="48" t="s">
        <v>30</v>
      </c>
    </row>
  </sheetData>
  <mergeCells count="527">
    <mergeCell ref="A3:B3"/>
    <mergeCell ref="D3:E3"/>
    <mergeCell ref="A6:B6"/>
    <mergeCell ref="A7:B7"/>
    <mergeCell ref="A9:B9"/>
    <mergeCell ref="A10:B10"/>
    <mergeCell ref="A11:B11"/>
    <mergeCell ref="A12:B12"/>
    <mergeCell ref="E12:F12"/>
    <mergeCell ref="G12:H12"/>
    <mergeCell ref="I12:J12"/>
    <mergeCell ref="K12:L12"/>
    <mergeCell ref="M12:N12"/>
    <mergeCell ref="O12:P12"/>
    <mergeCell ref="Q12:R12"/>
    <mergeCell ref="S12:T12"/>
    <mergeCell ref="U12:V12"/>
    <mergeCell ref="W12:X12"/>
    <mergeCell ref="Y12:Z12"/>
    <mergeCell ref="AA12:AB12"/>
    <mergeCell ref="AC12:AD12"/>
    <mergeCell ref="AE12:AF12"/>
    <mergeCell ref="AG12:AH12"/>
    <mergeCell ref="AI12:AJ12"/>
    <mergeCell ref="AK12:AL12"/>
    <mergeCell ref="AM12:AN12"/>
    <mergeCell ref="AO12:AP12"/>
    <mergeCell ref="AQ12:AR12"/>
    <mergeCell ref="AS12:AT12"/>
    <mergeCell ref="AU12:AV12"/>
    <mergeCell ref="AW12:AX12"/>
    <mergeCell ref="AY12:AZ12"/>
    <mergeCell ref="BA12:BB12"/>
    <mergeCell ref="BC12:BD12"/>
    <mergeCell ref="BE12:BF12"/>
    <mergeCell ref="BG12:BH12"/>
    <mergeCell ref="BI12:BJ12"/>
    <mergeCell ref="BK12:BL12"/>
    <mergeCell ref="BM12:BN12"/>
    <mergeCell ref="BO12:BP12"/>
    <mergeCell ref="BQ12:BR12"/>
    <mergeCell ref="BS12:BT12"/>
    <mergeCell ref="BU12:BV12"/>
    <mergeCell ref="BW12:BX12"/>
    <mergeCell ref="BY12:BZ12"/>
    <mergeCell ref="CA12:CB12"/>
    <mergeCell ref="CC12:CD12"/>
    <mergeCell ref="CE12:CF12"/>
    <mergeCell ref="CG12:CH12"/>
    <mergeCell ref="CI12:CJ12"/>
    <mergeCell ref="CK12:CL12"/>
    <mergeCell ref="CM12:CN12"/>
    <mergeCell ref="CO12:CP12"/>
    <mergeCell ref="CQ12:CR12"/>
    <mergeCell ref="CS12:CT12"/>
    <mergeCell ref="CU12:CV12"/>
    <mergeCell ref="CW12:CX12"/>
    <mergeCell ref="CY12:CZ12"/>
    <mergeCell ref="DA12:DB12"/>
    <mergeCell ref="DC12:DD12"/>
    <mergeCell ref="DE12:DF12"/>
    <mergeCell ref="DG12:DH12"/>
    <mergeCell ref="DI12:DJ12"/>
    <mergeCell ref="DK12:DL12"/>
    <mergeCell ref="DM12:DN12"/>
    <mergeCell ref="DO12:DP12"/>
    <mergeCell ref="DQ12:DR12"/>
    <mergeCell ref="DS12:DT12"/>
    <mergeCell ref="DU12:DV12"/>
    <mergeCell ref="DW12:DX12"/>
    <mergeCell ref="DY12:DZ12"/>
    <mergeCell ref="EA12:EB12"/>
    <mergeCell ref="EC12:ED12"/>
    <mergeCell ref="EE12:EF12"/>
    <mergeCell ref="EG12:EH12"/>
    <mergeCell ref="EI12:EJ12"/>
    <mergeCell ref="EK12:EL12"/>
    <mergeCell ref="EM12:EN12"/>
    <mergeCell ref="EO12:EP12"/>
    <mergeCell ref="EQ12:ER12"/>
    <mergeCell ref="ES12:ET12"/>
    <mergeCell ref="EU12:EV12"/>
    <mergeCell ref="EW12:EX12"/>
    <mergeCell ref="EY12:EZ12"/>
    <mergeCell ref="FA12:FB12"/>
    <mergeCell ref="FC12:FD12"/>
    <mergeCell ref="FE12:FF12"/>
    <mergeCell ref="FG12:FH12"/>
    <mergeCell ref="FI12:FJ12"/>
    <mergeCell ref="FK12:FL12"/>
    <mergeCell ref="FM12:FN12"/>
    <mergeCell ref="FO12:FP12"/>
    <mergeCell ref="FQ12:FR12"/>
    <mergeCell ref="FS12:FT12"/>
    <mergeCell ref="FU12:FV12"/>
    <mergeCell ref="FW12:FX12"/>
    <mergeCell ref="FY12:FZ12"/>
    <mergeCell ref="GA12:GB12"/>
    <mergeCell ref="GC12:GD12"/>
    <mergeCell ref="GE12:GF12"/>
    <mergeCell ref="GG12:GH12"/>
    <mergeCell ref="GI12:GJ12"/>
    <mergeCell ref="GK12:GL12"/>
    <mergeCell ref="GM12:GN12"/>
    <mergeCell ref="GO12:GP12"/>
    <mergeCell ref="GQ12:GR12"/>
    <mergeCell ref="GS12:GT12"/>
    <mergeCell ref="GU12:GV12"/>
    <mergeCell ref="GW12:GX12"/>
    <mergeCell ref="GY12:GZ12"/>
    <mergeCell ref="HA12:HB12"/>
    <mergeCell ref="HC12:HD12"/>
    <mergeCell ref="HE12:HF12"/>
    <mergeCell ref="HG12:HH12"/>
    <mergeCell ref="HI12:HJ12"/>
    <mergeCell ref="HK12:HL12"/>
    <mergeCell ref="HM12:HN12"/>
    <mergeCell ref="HO12:HP12"/>
    <mergeCell ref="HQ12:HR12"/>
    <mergeCell ref="HS12:HT12"/>
    <mergeCell ref="HU12:HV12"/>
    <mergeCell ref="HW12:HX12"/>
    <mergeCell ref="HY12:HZ12"/>
    <mergeCell ref="IA12:IB12"/>
    <mergeCell ref="IC12:ID12"/>
    <mergeCell ref="IE12:IF12"/>
    <mergeCell ref="IG12:IH12"/>
    <mergeCell ref="II12:IJ12"/>
    <mergeCell ref="IK12:IL12"/>
    <mergeCell ref="IM12:IN12"/>
    <mergeCell ref="IO12:IP12"/>
    <mergeCell ref="IQ12:IR12"/>
    <mergeCell ref="IS12:IT12"/>
    <mergeCell ref="IU12:IV12"/>
    <mergeCell ref="IW12:IX12"/>
    <mergeCell ref="IY12:IZ12"/>
    <mergeCell ref="JA12:JB12"/>
    <mergeCell ref="JC12:JD12"/>
    <mergeCell ref="JE12:JF12"/>
    <mergeCell ref="JG12:JH12"/>
    <mergeCell ref="JI12:JJ12"/>
    <mergeCell ref="JK12:JL12"/>
    <mergeCell ref="JM12:JN12"/>
    <mergeCell ref="JO12:JP12"/>
    <mergeCell ref="JQ12:JR12"/>
    <mergeCell ref="JS12:JT12"/>
    <mergeCell ref="JU12:JV12"/>
    <mergeCell ref="JW12:JX12"/>
    <mergeCell ref="JY12:JZ12"/>
    <mergeCell ref="KA12:KB12"/>
    <mergeCell ref="KC12:KD12"/>
    <mergeCell ref="KE12:KF12"/>
    <mergeCell ref="KG12:KH12"/>
    <mergeCell ref="KI12:KJ12"/>
    <mergeCell ref="KK12:KL12"/>
    <mergeCell ref="KM12:KN12"/>
    <mergeCell ref="KO12:KP12"/>
    <mergeCell ref="KQ12:KR12"/>
    <mergeCell ref="KS12:KT12"/>
    <mergeCell ref="KU12:KV12"/>
    <mergeCell ref="KW12:KX12"/>
    <mergeCell ref="KY12:KZ12"/>
    <mergeCell ref="LA12:LB12"/>
    <mergeCell ref="LC12:LD12"/>
    <mergeCell ref="LE12:LF12"/>
    <mergeCell ref="LG12:LH12"/>
    <mergeCell ref="LI12:LJ12"/>
    <mergeCell ref="LK12:LL12"/>
    <mergeCell ref="LM12:LN12"/>
    <mergeCell ref="LO12:LP12"/>
    <mergeCell ref="LQ12:LR12"/>
    <mergeCell ref="LS12:LT12"/>
    <mergeCell ref="LU12:LV12"/>
    <mergeCell ref="LW12:LX12"/>
    <mergeCell ref="LY12:LZ12"/>
    <mergeCell ref="MA12:MB12"/>
    <mergeCell ref="MC12:MD12"/>
    <mergeCell ref="ME12:MF12"/>
    <mergeCell ref="MG12:MH12"/>
    <mergeCell ref="MI12:MJ12"/>
    <mergeCell ref="MK12:ML12"/>
    <mergeCell ref="MM12:MN12"/>
    <mergeCell ref="MO12:MP12"/>
    <mergeCell ref="MQ12:MR12"/>
    <mergeCell ref="MS12:MT12"/>
    <mergeCell ref="MU12:MV12"/>
    <mergeCell ref="MW12:MX12"/>
    <mergeCell ref="MY12:MZ12"/>
    <mergeCell ref="NA12:NB12"/>
    <mergeCell ref="NC12:ND12"/>
    <mergeCell ref="NE12:NF12"/>
    <mergeCell ref="NG12:NH12"/>
    <mergeCell ref="NI12:NJ12"/>
    <mergeCell ref="NK12:NL12"/>
    <mergeCell ref="NM12:NN12"/>
    <mergeCell ref="NO12:NP12"/>
    <mergeCell ref="NQ12:NR12"/>
    <mergeCell ref="NS12:NT12"/>
    <mergeCell ref="NU12:NV12"/>
    <mergeCell ref="NW12:NX12"/>
    <mergeCell ref="NY12:NZ12"/>
    <mergeCell ref="OA12:OB12"/>
    <mergeCell ref="OC12:OD12"/>
    <mergeCell ref="OE12:OF12"/>
    <mergeCell ref="OG12:OH12"/>
    <mergeCell ref="OI12:OJ12"/>
    <mergeCell ref="OK12:OL12"/>
    <mergeCell ref="OM12:ON12"/>
    <mergeCell ref="OO12:OP12"/>
    <mergeCell ref="OQ12:OR12"/>
    <mergeCell ref="OS12:OT12"/>
    <mergeCell ref="OU12:OV12"/>
    <mergeCell ref="OW12:OX12"/>
    <mergeCell ref="OY12:OZ12"/>
    <mergeCell ref="PA12:PB12"/>
    <mergeCell ref="PC12:PD12"/>
    <mergeCell ref="PE12:PF12"/>
    <mergeCell ref="PG12:PH12"/>
    <mergeCell ref="PI12:PJ12"/>
    <mergeCell ref="PK12:PL12"/>
    <mergeCell ref="PM12:PN12"/>
    <mergeCell ref="PO12:PP12"/>
    <mergeCell ref="PQ12:PR12"/>
    <mergeCell ref="PS12:PT12"/>
    <mergeCell ref="PU12:PV12"/>
    <mergeCell ref="PW12:PX12"/>
    <mergeCell ref="PY12:PZ12"/>
    <mergeCell ref="QA12:QB12"/>
    <mergeCell ref="QC12:QD12"/>
    <mergeCell ref="QE12:QF12"/>
    <mergeCell ref="QG12:QH12"/>
    <mergeCell ref="QI12:QJ12"/>
    <mergeCell ref="QK12:QL12"/>
    <mergeCell ref="QM12:QN12"/>
    <mergeCell ref="QO12:QP12"/>
    <mergeCell ref="QQ12:QR12"/>
    <mergeCell ref="QS12:QT12"/>
    <mergeCell ref="QU12:QV12"/>
    <mergeCell ref="QW12:QX12"/>
    <mergeCell ref="QY12:QZ12"/>
    <mergeCell ref="RA12:RB12"/>
    <mergeCell ref="RC12:RD12"/>
    <mergeCell ref="RE12:RF12"/>
    <mergeCell ref="RG12:RH12"/>
    <mergeCell ref="RI12:RJ12"/>
    <mergeCell ref="RK12:RL12"/>
    <mergeCell ref="RM12:RN12"/>
    <mergeCell ref="RO12:RP12"/>
    <mergeCell ref="RQ12:RR12"/>
    <mergeCell ref="RS12:RT12"/>
    <mergeCell ref="RU12:RV12"/>
    <mergeCell ref="RW12:RX12"/>
    <mergeCell ref="RY12:RZ12"/>
    <mergeCell ref="SA12:SB12"/>
    <mergeCell ref="SC12:SD12"/>
    <mergeCell ref="SE12:SF12"/>
    <mergeCell ref="SG12:SH12"/>
    <mergeCell ref="SI12:SJ12"/>
    <mergeCell ref="SK12:SL12"/>
    <mergeCell ref="SM12:SN12"/>
    <mergeCell ref="SO12:SP12"/>
    <mergeCell ref="SQ12:SR12"/>
    <mergeCell ref="SS12:ST12"/>
    <mergeCell ref="SU12:SV12"/>
    <mergeCell ref="SW12:SX12"/>
    <mergeCell ref="SY12:SZ12"/>
    <mergeCell ref="TA12:TB12"/>
    <mergeCell ref="TC12:TD12"/>
    <mergeCell ref="TE12:TF12"/>
    <mergeCell ref="TG12:TH12"/>
    <mergeCell ref="TI12:TJ12"/>
    <mergeCell ref="TK12:TL12"/>
    <mergeCell ref="TM12:TN12"/>
    <mergeCell ref="TO12:TP12"/>
    <mergeCell ref="TQ12:TR12"/>
    <mergeCell ref="TS12:TT12"/>
    <mergeCell ref="TU12:TV12"/>
    <mergeCell ref="TW12:TX12"/>
    <mergeCell ref="TY12:TZ12"/>
    <mergeCell ref="UA12:UB12"/>
    <mergeCell ref="UC12:UD12"/>
    <mergeCell ref="UE12:UF12"/>
    <mergeCell ref="UG12:UH12"/>
    <mergeCell ref="UI12:UJ12"/>
    <mergeCell ref="UK12:UL12"/>
    <mergeCell ref="UM12:UN12"/>
    <mergeCell ref="UO12:UP12"/>
    <mergeCell ref="UQ12:UR12"/>
    <mergeCell ref="US12:UT12"/>
    <mergeCell ref="UU12:UV12"/>
    <mergeCell ref="UW12:UX12"/>
    <mergeCell ref="UY12:UZ12"/>
    <mergeCell ref="VA12:VB12"/>
    <mergeCell ref="VC12:VD12"/>
    <mergeCell ref="VE12:VF12"/>
    <mergeCell ref="VG12:VH12"/>
    <mergeCell ref="VI12:VJ12"/>
    <mergeCell ref="VK12:VL12"/>
    <mergeCell ref="VM12:VN12"/>
    <mergeCell ref="VO12:VP12"/>
    <mergeCell ref="VQ12:VR12"/>
    <mergeCell ref="VS12:VT12"/>
    <mergeCell ref="VU12:VV12"/>
    <mergeCell ref="VW12:VX12"/>
    <mergeCell ref="VY12:VZ12"/>
    <mergeCell ref="WA12:WB12"/>
    <mergeCell ref="WC12:WD12"/>
    <mergeCell ref="WE12:WF12"/>
    <mergeCell ref="WG12:WH12"/>
    <mergeCell ref="WI12:WJ12"/>
    <mergeCell ref="WK12:WL12"/>
    <mergeCell ref="WM12:WN12"/>
    <mergeCell ref="WO12:WP12"/>
    <mergeCell ref="WQ12:WR12"/>
    <mergeCell ref="WS12:WT12"/>
    <mergeCell ref="WU12:WV12"/>
    <mergeCell ref="WW12:WX12"/>
    <mergeCell ref="WY12:WZ12"/>
    <mergeCell ref="XA12:XB12"/>
    <mergeCell ref="XC12:XD12"/>
    <mergeCell ref="XE12:XF12"/>
    <mergeCell ref="XG12:XH12"/>
    <mergeCell ref="XI12:XJ12"/>
    <mergeCell ref="XK12:XL12"/>
    <mergeCell ref="XM12:XN12"/>
    <mergeCell ref="XO12:XP12"/>
    <mergeCell ref="XQ12:XR12"/>
    <mergeCell ref="XS12:XT12"/>
    <mergeCell ref="XU12:XV12"/>
    <mergeCell ref="XW12:XX12"/>
    <mergeCell ref="XY12:XZ12"/>
    <mergeCell ref="YA12:YB12"/>
    <mergeCell ref="YC12:YD12"/>
    <mergeCell ref="YE12:YF12"/>
    <mergeCell ref="YG12:YH12"/>
    <mergeCell ref="YI12:YJ12"/>
    <mergeCell ref="YK12:YL12"/>
    <mergeCell ref="YM12:YN12"/>
    <mergeCell ref="YO12:YP12"/>
    <mergeCell ref="YQ12:YR12"/>
    <mergeCell ref="YS12:YT12"/>
    <mergeCell ref="YU12:YV12"/>
    <mergeCell ref="YW12:YX12"/>
    <mergeCell ref="YY12:YZ12"/>
    <mergeCell ref="ZA12:ZB12"/>
    <mergeCell ref="ZC12:ZD12"/>
    <mergeCell ref="ZE12:ZF12"/>
    <mergeCell ref="ZG12:ZH12"/>
    <mergeCell ref="ZI12:ZJ12"/>
    <mergeCell ref="ZK12:ZL12"/>
    <mergeCell ref="ZM12:ZN12"/>
    <mergeCell ref="ZO12:ZP12"/>
    <mergeCell ref="ZQ12:ZR12"/>
    <mergeCell ref="ZS12:ZT12"/>
    <mergeCell ref="ZU12:ZV12"/>
    <mergeCell ref="ZW12:ZX12"/>
    <mergeCell ref="ZY12:ZZ12"/>
    <mergeCell ref="AAA12:AAB12"/>
    <mergeCell ref="AAC12:AAD12"/>
    <mergeCell ref="AAE12:AAF12"/>
    <mergeCell ref="AAG12:AAH12"/>
    <mergeCell ref="AAI12:AAJ12"/>
    <mergeCell ref="AAK12:AAL12"/>
    <mergeCell ref="AAM12:AAN12"/>
    <mergeCell ref="AAO12:AAP12"/>
    <mergeCell ref="AAQ12:AAR12"/>
    <mergeCell ref="AAS12:AAT12"/>
    <mergeCell ref="AAU12:AAV12"/>
    <mergeCell ref="AAW12:AAX12"/>
    <mergeCell ref="AAY12:AAZ12"/>
    <mergeCell ref="ABA12:ABB12"/>
    <mergeCell ref="ABC12:ABD12"/>
    <mergeCell ref="ABE12:ABF12"/>
    <mergeCell ref="ABG12:ABH12"/>
    <mergeCell ref="ABI12:ABJ12"/>
    <mergeCell ref="ABK12:ABL12"/>
    <mergeCell ref="ABM12:ABN12"/>
    <mergeCell ref="ABO12:ABP12"/>
    <mergeCell ref="ABQ12:ABR12"/>
    <mergeCell ref="ABS12:ABT12"/>
    <mergeCell ref="ABU12:ABV12"/>
    <mergeCell ref="ABW12:ABX12"/>
    <mergeCell ref="ABY12:ABZ12"/>
    <mergeCell ref="ACA12:ACB12"/>
    <mergeCell ref="ACC12:ACD12"/>
    <mergeCell ref="ACE12:ACF12"/>
    <mergeCell ref="ACG12:ACH12"/>
    <mergeCell ref="ACI12:ACJ12"/>
    <mergeCell ref="ACK12:ACL12"/>
    <mergeCell ref="ACM12:ACN12"/>
    <mergeCell ref="ACO12:ACP12"/>
    <mergeCell ref="ACQ12:ACR12"/>
    <mergeCell ref="ACS12:ACT12"/>
    <mergeCell ref="ACU12:ACV12"/>
    <mergeCell ref="ACW12:ACX12"/>
    <mergeCell ref="ACY12:ACZ12"/>
    <mergeCell ref="ADA12:ADB12"/>
    <mergeCell ref="ADC12:ADD12"/>
    <mergeCell ref="ADE12:ADF12"/>
    <mergeCell ref="ADG12:ADH12"/>
    <mergeCell ref="ADI12:ADJ12"/>
    <mergeCell ref="ADK12:ADL12"/>
    <mergeCell ref="ADM12:ADN12"/>
    <mergeCell ref="ADO12:ADP12"/>
    <mergeCell ref="ADQ12:ADR12"/>
    <mergeCell ref="ADS12:ADT12"/>
    <mergeCell ref="ADU12:ADV12"/>
    <mergeCell ref="ADW12:ADX12"/>
    <mergeCell ref="ADY12:ADZ12"/>
    <mergeCell ref="AEA12:AEB12"/>
    <mergeCell ref="AEC12:AED12"/>
    <mergeCell ref="AEE12:AEF12"/>
    <mergeCell ref="AEG12:AEH12"/>
    <mergeCell ref="AEI12:AEJ12"/>
    <mergeCell ref="AEK12:AEL12"/>
    <mergeCell ref="AEM12:AEN12"/>
    <mergeCell ref="AEO12:AEP12"/>
    <mergeCell ref="AEQ12:AER12"/>
    <mergeCell ref="AES12:AET12"/>
    <mergeCell ref="AEU12:AEV12"/>
    <mergeCell ref="AEW12:AEX12"/>
    <mergeCell ref="AEY12:AEZ12"/>
    <mergeCell ref="AFA12:AFB12"/>
    <mergeCell ref="AFC12:AFD12"/>
    <mergeCell ref="AFE12:AFF12"/>
    <mergeCell ref="AFG12:AFH12"/>
    <mergeCell ref="AFI12:AFJ12"/>
    <mergeCell ref="AFK12:AFL12"/>
    <mergeCell ref="AFM12:AFN12"/>
    <mergeCell ref="AFO12:AFP12"/>
    <mergeCell ref="AFQ12:AFR12"/>
    <mergeCell ref="AFS12:AFT12"/>
    <mergeCell ref="AFU12:AFV12"/>
    <mergeCell ref="AFW12:AFX12"/>
    <mergeCell ref="AFY12:AFZ12"/>
    <mergeCell ref="AGA12:AGB12"/>
    <mergeCell ref="AGC12:AGD12"/>
    <mergeCell ref="AGE12:AGF12"/>
    <mergeCell ref="AGG12:AGH12"/>
    <mergeCell ref="AGI12:AGJ12"/>
    <mergeCell ref="AGK12:AGL12"/>
    <mergeCell ref="AGM12:AGN12"/>
    <mergeCell ref="AGO12:AGP12"/>
    <mergeCell ref="AGQ12:AGR12"/>
    <mergeCell ref="AGS12:AGT12"/>
    <mergeCell ref="AGU12:AGV12"/>
    <mergeCell ref="AGW12:AGX12"/>
    <mergeCell ref="AGY12:AGZ12"/>
    <mergeCell ref="AHA12:AHB12"/>
    <mergeCell ref="AHC12:AHD12"/>
    <mergeCell ref="AHE12:AHF12"/>
    <mergeCell ref="AHG12:AHH12"/>
    <mergeCell ref="AHI12:AHJ12"/>
    <mergeCell ref="AHK12:AHL12"/>
    <mergeCell ref="AHM12:AHN12"/>
    <mergeCell ref="AHO12:AHP12"/>
    <mergeCell ref="AHQ12:AHR12"/>
    <mergeCell ref="AHS12:AHT12"/>
    <mergeCell ref="AHU12:AHV12"/>
    <mergeCell ref="AHW12:AHX12"/>
    <mergeCell ref="AHY12:AHZ12"/>
    <mergeCell ref="AIA12:AIB12"/>
    <mergeCell ref="AIC12:AID12"/>
    <mergeCell ref="AIE12:AIF12"/>
    <mergeCell ref="AIG12:AIH12"/>
    <mergeCell ref="AII12:AIJ12"/>
    <mergeCell ref="AIK12:AIL12"/>
    <mergeCell ref="AIM12:AIN12"/>
    <mergeCell ref="AJU12:AJV12"/>
    <mergeCell ref="AJW12:AJX12"/>
    <mergeCell ref="AIO12:AIP12"/>
    <mergeCell ref="AIQ12:AIR12"/>
    <mergeCell ref="AIS12:AIT12"/>
    <mergeCell ref="AIU12:AIV12"/>
    <mergeCell ref="AIW12:AIX12"/>
    <mergeCell ref="AIY12:AIZ12"/>
    <mergeCell ref="AJA12:AJB12"/>
    <mergeCell ref="AJC12:AJD12"/>
    <mergeCell ref="AJE12:AJF12"/>
    <mergeCell ref="AMI12:AMJ12"/>
    <mergeCell ref="A13:B13"/>
    <mergeCell ref="A14:B14"/>
    <mergeCell ref="A15:B15"/>
    <mergeCell ref="A18:B18"/>
    <mergeCell ref="ALI12:ALJ12"/>
    <mergeCell ref="ALK12:ALL12"/>
    <mergeCell ref="ALM12:ALN12"/>
    <mergeCell ref="ALO12:ALP12"/>
    <mergeCell ref="ALQ12:ALR12"/>
    <mergeCell ref="ALS12:ALT12"/>
    <mergeCell ref="ALU12:ALV12"/>
    <mergeCell ref="ALW12:ALX12"/>
    <mergeCell ref="ALY12:ALZ12"/>
    <mergeCell ref="AKQ12:AKR12"/>
    <mergeCell ref="AKS12:AKT12"/>
    <mergeCell ref="AKU12:AKV12"/>
    <mergeCell ref="AKW12:AKX12"/>
    <mergeCell ref="AKY12:AKZ12"/>
    <mergeCell ref="ALA12:ALB12"/>
    <mergeCell ref="ALC12:ALD12"/>
    <mergeCell ref="ALE12:ALF12"/>
    <mergeCell ref="ALG12:ALH12"/>
    <mergeCell ref="AJY12:AJZ12"/>
    <mergeCell ref="A19:B19"/>
    <mergeCell ref="A21:B21"/>
    <mergeCell ref="A22:B22"/>
    <mergeCell ref="A23:B23"/>
    <mergeCell ref="A24:B24"/>
    <mergeCell ref="AMA12:AMB12"/>
    <mergeCell ref="AMC12:AMD12"/>
    <mergeCell ref="AME12:AMF12"/>
    <mergeCell ref="AMG12:AMH12"/>
    <mergeCell ref="AKA12:AKB12"/>
    <mergeCell ref="AKC12:AKD12"/>
    <mergeCell ref="AKE12:AKF12"/>
    <mergeCell ref="AKG12:AKH12"/>
    <mergeCell ref="AKI12:AKJ12"/>
    <mergeCell ref="AKK12:AKL12"/>
    <mergeCell ref="AKM12:AKN12"/>
    <mergeCell ref="AKO12:AKP12"/>
    <mergeCell ref="AJG12:AJH12"/>
    <mergeCell ref="AJI12:AJJ12"/>
    <mergeCell ref="AJK12:AJL12"/>
    <mergeCell ref="AJM12:AJN12"/>
    <mergeCell ref="AJO12:AJP12"/>
    <mergeCell ref="AJQ12:AJR12"/>
    <mergeCell ref="AJS12:AJT12"/>
  </mergeCells>
  <hyperlinks>
    <hyperlink ref="H1" location="Aide!A2" display="AIDE"/>
  </hyperlinks>
  <printOptions gridLines="1"/>
  <pageMargins left="0.31527777777777799" right="0.31527777777777799" top="0.55138888888888904" bottom="0.55138888888888904" header="0.51180555555555496" footer="0.51180555555555496"/>
  <pageSetup paperSize="9" firstPageNumber="0" orientation="landscape" horizontalDpi="300" verticalDpi="300"/>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v>375</v>
      </c>
      <c r="J1" s="17" t="s">
        <v>494</v>
      </c>
      <c r="K1" s="17" t="s">
        <v>495</v>
      </c>
      <c r="L1" s="58">
        <f>A4*I1</f>
        <v>111375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297</v>
      </c>
      <c r="B4" s="413" t="s">
        <v>505</v>
      </c>
      <c r="C4" s="415" t="s">
        <v>815</v>
      </c>
      <c r="D4" s="414"/>
      <c r="E4" s="415" t="s">
        <v>816</v>
      </c>
      <c r="F4" s="416">
        <v>130</v>
      </c>
      <c r="G4" s="410"/>
      <c r="H4" s="409">
        <f t="shared" ref="H4:H9" si="0">F4*(1-G4)</f>
        <v>130</v>
      </c>
      <c r="I4" s="409">
        <f t="shared" ref="I4:I9" si="1">A4*H4</f>
        <v>38610</v>
      </c>
      <c r="J4" s="417">
        <f>F4/$I$1</f>
        <v>0.34666666666666668</v>
      </c>
      <c r="K4" s="403" t="s">
        <v>780</v>
      </c>
      <c r="M4" s="418">
        <f>I4</f>
        <v>38610</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297</v>
      </c>
      <c r="B6" s="413" t="s">
        <v>505</v>
      </c>
      <c r="C6" s="413" t="s">
        <v>781</v>
      </c>
      <c r="D6" s="413"/>
      <c r="E6" s="420" t="s">
        <v>782</v>
      </c>
      <c r="F6" s="421">
        <f>11607*1.036/A6</f>
        <v>40.487717171717172</v>
      </c>
      <c r="G6" s="422"/>
      <c r="H6" s="416">
        <f t="shared" si="0"/>
        <v>40.487717171717172</v>
      </c>
      <c r="I6" s="409">
        <f t="shared" si="1"/>
        <v>12024.852000000001</v>
      </c>
      <c r="J6" s="417">
        <f>F6/$I$1</f>
        <v>0.10796724579124579</v>
      </c>
      <c r="K6" s="417"/>
      <c r="L6" s="204"/>
      <c r="M6" s="418">
        <f>I6</f>
        <v>12024.852000000001</v>
      </c>
      <c r="N6" s="418"/>
      <c r="O6" s="418"/>
      <c r="P6" s="418"/>
      <c r="Q6" s="418"/>
      <c r="R6" s="418"/>
      <c r="S6" s="418"/>
    </row>
    <row r="7" spans="1:19" ht="44.55">
      <c r="A7" s="423">
        <v>2</v>
      </c>
      <c r="B7" s="423" t="s">
        <v>522</v>
      </c>
      <c r="C7" s="420" t="s">
        <v>742</v>
      </c>
      <c r="D7" s="413"/>
      <c r="E7" s="415" t="s">
        <v>745</v>
      </c>
      <c r="F7" s="416">
        <v>3572.58</v>
      </c>
      <c r="G7" s="422"/>
      <c r="H7" s="421">
        <f t="shared" si="0"/>
        <v>3572.58</v>
      </c>
      <c r="I7" s="409">
        <f t="shared" si="1"/>
        <v>7145.16</v>
      </c>
      <c r="J7" s="204"/>
      <c r="M7" s="418"/>
      <c r="N7" s="418">
        <f t="shared" ref="N7:N9" si="2">I7</f>
        <v>7145.16</v>
      </c>
      <c r="O7" s="418"/>
      <c r="P7" s="418"/>
      <c r="Q7" s="418"/>
      <c r="R7" s="418"/>
      <c r="S7" s="418"/>
    </row>
    <row r="8" spans="1:19">
      <c r="A8" s="488"/>
      <c r="B8" s="413"/>
      <c r="C8" s="413"/>
      <c r="D8" s="413"/>
      <c r="E8" s="420"/>
      <c r="F8" s="421"/>
      <c r="G8" s="422"/>
      <c r="H8" s="421">
        <f t="shared" si="0"/>
        <v>0</v>
      </c>
      <c r="I8" s="409">
        <f t="shared" si="1"/>
        <v>0</v>
      </c>
      <c r="J8" s="204"/>
      <c r="M8" s="418"/>
      <c r="N8" s="418">
        <f t="shared" si="2"/>
        <v>0</v>
      </c>
      <c r="O8" s="418"/>
      <c r="P8" s="418"/>
      <c r="Q8" s="418"/>
      <c r="R8" s="418"/>
      <c r="S8" s="418"/>
    </row>
    <row r="9" spans="1:19">
      <c r="A9" s="407"/>
      <c r="B9" s="407"/>
      <c r="C9" s="408"/>
      <c r="D9" s="407"/>
      <c r="E9" s="408"/>
      <c r="F9" s="409"/>
      <c r="G9" s="410"/>
      <c r="H9" s="409">
        <f t="shared" si="0"/>
        <v>0</v>
      </c>
      <c r="I9" s="409">
        <f t="shared" si="1"/>
        <v>0</v>
      </c>
      <c r="J9" s="204"/>
      <c r="M9" s="418"/>
      <c r="N9" s="418">
        <f t="shared" si="2"/>
        <v>0</v>
      </c>
      <c r="O9" s="418"/>
      <c r="P9" s="418"/>
      <c r="Q9" s="418"/>
      <c r="R9" s="418"/>
      <c r="S9" s="418"/>
    </row>
    <row r="10" spans="1:19">
      <c r="A10" s="407"/>
      <c r="B10" s="407"/>
      <c r="C10" s="408"/>
      <c r="D10" s="407"/>
      <c r="E10" s="408"/>
      <c r="F10" s="409"/>
      <c r="G10" s="410"/>
      <c r="H10" s="409">
        <f t="shared" ref="H10:H69" si="3">F10*(1-G10)</f>
        <v>0</v>
      </c>
      <c r="I10" s="409">
        <f t="shared" ref="I10:I34" si="4">A10*H10</f>
        <v>0</v>
      </c>
      <c r="J10" s="204"/>
      <c r="M10" s="418"/>
      <c r="N10" s="418">
        <f>I10</f>
        <v>0</v>
      </c>
      <c r="O10" s="418"/>
      <c r="P10" s="418"/>
      <c r="Q10" s="418"/>
      <c r="R10" s="418"/>
      <c r="S10" s="418"/>
    </row>
    <row r="11" spans="1:19">
      <c r="A11" s="488"/>
      <c r="B11" s="488"/>
      <c r="C11" s="408"/>
      <c r="D11" s="487"/>
      <c r="E11" s="408"/>
      <c r="F11" s="409"/>
      <c r="G11" s="410"/>
      <c r="H11" s="409">
        <f t="shared" si="3"/>
        <v>0</v>
      </c>
      <c r="I11" s="409">
        <f t="shared" si="4"/>
        <v>0</v>
      </c>
      <c r="J11" s="204"/>
      <c r="L11" s="442"/>
      <c r="M11" s="418"/>
      <c r="N11" s="418"/>
      <c r="O11" s="418"/>
      <c r="P11" s="418"/>
      <c r="Q11" s="418"/>
      <c r="R11" s="418">
        <f t="shared" ref="R11:R26" si="5">I11</f>
        <v>0</v>
      </c>
      <c r="S11" s="418"/>
    </row>
    <row r="12" spans="1:19">
      <c r="A12" s="414"/>
      <c r="B12" s="414"/>
      <c r="C12" s="414"/>
      <c r="D12" s="414"/>
      <c r="E12" s="415"/>
      <c r="F12" s="416"/>
      <c r="G12" s="419"/>
      <c r="H12" s="416">
        <f t="shared" si="3"/>
        <v>0</v>
      </c>
      <c r="I12" s="409">
        <f t="shared" si="4"/>
        <v>0</v>
      </c>
      <c r="J12" s="204"/>
      <c r="L12" s="442"/>
      <c r="M12" s="418"/>
      <c r="N12" s="418"/>
      <c r="O12" s="418"/>
      <c r="P12" s="418"/>
      <c r="Q12" s="418"/>
      <c r="R12" s="418">
        <f t="shared" si="5"/>
        <v>0</v>
      </c>
      <c r="S12" s="418"/>
    </row>
    <row r="13" spans="1:19" ht="22.25">
      <c r="A13" s="414">
        <v>1</v>
      </c>
      <c r="B13" s="414" t="s">
        <v>505</v>
      </c>
      <c r="C13" s="415" t="s">
        <v>783</v>
      </c>
      <c r="D13" s="414"/>
      <c r="E13" s="415" t="s">
        <v>791</v>
      </c>
      <c r="F13" s="416">
        <v>1500</v>
      </c>
      <c r="G13" s="419"/>
      <c r="H13" s="416">
        <f t="shared" si="3"/>
        <v>1500</v>
      </c>
      <c r="I13" s="409">
        <f t="shared" si="4"/>
        <v>1500</v>
      </c>
      <c r="J13" s="204"/>
      <c r="M13" s="418"/>
      <c r="N13" s="418"/>
      <c r="O13" s="418"/>
      <c r="P13" s="418"/>
      <c r="Q13" s="418"/>
      <c r="R13" s="418">
        <f t="shared" si="5"/>
        <v>1500</v>
      </c>
      <c r="S13" s="418"/>
    </row>
    <row r="14" spans="1:19">
      <c r="A14" s="407"/>
      <c r="B14" s="407"/>
      <c r="C14" s="407"/>
      <c r="D14" s="407"/>
      <c r="E14" s="408"/>
      <c r="F14" s="409"/>
      <c r="G14" s="410"/>
      <c r="H14" s="409">
        <f t="shared" si="3"/>
        <v>0</v>
      </c>
      <c r="I14" s="409">
        <f t="shared" si="4"/>
        <v>0</v>
      </c>
      <c r="J14" s="204"/>
      <c r="M14" s="418"/>
      <c r="N14" s="418"/>
      <c r="O14" s="418"/>
      <c r="P14" s="418"/>
      <c r="Q14" s="418"/>
      <c r="R14" s="418">
        <f t="shared" si="5"/>
        <v>0</v>
      </c>
      <c r="S14" s="418"/>
    </row>
    <row r="15" spans="1:19">
      <c r="A15" s="413">
        <v>1</v>
      </c>
      <c r="B15" s="413" t="s">
        <v>505</v>
      </c>
      <c r="C15" s="414" t="s">
        <v>792</v>
      </c>
      <c r="D15" s="413" t="s">
        <v>793</v>
      </c>
      <c r="E15" s="420" t="s">
        <v>794</v>
      </c>
      <c r="F15" s="421">
        <v>2000</v>
      </c>
      <c r="G15" s="419"/>
      <c r="H15" s="416">
        <f t="shared" si="3"/>
        <v>2000</v>
      </c>
      <c r="I15" s="409">
        <f t="shared" si="4"/>
        <v>2000</v>
      </c>
      <c r="J15" s="204"/>
      <c r="M15" s="418"/>
      <c r="N15" s="418"/>
      <c r="O15" s="418"/>
      <c r="P15" s="418"/>
      <c r="Q15" s="418"/>
      <c r="R15" s="418">
        <f t="shared" si="5"/>
        <v>2000</v>
      </c>
      <c r="S15" s="418"/>
    </row>
    <row r="16" spans="1:19" ht="33.4">
      <c r="A16" s="407">
        <v>0</v>
      </c>
      <c r="B16" s="407" t="s">
        <v>505</v>
      </c>
      <c r="C16" s="408" t="s">
        <v>534</v>
      </c>
      <c r="D16" s="407"/>
      <c r="E16" s="408" t="s">
        <v>535</v>
      </c>
      <c r="F16" s="409">
        <v>3.71</v>
      </c>
      <c r="G16" s="410"/>
      <c r="H16" s="409">
        <f t="shared" si="3"/>
        <v>3.71</v>
      </c>
      <c r="I16" s="409">
        <f t="shared" si="4"/>
        <v>0</v>
      </c>
      <c r="J16" s="204" t="s">
        <v>795</v>
      </c>
      <c r="M16" s="418"/>
      <c r="N16" s="418"/>
      <c r="O16" s="418"/>
      <c r="P16" s="418"/>
      <c r="Q16" s="418"/>
      <c r="R16" s="418">
        <f t="shared" si="5"/>
        <v>0</v>
      </c>
      <c r="S16" s="418"/>
    </row>
    <row r="17" spans="1:19" ht="22.25">
      <c r="A17" s="407">
        <f>A16</f>
        <v>0</v>
      </c>
      <c r="B17" s="407" t="s">
        <v>505</v>
      </c>
      <c r="C17" s="408" t="s">
        <v>534</v>
      </c>
      <c r="D17" s="407"/>
      <c r="E17" s="408" t="s">
        <v>537</v>
      </c>
      <c r="F17" s="409">
        <v>3.81</v>
      </c>
      <c r="G17" s="410"/>
      <c r="H17" s="409">
        <f t="shared" si="3"/>
        <v>3.81</v>
      </c>
      <c r="I17" s="409">
        <f t="shared" si="4"/>
        <v>0</v>
      </c>
      <c r="J17" s="204" t="s">
        <v>538</v>
      </c>
      <c r="M17" s="418"/>
      <c r="N17" s="418"/>
      <c r="O17" s="418"/>
      <c r="P17" s="418"/>
      <c r="Q17" s="418"/>
      <c r="R17" s="418">
        <f t="shared" si="5"/>
        <v>0</v>
      </c>
      <c r="S17" s="418"/>
    </row>
    <row r="18" spans="1:19" ht="44.55">
      <c r="A18" s="413">
        <v>500</v>
      </c>
      <c r="B18" s="413" t="s">
        <v>539</v>
      </c>
      <c r="C18" s="415" t="s">
        <v>747</v>
      </c>
      <c r="D18" s="413"/>
      <c r="E18" s="420" t="s">
        <v>755</v>
      </c>
      <c r="F18" s="421">
        <f t="shared" ref="F18:F19" si="6">362.73/500</f>
        <v>0.72545999999999999</v>
      </c>
      <c r="G18" s="419"/>
      <c r="H18" s="416">
        <f t="shared" si="3"/>
        <v>0.72545999999999999</v>
      </c>
      <c r="I18" s="409">
        <f t="shared" si="4"/>
        <v>362.73</v>
      </c>
      <c r="J18" s="17" t="s">
        <v>796</v>
      </c>
      <c r="M18" s="418"/>
      <c r="N18" s="418"/>
      <c r="O18" s="418">
        <f t="shared" ref="O18:O29" si="7">I18</f>
        <v>362.73</v>
      </c>
      <c r="P18" s="418"/>
      <c r="Q18" s="418"/>
      <c r="R18" s="418"/>
      <c r="S18" s="418"/>
    </row>
    <row r="19" spans="1:19" ht="44.55">
      <c r="A19" s="413">
        <v>1000</v>
      </c>
      <c r="B19" s="413" t="s">
        <v>539</v>
      </c>
      <c r="C19" s="415" t="s">
        <v>747</v>
      </c>
      <c r="D19" s="413"/>
      <c r="E19" s="420" t="s">
        <v>757</v>
      </c>
      <c r="F19" s="421">
        <f t="shared" si="6"/>
        <v>0.72545999999999999</v>
      </c>
      <c r="G19" s="419"/>
      <c r="H19" s="416">
        <f t="shared" si="3"/>
        <v>0.72545999999999999</v>
      </c>
      <c r="I19" s="409">
        <f t="shared" si="4"/>
        <v>725.46</v>
      </c>
      <c r="J19" s="17" t="s">
        <v>796</v>
      </c>
      <c r="M19" s="418"/>
      <c r="N19" s="418"/>
      <c r="O19" s="418">
        <f t="shared" si="7"/>
        <v>725.46</v>
      </c>
      <c r="P19" s="418"/>
      <c r="Q19" s="418"/>
      <c r="R19" s="418"/>
      <c r="S19" s="418"/>
    </row>
    <row r="20" spans="1:19" ht="44.55">
      <c r="A20" s="413">
        <v>10</v>
      </c>
      <c r="B20" s="413" t="s">
        <v>551</v>
      </c>
      <c r="C20" s="420" t="s">
        <v>552</v>
      </c>
      <c r="D20" s="413" t="s">
        <v>553</v>
      </c>
      <c r="E20" s="420" t="s">
        <v>554</v>
      </c>
      <c r="F20" s="421">
        <v>100</v>
      </c>
      <c r="G20" s="426"/>
      <c r="H20" s="425">
        <f t="shared" si="3"/>
        <v>100</v>
      </c>
      <c r="I20" s="409">
        <f t="shared" si="4"/>
        <v>1000</v>
      </c>
      <c r="J20" s="204" t="s">
        <v>796</v>
      </c>
      <c r="K20" s="17" t="s">
        <v>555</v>
      </c>
      <c r="M20" s="418"/>
      <c r="N20" s="418"/>
      <c r="O20" s="418">
        <f t="shared" si="7"/>
        <v>1000</v>
      </c>
      <c r="P20" s="418"/>
      <c r="Q20" s="418"/>
      <c r="R20" s="418"/>
      <c r="S20" s="418"/>
    </row>
    <row r="21" spans="1:19" ht="33.4">
      <c r="A21" s="413">
        <f>2*14+2</f>
        <v>30</v>
      </c>
      <c r="B21" s="413" t="s">
        <v>517</v>
      </c>
      <c r="C21" s="420" t="s">
        <v>540</v>
      </c>
      <c r="D21" s="413" t="s">
        <v>797</v>
      </c>
      <c r="E21" s="420" t="s">
        <v>798</v>
      </c>
      <c r="F21" s="421">
        <v>0.88</v>
      </c>
      <c r="G21" s="419"/>
      <c r="H21" s="416">
        <f t="shared" si="3"/>
        <v>0.88</v>
      </c>
      <c r="I21" s="409">
        <f t="shared" si="4"/>
        <v>26.4</v>
      </c>
      <c r="J21" s="204" t="s">
        <v>820</v>
      </c>
      <c r="M21" s="418"/>
      <c r="N21" s="418"/>
      <c r="O21" s="418">
        <f t="shared" si="7"/>
        <v>26.4</v>
      </c>
      <c r="P21" s="418"/>
      <c r="Q21" s="418"/>
      <c r="R21" s="418"/>
      <c r="S21" s="418"/>
    </row>
    <row r="22" spans="1:19" ht="33.4">
      <c r="A22" s="413">
        <f>A21</f>
        <v>30</v>
      </c>
      <c r="B22" s="413" t="s">
        <v>517</v>
      </c>
      <c r="C22" s="420" t="s">
        <v>540</v>
      </c>
      <c r="D22" s="413" t="s">
        <v>800</v>
      </c>
      <c r="E22" s="420" t="s">
        <v>801</v>
      </c>
      <c r="F22" s="421">
        <v>0.67</v>
      </c>
      <c r="G22" s="419"/>
      <c r="H22" s="416">
        <f t="shared" si="3"/>
        <v>0.67</v>
      </c>
      <c r="I22" s="409">
        <f t="shared" si="4"/>
        <v>20.100000000000001</v>
      </c>
      <c r="J22" s="204" t="str">
        <f>J21</f>
        <v>14 chaînes DC et 1 bretelle</v>
      </c>
      <c r="M22" s="418"/>
      <c r="N22" s="418"/>
      <c r="O22" s="418">
        <f t="shared" si="7"/>
        <v>20.100000000000001</v>
      </c>
      <c r="P22" s="418"/>
      <c r="Q22" s="418"/>
      <c r="R22" s="418"/>
      <c r="S22" s="418"/>
    </row>
    <row r="23" spans="1:19" ht="22.25">
      <c r="A23" s="407">
        <v>0</v>
      </c>
      <c r="B23" s="407" t="s">
        <v>517</v>
      </c>
      <c r="C23" s="408" t="s">
        <v>540</v>
      </c>
      <c r="D23" s="407" t="s">
        <v>556</v>
      </c>
      <c r="E23" s="408" t="s">
        <v>557</v>
      </c>
      <c r="F23" s="409">
        <v>6.58</v>
      </c>
      <c r="G23" s="410"/>
      <c r="H23" s="409">
        <f t="shared" si="3"/>
        <v>6.58</v>
      </c>
      <c r="I23" s="409">
        <f t="shared" si="4"/>
        <v>0</v>
      </c>
      <c r="J23" s="204"/>
      <c r="M23" s="418"/>
      <c r="N23" s="418"/>
      <c r="O23" s="418">
        <f t="shared" si="7"/>
        <v>0</v>
      </c>
      <c r="P23" s="418"/>
      <c r="Q23" s="418"/>
      <c r="R23" s="418"/>
      <c r="S23" s="418"/>
    </row>
    <row r="24" spans="1:19" ht="22.25">
      <c r="A24" s="413">
        <v>28</v>
      </c>
      <c r="B24" s="413" t="s">
        <v>517</v>
      </c>
      <c r="C24" s="415" t="s">
        <v>506</v>
      </c>
      <c r="D24" s="414"/>
      <c r="E24" s="415" t="s">
        <v>802</v>
      </c>
      <c r="F24" s="416">
        <f>86.1/28</f>
        <v>3.0749999999999997</v>
      </c>
      <c r="G24" s="419"/>
      <c r="H24" s="416">
        <f t="shared" si="3"/>
        <v>3.0749999999999997</v>
      </c>
      <c r="I24" s="409">
        <f t="shared" si="4"/>
        <v>86.1</v>
      </c>
      <c r="J24" s="204"/>
      <c r="M24" s="418"/>
      <c r="N24" s="418"/>
      <c r="O24" s="418"/>
      <c r="P24" s="418"/>
      <c r="Q24" s="418"/>
      <c r="R24" s="418">
        <f t="shared" si="5"/>
        <v>86.1</v>
      </c>
      <c r="S24" s="418"/>
    </row>
    <row r="25" spans="1:19" ht="35.85" customHeight="1">
      <c r="A25" s="413">
        <v>1</v>
      </c>
      <c r="B25" s="413" t="s">
        <v>522</v>
      </c>
      <c r="C25" s="413" t="s">
        <v>751</v>
      </c>
      <c r="D25" s="413"/>
      <c r="E25" s="420" t="s">
        <v>803</v>
      </c>
      <c r="F25" s="421">
        <v>564.44000000000005</v>
      </c>
      <c r="G25" s="419"/>
      <c r="H25" s="416">
        <f t="shared" si="3"/>
        <v>564.44000000000005</v>
      </c>
      <c r="I25" s="409">
        <f t="shared" si="4"/>
        <v>564.44000000000005</v>
      </c>
      <c r="J25" s="1054"/>
      <c r="K25" s="1054"/>
      <c r="L25" s="1054"/>
      <c r="M25" s="418"/>
      <c r="N25" s="418"/>
      <c r="O25" s="418"/>
      <c r="P25" s="418"/>
      <c r="Q25" s="418"/>
      <c r="R25" s="418">
        <f t="shared" si="5"/>
        <v>564.44000000000005</v>
      </c>
      <c r="S25" s="418"/>
    </row>
    <row r="26" spans="1:19">
      <c r="A26" s="407"/>
      <c r="B26" s="407"/>
      <c r="C26" s="408"/>
      <c r="D26" s="407"/>
      <c r="E26" s="408"/>
      <c r="F26" s="409"/>
      <c r="G26" s="410"/>
      <c r="H26" s="409">
        <f t="shared" si="3"/>
        <v>0</v>
      </c>
      <c r="I26" s="409">
        <f t="shared" si="4"/>
        <v>0</v>
      </c>
      <c r="J26" s="204"/>
      <c r="M26" s="418"/>
      <c r="N26" s="418"/>
      <c r="O26" s="418"/>
      <c r="P26" s="418"/>
      <c r="Q26" s="418"/>
      <c r="R26" s="418">
        <f t="shared" si="5"/>
        <v>0</v>
      </c>
      <c r="S26" s="418"/>
    </row>
    <row r="27" spans="1:19" ht="22.25">
      <c r="A27" s="413">
        <v>1</v>
      </c>
      <c r="B27" s="413" t="s">
        <v>522</v>
      </c>
      <c r="C27" s="420" t="s">
        <v>531</v>
      </c>
      <c r="D27" s="413"/>
      <c r="E27" s="420" t="s">
        <v>695</v>
      </c>
      <c r="F27" s="421">
        <v>100</v>
      </c>
      <c r="G27" s="410"/>
      <c r="H27" s="409">
        <f t="shared" si="3"/>
        <v>100</v>
      </c>
      <c r="I27" s="409">
        <f t="shared" si="4"/>
        <v>100</v>
      </c>
      <c r="J27" s="204"/>
      <c r="M27" s="418"/>
      <c r="N27" s="418"/>
      <c r="O27" s="418">
        <f t="shared" si="7"/>
        <v>100</v>
      </c>
      <c r="P27" s="418"/>
      <c r="Q27" s="418"/>
      <c r="R27" s="418"/>
      <c r="S27" s="418"/>
    </row>
    <row r="28" spans="1:19" ht="22.25">
      <c r="A28" s="413">
        <v>1</v>
      </c>
      <c r="B28" s="413" t="s">
        <v>505</v>
      </c>
      <c r="C28" s="489" t="s">
        <v>540</v>
      </c>
      <c r="D28" s="488" t="s">
        <v>769</v>
      </c>
      <c r="E28" s="489" t="s">
        <v>567</v>
      </c>
      <c r="F28" s="490">
        <v>750</v>
      </c>
      <c r="G28" s="410"/>
      <c r="H28" s="409">
        <f t="shared" si="3"/>
        <v>750</v>
      </c>
      <c r="I28" s="409">
        <f t="shared" si="4"/>
        <v>750</v>
      </c>
      <c r="J28" s="204"/>
      <c r="M28" s="418">
        <f>F28</f>
        <v>750</v>
      </c>
      <c r="N28" s="418"/>
      <c r="O28" s="418"/>
      <c r="P28" s="418"/>
      <c r="Q28" s="418"/>
      <c r="R28" s="418"/>
      <c r="S28" s="418"/>
    </row>
    <row r="29" spans="1:19" ht="44.55">
      <c r="A29" s="488">
        <v>5</v>
      </c>
      <c r="B29" s="414" t="s">
        <v>539</v>
      </c>
      <c r="C29" s="415" t="s">
        <v>552</v>
      </c>
      <c r="D29" s="414"/>
      <c r="E29" s="415" t="s">
        <v>804</v>
      </c>
      <c r="F29" s="416">
        <f>44/1.2</f>
        <v>36.666666666666671</v>
      </c>
      <c r="G29" s="426"/>
      <c r="H29" s="425">
        <f t="shared" si="3"/>
        <v>36.666666666666671</v>
      </c>
      <c r="I29" s="409">
        <f t="shared" si="4"/>
        <v>183.33333333333337</v>
      </c>
      <c r="J29" s="204"/>
      <c r="K29" s="17" t="s">
        <v>805</v>
      </c>
      <c r="M29" s="418"/>
      <c r="N29" s="418"/>
      <c r="O29" s="418">
        <f t="shared" si="7"/>
        <v>183.33333333333337</v>
      </c>
      <c r="P29" s="418"/>
      <c r="Q29" s="418"/>
      <c r="R29" s="418"/>
      <c r="S29" s="418"/>
    </row>
    <row r="30" spans="1:19" ht="44.55">
      <c r="A30" s="413">
        <v>0</v>
      </c>
      <c r="B30" s="413" t="s">
        <v>517</v>
      </c>
      <c r="C30" s="420" t="s">
        <v>569</v>
      </c>
      <c r="D30" s="413" t="s">
        <v>570</v>
      </c>
      <c r="E30" s="420" t="s">
        <v>571</v>
      </c>
      <c r="F30" s="421">
        <v>1040</v>
      </c>
      <c r="G30" s="495">
        <v>0.48</v>
      </c>
      <c r="H30" s="425">
        <f t="shared" si="3"/>
        <v>540.80000000000007</v>
      </c>
      <c r="I30" s="409">
        <f t="shared" si="4"/>
        <v>0</v>
      </c>
      <c r="J30" s="204"/>
      <c r="M30" s="418"/>
      <c r="N30" s="418"/>
      <c r="O30" s="418"/>
      <c r="P30" s="418"/>
      <c r="Q30" s="418"/>
      <c r="R30" s="418"/>
      <c r="S30" s="418">
        <f t="shared" ref="S30:S34" si="8">I30</f>
        <v>0</v>
      </c>
    </row>
    <row r="31" spans="1:19" ht="55.65">
      <c r="A31" s="413">
        <v>1</v>
      </c>
      <c r="B31" s="413" t="s">
        <v>517</v>
      </c>
      <c r="C31" s="424" t="s">
        <v>569</v>
      </c>
      <c r="D31" s="423" t="s">
        <v>572</v>
      </c>
      <c r="E31" s="424" t="s">
        <v>573</v>
      </c>
      <c r="F31" s="425">
        <v>1190</v>
      </c>
      <c r="G31" s="495">
        <v>0.48</v>
      </c>
      <c r="H31" s="425">
        <f t="shared" si="3"/>
        <v>618.80000000000007</v>
      </c>
      <c r="I31" s="409">
        <f t="shared" si="4"/>
        <v>618.80000000000007</v>
      </c>
      <c r="J31" s="204"/>
      <c r="M31" s="418"/>
      <c r="N31" s="418"/>
      <c r="O31" s="418"/>
      <c r="P31" s="418"/>
      <c r="Q31" s="418"/>
      <c r="R31" s="418"/>
      <c r="S31" s="418">
        <f t="shared" si="8"/>
        <v>618.80000000000007</v>
      </c>
    </row>
    <row r="32" spans="1:19">
      <c r="A32" s="413">
        <v>0</v>
      </c>
      <c r="B32" s="413" t="s">
        <v>517</v>
      </c>
      <c r="C32" s="420" t="s">
        <v>574</v>
      </c>
      <c r="D32" s="413" t="s">
        <v>575</v>
      </c>
      <c r="E32" s="413" t="s">
        <v>576</v>
      </c>
      <c r="F32" s="421">
        <v>36.700000000000003</v>
      </c>
      <c r="G32" s="419"/>
      <c r="H32" s="416">
        <f t="shared" si="3"/>
        <v>36.700000000000003</v>
      </c>
      <c r="I32" s="409">
        <f t="shared" si="4"/>
        <v>0</v>
      </c>
      <c r="J32" s="204"/>
      <c r="M32" s="418"/>
      <c r="N32" s="418"/>
      <c r="O32" s="418"/>
      <c r="P32" s="418"/>
      <c r="Q32" s="418"/>
      <c r="R32" s="418"/>
      <c r="S32" s="418">
        <f t="shared" si="8"/>
        <v>0</v>
      </c>
    </row>
    <row r="33" spans="1:19">
      <c r="A33" s="413">
        <v>5</v>
      </c>
      <c r="B33" s="413" t="s">
        <v>517</v>
      </c>
      <c r="C33" s="420" t="s">
        <v>574</v>
      </c>
      <c r="D33" s="413" t="s">
        <v>577</v>
      </c>
      <c r="E33" s="413" t="s">
        <v>578</v>
      </c>
      <c r="F33" s="421">
        <v>75</v>
      </c>
      <c r="G33" s="419"/>
      <c r="H33" s="416">
        <f t="shared" si="3"/>
        <v>75</v>
      </c>
      <c r="I33" s="409">
        <f t="shared" si="4"/>
        <v>375</v>
      </c>
      <c r="J33" s="204"/>
      <c r="M33" s="418"/>
      <c r="N33" s="418"/>
      <c r="O33" s="418"/>
      <c r="P33" s="418"/>
      <c r="Q33" s="418"/>
      <c r="R33" s="418"/>
      <c r="S33" s="418">
        <f t="shared" si="8"/>
        <v>375</v>
      </c>
    </row>
    <row r="34" spans="1:19">
      <c r="A34" s="413">
        <v>1</v>
      </c>
      <c r="B34" s="413" t="s">
        <v>517</v>
      </c>
      <c r="C34" s="420" t="s">
        <v>574</v>
      </c>
      <c r="D34" s="413"/>
      <c r="E34" s="413" t="s">
        <v>579</v>
      </c>
      <c r="F34" s="421">
        <f>35/4</f>
        <v>8.75</v>
      </c>
      <c r="G34" s="419"/>
      <c r="H34" s="416">
        <f t="shared" si="3"/>
        <v>8.75</v>
      </c>
      <c r="I34" s="409">
        <f t="shared" si="4"/>
        <v>8.75</v>
      </c>
      <c r="J34" s="204"/>
      <c r="M34" s="418"/>
      <c r="N34" s="418"/>
      <c r="O34" s="418"/>
      <c r="P34" s="418"/>
      <c r="Q34" s="418"/>
      <c r="R34" s="418"/>
      <c r="S34" s="418">
        <f t="shared" si="8"/>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66101.125333333344</v>
      </c>
      <c r="J37" s="204"/>
      <c r="M37" s="418">
        <f>SUM(M4:M35)</f>
        <v>51384.851999999999</v>
      </c>
      <c r="N37" s="418">
        <f>SUM(N4:N35)</f>
        <v>7145.16</v>
      </c>
      <c r="O37" s="418">
        <f>SUM(O4:O35)</f>
        <v>2418.0233333333335</v>
      </c>
      <c r="P37" s="418"/>
      <c r="Q37" s="418"/>
      <c r="R37" s="418">
        <f>SUM(R4:R35)</f>
        <v>4150.54</v>
      </c>
      <c r="S37" s="418">
        <f>SUM(S4:S35)</f>
        <v>1002.5500000000001</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82626.406666666677</v>
      </c>
      <c r="J39" s="436"/>
      <c r="K39" s="437"/>
      <c r="L39" s="437"/>
      <c r="M39" s="438">
        <f>M37*(1+$G$38)</f>
        <v>64231.065000000002</v>
      </c>
      <c r="N39" s="438">
        <f>N37*(1+$G$38)</f>
        <v>8931.4500000000007</v>
      </c>
      <c r="O39" s="438">
        <f>O37*(1+$G$38)</f>
        <v>3022.5291666666672</v>
      </c>
      <c r="P39" s="438">
        <f>P73</f>
        <v>15520</v>
      </c>
      <c r="Q39" s="438">
        <f>Q132</f>
        <v>25607.859999999997</v>
      </c>
      <c r="R39" s="438">
        <f>R37*(1+$G$38)</f>
        <v>5188.1750000000002</v>
      </c>
      <c r="S39" s="438">
        <f>S37*(1+$G$38)</f>
        <v>1253.1875</v>
      </c>
    </row>
    <row r="42" spans="1:19" ht="33.4">
      <c r="B42" s="204" t="s">
        <v>583</v>
      </c>
      <c r="C42" s="204" t="s">
        <v>584</v>
      </c>
      <c r="E42" s="439" t="s">
        <v>585</v>
      </c>
    </row>
    <row r="43" spans="1:19">
      <c r="A43" s="440">
        <f t="shared" ref="A43:A64" si="9">B43*C43</f>
        <v>12</v>
      </c>
      <c r="B43" s="441">
        <v>6</v>
      </c>
      <c r="C43" s="493">
        <v>2</v>
      </c>
      <c r="E43" s="17" t="s">
        <v>586</v>
      </c>
      <c r="F43" s="403">
        <f t="shared" ref="F43:F64" si="10">F$68</f>
        <v>55</v>
      </c>
      <c r="H43" s="403">
        <f t="shared" si="3"/>
        <v>55</v>
      </c>
      <c r="I43" s="403">
        <f t="shared" ref="I43:I70" si="11">A43*H43</f>
        <v>660</v>
      </c>
    </row>
    <row r="44" spans="1:19">
      <c r="A44" s="440">
        <f t="shared" si="9"/>
        <v>44.55</v>
      </c>
      <c r="B44" s="441">
        <v>0.15</v>
      </c>
      <c r="C44" s="493">
        <f>A6</f>
        <v>297</v>
      </c>
      <c r="D44" s="17" t="s">
        <v>588</v>
      </c>
      <c r="E44" s="17" t="s">
        <v>589</v>
      </c>
      <c r="F44" s="403">
        <f t="shared" si="10"/>
        <v>55</v>
      </c>
      <c r="H44" s="403">
        <f t="shared" si="3"/>
        <v>55</v>
      </c>
      <c r="I44" s="403">
        <f t="shared" si="11"/>
        <v>2450.25</v>
      </c>
    </row>
    <row r="45" spans="1:19">
      <c r="A45" s="440">
        <f t="shared" si="9"/>
        <v>103.94999999999999</v>
      </c>
      <c r="B45" s="441">
        <v>0.35</v>
      </c>
      <c r="C45" s="493">
        <f>A4</f>
        <v>297</v>
      </c>
      <c r="D45" s="17" t="s">
        <v>588</v>
      </c>
      <c r="E45" s="17" t="s">
        <v>591</v>
      </c>
      <c r="F45" s="403">
        <f t="shared" si="10"/>
        <v>55</v>
      </c>
      <c r="H45" s="403">
        <f t="shared" si="3"/>
        <v>55</v>
      </c>
      <c r="I45" s="403">
        <f t="shared" si="11"/>
        <v>5717.2499999999991</v>
      </c>
    </row>
    <row r="46" spans="1:19">
      <c r="A46" s="440">
        <f t="shared" si="9"/>
        <v>1.2</v>
      </c>
      <c r="B46" s="441">
        <v>0.04</v>
      </c>
      <c r="C46" s="493">
        <v>30</v>
      </c>
      <c r="D46" s="17" t="s">
        <v>539</v>
      </c>
      <c r="E46" s="17" t="s">
        <v>593</v>
      </c>
      <c r="F46" s="403">
        <f t="shared" si="10"/>
        <v>55</v>
      </c>
      <c r="H46" s="403">
        <f t="shared" si="3"/>
        <v>55</v>
      </c>
      <c r="I46" s="403">
        <f t="shared" si="11"/>
        <v>66</v>
      </c>
    </row>
    <row r="47" spans="1:19">
      <c r="A47" s="440">
        <f t="shared" si="9"/>
        <v>0.4</v>
      </c>
      <c r="B47" s="441">
        <v>0.04</v>
      </c>
      <c r="C47" s="493">
        <v>10</v>
      </c>
      <c r="D47" s="17" t="s">
        <v>539</v>
      </c>
      <c r="E47" s="17" t="s">
        <v>594</v>
      </c>
      <c r="F47" s="403">
        <f t="shared" si="10"/>
        <v>55</v>
      </c>
      <c r="H47" s="403">
        <f t="shared" si="3"/>
        <v>55</v>
      </c>
      <c r="I47" s="403">
        <f t="shared" si="11"/>
        <v>22</v>
      </c>
    </row>
    <row r="48" spans="1:19">
      <c r="A48" s="440">
        <f t="shared" si="9"/>
        <v>50</v>
      </c>
      <c r="B48" s="441">
        <v>0.02</v>
      </c>
      <c r="C48" s="493">
        <f>A18+A19+A20*100</f>
        <v>2500</v>
      </c>
      <c r="D48" s="17" t="s">
        <v>539</v>
      </c>
      <c r="E48" s="17" t="s">
        <v>595</v>
      </c>
      <c r="F48" s="403">
        <f t="shared" si="10"/>
        <v>55</v>
      </c>
      <c r="H48" s="403">
        <f t="shared" si="3"/>
        <v>55</v>
      </c>
      <c r="I48" s="403">
        <f t="shared" si="11"/>
        <v>2750</v>
      </c>
    </row>
    <row r="49" spans="1:9">
      <c r="A49" s="440">
        <f t="shared" si="9"/>
        <v>0</v>
      </c>
      <c r="B49" s="441">
        <f>2*0.17</f>
        <v>0.34</v>
      </c>
      <c r="C49" s="493">
        <v>0</v>
      </c>
      <c r="D49" s="17" t="s">
        <v>596</v>
      </c>
      <c r="E49" s="17" t="s">
        <v>775</v>
      </c>
      <c r="F49" s="403">
        <f t="shared" si="10"/>
        <v>55</v>
      </c>
      <c r="H49" s="403">
        <f t="shared" si="3"/>
        <v>55</v>
      </c>
      <c r="I49" s="403">
        <f t="shared" si="11"/>
        <v>0</v>
      </c>
    </row>
    <row r="50" spans="1:9">
      <c r="A50" s="440">
        <f t="shared" si="9"/>
        <v>6.4</v>
      </c>
      <c r="B50" s="441">
        <v>0.4</v>
      </c>
      <c r="C50" s="493">
        <v>16</v>
      </c>
      <c r="E50" s="17" t="s">
        <v>600</v>
      </c>
      <c r="F50" s="403">
        <f t="shared" si="10"/>
        <v>55</v>
      </c>
      <c r="H50" s="403">
        <f t="shared" si="3"/>
        <v>55</v>
      </c>
      <c r="I50" s="403">
        <f t="shared" si="11"/>
        <v>352</v>
      </c>
    </row>
    <row r="51" spans="1:9">
      <c r="A51" s="440">
        <f t="shared" si="9"/>
        <v>2</v>
      </c>
      <c r="B51" s="441">
        <v>2</v>
      </c>
      <c r="C51" s="493">
        <v>1</v>
      </c>
      <c r="E51" s="17" t="s">
        <v>601</v>
      </c>
      <c r="F51" s="403">
        <f t="shared" si="10"/>
        <v>55</v>
      </c>
      <c r="H51" s="403">
        <f t="shared" si="3"/>
        <v>55</v>
      </c>
      <c r="I51" s="403">
        <f t="shared" si="11"/>
        <v>110</v>
      </c>
    </row>
    <row r="52" spans="1:9">
      <c r="A52" s="440">
        <f t="shared" si="9"/>
        <v>0</v>
      </c>
      <c r="B52" s="441">
        <f>0.5+10*0.15+2*0.1</f>
        <v>2.2000000000000002</v>
      </c>
      <c r="C52" s="493">
        <v>0</v>
      </c>
      <c r="E52" s="17" t="s">
        <v>602</v>
      </c>
      <c r="F52" s="403">
        <f t="shared" si="10"/>
        <v>55</v>
      </c>
      <c r="H52" s="403">
        <f t="shared" si="3"/>
        <v>55</v>
      </c>
      <c r="I52" s="403">
        <f t="shared" si="11"/>
        <v>0</v>
      </c>
    </row>
    <row r="53" spans="1:9">
      <c r="A53" s="440">
        <f t="shared" si="9"/>
        <v>0</v>
      </c>
      <c r="B53" s="441">
        <f>0.5+4*0.15</f>
        <v>1.1000000000000001</v>
      </c>
      <c r="C53" s="493">
        <v>0</v>
      </c>
      <c r="E53" s="17" t="s">
        <v>776</v>
      </c>
      <c r="F53" s="403">
        <f t="shared" si="10"/>
        <v>55</v>
      </c>
      <c r="H53" s="403">
        <f t="shared" si="3"/>
        <v>55</v>
      </c>
      <c r="I53" s="403">
        <f t="shared" si="11"/>
        <v>0</v>
      </c>
    </row>
    <row r="54" spans="1:9">
      <c r="A54" s="440">
        <f t="shared" si="9"/>
        <v>2.6666666666666665</v>
      </c>
      <c r="B54" s="441">
        <f>8/6</f>
        <v>1.3333333333333333</v>
      </c>
      <c r="C54" s="493">
        <v>2</v>
      </c>
      <c r="D54" s="17" t="s">
        <v>604</v>
      </c>
      <c r="E54" s="17" t="s">
        <v>605</v>
      </c>
      <c r="F54" s="403">
        <f t="shared" si="10"/>
        <v>55</v>
      </c>
      <c r="H54" s="403">
        <f t="shared" si="3"/>
        <v>55</v>
      </c>
      <c r="I54" s="403">
        <f t="shared" si="11"/>
        <v>146.66666666666666</v>
      </c>
    </row>
    <row r="55" spans="1:9">
      <c r="A55" s="440">
        <f t="shared" si="9"/>
        <v>4</v>
      </c>
      <c r="B55" s="441">
        <v>4</v>
      </c>
      <c r="C55" s="493">
        <v>1</v>
      </c>
      <c r="E55" s="17" t="s">
        <v>606</v>
      </c>
      <c r="F55" s="403">
        <f t="shared" si="10"/>
        <v>55</v>
      </c>
      <c r="H55" s="403">
        <f t="shared" si="3"/>
        <v>55</v>
      </c>
      <c r="I55" s="403">
        <f t="shared" si="11"/>
        <v>220</v>
      </c>
    </row>
    <row r="56" spans="1:9">
      <c r="A56" s="440">
        <f t="shared" si="9"/>
        <v>4</v>
      </c>
      <c r="B56" s="441">
        <v>2</v>
      </c>
      <c r="C56" s="493">
        <v>2</v>
      </c>
      <c r="E56" s="17" t="s">
        <v>607</v>
      </c>
      <c r="F56" s="403">
        <f t="shared" si="10"/>
        <v>55</v>
      </c>
      <c r="H56" s="403">
        <f t="shared" si="3"/>
        <v>55</v>
      </c>
      <c r="I56" s="403">
        <f t="shared" si="11"/>
        <v>220</v>
      </c>
    </row>
    <row r="57" spans="1:9">
      <c r="A57" s="440">
        <f t="shared" si="9"/>
        <v>0.93000000000000016</v>
      </c>
      <c r="B57" s="441">
        <f>0.33+6*0.1</f>
        <v>0.93000000000000016</v>
      </c>
      <c r="C57" s="493">
        <v>1</v>
      </c>
      <c r="E57" s="17" t="s">
        <v>609</v>
      </c>
      <c r="F57" s="403">
        <f t="shared" si="10"/>
        <v>55</v>
      </c>
      <c r="H57" s="403">
        <f t="shared" si="3"/>
        <v>55</v>
      </c>
      <c r="I57" s="403">
        <f t="shared" si="11"/>
        <v>51.150000000000006</v>
      </c>
    </row>
    <row r="58" spans="1:9">
      <c r="A58" s="440">
        <f t="shared" si="9"/>
        <v>0</v>
      </c>
      <c r="B58" s="441">
        <v>0.17</v>
      </c>
      <c r="C58" s="493">
        <v>0</v>
      </c>
      <c r="E58" s="17" t="s">
        <v>610</v>
      </c>
      <c r="F58" s="403">
        <f t="shared" si="10"/>
        <v>55</v>
      </c>
      <c r="H58" s="403">
        <f t="shared" si="3"/>
        <v>55</v>
      </c>
      <c r="I58" s="403">
        <f t="shared" si="11"/>
        <v>0</v>
      </c>
    </row>
    <row r="59" spans="1:9">
      <c r="A59" s="440">
        <f t="shared" si="9"/>
        <v>1</v>
      </c>
      <c r="B59" s="441">
        <v>0.5</v>
      </c>
      <c r="C59" s="493">
        <v>2</v>
      </c>
      <c r="E59" s="17" t="s">
        <v>611</v>
      </c>
      <c r="F59" s="403">
        <f t="shared" si="10"/>
        <v>55</v>
      </c>
      <c r="H59" s="403">
        <f t="shared" si="3"/>
        <v>55</v>
      </c>
      <c r="I59" s="403">
        <f t="shared" si="11"/>
        <v>55</v>
      </c>
    </row>
    <row r="60" spans="1:9">
      <c r="A60" s="440">
        <f t="shared" si="9"/>
        <v>1</v>
      </c>
      <c r="B60" s="441">
        <v>1</v>
      </c>
      <c r="C60" s="493">
        <v>1</v>
      </c>
      <c r="E60" s="17" t="s">
        <v>612</v>
      </c>
      <c r="F60" s="403">
        <f t="shared" si="10"/>
        <v>55</v>
      </c>
      <c r="H60" s="403">
        <f t="shared" si="3"/>
        <v>55</v>
      </c>
      <c r="I60" s="403">
        <f t="shared" si="11"/>
        <v>55</v>
      </c>
    </row>
    <row r="61" spans="1:9">
      <c r="A61" s="440">
        <f t="shared" si="9"/>
        <v>12</v>
      </c>
      <c r="B61" s="441">
        <v>6</v>
      </c>
      <c r="C61" s="493">
        <v>2</v>
      </c>
      <c r="E61" s="17" t="s">
        <v>614</v>
      </c>
      <c r="F61" s="403">
        <f t="shared" si="10"/>
        <v>55</v>
      </c>
      <c r="H61" s="403">
        <f t="shared" si="3"/>
        <v>55</v>
      </c>
      <c r="I61" s="403">
        <f t="shared" si="11"/>
        <v>660</v>
      </c>
    </row>
    <row r="62" spans="1:9">
      <c r="A62" s="440">
        <f t="shared" si="9"/>
        <v>4</v>
      </c>
      <c r="B62" s="441">
        <v>4</v>
      </c>
      <c r="C62" s="493">
        <v>1</v>
      </c>
      <c r="E62" s="17" t="s">
        <v>615</v>
      </c>
      <c r="F62" s="403">
        <f t="shared" si="10"/>
        <v>55</v>
      </c>
      <c r="H62" s="403">
        <f t="shared" si="3"/>
        <v>55</v>
      </c>
      <c r="I62" s="403">
        <f t="shared" si="11"/>
        <v>220</v>
      </c>
    </row>
    <row r="63" spans="1:9">
      <c r="A63" s="440">
        <f t="shared" si="9"/>
        <v>4</v>
      </c>
      <c r="B63" s="441">
        <v>4</v>
      </c>
      <c r="C63" s="493">
        <v>1</v>
      </c>
      <c r="E63" s="17" t="s">
        <v>616</v>
      </c>
      <c r="F63" s="403">
        <f t="shared" si="10"/>
        <v>55</v>
      </c>
      <c r="H63" s="403">
        <f t="shared" si="3"/>
        <v>55</v>
      </c>
      <c r="I63" s="403">
        <f t="shared" si="11"/>
        <v>220</v>
      </c>
    </row>
    <row r="64" spans="1:9">
      <c r="A64" s="440">
        <f t="shared" si="9"/>
        <v>1.25</v>
      </c>
      <c r="B64" s="441">
        <v>0.25</v>
      </c>
      <c r="C64" s="493">
        <v>5</v>
      </c>
      <c r="D64" s="494" t="s">
        <v>539</v>
      </c>
      <c r="E64" s="17" t="s">
        <v>617</v>
      </c>
      <c r="F64" s="403">
        <f t="shared" si="10"/>
        <v>55</v>
      </c>
      <c r="H64" s="403">
        <f t="shared" si="3"/>
        <v>55</v>
      </c>
      <c r="I64" s="403">
        <f t="shared" si="11"/>
        <v>68.75</v>
      </c>
    </row>
    <row r="66" spans="1:16">
      <c r="A66" s="17">
        <f>SUM(A43:A65)</f>
        <v>255.34666666666666</v>
      </c>
      <c r="B66" s="17" t="s">
        <v>619</v>
      </c>
      <c r="E66" s="17" t="s">
        <v>620</v>
      </c>
    </row>
    <row r="67" spans="1:16">
      <c r="A67" s="441">
        <v>3</v>
      </c>
      <c r="B67" s="17" t="s">
        <v>517</v>
      </c>
      <c r="E67" s="17" t="s">
        <v>621</v>
      </c>
    </row>
    <row r="68" spans="1:16">
      <c r="A68" s="17">
        <v>1</v>
      </c>
      <c r="B68" s="17" t="s">
        <v>517</v>
      </c>
      <c r="E68" s="17" t="s">
        <v>622</v>
      </c>
      <c r="F68" s="445">
        <v>55</v>
      </c>
      <c r="H68" s="403">
        <f t="shared" si="3"/>
        <v>55</v>
      </c>
      <c r="I68" s="403">
        <f t="shared" si="11"/>
        <v>55</v>
      </c>
      <c r="J68" s="17" t="s">
        <v>623</v>
      </c>
    </row>
    <row r="69" spans="1:16">
      <c r="A69" s="17">
        <f>ROUNDUP(A66/8/A67,0)</f>
        <v>11</v>
      </c>
      <c r="B69" s="17" t="s">
        <v>624</v>
      </c>
      <c r="E69" s="17" t="s">
        <v>625</v>
      </c>
      <c r="F69" s="403">
        <f>A67*8*F68</f>
        <v>1320</v>
      </c>
      <c r="H69" s="403">
        <f t="shared" si="3"/>
        <v>1320</v>
      </c>
      <c r="I69" s="403">
        <f t="shared" si="11"/>
        <v>14520</v>
      </c>
    </row>
    <row r="70" spans="1:16">
      <c r="A70" s="441">
        <v>1</v>
      </c>
      <c r="B70" s="442" t="s">
        <v>517</v>
      </c>
      <c r="C70" s="446"/>
      <c r="D70" s="442"/>
      <c r="E70" s="442" t="s">
        <v>626</v>
      </c>
      <c r="F70" s="447">
        <v>500</v>
      </c>
      <c r="G70" s="444"/>
      <c r="H70" s="403">
        <v>1000</v>
      </c>
      <c r="I70" s="403">
        <f t="shared" si="11"/>
        <v>1000</v>
      </c>
      <c r="J70" s="17" t="s">
        <v>627</v>
      </c>
    </row>
    <row r="71" spans="1:16">
      <c r="A71" s="441"/>
      <c r="F71" s="447"/>
      <c r="H71" s="403"/>
      <c r="I71" s="403"/>
    </row>
    <row r="72" spans="1:16">
      <c r="A72" s="441"/>
      <c r="F72" s="447"/>
      <c r="H72" s="403"/>
      <c r="I72" s="403"/>
    </row>
    <row r="73" spans="1:16" ht="15.75">
      <c r="E73" s="439" t="s">
        <v>628</v>
      </c>
      <c r="I73" s="443">
        <f>SUM(I69:I72)</f>
        <v>15520</v>
      </c>
      <c r="P73" s="438">
        <f>I73</f>
        <v>15520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2">A87*H87</f>
        <v>0</v>
      </c>
      <c r="J87" s="459" t="s">
        <v>638</v>
      </c>
      <c r="K87" s="460" t="s">
        <v>639</v>
      </c>
    </row>
    <row r="88" spans="1:11" ht="12.8" customHeight="1">
      <c r="A88" s="461">
        <v>0</v>
      </c>
      <c r="B88" s="453" t="s">
        <v>517</v>
      </c>
      <c r="C88" s="453" t="s">
        <v>538</v>
      </c>
      <c r="D88" s="462" t="s">
        <v>640</v>
      </c>
      <c r="E88" s="453" t="s">
        <v>641</v>
      </c>
      <c r="F88" s="463">
        <v>1949</v>
      </c>
      <c r="G88" s="457"/>
      <c r="H88" s="458">
        <f t="shared" ref="H88:H98" si="13">F88*(1-$G$83)</f>
        <v>1169.3999999999999</v>
      </c>
      <c r="I88" s="458">
        <f t="shared" si="12"/>
        <v>0</v>
      </c>
      <c r="J88" s="459" t="s">
        <v>638</v>
      </c>
      <c r="K88" s="1051" t="s">
        <v>642</v>
      </c>
    </row>
    <row r="89" spans="1:11" ht="24.9">
      <c r="A89" s="452">
        <v>0</v>
      </c>
      <c r="B89" s="453" t="s">
        <v>539</v>
      </c>
      <c r="C89" s="453" t="s">
        <v>538</v>
      </c>
      <c r="D89" s="462" t="s">
        <v>643</v>
      </c>
      <c r="E89" s="453" t="s">
        <v>641</v>
      </c>
      <c r="F89" s="463">
        <v>80</v>
      </c>
      <c r="G89" s="457"/>
      <c r="H89" s="458">
        <f t="shared" si="13"/>
        <v>48</v>
      </c>
      <c r="I89" s="458">
        <f t="shared" si="12"/>
        <v>0</v>
      </c>
      <c r="J89" s="459" t="s">
        <v>638</v>
      </c>
      <c r="K89" s="1051"/>
    </row>
    <row r="90" spans="1:11" ht="12.8" customHeight="1">
      <c r="A90" s="461">
        <v>0</v>
      </c>
      <c r="B90" s="453" t="s">
        <v>517</v>
      </c>
      <c r="C90" s="453" t="s">
        <v>538</v>
      </c>
      <c r="D90" s="464" t="s">
        <v>644</v>
      </c>
      <c r="E90" s="453" t="s">
        <v>645</v>
      </c>
      <c r="F90" s="463">
        <v>10051</v>
      </c>
      <c r="G90" s="457"/>
      <c r="H90" s="458">
        <f t="shared" si="13"/>
        <v>6030.5999999999995</v>
      </c>
      <c r="I90" s="458">
        <f t="shared" si="12"/>
        <v>0</v>
      </c>
      <c r="J90" s="459" t="s">
        <v>638</v>
      </c>
      <c r="K90" s="1052" t="s">
        <v>646</v>
      </c>
    </row>
    <row r="91" spans="1:11" ht="24.9">
      <c r="A91" s="461">
        <v>0</v>
      </c>
      <c r="B91" s="453" t="s">
        <v>517</v>
      </c>
      <c r="C91" s="453" t="s">
        <v>538</v>
      </c>
      <c r="D91" s="464" t="s">
        <v>644</v>
      </c>
      <c r="E91" s="453" t="s">
        <v>647</v>
      </c>
      <c r="F91" s="463">
        <v>17412</v>
      </c>
      <c r="G91" s="457"/>
      <c r="H91" s="458">
        <f t="shared" si="13"/>
        <v>10447.199999999999</v>
      </c>
      <c r="I91" s="458">
        <f t="shared" si="12"/>
        <v>0</v>
      </c>
      <c r="J91" s="459" t="s">
        <v>638</v>
      </c>
      <c r="K91" s="1052"/>
    </row>
    <row r="92" spans="1:11" ht="12.8" customHeight="1">
      <c r="A92" s="461">
        <v>0</v>
      </c>
      <c r="B92" s="453" t="s">
        <v>517</v>
      </c>
      <c r="C92" s="453" t="s">
        <v>538</v>
      </c>
      <c r="D92" s="465" t="s">
        <v>644</v>
      </c>
      <c r="E92" s="453" t="s">
        <v>648</v>
      </c>
      <c r="F92" s="466">
        <v>2345</v>
      </c>
      <c r="G92" s="457"/>
      <c r="H92" s="458">
        <f t="shared" si="13"/>
        <v>1407</v>
      </c>
      <c r="I92" s="458">
        <f t="shared" si="12"/>
        <v>0</v>
      </c>
      <c r="J92" s="453" t="s">
        <v>649</v>
      </c>
      <c r="K92" s="1049" t="s">
        <v>650</v>
      </c>
    </row>
    <row r="93" spans="1:11" ht="24.9">
      <c r="A93" s="461">
        <v>0</v>
      </c>
      <c r="B93" s="453" t="s">
        <v>517</v>
      </c>
      <c r="C93" s="453" t="s">
        <v>538</v>
      </c>
      <c r="D93" s="465" t="s">
        <v>644</v>
      </c>
      <c r="E93" s="453" t="s">
        <v>651</v>
      </c>
      <c r="F93" s="466">
        <v>3258</v>
      </c>
      <c r="G93" s="457"/>
      <c r="H93" s="458">
        <f t="shared" si="13"/>
        <v>1954.8</v>
      </c>
      <c r="I93" s="458">
        <f t="shared" si="12"/>
        <v>0</v>
      </c>
      <c r="J93" s="453" t="s">
        <v>649</v>
      </c>
      <c r="K93" s="1049"/>
    </row>
    <row r="94" spans="1:11" ht="24.9">
      <c r="A94" s="461">
        <v>0</v>
      </c>
      <c r="B94" s="453" t="s">
        <v>517</v>
      </c>
      <c r="C94" s="453" t="s">
        <v>538</v>
      </c>
      <c r="D94" s="465" t="s">
        <v>644</v>
      </c>
      <c r="E94" s="453" t="s">
        <v>652</v>
      </c>
      <c r="F94" s="463">
        <v>5649</v>
      </c>
      <c r="G94" s="457"/>
      <c r="H94" s="458">
        <f t="shared" si="13"/>
        <v>3389.4</v>
      </c>
      <c r="I94" s="458">
        <f t="shared" si="12"/>
        <v>0</v>
      </c>
      <c r="J94" s="453" t="s">
        <v>649</v>
      </c>
      <c r="K94" s="1049"/>
    </row>
    <row r="95" spans="1:11" ht="24.9">
      <c r="A95" s="461">
        <v>0</v>
      </c>
      <c r="B95" s="453" t="s">
        <v>517</v>
      </c>
      <c r="C95" s="453" t="s">
        <v>538</v>
      </c>
      <c r="D95" s="465" t="s">
        <v>644</v>
      </c>
      <c r="E95" s="453" t="s">
        <v>653</v>
      </c>
      <c r="F95" s="463">
        <v>1488</v>
      </c>
      <c r="G95" s="457"/>
      <c r="H95" s="458">
        <f t="shared" si="13"/>
        <v>892.8</v>
      </c>
      <c r="I95" s="458">
        <f t="shared" si="12"/>
        <v>0</v>
      </c>
      <c r="J95" s="453" t="s">
        <v>649</v>
      </c>
      <c r="K95" s="1049"/>
    </row>
    <row r="96" spans="1:11" ht="24.9">
      <c r="A96" s="461">
        <v>0</v>
      </c>
      <c r="B96" s="453" t="s">
        <v>517</v>
      </c>
      <c r="C96" s="453" t="s">
        <v>538</v>
      </c>
      <c r="D96" s="465" t="s">
        <v>644</v>
      </c>
      <c r="E96" s="453" t="s">
        <v>654</v>
      </c>
      <c r="F96" s="463">
        <v>5269</v>
      </c>
      <c r="G96" s="457"/>
      <c r="H96" s="458">
        <f t="shared" si="13"/>
        <v>3161.4</v>
      </c>
      <c r="I96" s="458">
        <f t="shared" si="12"/>
        <v>0</v>
      </c>
      <c r="J96" s="453" t="s">
        <v>649</v>
      </c>
      <c r="K96" s="1049"/>
    </row>
    <row r="97" spans="1:12" ht="24.9">
      <c r="A97" s="461">
        <v>0</v>
      </c>
      <c r="B97" s="453" t="s">
        <v>517</v>
      </c>
      <c r="C97" s="453" t="s">
        <v>538</v>
      </c>
      <c r="D97" s="465" t="s">
        <v>644</v>
      </c>
      <c r="E97" s="453" t="s">
        <v>655</v>
      </c>
      <c r="F97" s="463">
        <v>3078</v>
      </c>
      <c r="G97" s="457"/>
      <c r="H97" s="458">
        <f t="shared" si="13"/>
        <v>1846.8</v>
      </c>
      <c r="I97" s="458">
        <f t="shared" si="12"/>
        <v>0</v>
      </c>
      <c r="J97" s="453" t="s">
        <v>649</v>
      </c>
      <c r="K97" s="1049"/>
    </row>
    <row r="98" spans="1:12" ht="24.9">
      <c r="A98" s="461">
        <v>0</v>
      </c>
      <c r="B98" s="453" t="s">
        <v>517</v>
      </c>
      <c r="C98" s="453" t="s">
        <v>538</v>
      </c>
      <c r="D98" s="465" t="s">
        <v>644</v>
      </c>
      <c r="E98" s="453" t="s">
        <v>656</v>
      </c>
      <c r="F98" s="463">
        <v>3489</v>
      </c>
      <c r="G98" s="457"/>
      <c r="H98" s="458">
        <f t="shared" si="13"/>
        <v>2093.4</v>
      </c>
      <c r="I98" s="458">
        <f t="shared" si="12"/>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4">F100*(1-$G$83)</f>
        <v>4473.5999999999995</v>
      </c>
      <c r="I100" s="458">
        <f t="shared" ref="I100:I130" si="15">A100*H100</f>
        <v>0</v>
      </c>
      <c r="J100" s="453" t="s">
        <v>649</v>
      </c>
      <c r="K100" s="1049"/>
    </row>
    <row r="101" spans="1:12" ht="24.9">
      <c r="A101" s="461">
        <v>0</v>
      </c>
      <c r="B101" s="453" t="s">
        <v>517</v>
      </c>
      <c r="C101" s="453" t="s">
        <v>538</v>
      </c>
      <c r="D101" s="465" t="s">
        <v>644</v>
      </c>
      <c r="E101" s="453" t="s">
        <v>660</v>
      </c>
      <c r="F101" s="463">
        <v>8494</v>
      </c>
      <c r="G101" s="457"/>
      <c r="H101" s="458">
        <f t="shared" si="14"/>
        <v>5096.3999999999996</v>
      </c>
      <c r="I101" s="458">
        <f t="shared" si="15"/>
        <v>0</v>
      </c>
      <c r="J101" s="453" t="s">
        <v>649</v>
      </c>
      <c r="K101" s="1049"/>
    </row>
    <row r="102" spans="1:12" ht="68.75" customHeight="1">
      <c r="A102" s="461">
        <v>0</v>
      </c>
      <c r="B102" s="453" t="s">
        <v>517</v>
      </c>
      <c r="C102" s="453" t="s">
        <v>538</v>
      </c>
      <c r="D102" s="465" t="s">
        <v>644</v>
      </c>
      <c r="E102" s="453" t="s">
        <v>661</v>
      </c>
      <c r="F102" s="463">
        <v>9434</v>
      </c>
      <c r="G102" s="457"/>
      <c r="H102" s="458">
        <f t="shared" si="14"/>
        <v>5660.4</v>
      </c>
      <c r="I102" s="458">
        <f t="shared" si="15"/>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5"/>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5"/>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5"/>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6">F111*(1-$G$83)</f>
        <v>1180.8</v>
      </c>
      <c r="I111" s="458">
        <f t="shared" si="15"/>
        <v>1180.8</v>
      </c>
      <c r="J111" s="459" t="s">
        <v>638</v>
      </c>
      <c r="K111" s="1051" t="s">
        <v>642</v>
      </c>
    </row>
    <row r="112" spans="1:12" ht="24.9">
      <c r="A112" s="452">
        <v>320</v>
      </c>
      <c r="B112" s="453" t="s">
        <v>539</v>
      </c>
      <c r="C112" s="453" t="s">
        <v>538</v>
      </c>
      <c r="D112" s="462" t="s">
        <v>643</v>
      </c>
      <c r="E112" s="453" t="s">
        <v>673</v>
      </c>
      <c r="F112" s="463">
        <v>87.9</v>
      </c>
      <c r="G112" s="457"/>
      <c r="H112" s="458">
        <f t="shared" si="16"/>
        <v>52.74</v>
      </c>
      <c r="I112" s="458">
        <f t="shared" si="15"/>
        <v>16876.8</v>
      </c>
      <c r="J112" s="459" t="s">
        <v>638</v>
      </c>
      <c r="K112" s="1051"/>
    </row>
    <row r="113" spans="1:11" ht="12.8" customHeight="1">
      <c r="A113" s="452">
        <v>0</v>
      </c>
      <c r="B113" s="453" t="s">
        <v>517</v>
      </c>
      <c r="C113" s="453" t="s">
        <v>538</v>
      </c>
      <c r="D113" s="464" t="s">
        <v>644</v>
      </c>
      <c r="E113" s="453" t="s">
        <v>645</v>
      </c>
      <c r="F113" s="463">
        <v>10051</v>
      </c>
      <c r="G113" s="457"/>
      <c r="H113" s="458">
        <f t="shared" si="16"/>
        <v>6030.5999999999995</v>
      </c>
      <c r="I113" s="458">
        <f t="shared" si="15"/>
        <v>0</v>
      </c>
      <c r="J113" s="459" t="s">
        <v>638</v>
      </c>
      <c r="K113" s="1052" t="s">
        <v>646</v>
      </c>
    </row>
    <row r="114" spans="1:11" ht="24.9">
      <c r="A114" s="461">
        <v>0</v>
      </c>
      <c r="B114" s="453" t="s">
        <v>517</v>
      </c>
      <c r="C114" s="453" t="s">
        <v>538</v>
      </c>
      <c r="D114" s="464" t="s">
        <v>644</v>
      </c>
      <c r="E114" s="453" t="s">
        <v>647</v>
      </c>
      <c r="F114" s="463">
        <v>17412</v>
      </c>
      <c r="G114" s="457"/>
      <c r="H114" s="458">
        <f t="shared" si="16"/>
        <v>10447.199999999999</v>
      </c>
      <c r="I114" s="458">
        <f t="shared" si="15"/>
        <v>0</v>
      </c>
      <c r="J114" s="459" t="s">
        <v>638</v>
      </c>
      <c r="K114" s="1052"/>
    </row>
    <row r="115" spans="1:11" ht="12.8" customHeight="1">
      <c r="A115" s="461">
        <v>0</v>
      </c>
      <c r="B115" s="453" t="s">
        <v>517</v>
      </c>
      <c r="C115" s="453" t="s">
        <v>538</v>
      </c>
      <c r="D115" s="465" t="s">
        <v>644</v>
      </c>
      <c r="E115" s="453" t="s">
        <v>648</v>
      </c>
      <c r="F115" s="463">
        <v>2345</v>
      </c>
      <c r="G115" s="457"/>
      <c r="H115" s="458">
        <f t="shared" si="16"/>
        <v>1407</v>
      </c>
      <c r="I115" s="458">
        <f t="shared" si="15"/>
        <v>0</v>
      </c>
      <c r="J115" s="453" t="s">
        <v>649</v>
      </c>
      <c r="K115" s="1049" t="s">
        <v>650</v>
      </c>
    </row>
    <row r="116" spans="1:11" ht="24.9">
      <c r="A116" s="461">
        <v>0</v>
      </c>
      <c r="B116" s="453" t="s">
        <v>517</v>
      </c>
      <c r="C116" s="453" t="s">
        <v>538</v>
      </c>
      <c r="D116" s="465" t="s">
        <v>644</v>
      </c>
      <c r="E116" s="453" t="s">
        <v>651</v>
      </c>
      <c r="F116" s="463">
        <v>3258</v>
      </c>
      <c r="G116" s="457"/>
      <c r="H116" s="458">
        <f t="shared" si="16"/>
        <v>1954.8</v>
      </c>
      <c r="I116" s="458">
        <f t="shared" si="15"/>
        <v>0</v>
      </c>
      <c r="J116" s="453" t="s">
        <v>649</v>
      </c>
      <c r="K116" s="1049"/>
    </row>
    <row r="117" spans="1:11" ht="24.9">
      <c r="A117" s="461">
        <v>0</v>
      </c>
      <c r="B117" s="453" t="s">
        <v>517</v>
      </c>
      <c r="C117" s="453" t="s">
        <v>538</v>
      </c>
      <c r="D117" s="465" t="s">
        <v>644</v>
      </c>
      <c r="E117" s="453" t="s">
        <v>652</v>
      </c>
      <c r="F117" s="463">
        <v>5649</v>
      </c>
      <c r="G117" s="457"/>
      <c r="H117" s="458">
        <f t="shared" si="16"/>
        <v>3389.4</v>
      </c>
      <c r="I117" s="458">
        <f t="shared" si="15"/>
        <v>0</v>
      </c>
      <c r="J117" s="453" t="s">
        <v>649</v>
      </c>
      <c r="K117" s="1049"/>
    </row>
    <row r="118" spans="1:11" ht="24.9">
      <c r="A118" s="461">
        <v>0</v>
      </c>
      <c r="B118" s="453" t="s">
        <v>517</v>
      </c>
      <c r="C118" s="453" t="s">
        <v>538</v>
      </c>
      <c r="D118" s="465" t="s">
        <v>644</v>
      </c>
      <c r="E118" s="453" t="s">
        <v>653</v>
      </c>
      <c r="F118" s="463">
        <v>1488</v>
      </c>
      <c r="G118" s="457"/>
      <c r="H118" s="458">
        <f t="shared" si="16"/>
        <v>892.8</v>
      </c>
      <c r="I118" s="458">
        <f t="shared" si="15"/>
        <v>0</v>
      </c>
      <c r="J118" s="453" t="s">
        <v>649</v>
      </c>
      <c r="K118" s="1049"/>
    </row>
    <row r="119" spans="1:11" ht="24.9">
      <c r="A119" s="461">
        <v>0</v>
      </c>
      <c r="B119" s="453" t="s">
        <v>517</v>
      </c>
      <c r="C119" s="453" t="s">
        <v>538</v>
      </c>
      <c r="D119" s="465" t="s">
        <v>644</v>
      </c>
      <c r="E119" s="453" t="s">
        <v>654</v>
      </c>
      <c r="F119" s="463">
        <v>5269</v>
      </c>
      <c r="G119" s="457"/>
      <c r="H119" s="458">
        <f t="shared" si="16"/>
        <v>3161.4</v>
      </c>
      <c r="I119" s="458">
        <f t="shared" si="15"/>
        <v>0</v>
      </c>
      <c r="J119" s="453" t="s">
        <v>649</v>
      </c>
      <c r="K119" s="1049"/>
    </row>
    <row r="120" spans="1:11" ht="24.9">
      <c r="A120" s="461">
        <v>0</v>
      </c>
      <c r="B120" s="453" t="s">
        <v>517</v>
      </c>
      <c r="C120" s="453" t="s">
        <v>538</v>
      </c>
      <c r="D120" s="465" t="s">
        <v>644</v>
      </c>
      <c r="E120" s="453" t="s">
        <v>655</v>
      </c>
      <c r="F120" s="463">
        <v>3078</v>
      </c>
      <c r="G120" s="457"/>
      <c r="H120" s="458">
        <f t="shared" si="16"/>
        <v>1846.8</v>
      </c>
      <c r="I120" s="458">
        <f t="shared" si="15"/>
        <v>0</v>
      </c>
      <c r="J120" s="453" t="s">
        <v>649</v>
      </c>
      <c r="K120" s="1049"/>
    </row>
    <row r="121" spans="1:11" ht="24.9">
      <c r="A121" s="461">
        <v>0</v>
      </c>
      <c r="B121" s="453" t="s">
        <v>517</v>
      </c>
      <c r="C121" s="453" t="s">
        <v>538</v>
      </c>
      <c r="D121" s="465" t="s">
        <v>644</v>
      </c>
      <c r="E121" s="453" t="s">
        <v>656</v>
      </c>
      <c r="F121" s="463">
        <v>3489</v>
      </c>
      <c r="G121" s="457"/>
      <c r="H121" s="458">
        <f t="shared" si="16"/>
        <v>2093.4</v>
      </c>
      <c r="I121" s="458">
        <f t="shared" si="15"/>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6"/>
        <v>4473.5999999999995</v>
      </c>
      <c r="I123" s="458">
        <f t="shared" si="15"/>
        <v>0</v>
      </c>
      <c r="J123" s="453" t="s">
        <v>649</v>
      </c>
      <c r="K123" s="1049"/>
    </row>
    <row r="124" spans="1:11" ht="24.9">
      <c r="A124" s="461">
        <v>1</v>
      </c>
      <c r="B124" s="453" t="s">
        <v>517</v>
      </c>
      <c r="C124" s="453" t="s">
        <v>538</v>
      </c>
      <c r="D124" s="465" t="s">
        <v>644</v>
      </c>
      <c r="E124" s="453" t="s">
        <v>660</v>
      </c>
      <c r="F124" s="463">
        <v>8494</v>
      </c>
      <c r="G124" s="457"/>
      <c r="H124" s="458">
        <f t="shared" si="16"/>
        <v>5096.3999999999996</v>
      </c>
      <c r="I124" s="458">
        <f t="shared" si="15"/>
        <v>5096.3999999999996</v>
      </c>
      <c r="J124" s="453" t="s">
        <v>649</v>
      </c>
      <c r="K124" s="1049"/>
    </row>
    <row r="125" spans="1:11" ht="24.9">
      <c r="A125" s="461">
        <v>0</v>
      </c>
      <c r="B125" s="453" t="s">
        <v>517</v>
      </c>
      <c r="C125" s="453" t="s">
        <v>538</v>
      </c>
      <c r="D125" s="465" t="s">
        <v>644</v>
      </c>
      <c r="E125" s="453" t="s">
        <v>661</v>
      </c>
      <c r="F125" s="463">
        <v>9434</v>
      </c>
      <c r="G125" s="457"/>
      <c r="H125" s="458">
        <f t="shared" si="16"/>
        <v>5660.4</v>
      </c>
      <c r="I125" s="458">
        <f t="shared" si="15"/>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5"/>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5"/>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7">F137*(1-G137)</f>
        <v>2801.13</v>
      </c>
      <c r="I137" s="409"/>
    </row>
    <row r="138" spans="1:17" ht="22.25">
      <c r="A138" s="407">
        <v>0</v>
      </c>
      <c r="B138" s="407" t="s">
        <v>522</v>
      </c>
      <c r="C138" s="408" t="s">
        <v>678</v>
      </c>
      <c r="D138" s="407" t="s">
        <v>681</v>
      </c>
      <c r="E138" s="408" t="s">
        <v>682</v>
      </c>
      <c r="F138" s="409">
        <v>772.15</v>
      </c>
      <c r="G138" s="410"/>
      <c r="H138" s="409">
        <f t="shared" si="17"/>
        <v>772.15</v>
      </c>
      <c r="I138" s="409"/>
    </row>
    <row r="139" spans="1:17" ht="22.25">
      <c r="A139" s="407">
        <v>0</v>
      </c>
      <c r="B139" s="407" t="s">
        <v>522</v>
      </c>
      <c r="C139" s="408" t="s">
        <v>678</v>
      </c>
      <c r="D139" s="407" t="s">
        <v>683</v>
      </c>
      <c r="E139" s="408" t="s">
        <v>684</v>
      </c>
      <c r="F139" s="409">
        <v>150.26</v>
      </c>
      <c r="G139" s="410"/>
      <c r="H139" s="409">
        <f t="shared" si="17"/>
        <v>150.26</v>
      </c>
      <c r="I139" s="409"/>
    </row>
    <row r="140" spans="1:17" ht="22.25">
      <c r="A140" s="407">
        <v>0</v>
      </c>
      <c r="B140" s="407" t="s">
        <v>522</v>
      </c>
      <c r="C140" s="408" t="s">
        <v>678</v>
      </c>
      <c r="D140" s="407" t="s">
        <v>685</v>
      </c>
      <c r="E140" s="408" t="s">
        <v>686</v>
      </c>
      <c r="F140" s="409">
        <v>10.58</v>
      </c>
      <c r="G140" s="410"/>
      <c r="H140" s="409">
        <f t="shared" si="17"/>
        <v>10.58</v>
      </c>
      <c r="I140" s="409"/>
    </row>
    <row r="141" spans="1:17" ht="22.25">
      <c r="A141" s="407">
        <v>0</v>
      </c>
      <c r="B141" s="407" t="s">
        <v>522</v>
      </c>
      <c r="C141" s="408" t="s">
        <v>678</v>
      </c>
      <c r="D141" s="407" t="s">
        <v>687</v>
      </c>
      <c r="E141" s="408" t="s">
        <v>688</v>
      </c>
      <c r="F141" s="409">
        <v>69.78</v>
      </c>
      <c r="G141" s="410"/>
      <c r="H141" s="409">
        <f t="shared" si="17"/>
        <v>69.78</v>
      </c>
      <c r="I141" s="409"/>
      <c r="J141" s="17" t="s">
        <v>689</v>
      </c>
    </row>
    <row r="142" spans="1:17" ht="22.25">
      <c r="A142" s="487">
        <v>0</v>
      </c>
      <c r="B142" s="407" t="s">
        <v>539</v>
      </c>
      <c r="C142" s="408" t="s">
        <v>690</v>
      </c>
      <c r="D142" s="407"/>
      <c r="E142" s="407" t="s">
        <v>691</v>
      </c>
      <c r="F142" s="409">
        <v>7.58</v>
      </c>
      <c r="G142" s="410"/>
      <c r="H142" s="409">
        <f t="shared" si="17"/>
        <v>7.58</v>
      </c>
      <c r="I142" s="409"/>
      <c r="J142" s="17" t="s">
        <v>692</v>
      </c>
    </row>
    <row r="143" spans="1:17" ht="22.25">
      <c r="A143" s="487">
        <v>0</v>
      </c>
      <c r="B143" s="407" t="s">
        <v>539</v>
      </c>
      <c r="C143" s="408" t="s">
        <v>690</v>
      </c>
      <c r="D143" s="407"/>
      <c r="E143" s="407" t="s">
        <v>693</v>
      </c>
      <c r="F143" s="409">
        <v>2.04</v>
      </c>
      <c r="G143" s="410"/>
      <c r="H143" s="409">
        <f t="shared" si="17"/>
        <v>2.04</v>
      </c>
      <c r="I143" s="409"/>
      <c r="J143" s="17" t="s">
        <v>694</v>
      </c>
    </row>
    <row r="144" spans="1:17" ht="22.25">
      <c r="A144" s="407">
        <v>0</v>
      </c>
      <c r="B144" s="407" t="s">
        <v>522</v>
      </c>
      <c r="C144" s="408"/>
      <c r="D144" s="407"/>
      <c r="E144" s="408" t="s">
        <v>695</v>
      </c>
      <c r="F144" s="409">
        <v>50</v>
      </c>
      <c r="G144" s="410"/>
      <c r="H144" s="409">
        <f t="shared" si="17"/>
        <v>50</v>
      </c>
      <c r="I144" s="409"/>
      <c r="J144" s="204" t="s">
        <v>696</v>
      </c>
    </row>
    <row r="145" spans="1:10">
      <c r="A145" s="407">
        <v>0</v>
      </c>
      <c r="B145" s="407" t="s">
        <v>619</v>
      </c>
      <c r="C145" s="408"/>
      <c r="D145" s="407"/>
      <c r="E145" s="408" t="s">
        <v>697</v>
      </c>
      <c r="F145" s="409">
        <f>F68</f>
        <v>55</v>
      </c>
      <c r="G145" s="410"/>
      <c r="H145" s="409">
        <f t="shared" si="17"/>
        <v>55</v>
      </c>
      <c r="I145" s="409"/>
    </row>
    <row r="146" spans="1:10" ht="66.8">
      <c r="A146" s="407">
        <v>0</v>
      </c>
      <c r="B146" s="407" t="s">
        <v>517</v>
      </c>
      <c r="C146" s="408" t="s">
        <v>698</v>
      </c>
      <c r="D146" s="407" t="s">
        <v>636</v>
      </c>
      <c r="E146" s="408" t="s">
        <v>637</v>
      </c>
      <c r="F146" s="409">
        <v>1809</v>
      </c>
      <c r="G146" s="410">
        <v>0.75</v>
      </c>
      <c r="H146" s="409">
        <f t="shared" si="17"/>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7"/>
        <v>800</v>
      </c>
      <c r="I160" s="403">
        <f t="shared" ref="I160:I177" si="18">A160*H160</f>
        <v>800</v>
      </c>
      <c r="J160" s="17" t="s">
        <v>704</v>
      </c>
    </row>
    <row r="161" spans="1:10">
      <c r="A161" s="442">
        <v>1</v>
      </c>
      <c r="B161" s="17" t="s">
        <v>517</v>
      </c>
      <c r="E161" s="17" t="s">
        <v>705</v>
      </c>
      <c r="F161" s="403">
        <v>500</v>
      </c>
      <c r="H161" s="403">
        <f t="shared" si="17"/>
        <v>500</v>
      </c>
      <c r="I161" s="403">
        <f t="shared" si="18"/>
        <v>500</v>
      </c>
      <c r="J161" s="17" t="s">
        <v>704</v>
      </c>
    </row>
    <row r="162" spans="1:10">
      <c r="A162" s="17">
        <v>1</v>
      </c>
      <c r="B162" s="17" t="s">
        <v>517</v>
      </c>
      <c r="E162" s="17" t="s">
        <v>706</v>
      </c>
      <c r="F162" s="403">
        <v>40</v>
      </c>
      <c r="H162" s="403">
        <f t="shared" si="17"/>
        <v>40</v>
      </c>
      <c r="I162" s="403">
        <f t="shared" si="18"/>
        <v>40</v>
      </c>
    </row>
    <row r="163" spans="1:10">
      <c r="A163" s="442">
        <v>1</v>
      </c>
      <c r="B163" s="17" t="s">
        <v>517</v>
      </c>
      <c r="E163" s="17" t="s">
        <v>707</v>
      </c>
      <c r="F163" s="403">
        <v>1500</v>
      </c>
      <c r="H163" s="403">
        <f t="shared" si="17"/>
        <v>1500</v>
      </c>
      <c r="I163" s="403">
        <f t="shared" si="18"/>
        <v>1500</v>
      </c>
      <c r="J163" s="17" t="s">
        <v>806</v>
      </c>
    </row>
    <row r="164" spans="1:10">
      <c r="A164" s="442">
        <v>0</v>
      </c>
      <c r="B164" s="17" t="s">
        <v>517</v>
      </c>
      <c r="E164" s="17" t="s">
        <v>807</v>
      </c>
      <c r="F164" s="403">
        <v>500</v>
      </c>
      <c r="H164" s="403">
        <f t="shared" si="17"/>
        <v>500</v>
      </c>
      <c r="I164" s="403">
        <f t="shared" si="18"/>
        <v>0</v>
      </c>
      <c r="J164" s="17" t="s">
        <v>806</v>
      </c>
    </row>
    <row r="165" spans="1:10" ht="55.65">
      <c r="A165" s="442">
        <v>1</v>
      </c>
      <c r="B165" s="17" t="s">
        <v>517</v>
      </c>
      <c r="C165" s="204" t="s">
        <v>708</v>
      </c>
      <c r="E165" s="204" t="s">
        <v>709</v>
      </c>
      <c r="F165" s="403">
        <v>460</v>
      </c>
      <c r="H165" s="403">
        <f t="shared" si="17"/>
        <v>460</v>
      </c>
      <c r="I165" s="403">
        <f t="shared" si="18"/>
        <v>460</v>
      </c>
    </row>
    <row r="166" spans="1:10" ht="33.4">
      <c r="A166" s="442">
        <v>0</v>
      </c>
      <c r="B166" s="17" t="s">
        <v>517</v>
      </c>
      <c r="C166" s="204" t="s">
        <v>808</v>
      </c>
      <c r="E166" s="204" t="s">
        <v>712</v>
      </c>
      <c r="F166" s="403">
        <v>365</v>
      </c>
      <c r="H166" s="403">
        <f t="shared" si="17"/>
        <v>365</v>
      </c>
      <c r="I166" s="403">
        <f t="shared" si="18"/>
        <v>0</v>
      </c>
    </row>
    <row r="167" spans="1:10" ht="55.65">
      <c r="A167" s="442">
        <v>0</v>
      </c>
      <c r="B167" s="17" t="s">
        <v>517</v>
      </c>
      <c r="C167" s="17" t="s">
        <v>713</v>
      </c>
      <c r="D167" s="17" t="s">
        <v>714</v>
      </c>
      <c r="E167" s="204" t="s">
        <v>715</v>
      </c>
      <c r="F167" s="403">
        <v>2725</v>
      </c>
      <c r="H167" s="403">
        <f t="shared" si="17"/>
        <v>2725</v>
      </c>
      <c r="I167" s="403">
        <f t="shared" si="18"/>
        <v>0</v>
      </c>
    </row>
    <row r="168" spans="1:10" ht="33.4">
      <c r="A168" s="442">
        <v>0</v>
      </c>
      <c r="B168" s="17" t="s">
        <v>517</v>
      </c>
      <c r="C168" s="204" t="s">
        <v>716</v>
      </c>
      <c r="E168" s="17" t="s">
        <v>717</v>
      </c>
      <c r="F168" s="403">
        <f>1840*1.04</f>
        <v>1913.6000000000001</v>
      </c>
      <c r="H168" s="403">
        <f t="shared" si="17"/>
        <v>1913.6000000000001</v>
      </c>
      <c r="I168" s="403">
        <f t="shared" si="18"/>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7"/>
        <v>50</v>
      </c>
      <c r="I171" s="403">
        <f t="shared" si="18"/>
        <v>0</v>
      </c>
    </row>
    <row r="172" spans="1:10">
      <c r="A172" s="442">
        <v>0</v>
      </c>
      <c r="B172" s="17" t="s">
        <v>517</v>
      </c>
      <c r="C172" s="204" t="s">
        <v>721</v>
      </c>
      <c r="E172" s="17" t="s">
        <v>722</v>
      </c>
      <c r="F172" s="403">
        <f>69/100</f>
        <v>0.69</v>
      </c>
      <c r="H172" s="403">
        <f t="shared" si="17"/>
        <v>0.69</v>
      </c>
      <c r="I172" s="403">
        <f t="shared" si="18"/>
        <v>0</v>
      </c>
    </row>
    <row r="173" spans="1:10">
      <c r="A173" s="442">
        <f t="shared" ref="A173:A176" si="19">A172</f>
        <v>0</v>
      </c>
      <c r="B173" s="17" t="s">
        <v>517</v>
      </c>
      <c r="C173" s="204" t="s">
        <v>721</v>
      </c>
      <c r="E173" s="17" t="s">
        <v>723</v>
      </c>
      <c r="F173" s="403">
        <v>0.1</v>
      </c>
      <c r="H173" s="403">
        <f t="shared" si="17"/>
        <v>0.1</v>
      </c>
      <c r="I173" s="403">
        <f t="shared" si="18"/>
        <v>0</v>
      </c>
    </row>
    <row r="174" spans="1:10">
      <c r="A174" s="442">
        <f t="shared" si="19"/>
        <v>0</v>
      </c>
      <c r="B174" s="17" t="s">
        <v>517</v>
      </c>
      <c r="C174" s="204" t="s">
        <v>721</v>
      </c>
      <c r="E174" s="17" t="s">
        <v>724</v>
      </c>
      <c r="F174" s="403">
        <f>13.25/1.2/100</f>
        <v>0.11041666666666668</v>
      </c>
      <c r="H174" s="403">
        <f t="shared" si="17"/>
        <v>0.11041666666666668</v>
      </c>
      <c r="I174" s="403">
        <f t="shared" si="18"/>
        <v>0</v>
      </c>
    </row>
    <row r="175" spans="1:10" ht="22.25">
      <c r="A175" s="442">
        <v>0</v>
      </c>
      <c r="B175" s="17" t="s">
        <v>539</v>
      </c>
      <c r="C175" s="204" t="s">
        <v>725</v>
      </c>
      <c r="E175" s="17" t="s">
        <v>726</v>
      </c>
      <c r="F175" s="403">
        <f>15.73/1.2</f>
        <v>13.108333333333334</v>
      </c>
      <c r="H175" s="403">
        <f t="shared" si="17"/>
        <v>13.108333333333334</v>
      </c>
      <c r="I175" s="403">
        <f t="shared" si="18"/>
        <v>0</v>
      </c>
    </row>
    <row r="176" spans="1:10" ht="22.25">
      <c r="A176" s="442">
        <f t="shared" si="19"/>
        <v>0</v>
      </c>
      <c r="B176" s="17" t="s">
        <v>539</v>
      </c>
      <c r="C176" s="204" t="s">
        <v>531</v>
      </c>
      <c r="E176" s="17" t="s">
        <v>727</v>
      </c>
      <c r="F176" s="403">
        <v>25</v>
      </c>
      <c r="H176" s="403">
        <f t="shared" si="17"/>
        <v>25</v>
      </c>
      <c r="I176" s="403">
        <f t="shared" si="18"/>
        <v>0</v>
      </c>
    </row>
    <row r="177" spans="1:9" ht="22.25">
      <c r="A177" s="442">
        <f>A176*4</f>
        <v>0</v>
      </c>
      <c r="B177" s="17" t="s">
        <v>517</v>
      </c>
      <c r="C177" s="204" t="s">
        <v>531</v>
      </c>
      <c r="E177" s="17" t="s">
        <v>728</v>
      </c>
      <c r="F177" s="403">
        <v>0.1</v>
      </c>
      <c r="H177" s="403">
        <f t="shared" si="17"/>
        <v>0.1</v>
      </c>
      <c r="I177" s="403">
        <f t="shared" si="18"/>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7"/>
        <v>500</v>
      </c>
      <c r="I182" s="403">
        <f t="shared" ref="I182:I184" si="20">A182*H182</f>
        <v>500</v>
      </c>
    </row>
    <row r="183" spans="1:9" ht="55.65">
      <c r="A183" s="442">
        <v>0</v>
      </c>
      <c r="B183" s="17" t="s">
        <v>517</v>
      </c>
      <c r="C183" s="204" t="s">
        <v>708</v>
      </c>
      <c r="E183" s="204" t="s">
        <v>731</v>
      </c>
      <c r="F183" s="403">
        <f>460/2</f>
        <v>230</v>
      </c>
      <c r="H183" s="403">
        <f t="shared" si="17"/>
        <v>230</v>
      </c>
      <c r="I183" s="403">
        <f t="shared" si="20"/>
        <v>0</v>
      </c>
    </row>
    <row r="184" spans="1:9" ht="55.65">
      <c r="A184" s="442">
        <v>0</v>
      </c>
      <c r="B184" s="17" t="s">
        <v>517</v>
      </c>
      <c r="C184" s="204" t="s">
        <v>711</v>
      </c>
      <c r="E184" s="204" t="s">
        <v>732</v>
      </c>
      <c r="F184" s="403">
        <f>320/2</f>
        <v>160</v>
      </c>
      <c r="H184" s="403">
        <f t="shared" si="17"/>
        <v>160</v>
      </c>
      <c r="I184" s="403">
        <f t="shared" si="20"/>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zoomScale="95" workbookViewId="0">
      <pane ySplit="3" topLeftCell="A4" activePane="bottomLeft" state="frozen"/>
      <selection activeCell="S39" sqref="M39:S39"/>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f>VLOOKUP(E4,Catalogue!F:J,5,0)</f>
        <v>375</v>
      </c>
      <c r="J1" s="17" t="s">
        <v>494</v>
      </c>
      <c r="K1" s="17" t="s">
        <v>495</v>
      </c>
      <c r="L1" s="58">
        <f>A4*I1</f>
        <v>36000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96</v>
      </c>
      <c r="B4" s="413" t="s">
        <v>505</v>
      </c>
      <c r="C4" s="415" t="s">
        <v>815</v>
      </c>
      <c r="D4" s="414"/>
      <c r="E4" s="415" t="s">
        <v>816</v>
      </c>
      <c r="F4" s="416">
        <v>130</v>
      </c>
      <c r="G4" s="410"/>
      <c r="H4" s="409">
        <f t="shared" ref="H4:H13" si="0">F4*(1-G4)</f>
        <v>130</v>
      </c>
      <c r="I4" s="409">
        <f t="shared" ref="I4:I13" si="1">A4*H4</f>
        <v>12480</v>
      </c>
      <c r="J4" s="417">
        <f>F4/$I$1</f>
        <v>0.34666666666666668</v>
      </c>
      <c r="K4" s="403" t="s">
        <v>780</v>
      </c>
      <c r="M4" s="418">
        <f>I4</f>
        <v>12480</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96</v>
      </c>
      <c r="B6" s="413" t="s">
        <v>505</v>
      </c>
      <c r="C6" s="413" t="s">
        <v>781</v>
      </c>
      <c r="D6" s="413"/>
      <c r="E6" s="420" t="s">
        <v>782</v>
      </c>
      <c r="F6" s="421">
        <f>3648/A6</f>
        <v>38</v>
      </c>
      <c r="G6" s="422"/>
      <c r="H6" s="409">
        <f t="shared" si="0"/>
        <v>38</v>
      </c>
      <c r="I6" s="409">
        <f t="shared" si="1"/>
        <v>3648</v>
      </c>
      <c r="J6" s="417">
        <f>F6/$I$1</f>
        <v>0.10133333333333333</v>
      </c>
      <c r="K6" s="417"/>
      <c r="L6" s="204"/>
      <c r="M6" s="418">
        <f>I6</f>
        <v>3648</v>
      </c>
      <c r="N6" s="418"/>
      <c r="O6" s="418"/>
      <c r="P6" s="418"/>
      <c r="Q6" s="418"/>
      <c r="R6" s="418"/>
      <c r="S6" s="418"/>
    </row>
    <row r="7" spans="1:19" ht="44.55">
      <c r="A7" s="413">
        <v>1</v>
      </c>
      <c r="B7" s="413" t="s">
        <v>517</v>
      </c>
      <c r="C7" s="420" t="s">
        <v>540</v>
      </c>
      <c r="D7" s="413" t="s">
        <v>821</v>
      </c>
      <c r="E7" s="420" t="s">
        <v>822</v>
      </c>
      <c r="F7" s="421">
        <v>1810</v>
      </c>
      <c r="G7" s="410"/>
      <c r="H7" s="409">
        <f t="shared" si="0"/>
        <v>1810</v>
      </c>
      <c r="I7" s="409">
        <f t="shared" si="1"/>
        <v>1810</v>
      </c>
      <c r="J7" s="204"/>
      <c r="M7" s="418"/>
      <c r="N7" s="418">
        <f t="shared" ref="N7:N9" si="2">I7</f>
        <v>1810</v>
      </c>
      <c r="O7" s="418"/>
      <c r="P7" s="418"/>
      <c r="Q7" s="418"/>
      <c r="R7" s="418"/>
      <c r="S7" s="418"/>
    </row>
    <row r="8" spans="1:19">
      <c r="A8" s="413">
        <v>1</v>
      </c>
      <c r="B8" s="413" t="s">
        <v>505</v>
      </c>
      <c r="C8" s="413" t="s">
        <v>751</v>
      </c>
      <c r="D8" s="413"/>
      <c r="E8" s="420" t="s">
        <v>823</v>
      </c>
      <c r="F8" s="421">
        <v>853.37</v>
      </c>
      <c r="G8" s="410"/>
      <c r="H8" s="409">
        <f t="shared" si="0"/>
        <v>853.37</v>
      </c>
      <c r="I8" s="409">
        <f t="shared" si="1"/>
        <v>853.37</v>
      </c>
      <c r="J8" s="204"/>
      <c r="M8" s="418"/>
      <c r="N8" s="418">
        <f t="shared" si="2"/>
        <v>853.37</v>
      </c>
      <c r="O8" s="418"/>
      <c r="P8" s="418"/>
      <c r="Q8" s="418"/>
      <c r="R8" s="418"/>
      <c r="S8" s="418"/>
    </row>
    <row r="9" spans="1:19">
      <c r="A9" s="407"/>
      <c r="B9" s="407"/>
      <c r="C9" s="408"/>
      <c r="D9" s="407"/>
      <c r="E9" s="408"/>
      <c r="F9" s="409"/>
      <c r="G9" s="410"/>
      <c r="H9" s="409">
        <f t="shared" si="0"/>
        <v>0</v>
      </c>
      <c r="I9" s="409">
        <f t="shared" si="1"/>
        <v>0</v>
      </c>
      <c r="J9" s="204"/>
      <c r="M9" s="418"/>
      <c r="N9" s="418">
        <f t="shared" si="2"/>
        <v>0</v>
      </c>
      <c r="O9" s="418"/>
      <c r="P9" s="418"/>
      <c r="Q9" s="418"/>
      <c r="R9" s="418"/>
      <c r="S9" s="418"/>
    </row>
    <row r="10" spans="1:19">
      <c r="A10" s="407"/>
      <c r="B10" s="407"/>
      <c r="C10" s="408"/>
      <c r="D10" s="407"/>
      <c r="E10" s="408"/>
      <c r="F10" s="409"/>
      <c r="G10" s="410"/>
      <c r="H10" s="409">
        <f>F10*(1-G10)</f>
        <v>0</v>
      </c>
      <c r="I10" s="409">
        <f>A10*H10</f>
        <v>0</v>
      </c>
      <c r="J10" s="204"/>
      <c r="M10" s="418"/>
      <c r="N10" s="418">
        <f>I10</f>
        <v>0</v>
      </c>
      <c r="O10" s="418"/>
      <c r="P10" s="418"/>
      <c r="Q10" s="418"/>
      <c r="R10" s="418"/>
      <c r="S10" s="418"/>
    </row>
    <row r="11" spans="1:19" ht="44.55">
      <c r="A11" s="413">
        <v>1</v>
      </c>
      <c r="B11" s="413"/>
      <c r="C11" s="415" t="s">
        <v>747</v>
      </c>
      <c r="D11" s="423"/>
      <c r="E11" s="415" t="s">
        <v>824</v>
      </c>
      <c r="F11" s="416">
        <v>555.55999999999995</v>
      </c>
      <c r="G11" s="410"/>
      <c r="H11" s="409">
        <f t="shared" si="0"/>
        <v>555.55999999999995</v>
      </c>
      <c r="I11" s="409">
        <f t="shared" si="1"/>
        <v>555.55999999999995</v>
      </c>
      <c r="J11" s="204"/>
      <c r="K11" s="17" t="s">
        <v>825</v>
      </c>
      <c r="L11" s="442"/>
      <c r="M11" s="418"/>
      <c r="N11" s="418"/>
      <c r="O11" s="418"/>
      <c r="P11" s="418"/>
      <c r="Q11" s="418"/>
      <c r="R11" s="418">
        <f t="shared" ref="R11:R26" si="3">I11</f>
        <v>555.55999999999995</v>
      </c>
      <c r="S11" s="418"/>
    </row>
    <row r="12" spans="1:19">
      <c r="A12" s="413">
        <v>1</v>
      </c>
      <c r="B12" s="413"/>
      <c r="C12" s="413" t="s">
        <v>751</v>
      </c>
      <c r="D12" s="413"/>
      <c r="E12" s="420" t="s">
        <v>826</v>
      </c>
      <c r="F12" s="421">
        <v>115.56</v>
      </c>
      <c r="G12" s="410"/>
      <c r="H12" s="409">
        <f t="shared" si="0"/>
        <v>115.56</v>
      </c>
      <c r="I12" s="409">
        <f t="shared" si="1"/>
        <v>115.56</v>
      </c>
      <c r="J12" s="204"/>
      <c r="K12" s="17" t="s">
        <v>827</v>
      </c>
      <c r="L12" s="442"/>
      <c r="M12" s="418"/>
      <c r="N12" s="418"/>
      <c r="O12" s="418"/>
      <c r="P12" s="418"/>
      <c r="Q12" s="418"/>
      <c r="R12" s="418">
        <f t="shared" si="3"/>
        <v>115.56</v>
      </c>
      <c r="S12" s="418"/>
    </row>
    <row r="13" spans="1:19" ht="166.95">
      <c r="A13" s="413">
        <v>1</v>
      </c>
      <c r="B13" s="413" t="s">
        <v>505</v>
      </c>
      <c r="C13" s="423" t="s">
        <v>828</v>
      </c>
      <c r="D13" s="423" t="s">
        <v>829</v>
      </c>
      <c r="E13" s="424" t="s">
        <v>830</v>
      </c>
      <c r="F13" s="425">
        <v>635.23</v>
      </c>
      <c r="G13" s="410"/>
      <c r="H13" s="409">
        <f t="shared" si="0"/>
        <v>635.23</v>
      </c>
      <c r="I13" s="409">
        <f t="shared" si="1"/>
        <v>635.23</v>
      </c>
      <c r="J13" s="204"/>
      <c r="M13" s="418"/>
      <c r="N13" s="418"/>
      <c r="O13" s="418"/>
      <c r="P13" s="418"/>
      <c r="Q13" s="418"/>
      <c r="R13" s="418">
        <f t="shared" si="3"/>
        <v>635.23</v>
      </c>
      <c r="S13" s="418"/>
    </row>
    <row r="14" spans="1:19">
      <c r="A14" s="407"/>
      <c r="B14" s="407"/>
      <c r="C14" s="407"/>
      <c r="D14" s="407"/>
      <c r="E14" s="408"/>
      <c r="F14" s="409"/>
      <c r="G14" s="410"/>
      <c r="H14" s="409">
        <f t="shared" ref="H14:H69" si="4">F14*(1-G14)</f>
        <v>0</v>
      </c>
      <c r="I14" s="409">
        <f t="shared" ref="I14:I34" si="5">A14*H14</f>
        <v>0</v>
      </c>
      <c r="J14" s="204"/>
      <c r="M14" s="418"/>
      <c r="N14" s="418"/>
      <c r="O14" s="418"/>
      <c r="P14" s="418"/>
      <c r="Q14" s="418"/>
      <c r="R14" s="418">
        <f t="shared" si="3"/>
        <v>0</v>
      </c>
      <c r="S14" s="418"/>
    </row>
    <row r="15" spans="1:19">
      <c r="A15" s="413">
        <v>1</v>
      </c>
      <c r="B15" s="413" t="s">
        <v>505</v>
      </c>
      <c r="C15" s="413" t="s">
        <v>792</v>
      </c>
      <c r="D15" s="413" t="s">
        <v>793</v>
      </c>
      <c r="E15" s="420" t="s">
        <v>794</v>
      </c>
      <c r="F15" s="421">
        <v>2000</v>
      </c>
      <c r="G15" s="410"/>
      <c r="H15" s="409">
        <f t="shared" si="4"/>
        <v>2000</v>
      </c>
      <c r="I15" s="409">
        <f t="shared" si="5"/>
        <v>2000</v>
      </c>
      <c r="J15" s="204"/>
      <c r="M15" s="418"/>
      <c r="N15" s="418"/>
      <c r="O15" s="418"/>
      <c r="P15" s="418"/>
      <c r="Q15" s="418"/>
      <c r="R15" s="418">
        <f t="shared" si="3"/>
        <v>2000</v>
      </c>
      <c r="S15" s="418"/>
    </row>
    <row r="16" spans="1:19" ht="33.4">
      <c r="A16" s="407">
        <v>0</v>
      </c>
      <c r="B16" s="407" t="s">
        <v>505</v>
      </c>
      <c r="C16" s="408" t="s">
        <v>534</v>
      </c>
      <c r="D16" s="407"/>
      <c r="E16" s="408" t="s">
        <v>535</v>
      </c>
      <c r="F16" s="409">
        <v>3.71</v>
      </c>
      <c r="G16" s="410"/>
      <c r="H16" s="409">
        <f t="shared" si="4"/>
        <v>3.71</v>
      </c>
      <c r="I16" s="409">
        <f t="shared" si="5"/>
        <v>0</v>
      </c>
      <c r="J16" s="204" t="s">
        <v>795</v>
      </c>
      <c r="M16" s="418"/>
      <c r="N16" s="418"/>
      <c r="O16" s="418"/>
      <c r="P16" s="418"/>
      <c r="Q16" s="418"/>
      <c r="R16" s="418">
        <f t="shared" si="3"/>
        <v>0</v>
      </c>
      <c r="S16" s="418"/>
    </row>
    <row r="17" spans="1:19" ht="22.25">
      <c r="A17" s="407">
        <f>A16</f>
        <v>0</v>
      </c>
      <c r="B17" s="407" t="s">
        <v>505</v>
      </c>
      <c r="C17" s="408" t="s">
        <v>534</v>
      </c>
      <c r="D17" s="407"/>
      <c r="E17" s="408" t="s">
        <v>537</v>
      </c>
      <c r="F17" s="409">
        <v>3.81</v>
      </c>
      <c r="G17" s="410"/>
      <c r="H17" s="409">
        <f t="shared" si="4"/>
        <v>3.81</v>
      </c>
      <c r="I17" s="409">
        <f t="shared" si="5"/>
        <v>0</v>
      </c>
      <c r="J17" s="204" t="s">
        <v>538</v>
      </c>
      <c r="M17" s="418"/>
      <c r="N17" s="418"/>
      <c r="O17" s="418"/>
      <c r="P17" s="418"/>
      <c r="Q17" s="418"/>
      <c r="R17" s="418">
        <f t="shared" si="3"/>
        <v>0</v>
      </c>
      <c r="S17" s="418"/>
    </row>
    <row r="18" spans="1:19" ht="44.55">
      <c r="A18" s="413">
        <f>237*1.1</f>
        <v>260.70000000000005</v>
      </c>
      <c r="B18" s="413" t="s">
        <v>539</v>
      </c>
      <c r="C18" s="415" t="s">
        <v>747</v>
      </c>
      <c r="D18" s="413"/>
      <c r="E18" s="420" t="s">
        <v>755</v>
      </c>
      <c r="F18" s="421">
        <f t="shared" ref="F18:F19" si="6">362.73/500</f>
        <v>0.72545999999999999</v>
      </c>
      <c r="G18" s="410"/>
      <c r="H18" s="409">
        <f t="shared" si="4"/>
        <v>0.72545999999999999</v>
      </c>
      <c r="I18" s="409">
        <f t="shared" si="5"/>
        <v>189.12742200000002</v>
      </c>
      <c r="M18" s="418"/>
      <c r="N18" s="418"/>
      <c r="O18" s="418">
        <f t="shared" ref="O18:O29" si="7">I18</f>
        <v>189.12742200000002</v>
      </c>
      <c r="P18" s="418"/>
      <c r="Q18" s="418"/>
      <c r="R18" s="418"/>
      <c r="S18" s="418"/>
    </row>
    <row r="19" spans="1:19" ht="44.55">
      <c r="A19" s="413">
        <f>431*1.1</f>
        <v>474.1</v>
      </c>
      <c r="B19" s="413" t="s">
        <v>539</v>
      </c>
      <c r="C19" s="415" t="s">
        <v>747</v>
      </c>
      <c r="D19" s="413"/>
      <c r="E19" s="420" t="s">
        <v>757</v>
      </c>
      <c r="F19" s="421">
        <f t="shared" si="6"/>
        <v>0.72545999999999999</v>
      </c>
      <c r="G19" s="410"/>
      <c r="H19" s="409">
        <f t="shared" si="4"/>
        <v>0.72545999999999999</v>
      </c>
      <c r="I19" s="409">
        <f t="shared" si="5"/>
        <v>343.940586</v>
      </c>
      <c r="M19" s="418"/>
      <c r="N19" s="418"/>
      <c r="O19" s="418">
        <f t="shared" si="7"/>
        <v>343.940586</v>
      </c>
      <c r="P19" s="418"/>
      <c r="Q19" s="418"/>
      <c r="R19" s="418"/>
      <c r="S19" s="418"/>
    </row>
    <row r="20" spans="1:19" ht="44.55">
      <c r="A20" s="413">
        <v>4.5</v>
      </c>
      <c r="B20" s="413" t="s">
        <v>551</v>
      </c>
      <c r="C20" s="420" t="s">
        <v>552</v>
      </c>
      <c r="D20" s="413" t="s">
        <v>553</v>
      </c>
      <c r="E20" s="420" t="s">
        <v>554</v>
      </c>
      <c r="F20" s="421">
        <v>100</v>
      </c>
      <c r="G20" s="426"/>
      <c r="H20" s="425">
        <f t="shared" si="4"/>
        <v>100</v>
      </c>
      <c r="I20" s="409">
        <f t="shared" si="5"/>
        <v>450</v>
      </c>
      <c r="J20" s="204"/>
      <c r="K20" s="17" t="s">
        <v>555</v>
      </c>
      <c r="M20" s="418"/>
      <c r="N20" s="418"/>
      <c r="O20" s="418">
        <f t="shared" si="7"/>
        <v>450</v>
      </c>
      <c r="P20" s="418"/>
      <c r="Q20" s="418"/>
      <c r="R20" s="418"/>
      <c r="S20" s="418"/>
    </row>
    <row r="21" spans="1:19" ht="33.4">
      <c r="A21" s="413">
        <f>4*5+2</f>
        <v>22</v>
      </c>
      <c r="B21" s="413" t="s">
        <v>517</v>
      </c>
      <c r="C21" s="420" t="s">
        <v>540</v>
      </c>
      <c r="D21" s="413" t="s">
        <v>797</v>
      </c>
      <c r="E21" s="420" t="s">
        <v>798</v>
      </c>
      <c r="F21" s="421">
        <v>0.88</v>
      </c>
      <c r="G21" s="410"/>
      <c r="H21" s="409">
        <f t="shared" si="4"/>
        <v>0.88</v>
      </c>
      <c r="I21" s="409">
        <f t="shared" si="5"/>
        <v>19.36</v>
      </c>
      <c r="J21" s="204" t="s">
        <v>831</v>
      </c>
      <c r="K21" s="17" t="s">
        <v>832</v>
      </c>
      <c r="M21" s="418"/>
      <c r="N21" s="418"/>
      <c r="O21" s="418">
        <f t="shared" si="7"/>
        <v>19.36</v>
      </c>
      <c r="P21" s="418"/>
      <c r="Q21" s="418"/>
      <c r="R21" s="418"/>
      <c r="S21" s="418"/>
    </row>
    <row r="22" spans="1:19" ht="33.4">
      <c r="A22" s="413">
        <f>A21</f>
        <v>22</v>
      </c>
      <c r="B22" s="413" t="s">
        <v>517</v>
      </c>
      <c r="C22" s="420" t="s">
        <v>540</v>
      </c>
      <c r="D22" s="413" t="s">
        <v>800</v>
      </c>
      <c r="E22" s="420" t="s">
        <v>801</v>
      </c>
      <c r="F22" s="421">
        <v>0.67</v>
      </c>
      <c r="G22" s="410"/>
      <c r="H22" s="409">
        <f t="shared" si="4"/>
        <v>0.67</v>
      </c>
      <c r="I22" s="409">
        <f t="shared" si="5"/>
        <v>14.74</v>
      </c>
      <c r="J22" s="204" t="s">
        <v>831</v>
      </c>
      <c r="K22" s="17" t="s">
        <v>832</v>
      </c>
      <c r="M22" s="418"/>
      <c r="N22" s="418"/>
      <c r="O22" s="418">
        <f t="shared" si="7"/>
        <v>14.74</v>
      </c>
      <c r="P22" s="418"/>
      <c r="Q22" s="418"/>
      <c r="R22" s="418"/>
      <c r="S22" s="418"/>
    </row>
    <row r="23" spans="1:19" ht="22.25">
      <c r="A23" s="407">
        <v>0</v>
      </c>
      <c r="B23" s="407" t="s">
        <v>517</v>
      </c>
      <c r="C23" s="408" t="s">
        <v>540</v>
      </c>
      <c r="D23" s="407" t="s">
        <v>556</v>
      </c>
      <c r="E23" s="408" t="s">
        <v>557</v>
      </c>
      <c r="F23" s="409">
        <v>6.58</v>
      </c>
      <c r="G23" s="410"/>
      <c r="H23" s="409">
        <f t="shared" si="4"/>
        <v>6.58</v>
      </c>
      <c r="I23" s="409">
        <f t="shared" si="5"/>
        <v>0</v>
      </c>
      <c r="J23" s="204"/>
      <c r="M23" s="418"/>
      <c r="N23" s="418"/>
      <c r="O23" s="418">
        <f t="shared" si="7"/>
        <v>0</v>
      </c>
      <c r="P23" s="418"/>
      <c r="Q23" s="418"/>
      <c r="R23" s="418"/>
      <c r="S23" s="418"/>
    </row>
    <row r="24" spans="1:19" ht="22.25">
      <c r="A24" s="413">
        <v>12</v>
      </c>
      <c r="B24" s="413" t="s">
        <v>517</v>
      </c>
      <c r="C24" s="415" t="s">
        <v>506</v>
      </c>
      <c r="D24" s="414"/>
      <c r="E24" s="415" t="s">
        <v>802</v>
      </c>
      <c r="F24" s="416">
        <f>86.1/28</f>
        <v>3.0749999999999997</v>
      </c>
      <c r="G24" s="410"/>
      <c r="H24" s="409">
        <f t="shared" si="4"/>
        <v>3.0749999999999997</v>
      </c>
      <c r="I24" s="409">
        <f t="shared" si="5"/>
        <v>36.9</v>
      </c>
      <c r="J24" s="204"/>
      <c r="M24" s="418"/>
      <c r="N24" s="418"/>
      <c r="O24" s="418"/>
      <c r="P24" s="418"/>
      <c r="Q24" s="418"/>
      <c r="R24" s="418">
        <f t="shared" si="3"/>
        <v>36.9</v>
      </c>
      <c r="S24" s="418"/>
    </row>
    <row r="25" spans="1:19" ht="35.85" customHeight="1">
      <c r="A25" s="413">
        <v>0</v>
      </c>
      <c r="B25" s="413" t="s">
        <v>522</v>
      </c>
      <c r="C25" s="413" t="s">
        <v>751</v>
      </c>
      <c r="D25" s="413"/>
      <c r="E25" s="420" t="s">
        <v>803</v>
      </c>
      <c r="F25" s="421">
        <v>564.44000000000005</v>
      </c>
      <c r="G25" s="410"/>
      <c r="H25" s="409">
        <f t="shared" si="4"/>
        <v>564.44000000000005</v>
      </c>
      <c r="I25" s="409">
        <f t="shared" si="5"/>
        <v>0</v>
      </c>
      <c r="J25" s="1054" t="s">
        <v>833</v>
      </c>
      <c r="K25" s="1054"/>
      <c r="L25" s="1054"/>
      <c r="M25" s="418"/>
      <c r="N25" s="418"/>
      <c r="O25" s="418"/>
      <c r="P25" s="418"/>
      <c r="Q25" s="418"/>
      <c r="R25" s="418">
        <f t="shared" si="3"/>
        <v>0</v>
      </c>
      <c r="S25" s="418"/>
    </row>
    <row r="26" spans="1:19">
      <c r="A26" s="407"/>
      <c r="B26" s="407"/>
      <c r="C26" s="408"/>
      <c r="D26" s="407"/>
      <c r="E26" s="408"/>
      <c r="F26" s="409"/>
      <c r="G26" s="410"/>
      <c r="H26" s="409">
        <f t="shared" si="4"/>
        <v>0</v>
      </c>
      <c r="I26" s="409">
        <f t="shared" si="5"/>
        <v>0</v>
      </c>
      <c r="J26" s="204"/>
      <c r="M26" s="418"/>
      <c r="N26" s="418"/>
      <c r="O26" s="418"/>
      <c r="P26" s="418"/>
      <c r="Q26" s="418"/>
      <c r="R26" s="418">
        <f t="shared" si="3"/>
        <v>0</v>
      </c>
      <c r="S26" s="418"/>
    </row>
    <row r="27" spans="1:19" ht="22.25">
      <c r="A27" s="413">
        <v>1</v>
      </c>
      <c r="B27" s="413" t="s">
        <v>522</v>
      </c>
      <c r="C27" s="420" t="s">
        <v>531</v>
      </c>
      <c r="D27" s="413"/>
      <c r="E27" s="420" t="s">
        <v>695</v>
      </c>
      <c r="F27" s="421">
        <v>100</v>
      </c>
      <c r="G27" s="410"/>
      <c r="H27" s="409">
        <f t="shared" si="4"/>
        <v>100</v>
      </c>
      <c r="I27" s="409">
        <f t="shared" si="5"/>
        <v>100</v>
      </c>
      <c r="J27" s="204"/>
      <c r="M27" s="418"/>
      <c r="N27" s="418"/>
      <c r="O27" s="418">
        <f t="shared" si="7"/>
        <v>100</v>
      </c>
      <c r="P27" s="418"/>
      <c r="Q27" s="418"/>
      <c r="R27" s="418"/>
      <c r="S27" s="418"/>
    </row>
    <row r="28" spans="1:19">
      <c r="A28" s="413">
        <v>1</v>
      </c>
      <c r="B28" s="413" t="s">
        <v>505</v>
      </c>
      <c r="C28" s="413" t="s">
        <v>751</v>
      </c>
      <c r="D28" s="413"/>
      <c r="E28" s="420" t="s">
        <v>834</v>
      </c>
      <c r="F28" s="421">
        <v>462.5</v>
      </c>
      <c r="G28" s="410"/>
      <c r="H28" s="409">
        <f t="shared" si="4"/>
        <v>462.5</v>
      </c>
      <c r="I28" s="409">
        <f t="shared" si="5"/>
        <v>462.5</v>
      </c>
      <c r="J28" s="204"/>
      <c r="M28" s="418">
        <f>F28</f>
        <v>462.5</v>
      </c>
      <c r="N28" s="418"/>
      <c r="O28" s="418"/>
      <c r="P28" s="418"/>
      <c r="Q28" s="418"/>
      <c r="R28" s="418"/>
      <c r="S28" s="418"/>
    </row>
    <row r="29" spans="1:19" ht="22.25">
      <c r="A29" s="413">
        <v>5</v>
      </c>
      <c r="B29" s="413" t="s">
        <v>539</v>
      </c>
      <c r="C29" s="420" t="s">
        <v>690</v>
      </c>
      <c r="D29" s="413"/>
      <c r="E29" s="413" t="s">
        <v>835</v>
      </c>
      <c r="F29" s="421">
        <v>9.32</v>
      </c>
      <c r="G29" s="428"/>
      <c r="H29" s="409">
        <f t="shared" si="4"/>
        <v>9.32</v>
      </c>
      <c r="I29" s="409">
        <f t="shared" si="5"/>
        <v>46.6</v>
      </c>
      <c r="J29" s="204"/>
      <c r="K29" s="17" t="s">
        <v>836</v>
      </c>
      <c r="M29" s="418"/>
      <c r="N29" s="418"/>
      <c r="O29" s="418">
        <f t="shared" si="7"/>
        <v>46.6</v>
      </c>
      <c r="P29" s="418"/>
      <c r="Q29" s="418"/>
      <c r="R29" s="418"/>
      <c r="S29" s="418"/>
    </row>
    <row r="30" spans="1:19" ht="44.55">
      <c r="A30" s="413">
        <v>1</v>
      </c>
      <c r="B30" s="413" t="s">
        <v>517</v>
      </c>
      <c r="C30" s="420" t="s">
        <v>569</v>
      </c>
      <c r="D30" s="413" t="s">
        <v>570</v>
      </c>
      <c r="E30" s="420" t="s">
        <v>571</v>
      </c>
      <c r="F30" s="421">
        <v>1040</v>
      </c>
      <c r="G30" s="429">
        <v>0.48</v>
      </c>
      <c r="H30" s="430">
        <f t="shared" si="4"/>
        <v>540.80000000000007</v>
      </c>
      <c r="I30" s="409">
        <f t="shared" si="5"/>
        <v>540.80000000000007</v>
      </c>
      <c r="J30" s="204"/>
      <c r="M30" s="418"/>
      <c r="N30" s="418"/>
      <c r="O30" s="418"/>
      <c r="P30" s="418"/>
      <c r="Q30" s="418"/>
      <c r="R30" s="418"/>
      <c r="S30" s="418">
        <f t="shared" ref="S30:S34" si="8">I30</f>
        <v>540.80000000000007</v>
      </c>
    </row>
    <row r="31" spans="1:19" ht="55.65">
      <c r="A31" s="413">
        <v>0</v>
      </c>
      <c r="B31" s="413" t="s">
        <v>517</v>
      </c>
      <c r="C31" s="424" t="s">
        <v>569</v>
      </c>
      <c r="D31" s="423" t="s">
        <v>572</v>
      </c>
      <c r="E31" s="424" t="s">
        <v>573</v>
      </c>
      <c r="F31" s="425">
        <v>1190</v>
      </c>
      <c r="G31" s="429">
        <v>0.48</v>
      </c>
      <c r="H31" s="430">
        <f t="shared" si="4"/>
        <v>618.80000000000007</v>
      </c>
      <c r="I31" s="409">
        <f t="shared" si="5"/>
        <v>0</v>
      </c>
      <c r="J31" s="204"/>
      <c r="M31" s="418"/>
      <c r="N31" s="418"/>
      <c r="O31" s="418"/>
      <c r="P31" s="418"/>
      <c r="Q31" s="418"/>
      <c r="R31" s="418"/>
      <c r="S31" s="418">
        <f t="shared" si="8"/>
        <v>0</v>
      </c>
    </row>
    <row r="32" spans="1:19">
      <c r="A32" s="413">
        <v>0</v>
      </c>
      <c r="B32" s="413" t="s">
        <v>517</v>
      </c>
      <c r="C32" s="420" t="s">
        <v>574</v>
      </c>
      <c r="D32" s="413" t="s">
        <v>575</v>
      </c>
      <c r="E32" s="413" t="s">
        <v>576</v>
      </c>
      <c r="F32" s="421">
        <v>36.700000000000003</v>
      </c>
      <c r="G32" s="410"/>
      <c r="H32" s="409">
        <f t="shared" si="4"/>
        <v>36.700000000000003</v>
      </c>
      <c r="I32" s="409">
        <f t="shared" si="5"/>
        <v>0</v>
      </c>
      <c r="J32" s="204"/>
      <c r="M32" s="418"/>
      <c r="N32" s="418"/>
      <c r="O32" s="418"/>
      <c r="P32" s="418"/>
      <c r="Q32" s="418"/>
      <c r="R32" s="418"/>
      <c r="S32" s="418">
        <f t="shared" si="8"/>
        <v>0</v>
      </c>
    </row>
    <row r="33" spans="1:19">
      <c r="A33" s="413">
        <v>5</v>
      </c>
      <c r="B33" s="413" t="s">
        <v>517</v>
      </c>
      <c r="C33" s="420" t="s">
        <v>574</v>
      </c>
      <c r="D33" s="413" t="s">
        <v>577</v>
      </c>
      <c r="E33" s="413" t="s">
        <v>578</v>
      </c>
      <c r="F33" s="421">
        <v>75</v>
      </c>
      <c r="G33" s="410"/>
      <c r="H33" s="409">
        <f t="shared" si="4"/>
        <v>75</v>
      </c>
      <c r="I33" s="409">
        <f t="shared" si="5"/>
        <v>375</v>
      </c>
      <c r="J33" s="204"/>
      <c r="M33" s="418"/>
      <c r="N33" s="418"/>
      <c r="O33" s="418"/>
      <c r="P33" s="418"/>
      <c r="Q33" s="418"/>
      <c r="R33" s="418"/>
      <c r="S33" s="418">
        <f t="shared" si="8"/>
        <v>375</v>
      </c>
    </row>
    <row r="34" spans="1:19">
      <c r="A34" s="413">
        <v>1</v>
      </c>
      <c r="B34" s="413" t="s">
        <v>517</v>
      </c>
      <c r="C34" s="420" t="s">
        <v>574</v>
      </c>
      <c r="D34" s="413"/>
      <c r="E34" s="413" t="s">
        <v>579</v>
      </c>
      <c r="F34" s="421">
        <f>35/4</f>
        <v>8.75</v>
      </c>
      <c r="G34" s="410"/>
      <c r="H34" s="409">
        <f t="shared" si="4"/>
        <v>8.75</v>
      </c>
      <c r="I34" s="409">
        <f t="shared" si="5"/>
        <v>8.75</v>
      </c>
      <c r="J34" s="204"/>
      <c r="M34" s="418"/>
      <c r="N34" s="418"/>
      <c r="O34" s="418"/>
      <c r="P34" s="418"/>
      <c r="Q34" s="418"/>
      <c r="R34" s="418"/>
      <c r="S34" s="418">
        <f t="shared" si="8"/>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24685.438008000005</v>
      </c>
      <c r="J37" s="204"/>
      <c r="M37" s="418">
        <f>SUM(M4:M35)</f>
        <v>16590.5</v>
      </c>
      <c r="N37" s="418">
        <f>SUM(N4:N35)</f>
        <v>2663.37</v>
      </c>
      <c r="O37" s="418">
        <f>SUM(O4:O35)</f>
        <v>1163.768008</v>
      </c>
      <c r="P37" s="418"/>
      <c r="Q37" s="418"/>
      <c r="R37" s="418">
        <f>SUM(R4:R35)</f>
        <v>3343.25</v>
      </c>
      <c r="S37" s="418">
        <f>SUM(S4:S35)</f>
        <v>924.55000000000007</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30856.797510000004</v>
      </c>
      <c r="J39" s="436"/>
      <c r="K39" s="437"/>
      <c r="L39" s="437"/>
      <c r="M39" s="438">
        <f>M37*(1+$G$38)</f>
        <v>20738.125</v>
      </c>
      <c r="N39" s="438">
        <f>N37*(1+$G$38)</f>
        <v>3329.2124999999996</v>
      </c>
      <c r="O39" s="438">
        <f>O37*(1+$G$38)</f>
        <v>1454.71001</v>
      </c>
      <c r="P39" s="438">
        <f>P73</f>
        <v>7600</v>
      </c>
      <c r="Q39" s="438">
        <f>Q132</f>
        <v>1270.8399999999999</v>
      </c>
      <c r="R39" s="438">
        <f>R37*(1+$G$38)</f>
        <v>4179.0625</v>
      </c>
      <c r="S39" s="438">
        <f>S37*(1+$G$38)</f>
        <v>1155.6875</v>
      </c>
    </row>
    <row r="42" spans="1:19" ht="33.4">
      <c r="B42" s="204" t="s">
        <v>583</v>
      </c>
      <c r="C42" s="204" t="s">
        <v>584</v>
      </c>
      <c r="E42" s="439" t="s">
        <v>585</v>
      </c>
    </row>
    <row r="43" spans="1:19">
      <c r="A43" s="440">
        <f t="shared" ref="A43:A64" si="9">B43*C43</f>
        <v>6</v>
      </c>
      <c r="B43" s="441">
        <v>6</v>
      </c>
      <c r="C43" s="493">
        <v>1</v>
      </c>
      <c r="E43" s="17" t="s">
        <v>586</v>
      </c>
      <c r="F43" s="403">
        <f t="shared" ref="F43:F64" si="10">F$68</f>
        <v>55</v>
      </c>
      <c r="H43" s="403">
        <f t="shared" si="4"/>
        <v>55</v>
      </c>
      <c r="I43" s="403">
        <f t="shared" ref="I43:I70" si="11">A43*H43</f>
        <v>330</v>
      </c>
    </row>
    <row r="44" spans="1:19">
      <c r="A44" s="440">
        <f t="shared" si="9"/>
        <v>14.399999999999999</v>
      </c>
      <c r="B44" s="441">
        <v>0.15</v>
      </c>
      <c r="C44" s="493">
        <f>A6</f>
        <v>96</v>
      </c>
      <c r="D44" s="17" t="s">
        <v>588</v>
      </c>
      <c r="E44" s="17" t="s">
        <v>589</v>
      </c>
      <c r="F44" s="403">
        <f t="shared" si="10"/>
        <v>55</v>
      </c>
      <c r="H44" s="403">
        <f t="shared" si="4"/>
        <v>55</v>
      </c>
      <c r="I44" s="403">
        <f t="shared" si="11"/>
        <v>791.99999999999989</v>
      </c>
    </row>
    <row r="45" spans="1:19">
      <c r="A45" s="440">
        <f t="shared" si="9"/>
        <v>33.599999999999994</v>
      </c>
      <c r="B45" s="441">
        <v>0.35</v>
      </c>
      <c r="C45" s="493">
        <f>A4</f>
        <v>96</v>
      </c>
      <c r="D45" s="17" t="s">
        <v>588</v>
      </c>
      <c r="E45" s="17" t="s">
        <v>591</v>
      </c>
      <c r="F45" s="403">
        <f t="shared" si="10"/>
        <v>55</v>
      </c>
      <c r="H45" s="403">
        <f t="shared" si="4"/>
        <v>55</v>
      </c>
      <c r="I45" s="403">
        <f t="shared" si="11"/>
        <v>1847.9999999999998</v>
      </c>
    </row>
    <row r="46" spans="1:19">
      <c r="A46" s="440">
        <f t="shared" si="9"/>
        <v>1.2</v>
      </c>
      <c r="B46" s="441">
        <v>0.04</v>
      </c>
      <c r="C46" s="493">
        <v>30</v>
      </c>
      <c r="D46" s="17" t="s">
        <v>539</v>
      </c>
      <c r="E46" s="17" t="s">
        <v>593</v>
      </c>
      <c r="F46" s="403">
        <f t="shared" si="10"/>
        <v>55</v>
      </c>
      <c r="H46" s="403">
        <f t="shared" si="4"/>
        <v>55</v>
      </c>
      <c r="I46" s="403">
        <f t="shared" si="11"/>
        <v>66</v>
      </c>
    </row>
    <row r="47" spans="1:19">
      <c r="A47" s="440">
        <f t="shared" si="9"/>
        <v>0.4</v>
      </c>
      <c r="B47" s="441">
        <v>0.04</v>
      </c>
      <c r="C47" s="493">
        <v>10</v>
      </c>
      <c r="D47" s="17" t="s">
        <v>539</v>
      </c>
      <c r="E47" s="17" t="s">
        <v>594</v>
      </c>
      <c r="F47" s="403">
        <f t="shared" si="10"/>
        <v>55</v>
      </c>
      <c r="H47" s="403">
        <f t="shared" si="4"/>
        <v>55</v>
      </c>
      <c r="I47" s="403">
        <f t="shared" si="11"/>
        <v>22</v>
      </c>
    </row>
    <row r="48" spans="1:19">
      <c r="A48" s="440">
        <f t="shared" si="9"/>
        <v>23.696000000000005</v>
      </c>
      <c r="B48" s="441">
        <v>0.02</v>
      </c>
      <c r="C48" s="493">
        <f>A18+A19+A20*100</f>
        <v>1184.8000000000002</v>
      </c>
      <c r="D48" s="17" t="s">
        <v>539</v>
      </c>
      <c r="E48" s="17" t="s">
        <v>595</v>
      </c>
      <c r="F48" s="403">
        <f t="shared" si="10"/>
        <v>55</v>
      </c>
      <c r="H48" s="403">
        <f t="shared" si="4"/>
        <v>55</v>
      </c>
      <c r="I48" s="403">
        <f t="shared" si="11"/>
        <v>1303.2800000000002</v>
      </c>
    </row>
    <row r="49" spans="1:9">
      <c r="A49" s="440">
        <f t="shared" si="9"/>
        <v>0</v>
      </c>
      <c r="B49" s="441">
        <f>2*0.17</f>
        <v>0.34</v>
      </c>
      <c r="C49" s="493">
        <v>0</v>
      </c>
      <c r="D49" s="17" t="s">
        <v>596</v>
      </c>
      <c r="E49" s="17" t="s">
        <v>775</v>
      </c>
      <c r="F49" s="403">
        <f t="shared" si="10"/>
        <v>55</v>
      </c>
      <c r="H49" s="403">
        <f t="shared" si="4"/>
        <v>55</v>
      </c>
      <c r="I49" s="403">
        <f t="shared" si="11"/>
        <v>0</v>
      </c>
    </row>
    <row r="50" spans="1:9">
      <c r="A50" s="440">
        <f t="shared" si="9"/>
        <v>5.2</v>
      </c>
      <c r="B50" s="441">
        <v>0.4</v>
      </c>
      <c r="C50" s="493">
        <v>13</v>
      </c>
      <c r="E50" s="17" t="s">
        <v>600</v>
      </c>
      <c r="F50" s="403">
        <f t="shared" si="10"/>
        <v>55</v>
      </c>
      <c r="H50" s="403">
        <f t="shared" si="4"/>
        <v>55</v>
      </c>
      <c r="I50" s="403">
        <f t="shared" si="11"/>
        <v>286</v>
      </c>
    </row>
    <row r="51" spans="1:9">
      <c r="A51" s="440">
        <f t="shared" si="9"/>
        <v>2</v>
      </c>
      <c r="B51" s="441">
        <v>2</v>
      </c>
      <c r="C51" s="493">
        <v>1</v>
      </c>
      <c r="E51" s="17" t="s">
        <v>601</v>
      </c>
      <c r="F51" s="403">
        <f t="shared" si="10"/>
        <v>55</v>
      </c>
      <c r="H51" s="403">
        <f t="shared" si="4"/>
        <v>55</v>
      </c>
      <c r="I51" s="403">
        <f t="shared" si="11"/>
        <v>110</v>
      </c>
    </row>
    <row r="52" spans="1:9">
      <c r="A52" s="440">
        <f t="shared" si="9"/>
        <v>0</v>
      </c>
      <c r="B52" s="441">
        <f>0.5+10*0.15+2*0.1</f>
        <v>2.2000000000000002</v>
      </c>
      <c r="C52" s="493">
        <v>0</v>
      </c>
      <c r="E52" s="17" t="s">
        <v>602</v>
      </c>
      <c r="F52" s="403">
        <f t="shared" si="10"/>
        <v>55</v>
      </c>
      <c r="H52" s="403">
        <f t="shared" si="4"/>
        <v>55</v>
      </c>
      <c r="I52" s="403">
        <f t="shared" si="11"/>
        <v>0</v>
      </c>
    </row>
    <row r="53" spans="1:9">
      <c r="A53" s="440">
        <f t="shared" si="9"/>
        <v>0</v>
      </c>
      <c r="B53" s="441">
        <f>0.5+4*0.15</f>
        <v>1.1000000000000001</v>
      </c>
      <c r="C53" s="493">
        <v>0</v>
      </c>
      <c r="E53" s="17" t="s">
        <v>776</v>
      </c>
      <c r="F53" s="403">
        <f t="shared" si="10"/>
        <v>55</v>
      </c>
      <c r="H53" s="403">
        <f t="shared" si="4"/>
        <v>55</v>
      </c>
      <c r="I53" s="403">
        <f t="shared" si="11"/>
        <v>0</v>
      </c>
    </row>
    <row r="54" spans="1:9">
      <c r="A54" s="440">
        <f t="shared" si="9"/>
        <v>4</v>
      </c>
      <c r="B54" s="441">
        <f>8/6</f>
        <v>1.3333333333333333</v>
      </c>
      <c r="C54" s="493">
        <v>3</v>
      </c>
      <c r="D54" s="17" t="s">
        <v>604</v>
      </c>
      <c r="E54" s="17" t="s">
        <v>605</v>
      </c>
      <c r="F54" s="403">
        <f t="shared" si="10"/>
        <v>55</v>
      </c>
      <c r="H54" s="403">
        <f t="shared" si="4"/>
        <v>55</v>
      </c>
      <c r="I54" s="403">
        <f t="shared" si="11"/>
        <v>220</v>
      </c>
    </row>
    <row r="55" spans="1:9">
      <c r="A55" s="440">
        <f t="shared" si="9"/>
        <v>0</v>
      </c>
      <c r="B55" s="441">
        <v>4</v>
      </c>
      <c r="C55" s="493">
        <v>0</v>
      </c>
      <c r="E55" s="17" t="s">
        <v>606</v>
      </c>
      <c r="F55" s="403">
        <f t="shared" si="10"/>
        <v>55</v>
      </c>
      <c r="H55" s="403">
        <f t="shared" si="4"/>
        <v>55</v>
      </c>
      <c r="I55" s="403">
        <f t="shared" si="11"/>
        <v>0</v>
      </c>
    </row>
    <row r="56" spans="1:9">
      <c r="A56" s="440">
        <f t="shared" si="9"/>
        <v>4</v>
      </c>
      <c r="B56" s="441">
        <v>2</v>
      </c>
      <c r="C56" s="493">
        <v>2</v>
      </c>
      <c r="E56" s="17" t="s">
        <v>607</v>
      </c>
      <c r="F56" s="403">
        <f t="shared" si="10"/>
        <v>55</v>
      </c>
      <c r="H56" s="403">
        <f t="shared" si="4"/>
        <v>55</v>
      </c>
      <c r="I56" s="403">
        <f t="shared" si="11"/>
        <v>220</v>
      </c>
    </row>
    <row r="57" spans="1:9">
      <c r="A57" s="440">
        <f t="shared" si="9"/>
        <v>0.93000000000000016</v>
      </c>
      <c r="B57" s="441">
        <f>0.33+6*0.1</f>
        <v>0.93000000000000016</v>
      </c>
      <c r="C57" s="493">
        <v>1</v>
      </c>
      <c r="E57" s="17" t="s">
        <v>609</v>
      </c>
      <c r="F57" s="403">
        <f t="shared" si="10"/>
        <v>55</v>
      </c>
      <c r="H57" s="403">
        <f t="shared" si="4"/>
        <v>55</v>
      </c>
      <c r="I57" s="403">
        <f t="shared" si="11"/>
        <v>51.150000000000006</v>
      </c>
    </row>
    <row r="58" spans="1:9">
      <c r="A58" s="440">
        <f t="shared" si="9"/>
        <v>0</v>
      </c>
      <c r="B58" s="441">
        <v>0.17</v>
      </c>
      <c r="C58" s="493">
        <v>0</v>
      </c>
      <c r="E58" s="17" t="s">
        <v>610</v>
      </c>
      <c r="F58" s="403">
        <f t="shared" si="10"/>
        <v>55</v>
      </c>
      <c r="H58" s="403">
        <f t="shared" si="4"/>
        <v>55</v>
      </c>
      <c r="I58" s="403">
        <f t="shared" si="11"/>
        <v>0</v>
      </c>
    </row>
    <row r="59" spans="1:9">
      <c r="A59" s="440">
        <f t="shared" si="9"/>
        <v>1</v>
      </c>
      <c r="B59" s="441">
        <v>0.5</v>
      </c>
      <c r="C59" s="493">
        <v>2</v>
      </c>
      <c r="E59" s="17" t="s">
        <v>611</v>
      </c>
      <c r="F59" s="403">
        <f t="shared" si="10"/>
        <v>55</v>
      </c>
      <c r="H59" s="403">
        <f t="shared" si="4"/>
        <v>55</v>
      </c>
      <c r="I59" s="403">
        <f t="shared" si="11"/>
        <v>55</v>
      </c>
    </row>
    <row r="60" spans="1:9">
      <c r="A60" s="440">
        <f t="shared" si="9"/>
        <v>1</v>
      </c>
      <c r="B60" s="441">
        <v>1</v>
      </c>
      <c r="C60" s="493">
        <v>1</v>
      </c>
      <c r="E60" s="17" t="s">
        <v>612</v>
      </c>
      <c r="F60" s="403">
        <f t="shared" si="10"/>
        <v>55</v>
      </c>
      <c r="H60" s="403">
        <f t="shared" si="4"/>
        <v>55</v>
      </c>
      <c r="I60" s="403">
        <f t="shared" si="11"/>
        <v>55</v>
      </c>
    </row>
    <row r="61" spans="1:9">
      <c r="A61" s="440">
        <f t="shared" si="9"/>
        <v>6</v>
      </c>
      <c r="B61" s="441">
        <v>6</v>
      </c>
      <c r="C61" s="493">
        <v>1</v>
      </c>
      <c r="E61" s="17" t="s">
        <v>614</v>
      </c>
      <c r="F61" s="403">
        <f t="shared" si="10"/>
        <v>55</v>
      </c>
      <c r="H61" s="403">
        <f t="shared" si="4"/>
        <v>55</v>
      </c>
      <c r="I61" s="403">
        <f t="shared" si="11"/>
        <v>330</v>
      </c>
    </row>
    <row r="62" spans="1:9">
      <c r="A62" s="440">
        <f t="shared" si="9"/>
        <v>4</v>
      </c>
      <c r="B62" s="441">
        <v>4</v>
      </c>
      <c r="C62" s="493">
        <v>1</v>
      </c>
      <c r="E62" s="17" t="s">
        <v>615</v>
      </c>
      <c r="F62" s="403">
        <f t="shared" si="10"/>
        <v>55</v>
      </c>
      <c r="H62" s="403">
        <f t="shared" si="4"/>
        <v>55</v>
      </c>
      <c r="I62" s="403">
        <f t="shared" si="11"/>
        <v>220</v>
      </c>
    </row>
    <row r="63" spans="1:9">
      <c r="A63" s="440">
        <f t="shared" si="9"/>
        <v>4</v>
      </c>
      <c r="B63" s="441">
        <v>4</v>
      </c>
      <c r="C63" s="493">
        <v>1</v>
      </c>
      <c r="E63" s="17" t="s">
        <v>616</v>
      </c>
      <c r="F63" s="403">
        <f t="shared" si="10"/>
        <v>55</v>
      </c>
      <c r="H63" s="403">
        <f t="shared" si="4"/>
        <v>55</v>
      </c>
      <c r="I63" s="403">
        <f t="shared" si="11"/>
        <v>220</v>
      </c>
    </row>
    <row r="64" spans="1:9">
      <c r="A64" s="440">
        <f t="shared" si="9"/>
        <v>1.25</v>
      </c>
      <c r="B64" s="441">
        <v>0.25</v>
      </c>
      <c r="C64" s="493">
        <v>5</v>
      </c>
      <c r="D64" s="494" t="s">
        <v>539</v>
      </c>
      <c r="E64" s="17" t="s">
        <v>617</v>
      </c>
      <c r="F64" s="403">
        <f t="shared" si="10"/>
        <v>55</v>
      </c>
      <c r="H64" s="403">
        <f t="shared" si="4"/>
        <v>55</v>
      </c>
      <c r="I64" s="403">
        <f t="shared" si="11"/>
        <v>68.75</v>
      </c>
    </row>
    <row r="66" spans="1:16">
      <c r="A66" s="17">
        <f>SUM(A43:A65)</f>
        <v>112.676</v>
      </c>
      <c r="B66" s="17" t="s">
        <v>619</v>
      </c>
      <c r="E66" s="17" t="s">
        <v>620</v>
      </c>
    </row>
    <row r="67" spans="1:16">
      <c r="A67" s="441">
        <v>3</v>
      </c>
      <c r="B67" s="17" t="s">
        <v>517</v>
      </c>
      <c r="E67" s="17" t="s">
        <v>621</v>
      </c>
    </row>
    <row r="68" spans="1:16">
      <c r="A68" s="17">
        <v>1</v>
      </c>
      <c r="B68" s="17" t="s">
        <v>517</v>
      </c>
      <c r="E68" s="17" t="s">
        <v>622</v>
      </c>
      <c r="F68" s="445">
        <v>55</v>
      </c>
      <c r="H68" s="403">
        <f t="shared" si="4"/>
        <v>55</v>
      </c>
      <c r="I68" s="403">
        <f t="shared" si="11"/>
        <v>55</v>
      </c>
      <c r="J68" s="17" t="s">
        <v>623</v>
      </c>
    </row>
    <row r="69" spans="1:16">
      <c r="A69" s="17">
        <f>ROUNDUP(A66/8/A67,0)</f>
        <v>5</v>
      </c>
      <c r="B69" s="17" t="s">
        <v>624</v>
      </c>
      <c r="E69" s="17" t="s">
        <v>625</v>
      </c>
      <c r="F69" s="403">
        <f>A67*8*F68</f>
        <v>1320</v>
      </c>
      <c r="H69" s="403">
        <f t="shared" si="4"/>
        <v>1320</v>
      </c>
      <c r="I69" s="403">
        <f t="shared" si="11"/>
        <v>6600</v>
      </c>
    </row>
    <row r="70" spans="1:16">
      <c r="A70" s="441">
        <v>1</v>
      </c>
      <c r="B70" s="442" t="s">
        <v>517</v>
      </c>
      <c r="C70" s="446"/>
      <c r="D70" s="442"/>
      <c r="E70" s="442" t="s">
        <v>626</v>
      </c>
      <c r="F70" s="447">
        <v>500</v>
      </c>
      <c r="G70" s="444"/>
      <c r="H70" s="403">
        <v>1000</v>
      </c>
      <c r="I70" s="403">
        <f t="shared" si="11"/>
        <v>1000</v>
      </c>
      <c r="J70" s="17" t="s">
        <v>627</v>
      </c>
    </row>
    <row r="71" spans="1:16">
      <c r="A71" s="441"/>
      <c r="F71" s="447"/>
      <c r="H71" s="403"/>
      <c r="I71" s="403"/>
    </row>
    <row r="72" spans="1:16">
      <c r="A72" s="441"/>
      <c r="F72" s="447"/>
      <c r="H72" s="403"/>
      <c r="I72" s="403"/>
    </row>
    <row r="73" spans="1:16" ht="15.75">
      <c r="E73" s="439" t="s">
        <v>628</v>
      </c>
      <c r="I73" s="443">
        <f>SUM(I69:I72)</f>
        <v>7600</v>
      </c>
      <c r="P73" s="438">
        <f>I73</f>
        <v>7600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1</v>
      </c>
      <c r="B87" s="453" t="s">
        <v>517</v>
      </c>
      <c r="C87" s="454" t="s">
        <v>538</v>
      </c>
      <c r="D87" s="455" t="s">
        <v>636</v>
      </c>
      <c r="E87" s="453" t="s">
        <v>637</v>
      </c>
      <c r="F87" s="456">
        <v>1849</v>
      </c>
      <c r="G87" s="457"/>
      <c r="H87" s="458">
        <f>F87*(1-$G$84)</f>
        <v>1109.3999999999999</v>
      </c>
      <c r="I87" s="458">
        <f t="shared" ref="I87:I105" si="12">A87*H87</f>
        <v>1109.3999999999999</v>
      </c>
      <c r="J87" s="459" t="s">
        <v>638</v>
      </c>
      <c r="K87" s="460" t="s">
        <v>639</v>
      </c>
    </row>
    <row r="88" spans="1:11" ht="12.8" customHeight="1">
      <c r="A88" s="461">
        <v>0</v>
      </c>
      <c r="B88" s="453" t="s">
        <v>517</v>
      </c>
      <c r="C88" s="453" t="s">
        <v>538</v>
      </c>
      <c r="D88" s="462" t="s">
        <v>640</v>
      </c>
      <c r="E88" s="453" t="s">
        <v>641</v>
      </c>
      <c r="F88" s="463">
        <v>1949</v>
      </c>
      <c r="G88" s="457"/>
      <c r="H88" s="458">
        <f t="shared" ref="H88:H98" si="13">F88*(1-$G$83)</f>
        <v>1169.3999999999999</v>
      </c>
      <c r="I88" s="458">
        <f t="shared" si="12"/>
        <v>0</v>
      </c>
      <c r="J88" s="459" t="s">
        <v>638</v>
      </c>
      <c r="K88" s="1051" t="s">
        <v>642</v>
      </c>
    </row>
    <row r="89" spans="1:11" ht="24.9">
      <c r="A89" s="452">
        <v>0</v>
      </c>
      <c r="B89" s="453" t="s">
        <v>539</v>
      </c>
      <c r="C89" s="453" t="s">
        <v>538</v>
      </c>
      <c r="D89" s="462" t="s">
        <v>643</v>
      </c>
      <c r="E89" s="453" t="s">
        <v>641</v>
      </c>
      <c r="F89" s="463">
        <v>80</v>
      </c>
      <c r="G89" s="457"/>
      <c r="H89" s="458">
        <f t="shared" si="13"/>
        <v>48</v>
      </c>
      <c r="I89" s="458">
        <f t="shared" si="12"/>
        <v>0</v>
      </c>
      <c r="J89" s="459" t="s">
        <v>638</v>
      </c>
      <c r="K89" s="1051"/>
    </row>
    <row r="90" spans="1:11" ht="12.8" customHeight="1">
      <c r="A90" s="461">
        <v>0</v>
      </c>
      <c r="B90" s="453" t="s">
        <v>517</v>
      </c>
      <c r="C90" s="453" t="s">
        <v>538</v>
      </c>
      <c r="D90" s="464" t="s">
        <v>644</v>
      </c>
      <c r="E90" s="453" t="s">
        <v>645</v>
      </c>
      <c r="F90" s="463">
        <v>10051</v>
      </c>
      <c r="G90" s="457"/>
      <c r="H90" s="458">
        <f t="shared" si="13"/>
        <v>6030.5999999999995</v>
      </c>
      <c r="I90" s="458">
        <f t="shared" si="12"/>
        <v>0</v>
      </c>
      <c r="J90" s="459" t="s">
        <v>638</v>
      </c>
      <c r="K90" s="1052" t="s">
        <v>646</v>
      </c>
    </row>
    <row r="91" spans="1:11" ht="24.9">
      <c r="A91" s="461">
        <v>0</v>
      </c>
      <c r="B91" s="453" t="s">
        <v>517</v>
      </c>
      <c r="C91" s="453" t="s">
        <v>538</v>
      </c>
      <c r="D91" s="464" t="s">
        <v>644</v>
      </c>
      <c r="E91" s="453" t="s">
        <v>647</v>
      </c>
      <c r="F91" s="463">
        <v>17412</v>
      </c>
      <c r="G91" s="457"/>
      <c r="H91" s="458">
        <f t="shared" si="13"/>
        <v>10447.199999999999</v>
      </c>
      <c r="I91" s="458">
        <f t="shared" si="12"/>
        <v>0</v>
      </c>
      <c r="J91" s="459" t="s">
        <v>638</v>
      </c>
      <c r="K91" s="1052"/>
    </row>
    <row r="92" spans="1:11" ht="12.8" customHeight="1">
      <c r="A92" s="461">
        <v>0</v>
      </c>
      <c r="B92" s="453" t="s">
        <v>517</v>
      </c>
      <c r="C92" s="453" t="s">
        <v>538</v>
      </c>
      <c r="D92" s="465" t="s">
        <v>644</v>
      </c>
      <c r="E92" s="453" t="s">
        <v>648</v>
      </c>
      <c r="F92" s="466">
        <v>2345</v>
      </c>
      <c r="G92" s="457"/>
      <c r="H92" s="458">
        <f t="shared" si="13"/>
        <v>1407</v>
      </c>
      <c r="I92" s="458">
        <f t="shared" si="12"/>
        <v>0</v>
      </c>
      <c r="J92" s="453" t="s">
        <v>649</v>
      </c>
      <c r="K92" s="1049" t="s">
        <v>650</v>
      </c>
    </row>
    <row r="93" spans="1:11" ht="24.9">
      <c r="A93" s="461">
        <v>0</v>
      </c>
      <c r="B93" s="453" t="s">
        <v>517</v>
      </c>
      <c r="C93" s="453" t="s">
        <v>538</v>
      </c>
      <c r="D93" s="465" t="s">
        <v>644</v>
      </c>
      <c r="E93" s="453" t="s">
        <v>651</v>
      </c>
      <c r="F93" s="466">
        <v>3258</v>
      </c>
      <c r="G93" s="457"/>
      <c r="H93" s="458">
        <f t="shared" si="13"/>
        <v>1954.8</v>
      </c>
      <c r="I93" s="458">
        <f t="shared" si="12"/>
        <v>0</v>
      </c>
      <c r="J93" s="453" t="s">
        <v>649</v>
      </c>
      <c r="K93" s="1049"/>
    </row>
    <row r="94" spans="1:11" ht="24.9">
      <c r="A94" s="461">
        <v>0</v>
      </c>
      <c r="B94" s="453" t="s">
        <v>517</v>
      </c>
      <c r="C94" s="453" t="s">
        <v>538</v>
      </c>
      <c r="D94" s="465" t="s">
        <v>644</v>
      </c>
      <c r="E94" s="453" t="s">
        <v>652</v>
      </c>
      <c r="F94" s="463">
        <v>5649</v>
      </c>
      <c r="G94" s="457"/>
      <c r="H94" s="458">
        <f t="shared" si="13"/>
        <v>3389.4</v>
      </c>
      <c r="I94" s="458">
        <f t="shared" si="12"/>
        <v>0</v>
      </c>
      <c r="J94" s="453" t="s">
        <v>649</v>
      </c>
      <c r="K94" s="1049"/>
    </row>
    <row r="95" spans="1:11" ht="24.9">
      <c r="A95" s="461">
        <v>0</v>
      </c>
      <c r="B95" s="453" t="s">
        <v>517</v>
      </c>
      <c r="C95" s="453" t="s">
        <v>538</v>
      </c>
      <c r="D95" s="465" t="s">
        <v>644</v>
      </c>
      <c r="E95" s="453" t="s">
        <v>653</v>
      </c>
      <c r="F95" s="463">
        <v>1488</v>
      </c>
      <c r="G95" s="457"/>
      <c r="H95" s="458">
        <f t="shared" si="13"/>
        <v>892.8</v>
      </c>
      <c r="I95" s="458">
        <f t="shared" si="12"/>
        <v>0</v>
      </c>
      <c r="J95" s="453" t="s">
        <v>649</v>
      </c>
      <c r="K95" s="1049"/>
    </row>
    <row r="96" spans="1:11" ht="24.9">
      <c r="A96" s="461">
        <v>0</v>
      </c>
      <c r="B96" s="453" t="s">
        <v>517</v>
      </c>
      <c r="C96" s="453" t="s">
        <v>538</v>
      </c>
      <c r="D96" s="465" t="s">
        <v>644</v>
      </c>
      <c r="E96" s="453" t="s">
        <v>654</v>
      </c>
      <c r="F96" s="463">
        <v>5269</v>
      </c>
      <c r="G96" s="457"/>
      <c r="H96" s="458">
        <f t="shared" si="13"/>
        <v>3161.4</v>
      </c>
      <c r="I96" s="458">
        <f t="shared" si="12"/>
        <v>0</v>
      </c>
      <c r="J96" s="453" t="s">
        <v>649</v>
      </c>
      <c r="K96" s="1049"/>
    </row>
    <row r="97" spans="1:12" ht="24.9">
      <c r="A97" s="461">
        <v>0</v>
      </c>
      <c r="B97" s="453" t="s">
        <v>517</v>
      </c>
      <c r="C97" s="453" t="s">
        <v>538</v>
      </c>
      <c r="D97" s="465" t="s">
        <v>644</v>
      </c>
      <c r="E97" s="453" t="s">
        <v>655</v>
      </c>
      <c r="F97" s="463">
        <v>3078</v>
      </c>
      <c r="G97" s="457"/>
      <c r="H97" s="458">
        <f t="shared" si="13"/>
        <v>1846.8</v>
      </c>
      <c r="I97" s="458">
        <f t="shared" si="12"/>
        <v>0</v>
      </c>
      <c r="J97" s="453" t="s">
        <v>649</v>
      </c>
      <c r="K97" s="1049"/>
    </row>
    <row r="98" spans="1:12" ht="24.9">
      <c r="A98" s="461">
        <v>0</v>
      </c>
      <c r="B98" s="453" t="s">
        <v>517</v>
      </c>
      <c r="C98" s="453" t="s">
        <v>538</v>
      </c>
      <c r="D98" s="465" t="s">
        <v>644</v>
      </c>
      <c r="E98" s="453" t="s">
        <v>656</v>
      </c>
      <c r="F98" s="463">
        <v>3489</v>
      </c>
      <c r="G98" s="457"/>
      <c r="H98" s="458">
        <f t="shared" si="13"/>
        <v>2093.4</v>
      </c>
      <c r="I98" s="458">
        <f t="shared" si="12"/>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4">F100*(1-$G$83)</f>
        <v>4473.5999999999995</v>
      </c>
      <c r="I100" s="458">
        <f t="shared" si="12"/>
        <v>0</v>
      </c>
      <c r="J100" s="453" t="s">
        <v>649</v>
      </c>
      <c r="K100" s="1049"/>
    </row>
    <row r="101" spans="1:12" ht="24.9">
      <c r="A101" s="461">
        <v>0</v>
      </c>
      <c r="B101" s="453" t="s">
        <v>517</v>
      </c>
      <c r="C101" s="453" t="s">
        <v>538</v>
      </c>
      <c r="D101" s="465" t="s">
        <v>644</v>
      </c>
      <c r="E101" s="453" t="s">
        <v>660</v>
      </c>
      <c r="F101" s="463">
        <v>8494</v>
      </c>
      <c r="G101" s="457"/>
      <c r="H101" s="458">
        <f t="shared" si="14"/>
        <v>5096.3999999999996</v>
      </c>
      <c r="I101" s="458">
        <f t="shared" si="12"/>
        <v>0</v>
      </c>
      <c r="J101" s="453" t="s">
        <v>649</v>
      </c>
      <c r="K101" s="1049"/>
    </row>
    <row r="102" spans="1:12" ht="68.75" customHeight="1">
      <c r="A102" s="461">
        <v>0</v>
      </c>
      <c r="B102" s="453" t="s">
        <v>517</v>
      </c>
      <c r="C102" s="453" t="s">
        <v>538</v>
      </c>
      <c r="D102" s="465" t="s">
        <v>644</v>
      </c>
      <c r="E102" s="453" t="s">
        <v>661</v>
      </c>
      <c r="F102" s="463">
        <v>9434</v>
      </c>
      <c r="G102" s="457"/>
      <c r="H102" s="458">
        <f t="shared" si="14"/>
        <v>5660.4</v>
      </c>
      <c r="I102" s="458">
        <f t="shared" si="12"/>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2"/>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0</v>
      </c>
      <c r="B109" s="453" t="s">
        <v>517</v>
      </c>
      <c r="C109" s="454" t="s">
        <v>538</v>
      </c>
      <c r="D109" s="455" t="s">
        <v>636</v>
      </c>
      <c r="E109" s="453" t="s">
        <v>668</v>
      </c>
      <c r="F109" s="463">
        <v>3732</v>
      </c>
      <c r="G109" s="457"/>
      <c r="H109" s="458">
        <f>F109*(1-G84)</f>
        <v>2239.1999999999998</v>
      </c>
      <c r="I109" s="458">
        <f t="shared" ref="I109:I130" si="15">A109*H109</f>
        <v>0</v>
      </c>
      <c r="J109" s="453" t="s">
        <v>649</v>
      </c>
      <c r="K109" s="1050" t="s">
        <v>669</v>
      </c>
    </row>
    <row r="110" spans="1:12" ht="24.9">
      <c r="A110" s="452">
        <v>0</v>
      </c>
      <c r="B110" s="453" t="s">
        <v>539</v>
      </c>
      <c r="C110" s="454" t="s">
        <v>538</v>
      </c>
      <c r="D110" s="455" t="s">
        <v>670</v>
      </c>
      <c r="E110" s="453" t="s">
        <v>671</v>
      </c>
      <c r="F110" s="463">
        <v>88.7</v>
      </c>
      <c r="G110" s="457"/>
      <c r="H110" s="458">
        <f>F110*(1-G84)</f>
        <v>53.22</v>
      </c>
      <c r="I110" s="458">
        <f t="shared" si="15"/>
        <v>0</v>
      </c>
      <c r="J110" s="453" t="s">
        <v>649</v>
      </c>
      <c r="K110" s="1050"/>
      <c r="L110" s="17" t="s">
        <v>672</v>
      </c>
    </row>
    <row r="111" spans="1:12" ht="12.8" customHeight="1">
      <c r="A111" s="461">
        <v>0</v>
      </c>
      <c r="B111" s="453" t="s">
        <v>517</v>
      </c>
      <c r="C111" s="453" t="s">
        <v>538</v>
      </c>
      <c r="D111" s="462" t="s">
        <v>640</v>
      </c>
      <c r="E111" s="453" t="s">
        <v>673</v>
      </c>
      <c r="F111" s="463">
        <v>1968</v>
      </c>
      <c r="G111" s="457"/>
      <c r="H111" s="458">
        <f t="shared" ref="H111:H125" si="16">F111*(1-$G$83)</f>
        <v>1180.8</v>
      </c>
      <c r="I111" s="458">
        <f t="shared" si="15"/>
        <v>0</v>
      </c>
      <c r="J111" s="459" t="s">
        <v>638</v>
      </c>
      <c r="K111" s="1051" t="s">
        <v>642</v>
      </c>
    </row>
    <row r="112" spans="1:12" ht="24.9">
      <c r="A112" s="452">
        <v>0</v>
      </c>
      <c r="B112" s="453" t="s">
        <v>539</v>
      </c>
      <c r="C112" s="453" t="s">
        <v>538</v>
      </c>
      <c r="D112" s="462" t="s">
        <v>643</v>
      </c>
      <c r="E112" s="453" t="s">
        <v>673</v>
      </c>
      <c r="F112" s="463">
        <v>87.9</v>
      </c>
      <c r="G112" s="457"/>
      <c r="H112" s="458">
        <f t="shared" si="16"/>
        <v>52.74</v>
      </c>
      <c r="I112" s="458">
        <f t="shared" si="15"/>
        <v>0</v>
      </c>
      <c r="J112" s="459" t="s">
        <v>638</v>
      </c>
      <c r="K112" s="1051"/>
    </row>
    <row r="113" spans="1:11" ht="12.8" customHeight="1">
      <c r="A113" s="452">
        <v>0</v>
      </c>
      <c r="B113" s="453" t="s">
        <v>517</v>
      </c>
      <c r="C113" s="453" t="s">
        <v>538</v>
      </c>
      <c r="D113" s="464" t="s">
        <v>644</v>
      </c>
      <c r="E113" s="453" t="s">
        <v>645</v>
      </c>
      <c r="F113" s="463">
        <v>10051</v>
      </c>
      <c r="G113" s="457"/>
      <c r="H113" s="458">
        <f t="shared" si="16"/>
        <v>6030.5999999999995</v>
      </c>
      <c r="I113" s="458">
        <f t="shared" si="15"/>
        <v>0</v>
      </c>
      <c r="J113" s="459" t="s">
        <v>638</v>
      </c>
      <c r="K113" s="1052" t="s">
        <v>646</v>
      </c>
    </row>
    <row r="114" spans="1:11" ht="24.9">
      <c r="A114" s="461">
        <v>0</v>
      </c>
      <c r="B114" s="453" t="s">
        <v>517</v>
      </c>
      <c r="C114" s="453" t="s">
        <v>538</v>
      </c>
      <c r="D114" s="464" t="s">
        <v>644</v>
      </c>
      <c r="E114" s="453" t="s">
        <v>647</v>
      </c>
      <c r="F114" s="463">
        <v>17412</v>
      </c>
      <c r="G114" s="457"/>
      <c r="H114" s="458">
        <f t="shared" si="16"/>
        <v>10447.199999999999</v>
      </c>
      <c r="I114" s="458">
        <f t="shared" si="15"/>
        <v>0</v>
      </c>
      <c r="J114" s="459" t="s">
        <v>638</v>
      </c>
      <c r="K114" s="1052"/>
    </row>
    <row r="115" spans="1:11" ht="12.8" customHeight="1">
      <c r="A115" s="461">
        <v>0</v>
      </c>
      <c r="B115" s="453" t="s">
        <v>517</v>
      </c>
      <c r="C115" s="453" t="s">
        <v>538</v>
      </c>
      <c r="D115" s="465" t="s">
        <v>644</v>
      </c>
      <c r="E115" s="453" t="s">
        <v>648</v>
      </c>
      <c r="F115" s="463">
        <v>2345</v>
      </c>
      <c r="G115" s="457"/>
      <c r="H115" s="458">
        <f t="shared" si="16"/>
        <v>1407</v>
      </c>
      <c r="I115" s="458">
        <f t="shared" si="15"/>
        <v>0</v>
      </c>
      <c r="J115" s="453" t="s">
        <v>649</v>
      </c>
      <c r="K115" s="1049" t="s">
        <v>650</v>
      </c>
    </row>
    <row r="116" spans="1:11" ht="24.9">
      <c r="A116" s="461">
        <v>0</v>
      </c>
      <c r="B116" s="453" t="s">
        <v>517</v>
      </c>
      <c r="C116" s="453" t="s">
        <v>538</v>
      </c>
      <c r="D116" s="465" t="s">
        <v>644</v>
      </c>
      <c r="E116" s="453" t="s">
        <v>651</v>
      </c>
      <c r="F116" s="463">
        <v>3258</v>
      </c>
      <c r="G116" s="457"/>
      <c r="H116" s="458">
        <f t="shared" si="16"/>
        <v>1954.8</v>
      </c>
      <c r="I116" s="458">
        <f t="shared" si="15"/>
        <v>0</v>
      </c>
      <c r="J116" s="453" t="s">
        <v>649</v>
      </c>
      <c r="K116" s="1049"/>
    </row>
    <row r="117" spans="1:11" ht="24.9">
      <c r="A117" s="461">
        <v>0</v>
      </c>
      <c r="B117" s="453" t="s">
        <v>517</v>
      </c>
      <c r="C117" s="453" t="s">
        <v>538</v>
      </c>
      <c r="D117" s="465" t="s">
        <v>644</v>
      </c>
      <c r="E117" s="453" t="s">
        <v>652</v>
      </c>
      <c r="F117" s="463">
        <v>5649</v>
      </c>
      <c r="G117" s="457"/>
      <c r="H117" s="458">
        <f t="shared" si="16"/>
        <v>3389.4</v>
      </c>
      <c r="I117" s="458">
        <f t="shared" si="15"/>
        <v>0</v>
      </c>
      <c r="J117" s="453" t="s">
        <v>649</v>
      </c>
      <c r="K117" s="1049"/>
    </row>
    <row r="118" spans="1:11" ht="24.9">
      <c r="A118" s="461">
        <v>0</v>
      </c>
      <c r="B118" s="453" t="s">
        <v>517</v>
      </c>
      <c r="C118" s="453" t="s">
        <v>538</v>
      </c>
      <c r="D118" s="465" t="s">
        <v>644</v>
      </c>
      <c r="E118" s="453" t="s">
        <v>653</v>
      </c>
      <c r="F118" s="463">
        <v>1488</v>
      </c>
      <c r="G118" s="457"/>
      <c r="H118" s="458">
        <f t="shared" si="16"/>
        <v>892.8</v>
      </c>
      <c r="I118" s="458">
        <f t="shared" si="15"/>
        <v>0</v>
      </c>
      <c r="J118" s="453" t="s">
        <v>649</v>
      </c>
      <c r="K118" s="1049"/>
    </row>
    <row r="119" spans="1:11" ht="24.9">
      <c r="A119" s="461">
        <v>0</v>
      </c>
      <c r="B119" s="453" t="s">
        <v>517</v>
      </c>
      <c r="C119" s="453" t="s">
        <v>538</v>
      </c>
      <c r="D119" s="465" t="s">
        <v>644</v>
      </c>
      <c r="E119" s="453" t="s">
        <v>654</v>
      </c>
      <c r="F119" s="463">
        <v>5269</v>
      </c>
      <c r="G119" s="457"/>
      <c r="H119" s="458">
        <f t="shared" si="16"/>
        <v>3161.4</v>
      </c>
      <c r="I119" s="458">
        <f t="shared" si="15"/>
        <v>0</v>
      </c>
      <c r="J119" s="453" t="s">
        <v>649</v>
      </c>
      <c r="K119" s="1049"/>
    </row>
    <row r="120" spans="1:11" ht="24.9">
      <c r="A120" s="461">
        <v>0</v>
      </c>
      <c r="B120" s="453" t="s">
        <v>517</v>
      </c>
      <c r="C120" s="453" t="s">
        <v>538</v>
      </c>
      <c r="D120" s="465" t="s">
        <v>644</v>
      </c>
      <c r="E120" s="453" t="s">
        <v>655</v>
      </c>
      <c r="F120" s="463">
        <v>3078</v>
      </c>
      <c r="G120" s="457"/>
      <c r="H120" s="458">
        <f t="shared" si="16"/>
        <v>1846.8</v>
      </c>
      <c r="I120" s="458">
        <f t="shared" si="15"/>
        <v>0</v>
      </c>
      <c r="J120" s="453" t="s">
        <v>649</v>
      </c>
      <c r="K120" s="1049"/>
    </row>
    <row r="121" spans="1:11" ht="24.9">
      <c r="A121" s="461">
        <v>0</v>
      </c>
      <c r="B121" s="453" t="s">
        <v>517</v>
      </c>
      <c r="C121" s="453" t="s">
        <v>538</v>
      </c>
      <c r="D121" s="465" t="s">
        <v>644</v>
      </c>
      <c r="E121" s="453" t="s">
        <v>656</v>
      </c>
      <c r="F121" s="463">
        <v>3489</v>
      </c>
      <c r="G121" s="457"/>
      <c r="H121" s="458">
        <f t="shared" si="16"/>
        <v>2093.4</v>
      </c>
      <c r="I121" s="458">
        <f t="shared" si="15"/>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6"/>
        <v>4473.5999999999995</v>
      </c>
      <c r="I123" s="458">
        <f t="shared" si="15"/>
        <v>0</v>
      </c>
      <c r="J123" s="453" t="s">
        <v>649</v>
      </c>
      <c r="K123" s="1049"/>
    </row>
    <row r="124" spans="1:11" ht="24.9">
      <c r="A124" s="461">
        <v>0</v>
      </c>
      <c r="B124" s="453" t="s">
        <v>517</v>
      </c>
      <c r="C124" s="453" t="s">
        <v>538</v>
      </c>
      <c r="D124" s="465" t="s">
        <v>644</v>
      </c>
      <c r="E124" s="453" t="s">
        <v>660</v>
      </c>
      <c r="F124" s="463">
        <v>8494</v>
      </c>
      <c r="G124" s="457"/>
      <c r="H124" s="458">
        <f t="shared" si="16"/>
        <v>5096.3999999999996</v>
      </c>
      <c r="I124" s="458">
        <f t="shared" si="15"/>
        <v>0</v>
      </c>
      <c r="J124" s="453" t="s">
        <v>649</v>
      </c>
      <c r="K124" s="1049"/>
    </row>
    <row r="125" spans="1:11" ht="24.9">
      <c r="A125" s="461">
        <v>0</v>
      </c>
      <c r="B125" s="453" t="s">
        <v>517</v>
      </c>
      <c r="C125" s="453" t="s">
        <v>538</v>
      </c>
      <c r="D125" s="465" t="s">
        <v>644</v>
      </c>
      <c r="E125" s="453" t="s">
        <v>661</v>
      </c>
      <c r="F125" s="463">
        <v>9434</v>
      </c>
      <c r="G125" s="457"/>
      <c r="H125" s="458">
        <f t="shared" si="16"/>
        <v>5660.4</v>
      </c>
      <c r="I125" s="458">
        <f t="shared" si="15"/>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5"/>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5"/>
        <v>161.44</v>
      </c>
    </row>
    <row r="131" spans="1:17">
      <c r="A131" s="204"/>
      <c r="F131" s="485"/>
      <c r="H131" s="403"/>
      <c r="I131" s="403"/>
    </row>
    <row r="132" spans="1:17" ht="15.75">
      <c r="E132" s="439" t="s">
        <v>676</v>
      </c>
      <c r="I132" s="486">
        <f>SUM(I87:I130)</f>
        <v>1270.8399999999999</v>
      </c>
      <c r="Q132" s="438">
        <f>I132</f>
        <v>1270.8399999999999</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7">F137*(1-G137)</f>
        <v>2801.13</v>
      </c>
      <c r="I137" s="409"/>
    </row>
    <row r="138" spans="1:17" ht="22.25">
      <c r="A138" s="407">
        <v>0</v>
      </c>
      <c r="B138" s="407" t="s">
        <v>522</v>
      </c>
      <c r="C138" s="408" t="s">
        <v>678</v>
      </c>
      <c r="D138" s="407" t="s">
        <v>681</v>
      </c>
      <c r="E138" s="408" t="s">
        <v>682</v>
      </c>
      <c r="F138" s="409">
        <v>772.15</v>
      </c>
      <c r="G138" s="410"/>
      <c r="H138" s="409">
        <f t="shared" si="17"/>
        <v>772.15</v>
      </c>
      <c r="I138" s="409"/>
    </row>
    <row r="139" spans="1:17" ht="22.25">
      <c r="A139" s="407">
        <v>0</v>
      </c>
      <c r="B139" s="407" t="s">
        <v>522</v>
      </c>
      <c r="C139" s="408" t="s">
        <v>678</v>
      </c>
      <c r="D139" s="407" t="s">
        <v>683</v>
      </c>
      <c r="E139" s="408" t="s">
        <v>684</v>
      </c>
      <c r="F139" s="409">
        <v>150.26</v>
      </c>
      <c r="G139" s="410"/>
      <c r="H139" s="409">
        <f t="shared" si="17"/>
        <v>150.26</v>
      </c>
      <c r="I139" s="409"/>
    </row>
    <row r="140" spans="1:17" ht="22.25">
      <c r="A140" s="407">
        <v>0</v>
      </c>
      <c r="B140" s="407" t="s">
        <v>522</v>
      </c>
      <c r="C140" s="408" t="s">
        <v>678</v>
      </c>
      <c r="D140" s="407" t="s">
        <v>685</v>
      </c>
      <c r="E140" s="408" t="s">
        <v>686</v>
      </c>
      <c r="F140" s="409">
        <v>10.58</v>
      </c>
      <c r="G140" s="410"/>
      <c r="H140" s="409">
        <f t="shared" si="17"/>
        <v>10.58</v>
      </c>
      <c r="I140" s="409"/>
    </row>
    <row r="141" spans="1:17" ht="22.25">
      <c r="A141" s="407">
        <v>0</v>
      </c>
      <c r="B141" s="407" t="s">
        <v>522</v>
      </c>
      <c r="C141" s="408" t="s">
        <v>678</v>
      </c>
      <c r="D141" s="407" t="s">
        <v>687</v>
      </c>
      <c r="E141" s="408" t="s">
        <v>688</v>
      </c>
      <c r="F141" s="409">
        <v>69.78</v>
      </c>
      <c r="G141" s="410"/>
      <c r="H141" s="409">
        <f t="shared" si="17"/>
        <v>69.78</v>
      </c>
      <c r="I141" s="409"/>
      <c r="J141" s="17" t="s">
        <v>689</v>
      </c>
    </row>
    <row r="142" spans="1:17" ht="22.25">
      <c r="A142" s="487">
        <v>0</v>
      </c>
      <c r="B142" s="407" t="s">
        <v>539</v>
      </c>
      <c r="C142" s="408" t="s">
        <v>690</v>
      </c>
      <c r="D142" s="407"/>
      <c r="E142" s="407" t="s">
        <v>691</v>
      </c>
      <c r="F142" s="409">
        <v>7.58</v>
      </c>
      <c r="G142" s="410"/>
      <c r="H142" s="409">
        <f t="shared" si="17"/>
        <v>7.58</v>
      </c>
      <c r="I142" s="409"/>
      <c r="J142" s="17" t="s">
        <v>692</v>
      </c>
    </row>
    <row r="143" spans="1:17" ht="22.25">
      <c r="A143" s="487">
        <v>0</v>
      </c>
      <c r="B143" s="407" t="s">
        <v>539</v>
      </c>
      <c r="C143" s="408" t="s">
        <v>690</v>
      </c>
      <c r="D143" s="407"/>
      <c r="E143" s="407" t="s">
        <v>693</v>
      </c>
      <c r="F143" s="409">
        <v>2.04</v>
      </c>
      <c r="G143" s="410"/>
      <c r="H143" s="409">
        <f t="shared" si="17"/>
        <v>2.04</v>
      </c>
      <c r="I143" s="409"/>
      <c r="J143" s="17" t="s">
        <v>694</v>
      </c>
    </row>
    <row r="144" spans="1:17" ht="22.25">
      <c r="A144" s="407">
        <v>0</v>
      </c>
      <c r="B144" s="407" t="s">
        <v>522</v>
      </c>
      <c r="C144" s="408"/>
      <c r="D144" s="407"/>
      <c r="E144" s="408" t="s">
        <v>695</v>
      </c>
      <c r="F144" s="409">
        <v>50</v>
      </c>
      <c r="G144" s="410"/>
      <c r="H144" s="409">
        <f t="shared" si="17"/>
        <v>50</v>
      </c>
      <c r="I144" s="409"/>
      <c r="J144" s="204" t="s">
        <v>696</v>
      </c>
    </row>
    <row r="145" spans="1:10">
      <c r="A145" s="407">
        <v>0</v>
      </c>
      <c r="B145" s="407" t="s">
        <v>619</v>
      </c>
      <c r="C145" s="408"/>
      <c r="D145" s="407"/>
      <c r="E145" s="408" t="s">
        <v>697</v>
      </c>
      <c r="F145" s="409">
        <f>F68</f>
        <v>55</v>
      </c>
      <c r="G145" s="410"/>
      <c r="H145" s="409">
        <f t="shared" si="17"/>
        <v>55</v>
      </c>
      <c r="I145" s="409"/>
    </row>
    <row r="146" spans="1:10" ht="66.8">
      <c r="A146" s="407">
        <v>0</v>
      </c>
      <c r="B146" s="407" t="s">
        <v>517</v>
      </c>
      <c r="C146" s="408" t="s">
        <v>698</v>
      </c>
      <c r="D146" s="407" t="s">
        <v>636</v>
      </c>
      <c r="E146" s="408" t="s">
        <v>637</v>
      </c>
      <c r="F146" s="409">
        <v>1809</v>
      </c>
      <c r="G146" s="410">
        <v>0.75</v>
      </c>
      <c r="H146" s="409">
        <f t="shared" si="17"/>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7"/>
        <v>800</v>
      </c>
      <c r="I160" s="403">
        <f t="shared" ref="I160:I177" si="18">A160*H160</f>
        <v>800</v>
      </c>
      <c r="J160" s="17" t="s">
        <v>704</v>
      </c>
    </row>
    <row r="161" spans="1:10">
      <c r="A161" s="442">
        <v>1</v>
      </c>
      <c r="B161" s="17" t="s">
        <v>517</v>
      </c>
      <c r="E161" s="17" t="s">
        <v>705</v>
      </c>
      <c r="F161" s="403">
        <v>500</v>
      </c>
      <c r="H161" s="403">
        <f t="shared" si="17"/>
        <v>500</v>
      </c>
      <c r="I161" s="403">
        <f t="shared" si="18"/>
        <v>500</v>
      </c>
      <c r="J161" s="17" t="s">
        <v>704</v>
      </c>
    </row>
    <row r="162" spans="1:10">
      <c r="A162" s="17">
        <v>1</v>
      </c>
      <c r="B162" s="17" t="s">
        <v>517</v>
      </c>
      <c r="E162" s="17" t="s">
        <v>706</v>
      </c>
      <c r="F162" s="403">
        <v>40</v>
      </c>
      <c r="H162" s="403">
        <f t="shared" si="17"/>
        <v>40</v>
      </c>
      <c r="I162" s="403">
        <f t="shared" si="18"/>
        <v>40</v>
      </c>
    </row>
    <row r="163" spans="1:10">
      <c r="A163" s="442">
        <v>1</v>
      </c>
      <c r="B163" s="17" t="s">
        <v>517</v>
      </c>
      <c r="E163" s="17" t="s">
        <v>707</v>
      </c>
      <c r="F163" s="403">
        <v>1500</v>
      </c>
      <c r="H163" s="403">
        <f t="shared" si="17"/>
        <v>1500</v>
      </c>
      <c r="I163" s="403">
        <f t="shared" si="18"/>
        <v>1500</v>
      </c>
      <c r="J163" s="17" t="s">
        <v>806</v>
      </c>
    </row>
    <row r="164" spans="1:10">
      <c r="A164" s="442">
        <v>0</v>
      </c>
      <c r="B164" s="17" t="s">
        <v>517</v>
      </c>
      <c r="E164" s="17" t="s">
        <v>807</v>
      </c>
      <c r="F164" s="403">
        <v>500</v>
      </c>
      <c r="H164" s="403">
        <f t="shared" si="17"/>
        <v>500</v>
      </c>
      <c r="I164" s="403">
        <f t="shared" si="18"/>
        <v>0</v>
      </c>
      <c r="J164" s="17" t="s">
        <v>806</v>
      </c>
    </row>
    <row r="165" spans="1:10" ht="55.65">
      <c r="A165" s="442">
        <v>1</v>
      </c>
      <c r="B165" s="17" t="s">
        <v>517</v>
      </c>
      <c r="C165" s="204" t="s">
        <v>708</v>
      </c>
      <c r="E165" s="204" t="s">
        <v>709</v>
      </c>
      <c r="F165" s="403">
        <v>460</v>
      </c>
      <c r="H165" s="403">
        <f t="shared" si="17"/>
        <v>460</v>
      </c>
      <c r="I165" s="403">
        <f t="shared" si="18"/>
        <v>460</v>
      </c>
    </row>
    <row r="166" spans="1:10" ht="33.4">
      <c r="A166" s="442">
        <v>0</v>
      </c>
      <c r="B166" s="17" t="s">
        <v>517</v>
      </c>
      <c r="C166" s="204" t="s">
        <v>808</v>
      </c>
      <c r="E166" s="204" t="s">
        <v>712</v>
      </c>
      <c r="F166" s="403">
        <v>365</v>
      </c>
      <c r="H166" s="403">
        <f t="shared" si="17"/>
        <v>365</v>
      </c>
      <c r="I166" s="403">
        <f t="shared" si="18"/>
        <v>0</v>
      </c>
    </row>
    <row r="167" spans="1:10" ht="55.65">
      <c r="A167" s="442">
        <v>0</v>
      </c>
      <c r="B167" s="17" t="s">
        <v>517</v>
      </c>
      <c r="C167" s="17" t="s">
        <v>713</v>
      </c>
      <c r="D167" s="17" t="s">
        <v>714</v>
      </c>
      <c r="E167" s="204" t="s">
        <v>715</v>
      </c>
      <c r="F167" s="403">
        <v>2725</v>
      </c>
      <c r="H167" s="403">
        <f t="shared" si="17"/>
        <v>2725</v>
      </c>
      <c r="I167" s="403">
        <f t="shared" si="18"/>
        <v>0</v>
      </c>
    </row>
    <row r="168" spans="1:10" ht="33.4">
      <c r="A168" s="442">
        <v>0</v>
      </c>
      <c r="B168" s="17" t="s">
        <v>517</v>
      </c>
      <c r="C168" s="204" t="s">
        <v>716</v>
      </c>
      <c r="E168" s="17" t="s">
        <v>717</v>
      </c>
      <c r="F168" s="403">
        <f>1840*1.04</f>
        <v>1913.6000000000001</v>
      </c>
      <c r="H168" s="403">
        <f t="shared" si="17"/>
        <v>1913.6000000000001</v>
      </c>
      <c r="I168" s="403">
        <f t="shared" si="18"/>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7"/>
        <v>50</v>
      </c>
      <c r="I171" s="403">
        <f t="shared" si="18"/>
        <v>0</v>
      </c>
    </row>
    <row r="172" spans="1:10">
      <c r="A172" s="442">
        <v>0</v>
      </c>
      <c r="B172" s="17" t="s">
        <v>517</v>
      </c>
      <c r="C172" s="204" t="s">
        <v>721</v>
      </c>
      <c r="E172" s="17" t="s">
        <v>722</v>
      </c>
      <c r="F172" s="403">
        <f>69/100</f>
        <v>0.69</v>
      </c>
      <c r="H172" s="403">
        <f t="shared" si="17"/>
        <v>0.69</v>
      </c>
      <c r="I172" s="403">
        <f t="shared" si="18"/>
        <v>0</v>
      </c>
    </row>
    <row r="173" spans="1:10">
      <c r="A173" s="442">
        <f t="shared" ref="A173:A176" si="19">A172</f>
        <v>0</v>
      </c>
      <c r="B173" s="17" t="s">
        <v>517</v>
      </c>
      <c r="C173" s="204" t="s">
        <v>721</v>
      </c>
      <c r="E173" s="17" t="s">
        <v>723</v>
      </c>
      <c r="F173" s="403">
        <v>0.1</v>
      </c>
      <c r="H173" s="403">
        <f t="shared" si="17"/>
        <v>0.1</v>
      </c>
      <c r="I173" s="403">
        <f t="shared" si="18"/>
        <v>0</v>
      </c>
    </row>
    <row r="174" spans="1:10">
      <c r="A174" s="442">
        <f t="shared" si="19"/>
        <v>0</v>
      </c>
      <c r="B174" s="17" t="s">
        <v>517</v>
      </c>
      <c r="C174" s="204" t="s">
        <v>721</v>
      </c>
      <c r="E174" s="17" t="s">
        <v>724</v>
      </c>
      <c r="F174" s="403">
        <f>13.25/1.2/100</f>
        <v>0.11041666666666668</v>
      </c>
      <c r="H174" s="403">
        <f t="shared" si="17"/>
        <v>0.11041666666666668</v>
      </c>
      <c r="I174" s="403">
        <f t="shared" si="18"/>
        <v>0</v>
      </c>
    </row>
    <row r="175" spans="1:10" ht="22.25">
      <c r="A175" s="442">
        <v>0</v>
      </c>
      <c r="B175" s="17" t="s">
        <v>539</v>
      </c>
      <c r="C175" s="204" t="s">
        <v>725</v>
      </c>
      <c r="E175" s="17" t="s">
        <v>726</v>
      </c>
      <c r="F175" s="403">
        <f>15.73/1.2</f>
        <v>13.108333333333334</v>
      </c>
      <c r="H175" s="403">
        <f t="shared" si="17"/>
        <v>13.108333333333334</v>
      </c>
      <c r="I175" s="403">
        <f t="shared" si="18"/>
        <v>0</v>
      </c>
    </row>
    <row r="176" spans="1:10" ht="22.25">
      <c r="A176" s="442">
        <f t="shared" si="19"/>
        <v>0</v>
      </c>
      <c r="B176" s="17" t="s">
        <v>539</v>
      </c>
      <c r="C176" s="204" t="s">
        <v>531</v>
      </c>
      <c r="E176" s="17" t="s">
        <v>727</v>
      </c>
      <c r="F176" s="403">
        <v>25</v>
      </c>
      <c r="H176" s="403">
        <f t="shared" si="17"/>
        <v>25</v>
      </c>
      <c r="I176" s="403">
        <f t="shared" si="18"/>
        <v>0</v>
      </c>
    </row>
    <row r="177" spans="1:9" ht="22.25">
      <c r="A177" s="442">
        <f>A176*4</f>
        <v>0</v>
      </c>
      <c r="B177" s="17" t="s">
        <v>517</v>
      </c>
      <c r="C177" s="204" t="s">
        <v>531</v>
      </c>
      <c r="E177" s="17" t="s">
        <v>728</v>
      </c>
      <c r="F177" s="403">
        <v>0.1</v>
      </c>
      <c r="H177" s="403">
        <f t="shared" si="17"/>
        <v>0.1</v>
      </c>
      <c r="I177" s="403">
        <f t="shared" si="18"/>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7"/>
        <v>500</v>
      </c>
      <c r="I182" s="403">
        <f t="shared" ref="I182:I184" si="20">A182*H182</f>
        <v>500</v>
      </c>
    </row>
    <row r="183" spans="1:9" ht="55.65">
      <c r="A183" s="442">
        <v>0</v>
      </c>
      <c r="B183" s="17" t="s">
        <v>517</v>
      </c>
      <c r="C183" s="204" t="s">
        <v>708</v>
      </c>
      <c r="E183" s="204" t="s">
        <v>731</v>
      </c>
      <c r="F183" s="403">
        <f>460/2</f>
        <v>230</v>
      </c>
      <c r="H183" s="403">
        <f t="shared" si="17"/>
        <v>230</v>
      </c>
      <c r="I183" s="403">
        <f t="shared" si="20"/>
        <v>0</v>
      </c>
    </row>
    <row r="184" spans="1:9" ht="55.65">
      <c r="A184" s="442">
        <v>0</v>
      </c>
      <c r="B184" s="17" t="s">
        <v>517</v>
      </c>
      <c r="C184" s="204" t="s">
        <v>711</v>
      </c>
      <c r="E184" s="204" t="s">
        <v>732</v>
      </c>
      <c r="F184" s="403">
        <f>320/2</f>
        <v>160</v>
      </c>
      <c r="H184" s="403">
        <f t="shared" si="17"/>
        <v>160</v>
      </c>
      <c r="I184" s="403">
        <f t="shared" si="20"/>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A1" s="17" t="s">
        <v>837</v>
      </c>
      <c r="B1" s="1058" t="s">
        <v>318</v>
      </c>
      <c r="C1" s="1058"/>
      <c r="D1" s="1058"/>
      <c r="E1" s="1058"/>
      <c r="F1" s="1058"/>
      <c r="H1" s="405" t="s">
        <v>493</v>
      </c>
      <c r="I1" s="406">
        <v>405</v>
      </c>
      <c r="J1" s="17" t="s">
        <v>494</v>
      </c>
      <c r="K1" s="17" t="s">
        <v>495</v>
      </c>
      <c r="L1" s="58">
        <f>A4*I1</f>
        <v>98820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244</v>
      </c>
      <c r="B4" s="413" t="s">
        <v>505</v>
      </c>
      <c r="C4" s="415" t="s">
        <v>734</v>
      </c>
      <c r="D4" s="414"/>
      <c r="E4" s="415" t="s">
        <v>735</v>
      </c>
      <c r="F4" s="416">
        <f>0.362*405</f>
        <v>146.60999999999999</v>
      </c>
      <c r="G4" s="419"/>
      <c r="H4" s="416">
        <f t="shared" ref="H4:H9" si="0">F4*(1-G4)</f>
        <v>146.60999999999999</v>
      </c>
      <c r="I4" s="409">
        <f t="shared" ref="I4:I9" si="1">A4*H4</f>
        <v>35772.839999999997</v>
      </c>
      <c r="J4" s="417">
        <f>F4/$I$1</f>
        <v>0.36199999999999999</v>
      </c>
      <c r="K4" s="403" t="s">
        <v>780</v>
      </c>
      <c r="M4" s="418">
        <f>I4</f>
        <v>35772.839999999997</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244</v>
      </c>
      <c r="B6" s="413" t="s">
        <v>505</v>
      </c>
      <c r="C6" s="413" t="s">
        <v>781</v>
      </c>
      <c r="D6" s="413"/>
      <c r="E6" s="420" t="s">
        <v>782</v>
      </c>
      <c r="F6" s="421">
        <f>12556/294*244*1.036/A6</f>
        <v>44.244952380952384</v>
      </c>
      <c r="G6" s="422"/>
      <c r="H6" s="416">
        <f t="shared" si="0"/>
        <v>44.244952380952384</v>
      </c>
      <c r="I6" s="409">
        <f t="shared" si="1"/>
        <v>10795.768380952382</v>
      </c>
      <c r="J6" s="417">
        <f>F6/$I$1</f>
        <v>0.10924679600235157</v>
      </c>
      <c r="K6" s="417"/>
      <c r="L6" s="204"/>
      <c r="M6" s="418">
        <f>I6</f>
        <v>10795.768380952382</v>
      </c>
      <c r="N6" s="418"/>
      <c r="O6" s="418"/>
      <c r="P6" s="418"/>
      <c r="Q6" s="418"/>
      <c r="R6" s="418"/>
      <c r="S6" s="418"/>
    </row>
    <row r="7" spans="1:19" ht="44.55">
      <c r="A7" s="423">
        <v>2</v>
      </c>
      <c r="B7" s="423" t="s">
        <v>522</v>
      </c>
      <c r="C7" s="420" t="s">
        <v>742</v>
      </c>
      <c r="D7" s="413"/>
      <c r="E7" s="415" t="s">
        <v>745</v>
      </c>
      <c r="F7" s="416">
        <v>3572.58</v>
      </c>
      <c r="G7" s="422"/>
      <c r="H7" s="421">
        <f t="shared" si="0"/>
        <v>3572.58</v>
      </c>
      <c r="I7" s="409">
        <f t="shared" si="1"/>
        <v>7145.16</v>
      </c>
      <c r="J7" s="204"/>
      <c r="M7" s="418"/>
      <c r="N7" s="418">
        <f t="shared" ref="N7:N9" si="2">I7</f>
        <v>7145.16</v>
      </c>
      <c r="O7" s="418"/>
      <c r="P7" s="418"/>
      <c r="Q7" s="418"/>
      <c r="R7" s="418"/>
      <c r="S7" s="418"/>
    </row>
    <row r="8" spans="1:19">
      <c r="A8" s="488"/>
      <c r="B8" s="488"/>
      <c r="C8" s="488"/>
      <c r="D8" s="488"/>
      <c r="E8" s="489"/>
      <c r="F8" s="490"/>
      <c r="G8" s="410"/>
      <c r="H8" s="409">
        <f t="shared" si="0"/>
        <v>0</v>
      </c>
      <c r="I8" s="409">
        <f t="shared" si="1"/>
        <v>0</v>
      </c>
      <c r="J8" s="204"/>
      <c r="M8" s="418"/>
      <c r="N8" s="418">
        <f t="shared" si="2"/>
        <v>0</v>
      </c>
      <c r="O8" s="418"/>
      <c r="P8" s="418"/>
      <c r="Q8" s="418"/>
      <c r="R8" s="418"/>
      <c r="S8" s="418"/>
    </row>
    <row r="9" spans="1:19">
      <c r="A9" s="407"/>
      <c r="B9" s="407"/>
      <c r="C9" s="408"/>
      <c r="D9" s="407"/>
      <c r="E9" s="408"/>
      <c r="F9" s="409"/>
      <c r="G9" s="410"/>
      <c r="H9" s="409">
        <f t="shared" si="0"/>
        <v>0</v>
      </c>
      <c r="I9" s="409">
        <f t="shared" si="1"/>
        <v>0</v>
      </c>
      <c r="J9" s="204"/>
      <c r="M9" s="418"/>
      <c r="N9" s="418">
        <f t="shared" si="2"/>
        <v>0</v>
      </c>
      <c r="O9" s="418"/>
      <c r="P9" s="418"/>
      <c r="Q9" s="418"/>
      <c r="R9" s="418"/>
      <c r="S9" s="418"/>
    </row>
    <row r="10" spans="1:19">
      <c r="A10" s="407"/>
      <c r="B10" s="407"/>
      <c r="C10" s="408"/>
      <c r="D10" s="407"/>
      <c r="E10" s="408"/>
      <c r="F10" s="409"/>
      <c r="G10" s="410"/>
      <c r="H10" s="409">
        <f t="shared" ref="H10:H69" si="3">F10*(1-G10)</f>
        <v>0</v>
      </c>
      <c r="I10" s="409">
        <f t="shared" ref="I10:I34" si="4">A10*H10</f>
        <v>0</v>
      </c>
      <c r="J10" s="204"/>
      <c r="M10" s="418"/>
      <c r="N10" s="418">
        <f>I10</f>
        <v>0</v>
      </c>
      <c r="O10" s="418"/>
      <c r="P10" s="418"/>
      <c r="Q10" s="418"/>
      <c r="R10" s="418"/>
      <c r="S10" s="418"/>
    </row>
    <row r="11" spans="1:19">
      <c r="A11" s="488"/>
      <c r="B11" s="488"/>
      <c r="C11" s="408"/>
      <c r="D11" s="487"/>
      <c r="E11" s="408"/>
      <c r="F11" s="409"/>
      <c r="G11" s="410"/>
      <c r="H11" s="409">
        <f t="shared" si="3"/>
        <v>0</v>
      </c>
      <c r="I11" s="409">
        <f t="shared" si="4"/>
        <v>0</v>
      </c>
      <c r="J11" s="204"/>
      <c r="L11" s="442"/>
      <c r="M11" s="418"/>
      <c r="N11" s="418"/>
      <c r="O11" s="418"/>
      <c r="P11" s="418"/>
      <c r="Q11" s="418"/>
      <c r="R11" s="418">
        <f t="shared" ref="R11:R26" si="5">I11</f>
        <v>0</v>
      </c>
      <c r="S11" s="418"/>
    </row>
    <row r="12" spans="1:19">
      <c r="A12" s="488"/>
      <c r="B12" s="488"/>
      <c r="C12" s="488"/>
      <c r="D12" s="488"/>
      <c r="E12" s="489"/>
      <c r="F12" s="490"/>
      <c r="G12" s="410"/>
      <c r="H12" s="409">
        <f t="shared" si="3"/>
        <v>0</v>
      </c>
      <c r="I12" s="409">
        <f t="shared" si="4"/>
        <v>0</v>
      </c>
      <c r="J12" s="204"/>
      <c r="L12" s="442"/>
      <c r="M12" s="418"/>
      <c r="N12" s="418"/>
      <c r="O12" s="418"/>
      <c r="P12" s="418"/>
      <c r="Q12" s="418"/>
      <c r="R12" s="418">
        <f t="shared" si="5"/>
        <v>0</v>
      </c>
      <c r="S12" s="418"/>
    </row>
    <row r="13" spans="1:19" ht="22.25">
      <c r="A13" s="414">
        <v>1</v>
      </c>
      <c r="B13" s="414" t="s">
        <v>505</v>
      </c>
      <c r="C13" s="415" t="s">
        <v>783</v>
      </c>
      <c r="D13" s="414"/>
      <c r="E13" s="415" t="s">
        <v>791</v>
      </c>
      <c r="F13" s="416">
        <v>1500</v>
      </c>
      <c r="G13" s="419"/>
      <c r="H13" s="416">
        <f t="shared" si="3"/>
        <v>1500</v>
      </c>
      <c r="I13" s="409">
        <f t="shared" si="4"/>
        <v>1500</v>
      </c>
      <c r="J13" s="204"/>
      <c r="M13" s="418"/>
      <c r="N13" s="418"/>
      <c r="O13" s="418"/>
      <c r="P13" s="418"/>
      <c r="Q13" s="418"/>
      <c r="R13" s="418">
        <f t="shared" si="5"/>
        <v>1500</v>
      </c>
      <c r="S13" s="418"/>
    </row>
    <row r="14" spans="1:19">
      <c r="A14" s="407"/>
      <c r="B14" s="407"/>
      <c r="C14" s="407"/>
      <c r="D14" s="407"/>
      <c r="E14" s="408"/>
      <c r="F14" s="409"/>
      <c r="G14" s="410"/>
      <c r="H14" s="409">
        <f t="shared" si="3"/>
        <v>0</v>
      </c>
      <c r="I14" s="409">
        <f t="shared" si="4"/>
        <v>0</v>
      </c>
      <c r="J14" s="204"/>
      <c r="M14" s="418"/>
      <c r="N14" s="418"/>
      <c r="O14" s="418"/>
      <c r="P14" s="418"/>
      <c r="Q14" s="418"/>
      <c r="R14" s="418">
        <f t="shared" si="5"/>
        <v>0</v>
      </c>
      <c r="S14" s="418"/>
    </row>
    <row r="15" spans="1:19">
      <c r="A15" s="413">
        <v>1</v>
      </c>
      <c r="B15" s="413" t="s">
        <v>505</v>
      </c>
      <c r="C15" s="413" t="s">
        <v>792</v>
      </c>
      <c r="D15" s="413" t="s">
        <v>793</v>
      </c>
      <c r="E15" s="420" t="s">
        <v>794</v>
      </c>
      <c r="F15" s="421">
        <v>2000</v>
      </c>
      <c r="G15" s="419"/>
      <c r="H15" s="416">
        <f t="shared" si="3"/>
        <v>2000</v>
      </c>
      <c r="I15" s="409">
        <f t="shared" si="4"/>
        <v>2000</v>
      </c>
      <c r="J15" s="204"/>
      <c r="M15" s="418"/>
      <c r="N15" s="418"/>
      <c r="O15" s="418"/>
      <c r="P15" s="418"/>
      <c r="Q15" s="418"/>
      <c r="R15" s="418">
        <f t="shared" si="5"/>
        <v>2000</v>
      </c>
      <c r="S15" s="418"/>
    </row>
    <row r="16" spans="1:19" ht="33.4">
      <c r="A16" s="407">
        <v>0</v>
      </c>
      <c r="B16" s="407" t="s">
        <v>505</v>
      </c>
      <c r="C16" s="408" t="s">
        <v>534</v>
      </c>
      <c r="D16" s="407"/>
      <c r="E16" s="408" t="s">
        <v>535</v>
      </c>
      <c r="F16" s="409">
        <v>3.71</v>
      </c>
      <c r="G16" s="410"/>
      <c r="H16" s="409">
        <f t="shared" si="3"/>
        <v>3.71</v>
      </c>
      <c r="I16" s="409">
        <f t="shared" si="4"/>
        <v>0</v>
      </c>
      <c r="J16" s="204" t="s">
        <v>795</v>
      </c>
      <c r="M16" s="418"/>
      <c r="N16" s="418"/>
      <c r="O16" s="418"/>
      <c r="P16" s="418"/>
      <c r="Q16" s="418"/>
      <c r="R16" s="418">
        <f t="shared" si="5"/>
        <v>0</v>
      </c>
      <c r="S16" s="418"/>
    </row>
    <row r="17" spans="1:19" ht="22.25">
      <c r="A17" s="407">
        <f>A16</f>
        <v>0</v>
      </c>
      <c r="B17" s="407" t="s">
        <v>505</v>
      </c>
      <c r="C17" s="408" t="s">
        <v>534</v>
      </c>
      <c r="D17" s="407"/>
      <c r="E17" s="408" t="s">
        <v>537</v>
      </c>
      <c r="F17" s="409">
        <v>3.81</v>
      </c>
      <c r="G17" s="410"/>
      <c r="H17" s="409">
        <f t="shared" si="3"/>
        <v>3.81</v>
      </c>
      <c r="I17" s="409">
        <f t="shared" si="4"/>
        <v>0</v>
      </c>
      <c r="J17" s="204" t="s">
        <v>538</v>
      </c>
      <c r="M17" s="418"/>
      <c r="N17" s="418"/>
      <c r="O17" s="418"/>
      <c r="P17" s="418"/>
      <c r="Q17" s="418"/>
      <c r="R17" s="418">
        <f t="shared" si="5"/>
        <v>0</v>
      </c>
      <c r="S17" s="418"/>
    </row>
    <row r="18" spans="1:19" ht="44.55">
      <c r="A18" s="413">
        <v>400</v>
      </c>
      <c r="B18" s="413" t="s">
        <v>539</v>
      </c>
      <c r="C18" s="415" t="s">
        <v>747</v>
      </c>
      <c r="D18" s="413"/>
      <c r="E18" s="420" t="s">
        <v>755</v>
      </c>
      <c r="F18" s="421">
        <f t="shared" ref="F18:F19" si="6">362.73/500</f>
        <v>0.72545999999999999</v>
      </c>
      <c r="G18" s="419"/>
      <c r="H18" s="416">
        <f t="shared" si="3"/>
        <v>0.72545999999999999</v>
      </c>
      <c r="I18" s="409">
        <f t="shared" si="4"/>
        <v>290.18399999999997</v>
      </c>
      <c r="J18" s="17" t="s">
        <v>796</v>
      </c>
      <c r="M18" s="418"/>
      <c r="N18" s="418"/>
      <c r="O18" s="418">
        <f t="shared" ref="O18:O29" si="7">I18</f>
        <v>290.18399999999997</v>
      </c>
      <c r="P18" s="418"/>
      <c r="Q18" s="418"/>
      <c r="R18" s="418"/>
      <c r="S18" s="418"/>
    </row>
    <row r="19" spans="1:19" ht="44.55">
      <c r="A19" s="413">
        <v>900</v>
      </c>
      <c r="B19" s="413" t="s">
        <v>539</v>
      </c>
      <c r="C19" s="415" t="s">
        <v>747</v>
      </c>
      <c r="D19" s="413"/>
      <c r="E19" s="420" t="s">
        <v>757</v>
      </c>
      <c r="F19" s="421">
        <f t="shared" si="6"/>
        <v>0.72545999999999999</v>
      </c>
      <c r="G19" s="419"/>
      <c r="H19" s="416">
        <f t="shared" si="3"/>
        <v>0.72545999999999999</v>
      </c>
      <c r="I19" s="409">
        <f t="shared" si="4"/>
        <v>652.91399999999999</v>
      </c>
      <c r="J19" s="17" t="s">
        <v>796</v>
      </c>
      <c r="M19" s="418"/>
      <c r="N19" s="418"/>
      <c r="O19" s="418">
        <f t="shared" si="7"/>
        <v>652.91399999999999</v>
      </c>
      <c r="P19" s="418"/>
      <c r="Q19" s="418"/>
      <c r="R19" s="418"/>
      <c r="S19" s="418"/>
    </row>
    <row r="20" spans="1:19" ht="44.55">
      <c r="A20" s="413">
        <v>9</v>
      </c>
      <c r="B20" s="413" t="s">
        <v>551</v>
      </c>
      <c r="C20" s="420" t="s">
        <v>552</v>
      </c>
      <c r="D20" s="413" t="s">
        <v>553</v>
      </c>
      <c r="E20" s="420" t="s">
        <v>554</v>
      </c>
      <c r="F20" s="421">
        <v>100</v>
      </c>
      <c r="G20" s="426"/>
      <c r="H20" s="425">
        <f t="shared" si="3"/>
        <v>100</v>
      </c>
      <c r="I20" s="409">
        <f t="shared" si="4"/>
        <v>900</v>
      </c>
      <c r="J20" s="204" t="s">
        <v>796</v>
      </c>
      <c r="K20" s="17" t="s">
        <v>555</v>
      </c>
      <c r="M20" s="418"/>
      <c r="N20" s="418"/>
      <c r="O20" s="418">
        <f t="shared" si="7"/>
        <v>900</v>
      </c>
      <c r="P20" s="418"/>
      <c r="Q20" s="418"/>
      <c r="R20" s="418"/>
      <c r="S20" s="418"/>
    </row>
    <row r="21" spans="1:19" ht="33.4">
      <c r="A21" s="413">
        <f>2*12+2</f>
        <v>26</v>
      </c>
      <c r="B21" s="413" t="s">
        <v>517</v>
      </c>
      <c r="C21" s="420" t="s">
        <v>540</v>
      </c>
      <c r="D21" s="413" t="s">
        <v>797</v>
      </c>
      <c r="E21" s="420" t="s">
        <v>798</v>
      </c>
      <c r="F21" s="421">
        <v>0.88</v>
      </c>
      <c r="G21" s="419"/>
      <c r="H21" s="416">
        <f t="shared" si="3"/>
        <v>0.88</v>
      </c>
      <c r="I21" s="409">
        <f t="shared" si="4"/>
        <v>22.88</v>
      </c>
      <c r="J21" s="204" t="s">
        <v>838</v>
      </c>
      <c r="M21" s="418"/>
      <c r="N21" s="418"/>
      <c r="O21" s="418">
        <f t="shared" si="7"/>
        <v>22.88</v>
      </c>
      <c r="P21" s="418"/>
      <c r="Q21" s="418"/>
      <c r="R21" s="418"/>
      <c r="S21" s="418"/>
    </row>
    <row r="22" spans="1:19" ht="33.4">
      <c r="A22" s="413">
        <f>A21</f>
        <v>26</v>
      </c>
      <c r="B22" s="413" t="s">
        <v>517</v>
      </c>
      <c r="C22" s="420" t="s">
        <v>540</v>
      </c>
      <c r="D22" s="413" t="s">
        <v>800</v>
      </c>
      <c r="E22" s="420" t="s">
        <v>801</v>
      </c>
      <c r="F22" s="421">
        <v>0.67</v>
      </c>
      <c r="G22" s="419"/>
      <c r="H22" s="416">
        <f t="shared" si="3"/>
        <v>0.67</v>
      </c>
      <c r="I22" s="409">
        <f t="shared" si="4"/>
        <v>17.420000000000002</v>
      </c>
      <c r="J22" s="204" t="str">
        <f>J21</f>
        <v>12 chaînes DC et 1 bretelle</v>
      </c>
      <c r="M22" s="418"/>
      <c r="N22" s="418"/>
      <c r="O22" s="418">
        <f t="shared" si="7"/>
        <v>17.420000000000002</v>
      </c>
      <c r="P22" s="418"/>
      <c r="Q22" s="418"/>
      <c r="R22" s="418"/>
      <c r="S22" s="418"/>
    </row>
    <row r="23" spans="1:19" ht="22.25">
      <c r="A23" s="407">
        <v>0</v>
      </c>
      <c r="B23" s="407" t="s">
        <v>517</v>
      </c>
      <c r="C23" s="408" t="s">
        <v>540</v>
      </c>
      <c r="D23" s="407" t="s">
        <v>556</v>
      </c>
      <c r="E23" s="408" t="s">
        <v>557</v>
      </c>
      <c r="F23" s="409">
        <v>6.58</v>
      </c>
      <c r="G23" s="410"/>
      <c r="H23" s="409">
        <f t="shared" si="3"/>
        <v>6.58</v>
      </c>
      <c r="I23" s="409">
        <f t="shared" si="4"/>
        <v>0</v>
      </c>
      <c r="J23" s="204"/>
      <c r="M23" s="418"/>
      <c r="N23" s="418"/>
      <c r="O23" s="418">
        <f t="shared" si="7"/>
        <v>0</v>
      </c>
      <c r="P23" s="418"/>
      <c r="Q23" s="418"/>
      <c r="R23" s="418"/>
      <c r="S23" s="418"/>
    </row>
    <row r="24" spans="1:19" ht="22.25">
      <c r="A24" s="413">
        <v>24</v>
      </c>
      <c r="B24" s="413" t="s">
        <v>517</v>
      </c>
      <c r="C24" s="415" t="s">
        <v>506</v>
      </c>
      <c r="D24" s="414"/>
      <c r="E24" s="415" t="s">
        <v>802</v>
      </c>
      <c r="F24" s="416">
        <f>86.1/28</f>
        <v>3.0749999999999997</v>
      </c>
      <c r="G24" s="419"/>
      <c r="H24" s="416">
        <f t="shared" si="3"/>
        <v>3.0749999999999997</v>
      </c>
      <c r="I24" s="409">
        <f t="shared" si="4"/>
        <v>73.8</v>
      </c>
      <c r="J24" s="204"/>
      <c r="M24" s="418"/>
      <c r="N24" s="418"/>
      <c r="O24" s="418"/>
      <c r="P24" s="418"/>
      <c r="Q24" s="418"/>
      <c r="R24" s="418">
        <f t="shared" si="5"/>
        <v>73.8</v>
      </c>
      <c r="S24" s="418"/>
    </row>
    <row r="25" spans="1:19" ht="35.85" customHeight="1">
      <c r="A25" s="413">
        <v>1</v>
      </c>
      <c r="B25" s="413" t="s">
        <v>522</v>
      </c>
      <c r="C25" s="413" t="s">
        <v>751</v>
      </c>
      <c r="D25" s="413"/>
      <c r="E25" s="420" t="s">
        <v>803</v>
      </c>
      <c r="F25" s="421">
        <v>564.44000000000005</v>
      </c>
      <c r="G25" s="419"/>
      <c r="H25" s="416">
        <f t="shared" si="3"/>
        <v>564.44000000000005</v>
      </c>
      <c r="I25" s="409">
        <f t="shared" si="4"/>
        <v>564.44000000000005</v>
      </c>
      <c r="J25" s="1054"/>
      <c r="K25" s="1054"/>
      <c r="L25" s="1054"/>
      <c r="M25" s="418"/>
      <c r="N25" s="418"/>
      <c r="O25" s="418"/>
      <c r="P25" s="418"/>
      <c r="Q25" s="418"/>
      <c r="R25" s="418">
        <f t="shared" si="5"/>
        <v>564.44000000000005</v>
      </c>
      <c r="S25" s="418"/>
    </row>
    <row r="26" spans="1:19">
      <c r="A26" s="407"/>
      <c r="B26" s="407"/>
      <c r="C26" s="408"/>
      <c r="D26" s="407"/>
      <c r="E26" s="408"/>
      <c r="F26" s="409"/>
      <c r="G26" s="410"/>
      <c r="H26" s="409">
        <f t="shared" si="3"/>
        <v>0</v>
      </c>
      <c r="I26" s="409">
        <f t="shared" si="4"/>
        <v>0</v>
      </c>
      <c r="J26" s="204"/>
      <c r="M26" s="418"/>
      <c r="N26" s="418"/>
      <c r="O26" s="418"/>
      <c r="P26" s="418"/>
      <c r="Q26" s="418"/>
      <c r="R26" s="418">
        <f t="shared" si="5"/>
        <v>0</v>
      </c>
      <c r="S26" s="418"/>
    </row>
    <row r="27" spans="1:19" ht="22.25">
      <c r="A27" s="413">
        <v>1</v>
      </c>
      <c r="B27" s="413" t="s">
        <v>522</v>
      </c>
      <c r="C27" s="420" t="s">
        <v>531</v>
      </c>
      <c r="D27" s="413"/>
      <c r="E27" s="420" t="s">
        <v>695</v>
      </c>
      <c r="F27" s="421">
        <v>100</v>
      </c>
      <c r="G27" s="410"/>
      <c r="H27" s="409">
        <f t="shared" si="3"/>
        <v>100</v>
      </c>
      <c r="I27" s="409">
        <f t="shared" si="4"/>
        <v>100</v>
      </c>
      <c r="J27" s="204"/>
      <c r="M27" s="418"/>
      <c r="N27" s="418"/>
      <c r="O27" s="418">
        <f t="shared" si="7"/>
        <v>100</v>
      </c>
      <c r="P27" s="418"/>
      <c r="Q27" s="418"/>
      <c r="R27" s="418"/>
      <c r="S27" s="418"/>
    </row>
    <row r="28" spans="1:19" ht="22.25">
      <c r="A28" s="413">
        <v>1</v>
      </c>
      <c r="B28" s="413" t="s">
        <v>505</v>
      </c>
      <c r="C28" s="489" t="s">
        <v>540</v>
      </c>
      <c r="D28" s="488" t="s">
        <v>769</v>
      </c>
      <c r="E28" s="489" t="s">
        <v>567</v>
      </c>
      <c r="F28" s="490">
        <v>750</v>
      </c>
      <c r="G28" s="410"/>
      <c r="H28" s="409">
        <f t="shared" si="3"/>
        <v>750</v>
      </c>
      <c r="I28" s="409">
        <f t="shared" si="4"/>
        <v>750</v>
      </c>
      <c r="J28" s="204"/>
      <c r="M28" s="418">
        <f>F28</f>
        <v>750</v>
      </c>
      <c r="N28" s="418"/>
      <c r="O28" s="418"/>
      <c r="P28" s="418"/>
      <c r="Q28" s="418"/>
      <c r="R28" s="418"/>
      <c r="S28" s="418"/>
    </row>
    <row r="29" spans="1:19" ht="44.55">
      <c r="A29" s="413">
        <v>30</v>
      </c>
      <c r="B29" s="414" t="s">
        <v>539</v>
      </c>
      <c r="C29" s="415" t="s">
        <v>552</v>
      </c>
      <c r="D29" s="414"/>
      <c r="E29" s="415" t="s">
        <v>804</v>
      </c>
      <c r="F29" s="416">
        <f>44/1.2</f>
        <v>36.666666666666671</v>
      </c>
      <c r="G29" s="426"/>
      <c r="H29" s="425">
        <f t="shared" si="3"/>
        <v>36.666666666666671</v>
      </c>
      <c r="I29" s="409">
        <f t="shared" si="4"/>
        <v>1100.0000000000002</v>
      </c>
      <c r="J29" s="204"/>
      <c r="K29" s="17" t="s">
        <v>805</v>
      </c>
      <c r="M29" s="418"/>
      <c r="N29" s="418"/>
      <c r="O29" s="418">
        <f t="shared" si="7"/>
        <v>1100.0000000000002</v>
      </c>
      <c r="P29" s="418"/>
      <c r="Q29" s="418"/>
      <c r="R29" s="418"/>
      <c r="S29" s="418"/>
    </row>
    <row r="30" spans="1:19" ht="44.55">
      <c r="A30" s="413">
        <v>0</v>
      </c>
      <c r="B30" s="413" t="s">
        <v>517</v>
      </c>
      <c r="C30" s="420" t="s">
        <v>569</v>
      </c>
      <c r="D30" s="413" t="s">
        <v>570</v>
      </c>
      <c r="E30" s="420" t="s">
        <v>571</v>
      </c>
      <c r="F30" s="421">
        <v>1040</v>
      </c>
      <c r="G30" s="495">
        <v>0.48</v>
      </c>
      <c r="H30" s="425">
        <f t="shared" si="3"/>
        <v>540.80000000000007</v>
      </c>
      <c r="I30" s="409">
        <f t="shared" si="4"/>
        <v>0</v>
      </c>
      <c r="J30" s="204"/>
      <c r="M30" s="418"/>
      <c r="N30" s="418"/>
      <c r="O30" s="418"/>
      <c r="P30" s="418"/>
      <c r="Q30" s="418"/>
      <c r="R30" s="418"/>
      <c r="S30" s="418">
        <f t="shared" ref="S30:S34" si="8">I30</f>
        <v>0</v>
      </c>
    </row>
    <row r="31" spans="1:19" ht="55.65">
      <c r="A31" s="413">
        <v>1</v>
      </c>
      <c r="B31" s="413" t="s">
        <v>517</v>
      </c>
      <c r="C31" s="424" t="s">
        <v>569</v>
      </c>
      <c r="D31" s="423" t="s">
        <v>572</v>
      </c>
      <c r="E31" s="424" t="s">
        <v>573</v>
      </c>
      <c r="F31" s="425">
        <v>1190</v>
      </c>
      <c r="G31" s="495">
        <v>0.48</v>
      </c>
      <c r="H31" s="425">
        <f t="shared" si="3"/>
        <v>618.80000000000007</v>
      </c>
      <c r="I31" s="409">
        <f t="shared" si="4"/>
        <v>618.80000000000007</v>
      </c>
      <c r="J31" s="204"/>
      <c r="M31" s="418"/>
      <c r="N31" s="418"/>
      <c r="O31" s="418"/>
      <c r="P31" s="418"/>
      <c r="Q31" s="418"/>
      <c r="R31" s="418"/>
      <c r="S31" s="418">
        <f t="shared" si="8"/>
        <v>618.80000000000007</v>
      </c>
    </row>
    <row r="32" spans="1:19">
      <c r="A32" s="413">
        <v>0</v>
      </c>
      <c r="B32" s="413" t="s">
        <v>517</v>
      </c>
      <c r="C32" s="420" t="s">
        <v>574</v>
      </c>
      <c r="D32" s="413" t="s">
        <v>575</v>
      </c>
      <c r="E32" s="413" t="s">
        <v>576</v>
      </c>
      <c r="F32" s="421">
        <v>36.700000000000003</v>
      </c>
      <c r="G32" s="419"/>
      <c r="H32" s="416">
        <f t="shared" si="3"/>
        <v>36.700000000000003</v>
      </c>
      <c r="I32" s="409">
        <f t="shared" si="4"/>
        <v>0</v>
      </c>
      <c r="J32" s="204"/>
      <c r="M32" s="418"/>
      <c r="N32" s="418"/>
      <c r="O32" s="418"/>
      <c r="P32" s="418"/>
      <c r="Q32" s="418"/>
      <c r="R32" s="418"/>
      <c r="S32" s="418">
        <f t="shared" si="8"/>
        <v>0</v>
      </c>
    </row>
    <row r="33" spans="1:19">
      <c r="A33" s="413">
        <v>5</v>
      </c>
      <c r="B33" s="413" t="s">
        <v>517</v>
      </c>
      <c r="C33" s="420" t="s">
        <v>574</v>
      </c>
      <c r="D33" s="413" t="s">
        <v>577</v>
      </c>
      <c r="E33" s="413" t="s">
        <v>578</v>
      </c>
      <c r="F33" s="421">
        <v>75</v>
      </c>
      <c r="G33" s="419"/>
      <c r="H33" s="416">
        <f t="shared" si="3"/>
        <v>75</v>
      </c>
      <c r="I33" s="409">
        <f t="shared" si="4"/>
        <v>375</v>
      </c>
      <c r="J33" s="204"/>
      <c r="M33" s="418"/>
      <c r="N33" s="418"/>
      <c r="O33" s="418"/>
      <c r="P33" s="418"/>
      <c r="Q33" s="418"/>
      <c r="R33" s="418"/>
      <c r="S33" s="418">
        <f t="shared" si="8"/>
        <v>375</v>
      </c>
    </row>
    <row r="34" spans="1:19">
      <c r="A34" s="413">
        <v>1</v>
      </c>
      <c r="B34" s="413" t="s">
        <v>517</v>
      </c>
      <c r="C34" s="420" t="s">
        <v>574</v>
      </c>
      <c r="D34" s="413"/>
      <c r="E34" s="413" t="s">
        <v>579</v>
      </c>
      <c r="F34" s="421">
        <f>35/4</f>
        <v>8.75</v>
      </c>
      <c r="G34" s="419"/>
      <c r="H34" s="416">
        <f t="shared" si="3"/>
        <v>8.75</v>
      </c>
      <c r="I34" s="409">
        <f t="shared" si="4"/>
        <v>8.75</v>
      </c>
      <c r="J34" s="204"/>
      <c r="M34" s="418"/>
      <c r="N34" s="418"/>
      <c r="O34" s="418"/>
      <c r="P34" s="418"/>
      <c r="Q34" s="418"/>
      <c r="R34" s="418"/>
      <c r="S34" s="418">
        <f t="shared" si="8"/>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62687.956380952375</v>
      </c>
      <c r="J37" s="204"/>
      <c r="M37" s="418">
        <f>SUM(M4:M35)</f>
        <v>47318.608380952377</v>
      </c>
      <c r="N37" s="418">
        <f>SUM(N4:N35)</f>
        <v>7145.16</v>
      </c>
      <c r="O37" s="418">
        <f>SUM(O4:O35)</f>
        <v>3083.3980000000001</v>
      </c>
      <c r="P37" s="418"/>
      <c r="Q37" s="418"/>
      <c r="R37" s="418">
        <f>SUM(R4:R35)</f>
        <v>4138.24</v>
      </c>
      <c r="S37" s="418">
        <f>SUM(S4:S35)</f>
        <v>1002.5500000000001</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78359.945476190464</v>
      </c>
      <c r="J39" s="436"/>
      <c r="K39" s="437"/>
      <c r="L39" s="437"/>
      <c r="M39" s="438">
        <f>M37*(1+$G$38)</f>
        <v>59148.260476190473</v>
      </c>
      <c r="N39" s="438">
        <f>N37*(1+$G$38)</f>
        <v>8931.4500000000007</v>
      </c>
      <c r="O39" s="438">
        <f>O37*(1+$G$38)</f>
        <v>3854.2475000000004</v>
      </c>
      <c r="P39" s="438">
        <f>P73</f>
        <v>12880</v>
      </c>
      <c r="Q39" s="438">
        <f>Q132</f>
        <v>25607.859999999997</v>
      </c>
      <c r="R39" s="438">
        <f>R37*(1+$G$38)</f>
        <v>5172.7999999999993</v>
      </c>
      <c r="S39" s="438">
        <f>S37*(1+$G$38)</f>
        <v>1253.1875</v>
      </c>
    </row>
    <row r="42" spans="1:19" ht="33.4">
      <c r="B42" s="204" t="s">
        <v>583</v>
      </c>
      <c r="C42" s="204" t="s">
        <v>584</v>
      </c>
      <c r="E42" s="439" t="s">
        <v>585</v>
      </c>
    </row>
    <row r="43" spans="1:19">
      <c r="A43" s="440">
        <f t="shared" ref="A43:A64" si="9">B43*C43</f>
        <v>12</v>
      </c>
      <c r="B43" s="441">
        <v>6</v>
      </c>
      <c r="C43" s="493">
        <v>2</v>
      </c>
      <c r="E43" s="17" t="s">
        <v>586</v>
      </c>
      <c r="F43" s="403">
        <f t="shared" ref="F43:F64" si="10">F$68</f>
        <v>55</v>
      </c>
      <c r="H43" s="403">
        <f t="shared" si="3"/>
        <v>55</v>
      </c>
      <c r="I43" s="403">
        <f t="shared" ref="I43:I70" si="11">A43*H43</f>
        <v>660</v>
      </c>
    </row>
    <row r="44" spans="1:19">
      <c r="A44" s="440">
        <f t="shared" si="9"/>
        <v>36.6</v>
      </c>
      <c r="B44" s="441">
        <v>0.15</v>
      </c>
      <c r="C44" s="493">
        <f>A6</f>
        <v>244</v>
      </c>
      <c r="D44" s="17" t="s">
        <v>588</v>
      </c>
      <c r="E44" s="17" t="s">
        <v>589</v>
      </c>
      <c r="F44" s="403">
        <f t="shared" si="10"/>
        <v>55</v>
      </c>
      <c r="H44" s="403">
        <f t="shared" si="3"/>
        <v>55</v>
      </c>
      <c r="I44" s="403">
        <f t="shared" si="11"/>
        <v>2013</v>
      </c>
    </row>
    <row r="45" spans="1:19">
      <c r="A45" s="440">
        <f t="shared" si="9"/>
        <v>85.399999999999991</v>
      </c>
      <c r="B45" s="441">
        <v>0.35</v>
      </c>
      <c r="C45" s="493">
        <f>A4</f>
        <v>244</v>
      </c>
      <c r="D45" s="17" t="s">
        <v>588</v>
      </c>
      <c r="E45" s="17" t="s">
        <v>591</v>
      </c>
      <c r="F45" s="403">
        <f t="shared" si="10"/>
        <v>55</v>
      </c>
      <c r="H45" s="403">
        <f t="shared" si="3"/>
        <v>55</v>
      </c>
      <c r="I45" s="403">
        <f t="shared" si="11"/>
        <v>4696.9999999999991</v>
      </c>
    </row>
    <row r="46" spans="1:19">
      <c r="A46" s="440">
        <f t="shared" si="9"/>
        <v>1.2</v>
      </c>
      <c r="B46" s="441">
        <v>0.04</v>
      </c>
      <c r="C46" s="493">
        <v>30</v>
      </c>
      <c r="D46" s="17" t="s">
        <v>539</v>
      </c>
      <c r="E46" s="17" t="s">
        <v>593</v>
      </c>
      <c r="F46" s="403">
        <f t="shared" si="10"/>
        <v>55</v>
      </c>
      <c r="H46" s="403">
        <f t="shared" si="3"/>
        <v>55</v>
      </c>
      <c r="I46" s="403">
        <f t="shared" si="11"/>
        <v>66</v>
      </c>
    </row>
    <row r="47" spans="1:19">
      <c r="A47" s="440">
        <f t="shared" si="9"/>
        <v>0.4</v>
      </c>
      <c r="B47" s="441">
        <v>0.04</v>
      </c>
      <c r="C47" s="493">
        <v>10</v>
      </c>
      <c r="D47" s="17" t="s">
        <v>539</v>
      </c>
      <c r="E47" s="17" t="s">
        <v>594</v>
      </c>
      <c r="F47" s="403">
        <f t="shared" si="10"/>
        <v>55</v>
      </c>
      <c r="H47" s="403">
        <f t="shared" si="3"/>
        <v>55</v>
      </c>
      <c r="I47" s="403">
        <f t="shared" si="11"/>
        <v>22</v>
      </c>
    </row>
    <row r="48" spans="1:19">
      <c r="A48" s="440">
        <f t="shared" si="9"/>
        <v>44</v>
      </c>
      <c r="B48" s="441">
        <v>0.02</v>
      </c>
      <c r="C48" s="493">
        <f>A18+A19+A20*100</f>
        <v>2200</v>
      </c>
      <c r="D48" s="17" t="s">
        <v>539</v>
      </c>
      <c r="E48" s="17" t="s">
        <v>595</v>
      </c>
      <c r="F48" s="403">
        <f t="shared" si="10"/>
        <v>55</v>
      </c>
      <c r="H48" s="403">
        <f t="shared" si="3"/>
        <v>55</v>
      </c>
      <c r="I48" s="403">
        <f t="shared" si="11"/>
        <v>2420</v>
      </c>
    </row>
    <row r="49" spans="1:9">
      <c r="A49" s="440">
        <f t="shared" si="9"/>
        <v>0</v>
      </c>
      <c r="B49" s="441">
        <f>2*0.17</f>
        <v>0.34</v>
      </c>
      <c r="C49" s="493">
        <v>0</v>
      </c>
      <c r="D49" s="17" t="s">
        <v>596</v>
      </c>
      <c r="E49" s="17" t="s">
        <v>775</v>
      </c>
      <c r="F49" s="403">
        <f t="shared" si="10"/>
        <v>55</v>
      </c>
      <c r="H49" s="403">
        <f t="shared" si="3"/>
        <v>55</v>
      </c>
      <c r="I49" s="403">
        <f t="shared" si="11"/>
        <v>0</v>
      </c>
    </row>
    <row r="50" spans="1:9">
      <c r="A50" s="440">
        <f t="shared" si="9"/>
        <v>5.2</v>
      </c>
      <c r="B50" s="441">
        <v>0.4</v>
      </c>
      <c r="C50" s="493">
        <v>13</v>
      </c>
      <c r="E50" s="17" t="s">
        <v>600</v>
      </c>
      <c r="F50" s="403">
        <f t="shared" si="10"/>
        <v>55</v>
      </c>
      <c r="H50" s="403">
        <f t="shared" si="3"/>
        <v>55</v>
      </c>
      <c r="I50" s="403">
        <f t="shared" si="11"/>
        <v>286</v>
      </c>
    </row>
    <row r="51" spans="1:9">
      <c r="A51" s="440">
        <f t="shared" si="9"/>
        <v>2</v>
      </c>
      <c r="B51" s="441">
        <v>2</v>
      </c>
      <c r="C51" s="493">
        <v>1</v>
      </c>
      <c r="E51" s="17" t="s">
        <v>601</v>
      </c>
      <c r="F51" s="403">
        <f t="shared" si="10"/>
        <v>55</v>
      </c>
      <c r="H51" s="403">
        <f t="shared" si="3"/>
        <v>55</v>
      </c>
      <c r="I51" s="403">
        <f t="shared" si="11"/>
        <v>110</v>
      </c>
    </row>
    <row r="52" spans="1:9">
      <c r="A52" s="440">
        <f t="shared" si="9"/>
        <v>0</v>
      </c>
      <c r="B52" s="441">
        <f>0.5+10*0.15+2*0.1</f>
        <v>2.2000000000000002</v>
      </c>
      <c r="C52" s="493">
        <v>0</v>
      </c>
      <c r="E52" s="17" t="s">
        <v>602</v>
      </c>
      <c r="F52" s="403">
        <f t="shared" si="10"/>
        <v>55</v>
      </c>
      <c r="H52" s="403">
        <f t="shared" si="3"/>
        <v>55</v>
      </c>
      <c r="I52" s="403">
        <f t="shared" si="11"/>
        <v>0</v>
      </c>
    </row>
    <row r="53" spans="1:9">
      <c r="A53" s="440">
        <f t="shared" si="9"/>
        <v>0</v>
      </c>
      <c r="B53" s="441">
        <f>0.5+4*0.15</f>
        <v>1.1000000000000001</v>
      </c>
      <c r="C53" s="493">
        <v>0</v>
      </c>
      <c r="E53" s="17" t="s">
        <v>776</v>
      </c>
      <c r="F53" s="403">
        <f t="shared" si="10"/>
        <v>55</v>
      </c>
      <c r="H53" s="403">
        <f t="shared" si="3"/>
        <v>55</v>
      </c>
      <c r="I53" s="403">
        <f t="shared" si="11"/>
        <v>0</v>
      </c>
    </row>
    <row r="54" spans="1:9">
      <c r="A54" s="440">
        <f t="shared" si="9"/>
        <v>1.3333333333333333</v>
      </c>
      <c r="B54" s="441">
        <f>8/6</f>
        <v>1.3333333333333333</v>
      </c>
      <c r="C54" s="493">
        <v>1</v>
      </c>
      <c r="D54" s="17" t="s">
        <v>604</v>
      </c>
      <c r="E54" s="17" t="s">
        <v>605</v>
      </c>
      <c r="F54" s="403">
        <f t="shared" si="10"/>
        <v>55</v>
      </c>
      <c r="H54" s="403">
        <f t="shared" si="3"/>
        <v>55</v>
      </c>
      <c r="I54" s="403">
        <f t="shared" si="11"/>
        <v>73.333333333333329</v>
      </c>
    </row>
    <row r="55" spans="1:9">
      <c r="A55" s="440">
        <f t="shared" si="9"/>
        <v>4</v>
      </c>
      <c r="B55" s="441">
        <v>4</v>
      </c>
      <c r="C55" s="493">
        <v>1</v>
      </c>
      <c r="E55" s="17" t="s">
        <v>606</v>
      </c>
      <c r="F55" s="403">
        <f t="shared" si="10"/>
        <v>55</v>
      </c>
      <c r="H55" s="403">
        <f t="shared" si="3"/>
        <v>55</v>
      </c>
      <c r="I55" s="403">
        <f t="shared" si="11"/>
        <v>220</v>
      </c>
    </row>
    <row r="56" spans="1:9">
      <c r="A56" s="440">
        <f t="shared" si="9"/>
        <v>2</v>
      </c>
      <c r="B56" s="441">
        <v>2</v>
      </c>
      <c r="C56" s="493">
        <v>1</v>
      </c>
      <c r="E56" s="17" t="s">
        <v>607</v>
      </c>
      <c r="F56" s="403">
        <f t="shared" si="10"/>
        <v>55</v>
      </c>
      <c r="H56" s="403">
        <f t="shared" si="3"/>
        <v>55</v>
      </c>
      <c r="I56" s="403">
        <f t="shared" si="11"/>
        <v>110</v>
      </c>
    </row>
    <row r="57" spans="1:9">
      <c r="A57" s="440">
        <f t="shared" si="9"/>
        <v>0.93000000000000016</v>
      </c>
      <c r="B57" s="441">
        <f>0.33+6*0.1</f>
        <v>0.93000000000000016</v>
      </c>
      <c r="C57" s="493">
        <v>1</v>
      </c>
      <c r="E57" s="17" t="s">
        <v>609</v>
      </c>
      <c r="F57" s="403">
        <f t="shared" si="10"/>
        <v>55</v>
      </c>
      <c r="H57" s="403">
        <f t="shared" si="3"/>
        <v>55</v>
      </c>
      <c r="I57" s="403">
        <f t="shared" si="11"/>
        <v>51.150000000000006</v>
      </c>
    </row>
    <row r="58" spans="1:9">
      <c r="A58" s="440">
        <f t="shared" si="9"/>
        <v>0</v>
      </c>
      <c r="B58" s="441">
        <v>0.17</v>
      </c>
      <c r="C58" s="493">
        <v>0</v>
      </c>
      <c r="E58" s="17" t="s">
        <v>610</v>
      </c>
      <c r="F58" s="403">
        <f t="shared" si="10"/>
        <v>55</v>
      </c>
      <c r="H58" s="403">
        <f t="shared" si="3"/>
        <v>55</v>
      </c>
      <c r="I58" s="403">
        <f t="shared" si="11"/>
        <v>0</v>
      </c>
    </row>
    <row r="59" spans="1:9">
      <c r="A59" s="440">
        <f t="shared" si="9"/>
        <v>0.5</v>
      </c>
      <c r="B59" s="441">
        <v>0.5</v>
      </c>
      <c r="C59" s="493">
        <v>1</v>
      </c>
      <c r="E59" s="17" t="s">
        <v>611</v>
      </c>
      <c r="F59" s="403">
        <f t="shared" si="10"/>
        <v>55</v>
      </c>
      <c r="H59" s="403">
        <f t="shared" si="3"/>
        <v>55</v>
      </c>
      <c r="I59" s="403">
        <f t="shared" si="11"/>
        <v>27.5</v>
      </c>
    </row>
    <row r="60" spans="1:9">
      <c r="A60" s="440">
        <f t="shared" si="9"/>
        <v>1</v>
      </c>
      <c r="B60" s="441">
        <v>1</v>
      </c>
      <c r="C60" s="493">
        <v>1</v>
      </c>
      <c r="E60" s="17" t="s">
        <v>612</v>
      </c>
      <c r="F60" s="403">
        <f t="shared" si="10"/>
        <v>55</v>
      </c>
      <c r="H60" s="403">
        <f t="shared" si="3"/>
        <v>55</v>
      </c>
      <c r="I60" s="403">
        <f t="shared" si="11"/>
        <v>55</v>
      </c>
    </row>
    <row r="61" spans="1:9">
      <c r="A61" s="440">
        <f t="shared" si="9"/>
        <v>6</v>
      </c>
      <c r="B61" s="441">
        <v>6</v>
      </c>
      <c r="C61" s="493">
        <v>1</v>
      </c>
      <c r="E61" s="17" t="s">
        <v>614</v>
      </c>
      <c r="F61" s="403">
        <f t="shared" si="10"/>
        <v>55</v>
      </c>
      <c r="H61" s="403">
        <f t="shared" si="3"/>
        <v>55</v>
      </c>
      <c r="I61" s="403">
        <f t="shared" si="11"/>
        <v>330</v>
      </c>
    </row>
    <row r="62" spans="1:9">
      <c r="A62" s="440">
        <f t="shared" si="9"/>
        <v>4</v>
      </c>
      <c r="B62" s="441">
        <v>4</v>
      </c>
      <c r="C62" s="493">
        <v>1</v>
      </c>
      <c r="E62" s="17" t="s">
        <v>615</v>
      </c>
      <c r="F62" s="403">
        <f t="shared" si="10"/>
        <v>55</v>
      </c>
      <c r="H62" s="403">
        <f t="shared" si="3"/>
        <v>55</v>
      </c>
      <c r="I62" s="403">
        <f t="shared" si="11"/>
        <v>220</v>
      </c>
    </row>
    <row r="63" spans="1:9">
      <c r="A63" s="440">
        <f t="shared" si="9"/>
        <v>4</v>
      </c>
      <c r="B63" s="441">
        <v>4</v>
      </c>
      <c r="C63" s="493">
        <v>1</v>
      </c>
      <c r="E63" s="17" t="s">
        <v>616</v>
      </c>
      <c r="F63" s="403">
        <f t="shared" si="10"/>
        <v>55</v>
      </c>
      <c r="H63" s="403">
        <f t="shared" si="3"/>
        <v>55</v>
      </c>
      <c r="I63" s="403">
        <f t="shared" si="11"/>
        <v>220</v>
      </c>
    </row>
    <row r="64" spans="1:9">
      <c r="A64" s="440">
        <f t="shared" si="9"/>
        <v>1.25</v>
      </c>
      <c r="B64" s="441">
        <v>0.25</v>
      </c>
      <c r="C64" s="493">
        <v>5</v>
      </c>
      <c r="D64" s="494" t="s">
        <v>539</v>
      </c>
      <c r="E64" s="17" t="s">
        <v>617</v>
      </c>
      <c r="F64" s="403">
        <f t="shared" si="10"/>
        <v>55</v>
      </c>
      <c r="H64" s="403">
        <f t="shared" si="3"/>
        <v>55</v>
      </c>
      <c r="I64" s="403">
        <f t="shared" si="11"/>
        <v>68.75</v>
      </c>
    </row>
    <row r="66" spans="1:16">
      <c r="A66" s="17">
        <f>SUM(A43:A65)</f>
        <v>211.81333333333333</v>
      </c>
      <c r="B66" s="17" t="s">
        <v>619</v>
      </c>
      <c r="E66" s="17" t="s">
        <v>620</v>
      </c>
    </row>
    <row r="67" spans="1:16">
      <c r="A67" s="441">
        <v>3</v>
      </c>
      <c r="B67" s="17" t="s">
        <v>517</v>
      </c>
      <c r="E67" s="17" t="s">
        <v>621</v>
      </c>
    </row>
    <row r="68" spans="1:16">
      <c r="A68" s="17">
        <v>1</v>
      </c>
      <c r="B68" s="17" t="s">
        <v>517</v>
      </c>
      <c r="E68" s="17" t="s">
        <v>622</v>
      </c>
      <c r="F68" s="445">
        <v>55</v>
      </c>
      <c r="H68" s="403">
        <f t="shared" si="3"/>
        <v>55</v>
      </c>
      <c r="I68" s="403">
        <f t="shared" si="11"/>
        <v>55</v>
      </c>
      <c r="J68" s="17" t="s">
        <v>623</v>
      </c>
    </row>
    <row r="69" spans="1:16">
      <c r="A69" s="17">
        <f>ROUNDUP(A66/8/A67,0)</f>
        <v>9</v>
      </c>
      <c r="B69" s="17" t="s">
        <v>624</v>
      </c>
      <c r="E69" s="17" t="s">
        <v>625</v>
      </c>
      <c r="F69" s="403">
        <f>A67*8*F68</f>
        <v>1320</v>
      </c>
      <c r="H69" s="403">
        <f t="shared" si="3"/>
        <v>1320</v>
      </c>
      <c r="I69" s="403">
        <f t="shared" si="11"/>
        <v>11880</v>
      </c>
    </row>
    <row r="70" spans="1:16">
      <c r="A70" s="441">
        <v>1</v>
      </c>
      <c r="B70" s="442" t="s">
        <v>517</v>
      </c>
      <c r="C70" s="446"/>
      <c r="D70" s="442"/>
      <c r="E70" s="442" t="s">
        <v>626</v>
      </c>
      <c r="F70" s="447">
        <v>500</v>
      </c>
      <c r="G70" s="444"/>
      <c r="H70" s="403">
        <v>1000</v>
      </c>
      <c r="I70" s="403">
        <f t="shared" si="11"/>
        <v>1000</v>
      </c>
      <c r="J70" s="17" t="s">
        <v>627</v>
      </c>
    </row>
    <row r="71" spans="1:16">
      <c r="A71" s="441"/>
      <c r="F71" s="447"/>
      <c r="H71" s="403"/>
      <c r="I71" s="403"/>
    </row>
    <row r="72" spans="1:16">
      <c r="A72" s="441"/>
      <c r="F72" s="447"/>
      <c r="H72" s="403"/>
      <c r="I72" s="403"/>
    </row>
    <row r="73" spans="1:16" ht="15.75">
      <c r="E73" s="439" t="s">
        <v>628</v>
      </c>
      <c r="I73" s="443">
        <f>SUM(I69:I72)</f>
        <v>12880</v>
      </c>
      <c r="P73" s="438">
        <f>I73</f>
        <v>12880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2">A87*H87</f>
        <v>0</v>
      </c>
      <c r="J87" s="459" t="s">
        <v>638</v>
      </c>
      <c r="K87" s="460" t="s">
        <v>639</v>
      </c>
    </row>
    <row r="88" spans="1:11" ht="12.8" customHeight="1">
      <c r="A88" s="461">
        <v>0</v>
      </c>
      <c r="B88" s="453" t="s">
        <v>517</v>
      </c>
      <c r="C88" s="453" t="s">
        <v>538</v>
      </c>
      <c r="D88" s="462" t="s">
        <v>640</v>
      </c>
      <c r="E88" s="453" t="s">
        <v>641</v>
      </c>
      <c r="F88" s="463">
        <v>1949</v>
      </c>
      <c r="G88" s="457"/>
      <c r="H88" s="458">
        <f t="shared" ref="H88:H98" si="13">F88*(1-$G$83)</f>
        <v>1169.3999999999999</v>
      </c>
      <c r="I88" s="458">
        <f t="shared" si="12"/>
        <v>0</v>
      </c>
      <c r="J88" s="459" t="s">
        <v>638</v>
      </c>
      <c r="K88" s="1051" t="s">
        <v>642</v>
      </c>
    </row>
    <row r="89" spans="1:11" ht="24.9">
      <c r="A89" s="452">
        <v>0</v>
      </c>
      <c r="B89" s="453" t="s">
        <v>539</v>
      </c>
      <c r="C89" s="453" t="s">
        <v>538</v>
      </c>
      <c r="D89" s="462" t="s">
        <v>643</v>
      </c>
      <c r="E89" s="453" t="s">
        <v>641</v>
      </c>
      <c r="F89" s="463">
        <v>80</v>
      </c>
      <c r="G89" s="457"/>
      <c r="H89" s="458">
        <f t="shared" si="13"/>
        <v>48</v>
      </c>
      <c r="I89" s="458">
        <f t="shared" si="12"/>
        <v>0</v>
      </c>
      <c r="J89" s="459" t="s">
        <v>638</v>
      </c>
      <c r="K89" s="1051"/>
    </row>
    <row r="90" spans="1:11" ht="12.8" customHeight="1">
      <c r="A90" s="461">
        <v>0</v>
      </c>
      <c r="B90" s="453" t="s">
        <v>517</v>
      </c>
      <c r="C90" s="453" t="s">
        <v>538</v>
      </c>
      <c r="D90" s="464" t="s">
        <v>644</v>
      </c>
      <c r="E90" s="453" t="s">
        <v>645</v>
      </c>
      <c r="F90" s="463">
        <v>10051</v>
      </c>
      <c r="G90" s="457"/>
      <c r="H90" s="458">
        <f t="shared" si="13"/>
        <v>6030.5999999999995</v>
      </c>
      <c r="I90" s="458">
        <f t="shared" si="12"/>
        <v>0</v>
      </c>
      <c r="J90" s="459" t="s">
        <v>638</v>
      </c>
      <c r="K90" s="1052" t="s">
        <v>646</v>
      </c>
    </row>
    <row r="91" spans="1:11" ht="24.9">
      <c r="A91" s="461">
        <v>0</v>
      </c>
      <c r="B91" s="453" t="s">
        <v>517</v>
      </c>
      <c r="C91" s="453" t="s">
        <v>538</v>
      </c>
      <c r="D91" s="464" t="s">
        <v>644</v>
      </c>
      <c r="E91" s="453" t="s">
        <v>647</v>
      </c>
      <c r="F91" s="463">
        <v>17412</v>
      </c>
      <c r="G91" s="457"/>
      <c r="H91" s="458">
        <f t="shared" si="13"/>
        <v>10447.199999999999</v>
      </c>
      <c r="I91" s="458">
        <f t="shared" si="12"/>
        <v>0</v>
      </c>
      <c r="J91" s="459" t="s">
        <v>638</v>
      </c>
      <c r="K91" s="1052"/>
    </row>
    <row r="92" spans="1:11" ht="12.8" customHeight="1">
      <c r="A92" s="461">
        <v>0</v>
      </c>
      <c r="B92" s="453" t="s">
        <v>517</v>
      </c>
      <c r="C92" s="453" t="s">
        <v>538</v>
      </c>
      <c r="D92" s="465" t="s">
        <v>644</v>
      </c>
      <c r="E92" s="453" t="s">
        <v>648</v>
      </c>
      <c r="F92" s="466">
        <v>2345</v>
      </c>
      <c r="G92" s="457"/>
      <c r="H92" s="458">
        <f t="shared" si="13"/>
        <v>1407</v>
      </c>
      <c r="I92" s="458">
        <f t="shared" si="12"/>
        <v>0</v>
      </c>
      <c r="J92" s="453" t="s">
        <v>649</v>
      </c>
      <c r="K92" s="1049" t="s">
        <v>650</v>
      </c>
    </row>
    <row r="93" spans="1:11" ht="24.9">
      <c r="A93" s="461">
        <v>0</v>
      </c>
      <c r="B93" s="453" t="s">
        <v>517</v>
      </c>
      <c r="C93" s="453" t="s">
        <v>538</v>
      </c>
      <c r="D93" s="465" t="s">
        <v>644</v>
      </c>
      <c r="E93" s="453" t="s">
        <v>651</v>
      </c>
      <c r="F93" s="466">
        <v>3258</v>
      </c>
      <c r="G93" s="457"/>
      <c r="H93" s="458">
        <f t="shared" si="13"/>
        <v>1954.8</v>
      </c>
      <c r="I93" s="458">
        <f t="shared" si="12"/>
        <v>0</v>
      </c>
      <c r="J93" s="453" t="s">
        <v>649</v>
      </c>
      <c r="K93" s="1049"/>
    </row>
    <row r="94" spans="1:11" ht="24.9">
      <c r="A94" s="461">
        <v>0</v>
      </c>
      <c r="B94" s="453" t="s">
        <v>517</v>
      </c>
      <c r="C94" s="453" t="s">
        <v>538</v>
      </c>
      <c r="D94" s="465" t="s">
        <v>644</v>
      </c>
      <c r="E94" s="453" t="s">
        <v>652</v>
      </c>
      <c r="F94" s="463">
        <v>5649</v>
      </c>
      <c r="G94" s="457"/>
      <c r="H94" s="458">
        <f t="shared" si="13"/>
        <v>3389.4</v>
      </c>
      <c r="I94" s="458">
        <f t="shared" si="12"/>
        <v>0</v>
      </c>
      <c r="J94" s="453" t="s">
        <v>649</v>
      </c>
      <c r="K94" s="1049"/>
    </row>
    <row r="95" spans="1:11" ht="24.9">
      <c r="A95" s="461">
        <v>0</v>
      </c>
      <c r="B95" s="453" t="s">
        <v>517</v>
      </c>
      <c r="C95" s="453" t="s">
        <v>538</v>
      </c>
      <c r="D95" s="465" t="s">
        <v>644</v>
      </c>
      <c r="E95" s="453" t="s">
        <v>653</v>
      </c>
      <c r="F95" s="463">
        <v>1488</v>
      </c>
      <c r="G95" s="457"/>
      <c r="H95" s="458">
        <f t="shared" si="13"/>
        <v>892.8</v>
      </c>
      <c r="I95" s="458">
        <f t="shared" si="12"/>
        <v>0</v>
      </c>
      <c r="J95" s="453" t="s">
        <v>649</v>
      </c>
      <c r="K95" s="1049"/>
    </row>
    <row r="96" spans="1:11" ht="24.9">
      <c r="A96" s="461">
        <v>0</v>
      </c>
      <c r="B96" s="453" t="s">
        <v>517</v>
      </c>
      <c r="C96" s="453" t="s">
        <v>538</v>
      </c>
      <c r="D96" s="465" t="s">
        <v>644</v>
      </c>
      <c r="E96" s="453" t="s">
        <v>654</v>
      </c>
      <c r="F96" s="463">
        <v>5269</v>
      </c>
      <c r="G96" s="457"/>
      <c r="H96" s="458">
        <f t="shared" si="13"/>
        <v>3161.4</v>
      </c>
      <c r="I96" s="458">
        <f t="shared" si="12"/>
        <v>0</v>
      </c>
      <c r="J96" s="453" t="s">
        <v>649</v>
      </c>
      <c r="K96" s="1049"/>
    </row>
    <row r="97" spans="1:12" ht="24.9">
      <c r="A97" s="461">
        <v>0</v>
      </c>
      <c r="B97" s="453" t="s">
        <v>517</v>
      </c>
      <c r="C97" s="453" t="s">
        <v>538</v>
      </c>
      <c r="D97" s="465" t="s">
        <v>644</v>
      </c>
      <c r="E97" s="453" t="s">
        <v>655</v>
      </c>
      <c r="F97" s="463">
        <v>3078</v>
      </c>
      <c r="G97" s="457"/>
      <c r="H97" s="458">
        <f t="shared" si="13"/>
        <v>1846.8</v>
      </c>
      <c r="I97" s="458">
        <f t="shared" si="12"/>
        <v>0</v>
      </c>
      <c r="J97" s="453" t="s">
        <v>649</v>
      </c>
      <c r="K97" s="1049"/>
    </row>
    <row r="98" spans="1:12" ht="24.9">
      <c r="A98" s="461">
        <v>0</v>
      </c>
      <c r="B98" s="453" t="s">
        <v>517</v>
      </c>
      <c r="C98" s="453" t="s">
        <v>538</v>
      </c>
      <c r="D98" s="465" t="s">
        <v>644</v>
      </c>
      <c r="E98" s="453" t="s">
        <v>656</v>
      </c>
      <c r="F98" s="463">
        <v>3489</v>
      </c>
      <c r="G98" s="457"/>
      <c r="H98" s="458">
        <f t="shared" si="13"/>
        <v>2093.4</v>
      </c>
      <c r="I98" s="458">
        <f t="shared" si="12"/>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4">F100*(1-$G$83)</f>
        <v>4473.5999999999995</v>
      </c>
      <c r="I100" s="458">
        <f t="shared" ref="I100:I130" si="15">A100*H100</f>
        <v>0</v>
      </c>
      <c r="J100" s="453" t="s">
        <v>649</v>
      </c>
      <c r="K100" s="1049"/>
    </row>
    <row r="101" spans="1:12" ht="24.9">
      <c r="A101" s="461">
        <v>0</v>
      </c>
      <c r="B101" s="453" t="s">
        <v>517</v>
      </c>
      <c r="C101" s="453" t="s">
        <v>538</v>
      </c>
      <c r="D101" s="465" t="s">
        <v>644</v>
      </c>
      <c r="E101" s="453" t="s">
        <v>660</v>
      </c>
      <c r="F101" s="463">
        <v>8494</v>
      </c>
      <c r="G101" s="457"/>
      <c r="H101" s="458">
        <f t="shared" si="14"/>
        <v>5096.3999999999996</v>
      </c>
      <c r="I101" s="458">
        <f t="shared" si="15"/>
        <v>0</v>
      </c>
      <c r="J101" s="453" t="s">
        <v>649</v>
      </c>
      <c r="K101" s="1049"/>
    </row>
    <row r="102" spans="1:12" ht="68.75" customHeight="1">
      <c r="A102" s="461">
        <v>0</v>
      </c>
      <c r="B102" s="453" t="s">
        <v>517</v>
      </c>
      <c r="C102" s="453" t="s">
        <v>538</v>
      </c>
      <c r="D102" s="465" t="s">
        <v>644</v>
      </c>
      <c r="E102" s="453" t="s">
        <v>661</v>
      </c>
      <c r="F102" s="463">
        <v>9434</v>
      </c>
      <c r="G102" s="457"/>
      <c r="H102" s="458">
        <f t="shared" si="14"/>
        <v>5660.4</v>
      </c>
      <c r="I102" s="458">
        <f t="shared" si="15"/>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5"/>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5"/>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5"/>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6">F111*(1-$G$83)</f>
        <v>1180.8</v>
      </c>
      <c r="I111" s="458">
        <f t="shared" si="15"/>
        <v>1180.8</v>
      </c>
      <c r="J111" s="459" t="s">
        <v>638</v>
      </c>
      <c r="K111" s="1051" t="s">
        <v>642</v>
      </c>
    </row>
    <row r="112" spans="1:12" ht="24.9">
      <c r="A112" s="452">
        <v>320</v>
      </c>
      <c r="B112" s="453" t="s">
        <v>539</v>
      </c>
      <c r="C112" s="453" t="s">
        <v>538</v>
      </c>
      <c r="D112" s="462" t="s">
        <v>643</v>
      </c>
      <c r="E112" s="453" t="s">
        <v>673</v>
      </c>
      <c r="F112" s="463">
        <v>87.9</v>
      </c>
      <c r="G112" s="457"/>
      <c r="H112" s="458">
        <f t="shared" si="16"/>
        <v>52.74</v>
      </c>
      <c r="I112" s="458">
        <f t="shared" si="15"/>
        <v>16876.8</v>
      </c>
      <c r="J112" s="459" t="s">
        <v>638</v>
      </c>
      <c r="K112" s="1051"/>
    </row>
    <row r="113" spans="1:11" ht="12.8" customHeight="1">
      <c r="A113" s="452">
        <v>0</v>
      </c>
      <c r="B113" s="453" t="s">
        <v>517</v>
      </c>
      <c r="C113" s="453" t="s">
        <v>538</v>
      </c>
      <c r="D113" s="464" t="s">
        <v>644</v>
      </c>
      <c r="E113" s="453" t="s">
        <v>645</v>
      </c>
      <c r="F113" s="463">
        <v>10051</v>
      </c>
      <c r="G113" s="457"/>
      <c r="H113" s="458">
        <f t="shared" si="16"/>
        <v>6030.5999999999995</v>
      </c>
      <c r="I113" s="458">
        <f t="shared" si="15"/>
        <v>0</v>
      </c>
      <c r="J113" s="459" t="s">
        <v>638</v>
      </c>
      <c r="K113" s="1052" t="s">
        <v>646</v>
      </c>
    </row>
    <row r="114" spans="1:11" ht="24.9">
      <c r="A114" s="461">
        <v>0</v>
      </c>
      <c r="B114" s="453" t="s">
        <v>517</v>
      </c>
      <c r="C114" s="453" t="s">
        <v>538</v>
      </c>
      <c r="D114" s="464" t="s">
        <v>644</v>
      </c>
      <c r="E114" s="453" t="s">
        <v>647</v>
      </c>
      <c r="F114" s="463">
        <v>17412</v>
      </c>
      <c r="G114" s="457"/>
      <c r="H114" s="458">
        <f t="shared" si="16"/>
        <v>10447.199999999999</v>
      </c>
      <c r="I114" s="458">
        <f t="shared" si="15"/>
        <v>0</v>
      </c>
      <c r="J114" s="459" t="s">
        <v>638</v>
      </c>
      <c r="K114" s="1052"/>
    </row>
    <row r="115" spans="1:11" ht="12.8" customHeight="1">
      <c r="A115" s="461">
        <v>0</v>
      </c>
      <c r="B115" s="453" t="s">
        <v>517</v>
      </c>
      <c r="C115" s="453" t="s">
        <v>538</v>
      </c>
      <c r="D115" s="465" t="s">
        <v>644</v>
      </c>
      <c r="E115" s="453" t="s">
        <v>648</v>
      </c>
      <c r="F115" s="463">
        <v>2345</v>
      </c>
      <c r="G115" s="457"/>
      <c r="H115" s="458">
        <f t="shared" si="16"/>
        <v>1407</v>
      </c>
      <c r="I115" s="458">
        <f t="shared" si="15"/>
        <v>0</v>
      </c>
      <c r="J115" s="453" t="s">
        <v>649</v>
      </c>
      <c r="K115" s="1049" t="s">
        <v>650</v>
      </c>
    </row>
    <row r="116" spans="1:11" ht="24.9">
      <c r="A116" s="461">
        <v>0</v>
      </c>
      <c r="B116" s="453" t="s">
        <v>517</v>
      </c>
      <c r="C116" s="453" t="s">
        <v>538</v>
      </c>
      <c r="D116" s="465" t="s">
        <v>644</v>
      </c>
      <c r="E116" s="453" t="s">
        <v>651</v>
      </c>
      <c r="F116" s="463">
        <v>3258</v>
      </c>
      <c r="G116" s="457"/>
      <c r="H116" s="458">
        <f t="shared" si="16"/>
        <v>1954.8</v>
      </c>
      <c r="I116" s="458">
        <f t="shared" si="15"/>
        <v>0</v>
      </c>
      <c r="J116" s="453" t="s">
        <v>649</v>
      </c>
      <c r="K116" s="1049"/>
    </row>
    <row r="117" spans="1:11" ht="24.9">
      <c r="A117" s="461">
        <v>0</v>
      </c>
      <c r="B117" s="453" t="s">
        <v>517</v>
      </c>
      <c r="C117" s="453" t="s">
        <v>538</v>
      </c>
      <c r="D117" s="465" t="s">
        <v>644</v>
      </c>
      <c r="E117" s="453" t="s">
        <v>652</v>
      </c>
      <c r="F117" s="463">
        <v>5649</v>
      </c>
      <c r="G117" s="457"/>
      <c r="H117" s="458">
        <f t="shared" si="16"/>
        <v>3389.4</v>
      </c>
      <c r="I117" s="458">
        <f t="shared" si="15"/>
        <v>0</v>
      </c>
      <c r="J117" s="453" t="s">
        <v>649</v>
      </c>
      <c r="K117" s="1049"/>
    </row>
    <row r="118" spans="1:11" ht="24.9">
      <c r="A118" s="461">
        <v>0</v>
      </c>
      <c r="B118" s="453" t="s">
        <v>517</v>
      </c>
      <c r="C118" s="453" t="s">
        <v>538</v>
      </c>
      <c r="D118" s="465" t="s">
        <v>644</v>
      </c>
      <c r="E118" s="453" t="s">
        <v>653</v>
      </c>
      <c r="F118" s="463">
        <v>1488</v>
      </c>
      <c r="G118" s="457"/>
      <c r="H118" s="458">
        <f t="shared" si="16"/>
        <v>892.8</v>
      </c>
      <c r="I118" s="458">
        <f t="shared" si="15"/>
        <v>0</v>
      </c>
      <c r="J118" s="453" t="s">
        <v>649</v>
      </c>
      <c r="K118" s="1049"/>
    </row>
    <row r="119" spans="1:11" ht="24.9">
      <c r="A119" s="461">
        <v>0</v>
      </c>
      <c r="B119" s="453" t="s">
        <v>517</v>
      </c>
      <c r="C119" s="453" t="s">
        <v>538</v>
      </c>
      <c r="D119" s="465" t="s">
        <v>644</v>
      </c>
      <c r="E119" s="453" t="s">
        <v>654</v>
      </c>
      <c r="F119" s="463">
        <v>5269</v>
      </c>
      <c r="G119" s="457"/>
      <c r="H119" s="458">
        <f t="shared" si="16"/>
        <v>3161.4</v>
      </c>
      <c r="I119" s="458">
        <f t="shared" si="15"/>
        <v>0</v>
      </c>
      <c r="J119" s="453" t="s">
        <v>649</v>
      </c>
      <c r="K119" s="1049"/>
    </row>
    <row r="120" spans="1:11" ht="24.9">
      <c r="A120" s="461">
        <v>0</v>
      </c>
      <c r="B120" s="453" t="s">
        <v>517</v>
      </c>
      <c r="C120" s="453" t="s">
        <v>538</v>
      </c>
      <c r="D120" s="465" t="s">
        <v>644</v>
      </c>
      <c r="E120" s="453" t="s">
        <v>655</v>
      </c>
      <c r="F120" s="463">
        <v>3078</v>
      </c>
      <c r="G120" s="457"/>
      <c r="H120" s="458">
        <f t="shared" si="16"/>
        <v>1846.8</v>
      </c>
      <c r="I120" s="458">
        <f t="shared" si="15"/>
        <v>0</v>
      </c>
      <c r="J120" s="453" t="s">
        <v>649</v>
      </c>
      <c r="K120" s="1049"/>
    </row>
    <row r="121" spans="1:11" ht="24.9">
      <c r="A121" s="461">
        <v>0</v>
      </c>
      <c r="B121" s="453" t="s">
        <v>517</v>
      </c>
      <c r="C121" s="453" t="s">
        <v>538</v>
      </c>
      <c r="D121" s="465" t="s">
        <v>644</v>
      </c>
      <c r="E121" s="453" t="s">
        <v>656</v>
      </c>
      <c r="F121" s="463">
        <v>3489</v>
      </c>
      <c r="G121" s="457"/>
      <c r="H121" s="458">
        <f t="shared" si="16"/>
        <v>2093.4</v>
      </c>
      <c r="I121" s="458">
        <f t="shared" si="15"/>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6"/>
        <v>4473.5999999999995</v>
      </c>
      <c r="I123" s="458">
        <f t="shared" si="15"/>
        <v>0</v>
      </c>
      <c r="J123" s="453" t="s">
        <v>649</v>
      </c>
      <c r="K123" s="1049"/>
    </row>
    <row r="124" spans="1:11" ht="24.9">
      <c r="A124" s="461">
        <v>1</v>
      </c>
      <c r="B124" s="453" t="s">
        <v>517</v>
      </c>
      <c r="C124" s="453" t="s">
        <v>538</v>
      </c>
      <c r="D124" s="465" t="s">
        <v>644</v>
      </c>
      <c r="E124" s="453" t="s">
        <v>660</v>
      </c>
      <c r="F124" s="463">
        <v>8494</v>
      </c>
      <c r="G124" s="457"/>
      <c r="H124" s="458">
        <f t="shared" si="16"/>
        <v>5096.3999999999996</v>
      </c>
      <c r="I124" s="458">
        <f t="shared" si="15"/>
        <v>5096.3999999999996</v>
      </c>
      <c r="J124" s="453" t="s">
        <v>649</v>
      </c>
      <c r="K124" s="1049"/>
    </row>
    <row r="125" spans="1:11" ht="24.9">
      <c r="A125" s="461">
        <v>0</v>
      </c>
      <c r="B125" s="453" t="s">
        <v>517</v>
      </c>
      <c r="C125" s="453" t="s">
        <v>538</v>
      </c>
      <c r="D125" s="465" t="s">
        <v>644</v>
      </c>
      <c r="E125" s="453" t="s">
        <v>661</v>
      </c>
      <c r="F125" s="463">
        <v>9434</v>
      </c>
      <c r="G125" s="457"/>
      <c r="H125" s="458">
        <f t="shared" si="16"/>
        <v>5660.4</v>
      </c>
      <c r="I125" s="458">
        <f t="shared" si="15"/>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5"/>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5"/>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7">F137*(1-G137)</f>
        <v>2801.13</v>
      </c>
      <c r="I137" s="409"/>
    </row>
    <row r="138" spans="1:17" ht="22.25">
      <c r="A138" s="407">
        <v>0</v>
      </c>
      <c r="B138" s="407" t="s">
        <v>522</v>
      </c>
      <c r="C138" s="408" t="s">
        <v>678</v>
      </c>
      <c r="D138" s="407" t="s">
        <v>681</v>
      </c>
      <c r="E138" s="408" t="s">
        <v>682</v>
      </c>
      <c r="F138" s="409">
        <v>772.15</v>
      </c>
      <c r="G138" s="410"/>
      <c r="H138" s="409">
        <f t="shared" si="17"/>
        <v>772.15</v>
      </c>
      <c r="I138" s="409"/>
    </row>
    <row r="139" spans="1:17" ht="22.25">
      <c r="A139" s="407">
        <v>0</v>
      </c>
      <c r="B139" s="407" t="s">
        <v>522</v>
      </c>
      <c r="C139" s="408" t="s">
        <v>678</v>
      </c>
      <c r="D139" s="407" t="s">
        <v>683</v>
      </c>
      <c r="E139" s="408" t="s">
        <v>684</v>
      </c>
      <c r="F139" s="409">
        <v>150.26</v>
      </c>
      <c r="G139" s="410"/>
      <c r="H139" s="409">
        <f t="shared" si="17"/>
        <v>150.26</v>
      </c>
      <c r="I139" s="409"/>
    </row>
    <row r="140" spans="1:17" ht="22.25">
      <c r="A140" s="407">
        <v>0</v>
      </c>
      <c r="B140" s="407" t="s">
        <v>522</v>
      </c>
      <c r="C140" s="408" t="s">
        <v>678</v>
      </c>
      <c r="D140" s="407" t="s">
        <v>685</v>
      </c>
      <c r="E140" s="408" t="s">
        <v>686</v>
      </c>
      <c r="F140" s="409">
        <v>10.58</v>
      </c>
      <c r="G140" s="410"/>
      <c r="H140" s="409">
        <f t="shared" si="17"/>
        <v>10.58</v>
      </c>
      <c r="I140" s="409"/>
    </row>
    <row r="141" spans="1:17" ht="22.25">
      <c r="A141" s="407">
        <v>0</v>
      </c>
      <c r="B141" s="407" t="s">
        <v>522</v>
      </c>
      <c r="C141" s="408" t="s">
        <v>678</v>
      </c>
      <c r="D141" s="407" t="s">
        <v>687</v>
      </c>
      <c r="E141" s="408" t="s">
        <v>688</v>
      </c>
      <c r="F141" s="409">
        <v>69.78</v>
      </c>
      <c r="G141" s="410"/>
      <c r="H141" s="409">
        <f t="shared" si="17"/>
        <v>69.78</v>
      </c>
      <c r="I141" s="409"/>
      <c r="J141" s="17" t="s">
        <v>689</v>
      </c>
    </row>
    <row r="142" spans="1:17" ht="22.25">
      <c r="A142" s="487">
        <v>0</v>
      </c>
      <c r="B142" s="407" t="s">
        <v>539</v>
      </c>
      <c r="C142" s="408" t="s">
        <v>690</v>
      </c>
      <c r="D142" s="407"/>
      <c r="E142" s="407" t="s">
        <v>691</v>
      </c>
      <c r="F142" s="409">
        <v>7.58</v>
      </c>
      <c r="G142" s="410"/>
      <c r="H142" s="409">
        <f t="shared" si="17"/>
        <v>7.58</v>
      </c>
      <c r="I142" s="409"/>
      <c r="J142" s="17" t="s">
        <v>692</v>
      </c>
    </row>
    <row r="143" spans="1:17" ht="22.25">
      <c r="A143" s="487">
        <v>0</v>
      </c>
      <c r="B143" s="407" t="s">
        <v>539</v>
      </c>
      <c r="C143" s="408" t="s">
        <v>690</v>
      </c>
      <c r="D143" s="407"/>
      <c r="E143" s="407" t="s">
        <v>693</v>
      </c>
      <c r="F143" s="409">
        <v>2.04</v>
      </c>
      <c r="G143" s="410"/>
      <c r="H143" s="409">
        <f t="shared" si="17"/>
        <v>2.04</v>
      </c>
      <c r="I143" s="409"/>
      <c r="J143" s="17" t="s">
        <v>694</v>
      </c>
    </row>
    <row r="144" spans="1:17" ht="22.25">
      <c r="A144" s="407">
        <v>0</v>
      </c>
      <c r="B144" s="407" t="s">
        <v>522</v>
      </c>
      <c r="C144" s="408"/>
      <c r="D144" s="407"/>
      <c r="E144" s="408" t="s">
        <v>695</v>
      </c>
      <c r="F144" s="409">
        <v>50</v>
      </c>
      <c r="G144" s="410"/>
      <c r="H144" s="409">
        <f t="shared" si="17"/>
        <v>50</v>
      </c>
      <c r="I144" s="409"/>
      <c r="J144" s="204" t="s">
        <v>696</v>
      </c>
    </row>
    <row r="145" spans="1:10">
      <c r="A145" s="407">
        <v>0</v>
      </c>
      <c r="B145" s="407" t="s">
        <v>619</v>
      </c>
      <c r="C145" s="408"/>
      <c r="D145" s="407"/>
      <c r="E145" s="408" t="s">
        <v>697</v>
      </c>
      <c r="F145" s="409">
        <f>F68</f>
        <v>55</v>
      </c>
      <c r="G145" s="410"/>
      <c r="H145" s="409">
        <f t="shared" si="17"/>
        <v>55</v>
      </c>
      <c r="I145" s="409"/>
    </row>
    <row r="146" spans="1:10" ht="66.8">
      <c r="A146" s="407">
        <v>0</v>
      </c>
      <c r="B146" s="407" t="s">
        <v>517</v>
      </c>
      <c r="C146" s="408" t="s">
        <v>698</v>
      </c>
      <c r="D146" s="407" t="s">
        <v>636</v>
      </c>
      <c r="E146" s="408" t="s">
        <v>637</v>
      </c>
      <c r="F146" s="409">
        <v>1809</v>
      </c>
      <c r="G146" s="410">
        <v>0.75</v>
      </c>
      <c r="H146" s="409">
        <f t="shared" si="17"/>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7"/>
        <v>800</v>
      </c>
      <c r="I160" s="403">
        <f t="shared" ref="I160:I177" si="18">A160*H160</f>
        <v>800</v>
      </c>
      <c r="J160" s="17" t="s">
        <v>704</v>
      </c>
    </row>
    <row r="161" spans="1:10">
      <c r="A161" s="442">
        <v>1</v>
      </c>
      <c r="B161" s="17" t="s">
        <v>517</v>
      </c>
      <c r="E161" s="17" t="s">
        <v>705</v>
      </c>
      <c r="F161" s="403">
        <v>650</v>
      </c>
      <c r="H161" s="403">
        <f t="shared" si="17"/>
        <v>650</v>
      </c>
      <c r="I161" s="403">
        <f t="shared" si="18"/>
        <v>650</v>
      </c>
      <c r="J161" s="17" t="s">
        <v>704</v>
      </c>
    </row>
    <row r="162" spans="1:10">
      <c r="A162" s="17">
        <v>1</v>
      </c>
      <c r="B162" s="17" t="s">
        <v>517</v>
      </c>
      <c r="E162" s="17" t="s">
        <v>706</v>
      </c>
      <c r="F162" s="403">
        <v>40</v>
      </c>
      <c r="H162" s="403">
        <f t="shared" si="17"/>
        <v>40</v>
      </c>
      <c r="I162" s="403">
        <f t="shared" si="18"/>
        <v>40</v>
      </c>
    </row>
    <row r="163" spans="1:10">
      <c r="A163" s="442">
        <v>1</v>
      </c>
      <c r="B163" s="17" t="s">
        <v>517</v>
      </c>
      <c r="E163" s="17" t="s">
        <v>707</v>
      </c>
      <c r="F163" s="403">
        <v>1500</v>
      </c>
      <c r="H163" s="403">
        <f t="shared" si="17"/>
        <v>1500</v>
      </c>
      <c r="I163" s="403">
        <f t="shared" si="18"/>
        <v>1500</v>
      </c>
      <c r="J163" s="17" t="s">
        <v>806</v>
      </c>
    </row>
    <row r="164" spans="1:10">
      <c r="A164" s="442">
        <v>0</v>
      </c>
      <c r="B164" s="17" t="s">
        <v>517</v>
      </c>
      <c r="E164" s="17" t="s">
        <v>807</v>
      </c>
      <c r="F164" s="403">
        <v>500</v>
      </c>
      <c r="H164" s="403">
        <f t="shared" si="17"/>
        <v>500</v>
      </c>
      <c r="I164" s="403">
        <f t="shared" si="18"/>
        <v>0</v>
      </c>
      <c r="J164" s="17" t="s">
        <v>806</v>
      </c>
    </row>
    <row r="165" spans="1:10" ht="55.65">
      <c r="A165" s="442">
        <v>1</v>
      </c>
      <c r="B165" s="17" t="s">
        <v>517</v>
      </c>
      <c r="C165" s="204" t="s">
        <v>708</v>
      </c>
      <c r="E165" s="204" t="s">
        <v>709</v>
      </c>
      <c r="F165" s="403">
        <v>460</v>
      </c>
      <c r="H165" s="403">
        <f t="shared" si="17"/>
        <v>460</v>
      </c>
      <c r="I165" s="403">
        <f t="shared" si="18"/>
        <v>460</v>
      </c>
    </row>
    <row r="166" spans="1:10" ht="33.4">
      <c r="A166" s="442">
        <v>0</v>
      </c>
      <c r="B166" s="17" t="s">
        <v>517</v>
      </c>
      <c r="C166" s="204" t="s">
        <v>808</v>
      </c>
      <c r="E166" s="204" t="s">
        <v>712</v>
      </c>
      <c r="F166" s="403">
        <v>365</v>
      </c>
      <c r="H166" s="403">
        <f t="shared" si="17"/>
        <v>365</v>
      </c>
      <c r="I166" s="403">
        <f t="shared" si="18"/>
        <v>0</v>
      </c>
    </row>
    <row r="167" spans="1:10" ht="55.65">
      <c r="A167" s="442">
        <v>0</v>
      </c>
      <c r="B167" s="17" t="s">
        <v>517</v>
      </c>
      <c r="C167" s="17" t="s">
        <v>713</v>
      </c>
      <c r="D167" s="17" t="s">
        <v>714</v>
      </c>
      <c r="E167" s="204" t="s">
        <v>715</v>
      </c>
      <c r="F167" s="403">
        <v>2725</v>
      </c>
      <c r="H167" s="403">
        <f t="shared" si="17"/>
        <v>2725</v>
      </c>
      <c r="I167" s="403">
        <f t="shared" si="18"/>
        <v>0</v>
      </c>
    </row>
    <row r="168" spans="1:10" ht="33.4">
      <c r="A168" s="442">
        <v>0</v>
      </c>
      <c r="B168" s="17" t="s">
        <v>517</v>
      </c>
      <c r="C168" s="204" t="s">
        <v>716</v>
      </c>
      <c r="E168" s="17" t="s">
        <v>717</v>
      </c>
      <c r="F168" s="403">
        <f>1840*1.04</f>
        <v>1913.6000000000001</v>
      </c>
      <c r="H168" s="403">
        <f t="shared" si="17"/>
        <v>1913.6000000000001</v>
      </c>
      <c r="I168" s="403">
        <f t="shared" si="18"/>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7"/>
        <v>50</v>
      </c>
      <c r="I171" s="403">
        <f t="shared" si="18"/>
        <v>0</v>
      </c>
    </row>
    <row r="172" spans="1:10">
      <c r="A172" s="442">
        <v>0</v>
      </c>
      <c r="B172" s="17" t="s">
        <v>517</v>
      </c>
      <c r="C172" s="204" t="s">
        <v>721</v>
      </c>
      <c r="E172" s="17" t="s">
        <v>722</v>
      </c>
      <c r="F172" s="403">
        <f>69/100</f>
        <v>0.69</v>
      </c>
      <c r="H172" s="403">
        <f t="shared" si="17"/>
        <v>0.69</v>
      </c>
      <c r="I172" s="403">
        <f t="shared" si="18"/>
        <v>0</v>
      </c>
    </row>
    <row r="173" spans="1:10">
      <c r="A173" s="442">
        <f t="shared" ref="A173:A176" si="19">A172</f>
        <v>0</v>
      </c>
      <c r="B173" s="17" t="s">
        <v>517</v>
      </c>
      <c r="C173" s="204" t="s">
        <v>721</v>
      </c>
      <c r="E173" s="17" t="s">
        <v>723</v>
      </c>
      <c r="F173" s="403">
        <v>0.1</v>
      </c>
      <c r="H173" s="403">
        <f t="shared" si="17"/>
        <v>0.1</v>
      </c>
      <c r="I173" s="403">
        <f t="shared" si="18"/>
        <v>0</v>
      </c>
    </row>
    <row r="174" spans="1:10">
      <c r="A174" s="442">
        <f t="shared" si="19"/>
        <v>0</v>
      </c>
      <c r="B174" s="17" t="s">
        <v>517</v>
      </c>
      <c r="C174" s="204" t="s">
        <v>721</v>
      </c>
      <c r="E174" s="17" t="s">
        <v>724</v>
      </c>
      <c r="F174" s="403">
        <f>13.25/1.2/100</f>
        <v>0.11041666666666668</v>
      </c>
      <c r="H174" s="403">
        <f t="shared" si="17"/>
        <v>0.11041666666666668</v>
      </c>
      <c r="I174" s="403">
        <f t="shared" si="18"/>
        <v>0</v>
      </c>
    </row>
    <row r="175" spans="1:10" ht="22.25">
      <c r="A175" s="442">
        <v>0</v>
      </c>
      <c r="B175" s="17" t="s">
        <v>539</v>
      </c>
      <c r="C175" s="204" t="s">
        <v>725</v>
      </c>
      <c r="E175" s="17" t="s">
        <v>726</v>
      </c>
      <c r="F175" s="403">
        <f>15.73/1.2</f>
        <v>13.108333333333334</v>
      </c>
      <c r="H175" s="403">
        <f t="shared" si="17"/>
        <v>13.108333333333334</v>
      </c>
      <c r="I175" s="403">
        <f t="shared" si="18"/>
        <v>0</v>
      </c>
    </row>
    <row r="176" spans="1:10" ht="22.25">
      <c r="A176" s="442">
        <f t="shared" si="19"/>
        <v>0</v>
      </c>
      <c r="B176" s="17" t="s">
        <v>539</v>
      </c>
      <c r="C176" s="204" t="s">
        <v>531</v>
      </c>
      <c r="E176" s="17" t="s">
        <v>727</v>
      </c>
      <c r="F176" s="403">
        <v>25</v>
      </c>
      <c r="H176" s="403">
        <f t="shared" si="17"/>
        <v>25</v>
      </c>
      <c r="I176" s="403">
        <f t="shared" si="18"/>
        <v>0</v>
      </c>
    </row>
    <row r="177" spans="1:9" ht="22.25">
      <c r="A177" s="442">
        <f>A176*4</f>
        <v>0</v>
      </c>
      <c r="B177" s="17" t="s">
        <v>517</v>
      </c>
      <c r="C177" s="204" t="s">
        <v>531</v>
      </c>
      <c r="E177" s="17" t="s">
        <v>728</v>
      </c>
      <c r="F177" s="403">
        <v>0.1</v>
      </c>
      <c r="H177" s="403">
        <f t="shared" si="17"/>
        <v>0.1</v>
      </c>
      <c r="I177" s="403">
        <f t="shared" si="18"/>
        <v>0</v>
      </c>
    </row>
    <row r="178" spans="1:9">
      <c r="H178" s="403"/>
      <c r="I178" s="403"/>
    </row>
    <row r="179" spans="1:9" ht="15.75">
      <c r="E179" s="439" t="s">
        <v>729</v>
      </c>
      <c r="I179" s="168">
        <f>SUM(I158:I168)</f>
        <v>3450</v>
      </c>
    </row>
    <row r="181" spans="1:9" ht="13.75" customHeight="1">
      <c r="A181" s="997" t="s">
        <v>68</v>
      </c>
      <c r="B181" s="997"/>
      <c r="C181" s="997"/>
      <c r="D181" s="997"/>
      <c r="E181" s="997"/>
    </row>
    <row r="182" spans="1:9">
      <c r="A182" s="442">
        <v>1</v>
      </c>
      <c r="B182" s="17" t="s">
        <v>517</v>
      </c>
      <c r="E182" s="17" t="s">
        <v>730</v>
      </c>
      <c r="F182" s="403">
        <v>500</v>
      </c>
      <c r="H182" s="403">
        <f t="shared" si="17"/>
        <v>500</v>
      </c>
      <c r="I182" s="403">
        <f t="shared" ref="I182:I184" si="20">A182*H182</f>
        <v>500</v>
      </c>
    </row>
    <row r="183" spans="1:9" ht="55.65">
      <c r="A183" s="442">
        <v>0</v>
      </c>
      <c r="B183" s="17" t="s">
        <v>517</v>
      </c>
      <c r="C183" s="204" t="s">
        <v>708</v>
      </c>
      <c r="E183" s="204" t="s">
        <v>731</v>
      </c>
      <c r="F183" s="403">
        <f>460/2</f>
        <v>230</v>
      </c>
      <c r="H183" s="403">
        <f t="shared" si="17"/>
        <v>230</v>
      </c>
      <c r="I183" s="403">
        <f t="shared" si="20"/>
        <v>0</v>
      </c>
    </row>
    <row r="184" spans="1:9" ht="55.65">
      <c r="A184" s="442">
        <v>0</v>
      </c>
      <c r="B184" s="17" t="s">
        <v>517</v>
      </c>
      <c r="C184" s="204" t="s">
        <v>711</v>
      </c>
      <c r="E184" s="204" t="s">
        <v>732</v>
      </c>
      <c r="F184" s="403">
        <f>320/2</f>
        <v>160</v>
      </c>
      <c r="H184" s="403">
        <f t="shared" si="17"/>
        <v>160</v>
      </c>
      <c r="I184" s="403">
        <f t="shared" si="20"/>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BB6"/>
  </sheetPr>
  <dimension ref="A1:BM1101"/>
  <sheetViews>
    <sheetView zoomScale="95" workbookViewId="0">
      <selection activeCell="G16" sqref="G16"/>
    </sheetView>
  </sheetViews>
  <sheetFormatPr baseColWidth="10" defaultColWidth="10.140625" defaultRowHeight="12.45"/>
  <cols>
    <col min="1" max="1" width="37.85546875" style="591" customWidth="1"/>
    <col min="2" max="2" width="28.28515625" style="591" customWidth="1"/>
    <col min="3" max="7" width="12.140625" style="591" customWidth="1"/>
    <col min="8" max="8" width="11.7109375" style="591" customWidth="1"/>
    <col min="9" max="9" width="12.140625" style="591" customWidth="1"/>
    <col min="10" max="10" width="14.140625" style="591" customWidth="1"/>
    <col min="11" max="12" width="12.140625" style="591" customWidth="1"/>
    <col min="13" max="13" width="10.140625" style="591"/>
    <col min="14" max="14" width="29.5703125" style="591" customWidth="1"/>
    <col min="15" max="16" width="10.140625" style="591"/>
    <col min="17" max="17" width="28" style="591" customWidth="1"/>
    <col min="18" max="65" width="10.140625" style="591"/>
  </cols>
  <sheetData>
    <row r="1" spans="1:38" ht="13.1">
      <c r="A1" s="592" t="s">
        <v>890</v>
      </c>
      <c r="B1" s="593"/>
      <c r="C1" s="593"/>
      <c r="D1" s="593"/>
      <c r="E1" s="593"/>
      <c r="F1" s="593"/>
      <c r="G1" s="593"/>
      <c r="H1" s="593"/>
      <c r="I1" s="593"/>
      <c r="J1" s="594"/>
      <c r="K1" s="594"/>
      <c r="L1" s="594"/>
      <c r="M1" s="594"/>
      <c r="N1" s="593"/>
      <c r="O1" s="593"/>
      <c r="P1" s="595"/>
    </row>
    <row r="2" spans="1:38" ht="13.1">
      <c r="A2" s="596"/>
      <c r="I2" s="597"/>
      <c r="J2" s="598" t="s">
        <v>891</v>
      </c>
      <c r="K2" s="598" t="s">
        <v>892</v>
      </c>
      <c r="L2" s="1076" t="s">
        <v>893</v>
      </c>
      <c r="M2" s="1076"/>
      <c r="N2" s="599"/>
      <c r="P2" s="600"/>
    </row>
    <row r="3" spans="1:38" ht="13.1">
      <c r="A3" s="596"/>
      <c r="I3" s="597"/>
      <c r="J3" s="598" t="s">
        <v>894</v>
      </c>
      <c r="K3" s="601">
        <f t="shared" ref="K3:K4" si="0">H11</f>
        <v>66.83</v>
      </c>
      <c r="L3" s="1066">
        <f t="shared" ref="L3:L4" si="1">I11</f>
        <v>72.84</v>
      </c>
      <c r="M3" s="1066"/>
      <c r="N3" s="599" t="s">
        <v>895</v>
      </c>
      <c r="P3" s="600"/>
    </row>
    <row r="4" spans="1:38" ht="13.1">
      <c r="A4" s="596"/>
      <c r="I4" s="597"/>
      <c r="J4" s="598" t="s">
        <v>896</v>
      </c>
      <c r="K4" s="601">
        <f t="shared" si="0"/>
        <v>120</v>
      </c>
      <c r="L4" s="1066">
        <f t="shared" si="1"/>
        <v>130.80000000000001</v>
      </c>
      <c r="M4" s="1066"/>
      <c r="N4" s="599" t="s">
        <v>897</v>
      </c>
      <c r="P4" s="600"/>
    </row>
    <row r="5" spans="1:38" ht="13.1">
      <c r="A5" s="596"/>
      <c r="I5" s="597"/>
      <c r="J5" s="602" t="s">
        <v>898</v>
      </c>
      <c r="K5" s="601">
        <f>J12</f>
        <v>235.85282648986833</v>
      </c>
      <c r="L5" s="1066">
        <f>K12</f>
        <v>265.15575341739748</v>
      </c>
      <c r="M5" s="1066"/>
      <c r="N5" s="599" t="s">
        <v>899</v>
      </c>
      <c r="P5" s="600"/>
    </row>
    <row r="6" spans="1:38" ht="13.6" customHeight="1">
      <c r="A6" s="596"/>
      <c r="I6" s="597"/>
      <c r="J6" s="602" t="s">
        <v>900</v>
      </c>
      <c r="K6" s="601">
        <f>L12</f>
        <v>50</v>
      </c>
      <c r="L6" s="1066">
        <f>M12</f>
        <v>56.18</v>
      </c>
      <c r="M6" s="1066"/>
      <c r="N6" s="599" t="s">
        <v>901</v>
      </c>
      <c r="O6" s="1073" t="s">
        <v>902</v>
      </c>
      <c r="P6" s="1073"/>
    </row>
    <row r="7" spans="1:38" ht="13.1">
      <c r="A7" s="603"/>
      <c r="B7" s="604"/>
      <c r="C7" s="604"/>
      <c r="D7" s="604"/>
      <c r="E7" s="604"/>
      <c r="F7" s="604"/>
      <c r="G7" s="604"/>
      <c r="H7" s="604"/>
      <c r="I7" s="604"/>
      <c r="J7" s="605" t="s">
        <v>903</v>
      </c>
      <c r="K7" s="606">
        <f>SUM(K3:K6)</f>
        <v>472.68282648986832</v>
      </c>
      <c r="L7" s="1068">
        <f>SUM(L3:M6)</f>
        <v>524.97575341739741</v>
      </c>
      <c r="M7" s="1068"/>
      <c r="N7" s="604"/>
      <c r="O7" s="607">
        <v>3.3</v>
      </c>
      <c r="P7" s="608">
        <v>3.71</v>
      </c>
    </row>
    <row r="8" spans="1:38" ht="12.8" customHeight="1">
      <c r="A8" s="1074" t="s">
        <v>904</v>
      </c>
      <c r="B8" s="1059" t="s">
        <v>905</v>
      </c>
      <c r="C8" s="1059" t="s">
        <v>906</v>
      </c>
      <c r="D8" s="1059" t="s">
        <v>907</v>
      </c>
      <c r="E8" s="1059" t="s">
        <v>908</v>
      </c>
      <c r="F8" s="1059" t="s">
        <v>909</v>
      </c>
      <c r="G8" s="1059" t="s">
        <v>910</v>
      </c>
      <c r="H8" s="1059" t="s">
        <v>911</v>
      </c>
      <c r="I8" s="1059"/>
      <c r="J8" s="1059" t="s">
        <v>912</v>
      </c>
      <c r="K8" s="1059"/>
      <c r="L8" s="1059" t="s">
        <v>913</v>
      </c>
      <c r="M8" s="1059"/>
      <c r="N8" s="1059" t="s">
        <v>914</v>
      </c>
      <c r="O8" s="1059" t="s">
        <v>915</v>
      </c>
      <c r="P8" s="1075" t="s">
        <v>916</v>
      </c>
    </row>
    <row r="9" spans="1:38">
      <c r="A9" s="1074"/>
      <c r="B9" s="1059"/>
      <c r="C9" s="1059"/>
      <c r="D9" s="1059"/>
      <c r="E9" s="1059"/>
      <c r="F9" s="1059"/>
      <c r="G9" s="1059"/>
      <c r="H9" s="1059"/>
      <c r="I9" s="1059"/>
      <c r="J9" s="1059"/>
      <c r="K9" s="1059"/>
      <c r="L9" s="1059"/>
      <c r="M9" s="1059"/>
      <c r="N9" s="1059"/>
      <c r="O9" s="1059"/>
      <c r="P9" s="1075"/>
    </row>
    <row r="10" spans="1:38">
      <c r="A10" s="1074"/>
      <c r="B10" s="1059"/>
      <c r="C10" s="1059"/>
      <c r="D10" s="1059"/>
      <c r="E10" s="1059"/>
      <c r="F10" s="1059"/>
      <c r="G10" s="1059"/>
      <c r="H10" s="609" t="s">
        <v>917</v>
      </c>
      <c r="I10" s="609" t="s">
        <v>918</v>
      </c>
      <c r="J10" s="609" t="s">
        <v>917</v>
      </c>
      <c r="K10" s="609" t="s">
        <v>918</v>
      </c>
      <c r="L10" s="609" t="s">
        <v>917</v>
      </c>
      <c r="M10" s="609" t="s">
        <v>918</v>
      </c>
      <c r="N10" s="1059"/>
      <c r="O10" s="1059"/>
      <c r="P10" s="1075"/>
    </row>
    <row r="11" spans="1:38" ht="16.55" customHeight="1">
      <c r="A11" s="1069" t="s">
        <v>919</v>
      </c>
      <c r="B11" s="1069"/>
      <c r="C11" s="1069"/>
      <c r="D11" s="1069"/>
      <c r="E11" s="1069"/>
      <c r="F11" s="1069"/>
      <c r="G11" s="610" t="s">
        <v>358</v>
      </c>
      <c r="H11" s="611">
        <f>IF(G11="Oui",66.83,0)</f>
        <v>66.83</v>
      </c>
      <c r="I11" s="611">
        <f>IF(G11="Oui",72.84,0)</f>
        <v>72.84</v>
      </c>
      <c r="J11" s="612"/>
      <c r="K11" s="612"/>
      <c r="L11" s="613"/>
      <c r="M11" s="614"/>
      <c r="N11" s="612"/>
      <c r="O11" s="612"/>
      <c r="P11" s="615"/>
    </row>
    <row r="12" spans="1:38" ht="15.75" customHeight="1">
      <c r="A12" s="616" t="s">
        <v>920</v>
      </c>
      <c r="B12" s="617" t="s">
        <v>921</v>
      </c>
      <c r="C12" s="617"/>
      <c r="D12" s="617" t="s">
        <v>922</v>
      </c>
      <c r="E12" s="618">
        <f>SUM(E13:E20)</f>
        <v>71470.553481778305</v>
      </c>
      <c r="F12" s="619">
        <f>SUM(F13:F20)</f>
        <v>7175.9156000000012</v>
      </c>
      <c r="G12" s="620"/>
      <c r="H12" s="621">
        <f>SUM(H13:H20)</f>
        <v>120</v>
      </c>
      <c r="I12" s="622">
        <f>SUM(I13:I20)</f>
        <v>130.80000000000001</v>
      </c>
      <c r="J12" s="623">
        <f>IF(E12&lt;120000,SUM(J13:J20),IF(AND(E12&gt;120000,E12&lt;250000),SUM(J13:J20)*0.85,SUM(J13:J20)*0.75))</f>
        <v>235.85282648986833</v>
      </c>
      <c r="K12" s="623">
        <f>IF(E12&lt;120000,SUM(K13:K20),IF(AND(E12&gt;120000,E12&lt;250000),SUM(K13:K20)*0.85,SUM(K13:K20)*0.75))</f>
        <v>265.15575341739748</v>
      </c>
      <c r="L12" s="624">
        <f>IF(SUM(L13:L20)&lt;50,50,SUM(L13:L20))</f>
        <v>50</v>
      </c>
      <c r="M12" s="625">
        <f>IF(SUM(M13:M20)&lt;56.18,56.18,SUM(M13:M20))</f>
        <v>56.18</v>
      </c>
      <c r="N12" s="626" t="s">
        <v>230</v>
      </c>
      <c r="O12" s="626" t="s">
        <v>230</v>
      </c>
      <c r="P12" s="627" t="s">
        <v>230</v>
      </c>
      <c r="Q12" s="1070" t="s">
        <v>923</v>
      </c>
      <c r="R12" s="1070"/>
      <c r="S12" s="1070"/>
      <c r="T12" s="1070"/>
      <c r="U12" s="1070"/>
      <c r="V12" s="1070"/>
      <c r="W12" s="1070"/>
      <c r="X12" s="1070"/>
      <c r="Y12" s="1070"/>
      <c r="Z12" s="1070"/>
      <c r="AA12" s="1070"/>
      <c r="AB12" s="1070"/>
      <c r="AC12" s="1070"/>
      <c r="AD12" s="1070"/>
      <c r="AE12" s="1070"/>
      <c r="AF12" s="1070"/>
      <c r="AG12" s="1070"/>
      <c r="AH12" s="1070"/>
      <c r="AI12" s="1070"/>
      <c r="AJ12" s="1070"/>
      <c r="AK12" s="1070"/>
      <c r="AL12" s="1070"/>
    </row>
    <row r="13" spans="1:38" ht="24.9">
      <c r="A13" s="628" t="str">
        <f>Installations!F7</f>
        <v>59 rue J Prévert
71000 Mâcon</v>
      </c>
      <c r="B13" s="629" t="str">
        <f>Installations!D7</f>
        <v>041 Laurence BOUBET Macon</v>
      </c>
      <c r="C13" s="630">
        <v>43383</v>
      </c>
      <c r="D13" s="631">
        <v>43432</v>
      </c>
      <c r="E13" s="632">
        <f>Installations!W7</f>
        <v>17186.414763384786</v>
      </c>
      <c r="F13" s="633">
        <f>Installations!AZ7</f>
        <v>1790.5664000000002</v>
      </c>
      <c r="G13" s="634">
        <f>Installations!K7</f>
        <v>9</v>
      </c>
      <c r="H13" s="635">
        <f t="shared" ref="H13:H16" si="2">IF(AND(F13*15/1000&lt;30,F13&lt;&gt;0),30,F13*15/1000)</f>
        <v>30</v>
      </c>
      <c r="I13" s="635">
        <f t="shared" ref="I13:I16" si="3">(H13*9/100)+H13</f>
        <v>32.700000000000003</v>
      </c>
      <c r="J13" s="635">
        <f t="shared" ref="J13:J16" si="4">E13*$O$31/1000</f>
        <v>56.715168719169796</v>
      </c>
      <c r="K13" s="635">
        <f t="shared" ref="K13:K16" si="5">E13*$P$31/1000</f>
        <v>63.761598772157555</v>
      </c>
      <c r="L13" s="636">
        <f t="shared" ref="L13:L16" si="6">F13*4.14/1000</f>
        <v>7.412944896</v>
      </c>
      <c r="M13" s="636">
        <f t="shared" ref="M13:M16" si="7">F13*4.65/1000</f>
        <v>8.3261337600000012</v>
      </c>
      <c r="N13" s="637"/>
      <c r="O13" s="637"/>
      <c r="P13" s="638">
        <f t="shared" ref="P13:P76" si="8">IF(C13&gt;0,YEAR(C13),"")</f>
        <v>2018</v>
      </c>
      <c r="Q13" s="639"/>
      <c r="R13" s="640">
        <v>2021</v>
      </c>
      <c r="S13" s="640">
        <f t="shared" ref="S13:AL13" si="9">R13+1</f>
        <v>2022</v>
      </c>
      <c r="T13" s="640">
        <f t="shared" si="9"/>
        <v>2023</v>
      </c>
      <c r="U13" s="640">
        <f t="shared" si="9"/>
        <v>2024</v>
      </c>
      <c r="V13" s="640">
        <f t="shared" si="9"/>
        <v>2025</v>
      </c>
      <c r="W13" s="640">
        <f t="shared" si="9"/>
        <v>2026</v>
      </c>
      <c r="X13" s="640">
        <f t="shared" si="9"/>
        <v>2027</v>
      </c>
      <c r="Y13" s="640">
        <f t="shared" si="9"/>
        <v>2028</v>
      </c>
      <c r="Z13" s="640">
        <f t="shared" si="9"/>
        <v>2029</v>
      </c>
      <c r="AA13" s="640">
        <f t="shared" si="9"/>
        <v>2030</v>
      </c>
      <c r="AB13" s="640">
        <f t="shared" si="9"/>
        <v>2031</v>
      </c>
      <c r="AC13" s="640">
        <f t="shared" si="9"/>
        <v>2032</v>
      </c>
      <c r="AD13" s="640">
        <f t="shared" si="9"/>
        <v>2033</v>
      </c>
      <c r="AE13" s="640">
        <f t="shared" si="9"/>
        <v>2034</v>
      </c>
      <c r="AF13" s="640">
        <f t="shared" si="9"/>
        <v>2035</v>
      </c>
      <c r="AG13" s="640">
        <f t="shared" si="9"/>
        <v>2036</v>
      </c>
      <c r="AH13" s="640">
        <f t="shared" si="9"/>
        <v>2037</v>
      </c>
      <c r="AI13" s="640">
        <f t="shared" si="9"/>
        <v>2038</v>
      </c>
      <c r="AJ13" s="640">
        <f t="shared" si="9"/>
        <v>2039</v>
      </c>
      <c r="AK13" s="640">
        <f t="shared" si="9"/>
        <v>2040</v>
      </c>
      <c r="AL13" s="640">
        <f t="shared" si="9"/>
        <v>2041</v>
      </c>
    </row>
    <row r="14" spans="1:38" ht="24.9">
      <c r="A14" s="641" t="str">
        <f>Installations!F8</f>
        <v>Les Bots
71520 Matour</v>
      </c>
      <c r="B14" s="642" t="str">
        <f>Installations!D8</f>
        <v>245 Françoise MARTINEZ Matour</v>
      </c>
      <c r="C14" s="643">
        <v>43466</v>
      </c>
      <c r="D14" s="644">
        <v>43486</v>
      </c>
      <c r="E14" s="645">
        <f>Installations!W8</f>
        <v>15771.254873639336</v>
      </c>
      <c r="F14" s="646">
        <f>Installations!AZ8</f>
        <v>1825.6896000000002</v>
      </c>
      <c r="G14" s="647">
        <f>Installations!K8</f>
        <v>9</v>
      </c>
      <c r="H14" s="635">
        <f t="shared" si="2"/>
        <v>30</v>
      </c>
      <c r="I14" s="635">
        <f t="shared" si="3"/>
        <v>32.700000000000003</v>
      </c>
      <c r="J14" s="635">
        <f t="shared" si="4"/>
        <v>52.04514108300981</v>
      </c>
      <c r="K14" s="635">
        <f t="shared" si="5"/>
        <v>58.51135558120194</v>
      </c>
      <c r="L14" s="636">
        <f t="shared" si="6"/>
        <v>7.5583549439999995</v>
      </c>
      <c r="M14" s="636">
        <f t="shared" si="7"/>
        <v>8.489456640000002</v>
      </c>
      <c r="N14" s="648"/>
      <c r="O14" s="648"/>
      <c r="P14" s="649">
        <f t="shared" si="8"/>
        <v>2019</v>
      </c>
      <c r="Q14" s="591" t="s">
        <v>924</v>
      </c>
      <c r="R14" s="650">
        <v>120000</v>
      </c>
      <c r="S14" s="650">
        <f t="shared" ref="S14:S21" si="10">R14</f>
        <v>120000</v>
      </c>
      <c r="T14" s="650">
        <f t="shared" ref="T14:T21" si="11">S14</f>
        <v>120000</v>
      </c>
      <c r="U14" s="650">
        <f t="shared" ref="U14:U21" si="12">T14</f>
        <v>120000</v>
      </c>
      <c r="V14" s="650">
        <f t="shared" ref="V14:V21" si="13">U14</f>
        <v>120000</v>
      </c>
      <c r="W14" s="650">
        <f t="shared" ref="W14:W21" si="14">V14</f>
        <v>120000</v>
      </c>
      <c r="X14" s="650">
        <f t="shared" ref="X14:X21" si="15">W14</f>
        <v>120000</v>
      </c>
      <c r="Y14" s="650">
        <f t="shared" ref="Y14:Y21" si="16">X14</f>
        <v>120000</v>
      </c>
      <c r="Z14" s="650">
        <f t="shared" ref="Z14:Z21" si="17">Y14</f>
        <v>120000</v>
      </c>
      <c r="AA14" s="650">
        <f t="shared" ref="AA14:AA21" si="18">Z14</f>
        <v>120000</v>
      </c>
      <c r="AB14" s="651">
        <f t="shared" ref="AB14:AB21" si="19">AA14</f>
        <v>120000</v>
      </c>
      <c r="AC14" s="651">
        <f t="shared" ref="AC14:AC21" si="20">AB14</f>
        <v>120000</v>
      </c>
      <c r="AD14" s="651">
        <f t="shared" ref="AD14:AD21" si="21">AC14</f>
        <v>120000</v>
      </c>
      <c r="AE14" s="651">
        <f t="shared" ref="AE14:AE21" si="22">AD14</f>
        <v>120000</v>
      </c>
      <c r="AF14" s="651">
        <f t="shared" ref="AF14:AF21" si="23">AE14</f>
        <v>120000</v>
      </c>
      <c r="AG14" s="651">
        <f t="shared" ref="AG14:AG21" si="24">AF14</f>
        <v>120000</v>
      </c>
      <c r="AH14" s="651">
        <f t="shared" ref="AH14:AH21" si="25">AG14</f>
        <v>120000</v>
      </c>
      <c r="AI14" s="651">
        <f t="shared" ref="AI14:AI21" si="26">AH14</f>
        <v>120000</v>
      </c>
      <c r="AJ14" s="651">
        <f t="shared" ref="AJ14:AJ21" si="27">AI14</f>
        <v>120000</v>
      </c>
      <c r="AK14" s="651">
        <f t="shared" ref="AK14:AK21" si="28">AJ14</f>
        <v>120000</v>
      </c>
      <c r="AL14" s="651">
        <f t="shared" ref="AL14:AL21" si="29">AK14</f>
        <v>120000</v>
      </c>
    </row>
    <row r="15" spans="1:38">
      <c r="A15" s="641" t="str">
        <f>Installations!F9</f>
        <v>2 rue de la Gendarmerie
71520 Tramayes</v>
      </c>
      <c r="B15" s="642" t="str">
        <f>Installations!D9</f>
        <v>051 Sylvain DELIOT</v>
      </c>
      <c r="C15" s="643">
        <v>43466</v>
      </c>
      <c r="D15" s="644">
        <v>43486</v>
      </c>
      <c r="E15" s="645">
        <f>Installations!W9</f>
        <v>19818.699131177647</v>
      </c>
      <c r="F15" s="646">
        <f>Installations!AZ9</f>
        <v>1807.7696000000003</v>
      </c>
      <c r="G15" s="647">
        <f>Installations!K9</f>
        <v>9</v>
      </c>
      <c r="H15" s="635">
        <f t="shared" si="2"/>
        <v>30</v>
      </c>
      <c r="I15" s="635">
        <f t="shared" si="3"/>
        <v>32.700000000000003</v>
      </c>
      <c r="J15" s="635">
        <f t="shared" si="4"/>
        <v>65.40170713288623</v>
      </c>
      <c r="K15" s="635">
        <f t="shared" si="5"/>
        <v>73.52737377666908</v>
      </c>
      <c r="L15" s="636">
        <f t="shared" si="6"/>
        <v>7.4841661440000005</v>
      </c>
      <c r="M15" s="636">
        <f t="shared" si="7"/>
        <v>8.4061286400000022</v>
      </c>
      <c r="N15" s="648"/>
      <c r="O15" s="648"/>
      <c r="P15" s="649">
        <f t="shared" si="8"/>
        <v>2019</v>
      </c>
      <c r="Q15" s="591" t="s">
        <v>925</v>
      </c>
      <c r="R15" s="591">
        <v>654</v>
      </c>
      <c r="S15" s="650">
        <f t="shared" si="10"/>
        <v>654</v>
      </c>
      <c r="T15" s="650">
        <f t="shared" si="11"/>
        <v>654</v>
      </c>
      <c r="U15" s="650">
        <f t="shared" si="12"/>
        <v>654</v>
      </c>
      <c r="V15" s="650">
        <f t="shared" si="13"/>
        <v>654</v>
      </c>
      <c r="W15" s="650">
        <f t="shared" si="14"/>
        <v>654</v>
      </c>
      <c r="X15" s="650">
        <f t="shared" si="15"/>
        <v>654</v>
      </c>
      <c r="Y15" s="650">
        <f t="shared" si="16"/>
        <v>654</v>
      </c>
      <c r="Z15" s="650">
        <f t="shared" si="17"/>
        <v>654</v>
      </c>
      <c r="AA15" s="650">
        <f t="shared" si="18"/>
        <v>654</v>
      </c>
      <c r="AB15" s="650">
        <f t="shared" si="19"/>
        <v>654</v>
      </c>
      <c r="AC15" s="650">
        <f t="shared" si="20"/>
        <v>654</v>
      </c>
      <c r="AD15" s="650">
        <f t="shared" si="21"/>
        <v>654</v>
      </c>
      <c r="AE15" s="650">
        <f t="shared" si="22"/>
        <v>654</v>
      </c>
      <c r="AF15" s="650">
        <f t="shared" si="23"/>
        <v>654</v>
      </c>
      <c r="AG15" s="650">
        <f t="shared" si="24"/>
        <v>654</v>
      </c>
      <c r="AH15" s="650">
        <f t="shared" si="25"/>
        <v>654</v>
      </c>
      <c r="AI15" s="650">
        <f t="shared" si="26"/>
        <v>654</v>
      </c>
      <c r="AJ15" s="650">
        <f t="shared" si="27"/>
        <v>654</v>
      </c>
      <c r="AK15" s="650">
        <f t="shared" si="28"/>
        <v>654</v>
      </c>
      <c r="AL15" s="650">
        <f t="shared" si="29"/>
        <v>654</v>
      </c>
    </row>
    <row r="16" spans="1:38" ht="24.9">
      <c r="A16" s="641" t="str">
        <f>Installations!F10</f>
        <v>Ateliers municipaux
71960 Verzé</v>
      </c>
      <c r="B16" s="642" t="str">
        <f>Installations!D10</f>
        <v>076 Ateliers municipaux Verzé</v>
      </c>
      <c r="C16" s="643">
        <v>43466</v>
      </c>
      <c r="D16" s="644">
        <v>43486</v>
      </c>
      <c r="E16" s="645">
        <f>Installations!W10</f>
        <v>18694.18471357652</v>
      </c>
      <c r="F16" s="646">
        <f>Installations!AZ10</f>
        <v>1751.8900000000003</v>
      </c>
      <c r="G16" s="647">
        <f>Installations!K10</f>
        <v>9</v>
      </c>
      <c r="H16" s="652">
        <f t="shared" si="2"/>
        <v>30</v>
      </c>
      <c r="I16" s="635">
        <f t="shared" si="3"/>
        <v>32.700000000000003</v>
      </c>
      <c r="J16" s="635">
        <f t="shared" si="4"/>
        <v>61.690809554802513</v>
      </c>
      <c r="K16" s="635">
        <f t="shared" si="5"/>
        <v>69.355425287368888</v>
      </c>
      <c r="L16" s="636">
        <f t="shared" si="6"/>
        <v>7.2528246000000012</v>
      </c>
      <c r="M16" s="636">
        <f t="shared" si="7"/>
        <v>8.1462885000000025</v>
      </c>
      <c r="N16" s="648"/>
      <c r="O16" s="648"/>
      <c r="P16" s="649">
        <f t="shared" si="8"/>
        <v>2019</v>
      </c>
      <c r="Q16" s="591" t="s">
        <v>926</v>
      </c>
      <c r="R16" s="650">
        <v>250000</v>
      </c>
      <c r="S16" s="650">
        <f t="shared" si="10"/>
        <v>250000</v>
      </c>
      <c r="T16" s="650">
        <f t="shared" si="11"/>
        <v>250000</v>
      </c>
      <c r="U16" s="650">
        <f t="shared" si="12"/>
        <v>250000</v>
      </c>
      <c r="V16" s="650">
        <f t="shared" si="13"/>
        <v>250000</v>
      </c>
      <c r="W16" s="650">
        <f t="shared" si="14"/>
        <v>250000</v>
      </c>
      <c r="X16" s="650">
        <f t="shared" si="15"/>
        <v>250000</v>
      </c>
      <c r="Y16" s="650">
        <f t="shared" si="16"/>
        <v>250000</v>
      </c>
      <c r="Z16" s="650">
        <f t="shared" si="17"/>
        <v>250000</v>
      </c>
      <c r="AA16" s="650">
        <f t="shared" si="18"/>
        <v>250000</v>
      </c>
      <c r="AB16" s="650">
        <f t="shared" si="19"/>
        <v>250000</v>
      </c>
      <c r="AC16" s="650">
        <f t="shared" si="20"/>
        <v>250000</v>
      </c>
      <c r="AD16" s="650">
        <f t="shared" si="21"/>
        <v>250000</v>
      </c>
      <c r="AE16" s="650">
        <f t="shared" si="22"/>
        <v>250000</v>
      </c>
      <c r="AF16" s="650">
        <f t="shared" si="23"/>
        <v>250000</v>
      </c>
      <c r="AG16" s="650">
        <f t="shared" si="24"/>
        <v>250000</v>
      </c>
      <c r="AH16" s="650">
        <f t="shared" si="25"/>
        <v>250000</v>
      </c>
      <c r="AI16" s="650">
        <f t="shared" si="26"/>
        <v>250000</v>
      </c>
      <c r="AJ16" s="650">
        <f t="shared" si="27"/>
        <v>250000</v>
      </c>
      <c r="AK16" s="650">
        <f t="shared" si="28"/>
        <v>250000</v>
      </c>
      <c r="AL16" s="650">
        <f t="shared" si="29"/>
        <v>250000</v>
      </c>
    </row>
    <row r="17" spans="1:65">
      <c r="A17" s="596"/>
      <c r="P17" s="600"/>
      <c r="Q17" s="591" t="s">
        <v>927</v>
      </c>
      <c r="R17" s="650">
        <v>1090</v>
      </c>
      <c r="S17" s="650">
        <f t="shared" si="10"/>
        <v>1090</v>
      </c>
      <c r="T17" s="650">
        <f t="shared" si="11"/>
        <v>1090</v>
      </c>
      <c r="U17" s="650">
        <f t="shared" si="12"/>
        <v>1090</v>
      </c>
      <c r="V17" s="650">
        <f t="shared" si="13"/>
        <v>1090</v>
      </c>
      <c r="W17" s="650">
        <f t="shared" si="14"/>
        <v>1090</v>
      </c>
      <c r="X17" s="650">
        <f t="shared" si="15"/>
        <v>1090</v>
      </c>
      <c r="Y17" s="650">
        <f t="shared" si="16"/>
        <v>1090</v>
      </c>
      <c r="Z17" s="650">
        <f t="shared" si="17"/>
        <v>1090</v>
      </c>
      <c r="AA17" s="650">
        <f t="shared" si="18"/>
        <v>1090</v>
      </c>
      <c r="AB17" s="650">
        <f t="shared" si="19"/>
        <v>1090</v>
      </c>
      <c r="AC17" s="650">
        <f t="shared" si="20"/>
        <v>1090</v>
      </c>
      <c r="AD17" s="650">
        <f t="shared" si="21"/>
        <v>1090</v>
      </c>
      <c r="AE17" s="650">
        <f t="shared" si="22"/>
        <v>1090</v>
      </c>
      <c r="AF17" s="650">
        <f t="shared" si="23"/>
        <v>1090</v>
      </c>
      <c r="AG17" s="650">
        <f t="shared" si="24"/>
        <v>1090</v>
      </c>
      <c r="AH17" s="650">
        <f t="shared" si="25"/>
        <v>1090</v>
      </c>
      <c r="AI17" s="650">
        <f t="shared" si="26"/>
        <v>1090</v>
      </c>
      <c r="AJ17" s="650">
        <f t="shared" si="27"/>
        <v>1090</v>
      </c>
      <c r="AK17" s="650">
        <f t="shared" si="28"/>
        <v>1090</v>
      </c>
      <c r="AL17" s="650">
        <f t="shared" si="29"/>
        <v>1090</v>
      </c>
    </row>
    <row r="18" spans="1:65">
      <c r="A18" s="596"/>
      <c r="P18" s="600"/>
      <c r="Q18" s="591" t="s">
        <v>928</v>
      </c>
      <c r="R18" s="650">
        <v>500000</v>
      </c>
      <c r="S18" s="650">
        <f t="shared" si="10"/>
        <v>500000</v>
      </c>
      <c r="T18" s="650">
        <f t="shared" si="11"/>
        <v>500000</v>
      </c>
      <c r="U18" s="650">
        <f t="shared" si="12"/>
        <v>500000</v>
      </c>
      <c r="V18" s="650">
        <f t="shared" si="13"/>
        <v>500000</v>
      </c>
      <c r="W18" s="650">
        <f t="shared" si="14"/>
        <v>500000</v>
      </c>
      <c r="X18" s="650">
        <f t="shared" si="15"/>
        <v>500000</v>
      </c>
      <c r="Y18" s="650">
        <f t="shared" si="16"/>
        <v>500000</v>
      </c>
      <c r="Z18" s="650">
        <f t="shared" si="17"/>
        <v>500000</v>
      </c>
      <c r="AA18" s="650">
        <f t="shared" si="18"/>
        <v>500000</v>
      </c>
      <c r="AB18" s="650">
        <f t="shared" si="19"/>
        <v>500000</v>
      </c>
      <c r="AC18" s="650">
        <f t="shared" si="20"/>
        <v>500000</v>
      </c>
      <c r="AD18" s="650">
        <f t="shared" si="21"/>
        <v>500000</v>
      </c>
      <c r="AE18" s="650">
        <f t="shared" si="22"/>
        <v>500000</v>
      </c>
      <c r="AF18" s="650">
        <f t="shared" si="23"/>
        <v>500000</v>
      </c>
      <c r="AG18" s="650">
        <f t="shared" si="24"/>
        <v>500000</v>
      </c>
      <c r="AH18" s="650">
        <f t="shared" si="25"/>
        <v>500000</v>
      </c>
      <c r="AI18" s="650">
        <f t="shared" si="26"/>
        <v>500000</v>
      </c>
      <c r="AJ18" s="650">
        <f t="shared" si="27"/>
        <v>500000</v>
      </c>
      <c r="AK18" s="650">
        <f t="shared" si="28"/>
        <v>500000</v>
      </c>
      <c r="AL18" s="650">
        <f t="shared" si="29"/>
        <v>500000</v>
      </c>
    </row>
    <row r="19" spans="1:65">
      <c r="A19" s="596"/>
      <c r="P19" s="600"/>
      <c r="Q19" s="591" t="s">
        <v>929</v>
      </c>
      <c r="R19" s="650">
        <v>2180</v>
      </c>
      <c r="S19" s="650">
        <f t="shared" si="10"/>
        <v>2180</v>
      </c>
      <c r="T19" s="650">
        <f t="shared" si="11"/>
        <v>2180</v>
      </c>
      <c r="U19" s="650">
        <f t="shared" si="12"/>
        <v>2180</v>
      </c>
      <c r="V19" s="650">
        <f t="shared" si="13"/>
        <v>2180</v>
      </c>
      <c r="W19" s="650">
        <f t="shared" si="14"/>
        <v>2180</v>
      </c>
      <c r="X19" s="650">
        <f t="shared" si="15"/>
        <v>2180</v>
      </c>
      <c r="Y19" s="650">
        <f t="shared" si="16"/>
        <v>2180</v>
      </c>
      <c r="Z19" s="650">
        <f t="shared" si="17"/>
        <v>2180</v>
      </c>
      <c r="AA19" s="650">
        <f t="shared" si="18"/>
        <v>2180</v>
      </c>
      <c r="AB19" s="650">
        <f t="shared" si="19"/>
        <v>2180</v>
      </c>
      <c r="AC19" s="650">
        <f t="shared" si="20"/>
        <v>2180</v>
      </c>
      <c r="AD19" s="650">
        <f t="shared" si="21"/>
        <v>2180</v>
      </c>
      <c r="AE19" s="650">
        <f t="shared" si="22"/>
        <v>2180</v>
      </c>
      <c r="AF19" s="650">
        <f t="shared" si="23"/>
        <v>2180</v>
      </c>
      <c r="AG19" s="650">
        <f t="shared" si="24"/>
        <v>2180</v>
      </c>
      <c r="AH19" s="650">
        <f t="shared" si="25"/>
        <v>2180</v>
      </c>
      <c r="AI19" s="650">
        <f t="shared" si="26"/>
        <v>2180</v>
      </c>
      <c r="AJ19" s="650">
        <f t="shared" si="27"/>
        <v>2180</v>
      </c>
      <c r="AK19" s="650">
        <f t="shared" si="28"/>
        <v>2180</v>
      </c>
      <c r="AL19" s="650">
        <f t="shared" si="29"/>
        <v>2180</v>
      </c>
    </row>
    <row r="20" spans="1:65" ht="24.9">
      <c r="A20" s="653"/>
      <c r="B20" s="654"/>
      <c r="C20" s="654"/>
      <c r="D20" s="654"/>
      <c r="E20" s="654"/>
      <c r="F20" s="654"/>
      <c r="G20" s="654"/>
      <c r="H20" s="654"/>
      <c r="I20" s="654"/>
      <c r="J20" s="654"/>
      <c r="K20" s="654"/>
      <c r="L20" s="654"/>
      <c r="M20" s="654"/>
      <c r="N20" s="654"/>
      <c r="O20" s="654"/>
      <c r="P20" s="655"/>
      <c r="Q20" s="656" t="s">
        <v>930</v>
      </c>
      <c r="R20" s="650">
        <v>800000</v>
      </c>
      <c r="S20" s="650">
        <f t="shared" si="10"/>
        <v>800000</v>
      </c>
      <c r="T20" s="650">
        <f t="shared" si="11"/>
        <v>800000</v>
      </c>
      <c r="U20" s="650">
        <f t="shared" si="12"/>
        <v>800000</v>
      </c>
      <c r="V20" s="650">
        <f t="shared" si="13"/>
        <v>800000</v>
      </c>
      <c r="W20" s="650">
        <f t="shared" si="14"/>
        <v>800000</v>
      </c>
      <c r="X20" s="650">
        <f t="shared" si="15"/>
        <v>800000</v>
      </c>
      <c r="Y20" s="650">
        <f t="shared" si="16"/>
        <v>800000</v>
      </c>
      <c r="Z20" s="650">
        <f t="shared" si="17"/>
        <v>800000</v>
      </c>
      <c r="AA20" s="650">
        <f t="shared" si="18"/>
        <v>800000</v>
      </c>
      <c r="AB20" s="650">
        <f t="shared" si="19"/>
        <v>800000</v>
      </c>
      <c r="AC20" s="650">
        <f t="shared" si="20"/>
        <v>800000</v>
      </c>
      <c r="AD20" s="650">
        <f t="shared" si="21"/>
        <v>800000</v>
      </c>
      <c r="AE20" s="650">
        <f t="shared" si="22"/>
        <v>800000</v>
      </c>
      <c r="AF20" s="650">
        <f t="shared" si="23"/>
        <v>800000</v>
      </c>
      <c r="AG20" s="650">
        <f t="shared" si="24"/>
        <v>800000</v>
      </c>
      <c r="AH20" s="650">
        <f t="shared" si="25"/>
        <v>800000</v>
      </c>
      <c r="AI20" s="650">
        <f t="shared" si="26"/>
        <v>800000</v>
      </c>
      <c r="AJ20" s="650">
        <f t="shared" si="27"/>
        <v>800000</v>
      </c>
      <c r="AK20" s="650">
        <f t="shared" si="28"/>
        <v>800000</v>
      </c>
      <c r="AL20" s="650">
        <f t="shared" si="29"/>
        <v>800000</v>
      </c>
    </row>
    <row r="21" spans="1:65" ht="15.05">
      <c r="A21" s="657" t="s">
        <v>931</v>
      </c>
      <c r="B21" s="658"/>
      <c r="N21" s="1071" t="s">
        <v>932</v>
      </c>
      <c r="O21" s="1071"/>
      <c r="P21" s="1071"/>
      <c r="Q21" s="591" t="s">
        <v>933</v>
      </c>
      <c r="R21" s="650">
        <v>3052</v>
      </c>
      <c r="S21" s="650">
        <f t="shared" si="10"/>
        <v>3052</v>
      </c>
      <c r="T21" s="650">
        <f t="shared" si="11"/>
        <v>3052</v>
      </c>
      <c r="U21" s="650">
        <f t="shared" si="12"/>
        <v>3052</v>
      </c>
      <c r="V21" s="650">
        <f t="shared" si="13"/>
        <v>3052</v>
      </c>
      <c r="W21" s="650">
        <f t="shared" si="14"/>
        <v>3052</v>
      </c>
      <c r="X21" s="650">
        <f t="shared" si="15"/>
        <v>3052</v>
      </c>
      <c r="Y21" s="650">
        <f t="shared" si="16"/>
        <v>3052</v>
      </c>
      <c r="Z21" s="650">
        <f t="shared" si="17"/>
        <v>3052</v>
      </c>
      <c r="AA21" s="650">
        <f t="shared" si="18"/>
        <v>3052</v>
      </c>
      <c r="AB21" s="659">
        <f t="shared" si="19"/>
        <v>3052</v>
      </c>
      <c r="AC21" s="659">
        <f t="shared" si="20"/>
        <v>3052</v>
      </c>
      <c r="AD21" s="659">
        <f t="shared" si="21"/>
        <v>3052</v>
      </c>
      <c r="AE21" s="659">
        <f t="shared" si="22"/>
        <v>3052</v>
      </c>
      <c r="AF21" s="659">
        <f t="shared" si="23"/>
        <v>3052</v>
      </c>
      <c r="AG21" s="659">
        <f t="shared" si="24"/>
        <v>3052</v>
      </c>
      <c r="AH21" s="659">
        <f t="shared" si="25"/>
        <v>3052</v>
      </c>
      <c r="AI21" s="659">
        <f t="shared" si="26"/>
        <v>3052</v>
      </c>
      <c r="AJ21" s="659">
        <f t="shared" si="27"/>
        <v>3052</v>
      </c>
      <c r="AK21" s="659">
        <f t="shared" si="28"/>
        <v>3052</v>
      </c>
      <c r="AL21" s="659">
        <f t="shared" si="29"/>
        <v>3052</v>
      </c>
    </row>
    <row r="22" spans="1:65" ht="13.1">
      <c r="A22" s="660" t="s">
        <v>934</v>
      </c>
      <c r="B22" s="661">
        <f>L31</f>
        <v>1408.3502052034482</v>
      </c>
      <c r="Q22" s="662" t="s">
        <v>935</v>
      </c>
      <c r="R22" s="663">
        <f t="shared" ref="R22:AL22" si="30">SUM(R37:R101)</f>
        <v>48241.19</v>
      </c>
      <c r="S22" s="663">
        <f t="shared" si="30"/>
        <v>0</v>
      </c>
      <c r="T22" s="663">
        <f t="shared" si="30"/>
        <v>0</v>
      </c>
      <c r="U22" s="663">
        <f t="shared" si="30"/>
        <v>0</v>
      </c>
      <c r="V22" s="663">
        <f t="shared" si="30"/>
        <v>0</v>
      </c>
      <c r="W22" s="663">
        <f t="shared" si="30"/>
        <v>0</v>
      </c>
      <c r="X22" s="663">
        <f t="shared" si="30"/>
        <v>0</v>
      </c>
      <c r="Y22" s="663">
        <f t="shared" si="30"/>
        <v>0</v>
      </c>
      <c r="Z22" s="663">
        <f t="shared" si="30"/>
        <v>0</v>
      </c>
      <c r="AA22" s="663">
        <f t="shared" si="30"/>
        <v>0</v>
      </c>
      <c r="AB22" s="663">
        <f t="shared" si="30"/>
        <v>0</v>
      </c>
      <c r="AC22" s="663">
        <f t="shared" si="30"/>
        <v>0</v>
      </c>
      <c r="AD22" s="663">
        <f t="shared" si="30"/>
        <v>0</v>
      </c>
      <c r="AE22" s="663">
        <f t="shared" si="30"/>
        <v>0</v>
      </c>
      <c r="AF22" s="663">
        <f t="shared" si="30"/>
        <v>0</v>
      </c>
      <c r="AG22" s="663">
        <f t="shared" si="30"/>
        <v>0</v>
      </c>
      <c r="AH22" s="663">
        <f t="shared" si="30"/>
        <v>0</v>
      </c>
      <c r="AI22" s="663">
        <f t="shared" si="30"/>
        <v>0</v>
      </c>
      <c r="AJ22" s="663">
        <f t="shared" si="30"/>
        <v>0</v>
      </c>
      <c r="AK22" s="663">
        <f t="shared" si="30"/>
        <v>0</v>
      </c>
      <c r="AL22" s="663">
        <f t="shared" si="30"/>
        <v>0</v>
      </c>
    </row>
    <row r="23" spans="1:65" ht="13.1">
      <c r="A23" s="660" t="s">
        <v>936</v>
      </c>
      <c r="B23" s="661">
        <f>L7</f>
        <v>524.97575341739741</v>
      </c>
      <c r="Q23" s="591" t="s">
        <v>937</v>
      </c>
      <c r="R23" s="610" t="s">
        <v>358</v>
      </c>
      <c r="S23" s="610" t="s">
        <v>363</v>
      </c>
      <c r="T23" s="610" t="s">
        <v>363</v>
      </c>
      <c r="U23" s="610" t="s">
        <v>363</v>
      </c>
      <c r="V23" s="610" t="s">
        <v>363</v>
      </c>
      <c r="W23" s="610" t="s">
        <v>363</v>
      </c>
      <c r="X23" s="610" t="s">
        <v>363</v>
      </c>
      <c r="Y23" s="610" t="s">
        <v>363</v>
      </c>
      <c r="Z23" s="610" t="s">
        <v>363</v>
      </c>
      <c r="AA23" s="610" t="s">
        <v>363</v>
      </c>
      <c r="AB23" s="610" t="s">
        <v>363</v>
      </c>
      <c r="AC23" s="610" t="s">
        <v>363</v>
      </c>
      <c r="AD23" s="610" t="s">
        <v>363</v>
      </c>
      <c r="AE23" s="610" t="s">
        <v>363</v>
      </c>
      <c r="AF23" s="610" t="s">
        <v>363</v>
      </c>
      <c r="AG23" s="610" t="s">
        <v>363</v>
      </c>
      <c r="AH23" s="610" t="s">
        <v>363</v>
      </c>
      <c r="AI23" s="610" t="s">
        <v>363</v>
      </c>
      <c r="AJ23" s="610" t="s">
        <v>363</v>
      </c>
      <c r="AK23" s="610" t="s">
        <v>363</v>
      </c>
      <c r="AL23" s="610" t="s">
        <v>363</v>
      </c>
    </row>
    <row r="24" spans="1:65">
      <c r="A24" s="664" t="s">
        <v>938</v>
      </c>
      <c r="B24" s="665">
        <f>B22-B23</f>
        <v>883.37445178605083</v>
      </c>
      <c r="Q24" s="591" t="s">
        <v>939</v>
      </c>
      <c r="R24" s="650">
        <f t="shared" ref="R24:AL24" si="31">IF(AND(R22&lt;R14,R22&gt;0),R15,IF(AND(R22&gt;=R14,R22&lt;R16,R23="Non"),R17,IF(AND(R22&gt;=R14,R22&lt;R16,R23="Oui"),R15,IF(AND(R22&gt;=R16,R22&lt;R18,R23="Non"),R19,IF(AND(R22&gt;=R16,R22&lt;R18,R23="Oui"),R17,IF(AND(R22&gt;=R18,R22&lt;=R20,R23="Non"),R21,IF(AND(R22&gt;=R18,R22&lt;=R20,R23="Oui"),R19,0)))))))</f>
        <v>654</v>
      </c>
      <c r="S24" s="650">
        <f t="shared" si="31"/>
        <v>0</v>
      </c>
      <c r="T24" s="650">
        <f t="shared" si="31"/>
        <v>0</v>
      </c>
      <c r="U24" s="650">
        <f t="shared" si="31"/>
        <v>0</v>
      </c>
      <c r="V24" s="650">
        <f t="shared" si="31"/>
        <v>0</v>
      </c>
      <c r="W24" s="650">
        <f t="shared" si="31"/>
        <v>0</v>
      </c>
      <c r="X24" s="650">
        <f t="shared" si="31"/>
        <v>0</v>
      </c>
      <c r="Y24" s="650">
        <f t="shared" si="31"/>
        <v>0</v>
      </c>
      <c r="Z24" s="650">
        <f t="shared" si="31"/>
        <v>0</v>
      </c>
      <c r="AA24" s="650">
        <f t="shared" si="31"/>
        <v>0</v>
      </c>
      <c r="AB24" s="651">
        <f t="shared" si="31"/>
        <v>0</v>
      </c>
      <c r="AC24" s="651">
        <f t="shared" si="31"/>
        <v>0</v>
      </c>
      <c r="AD24" s="651">
        <f t="shared" si="31"/>
        <v>0</v>
      </c>
      <c r="AE24" s="651">
        <f t="shared" si="31"/>
        <v>0</v>
      </c>
      <c r="AF24" s="651">
        <f t="shared" si="31"/>
        <v>0</v>
      </c>
      <c r="AG24" s="651">
        <f t="shared" si="31"/>
        <v>0</v>
      </c>
      <c r="AH24" s="651">
        <f t="shared" si="31"/>
        <v>0</v>
      </c>
      <c r="AI24" s="651">
        <f t="shared" si="31"/>
        <v>0</v>
      </c>
      <c r="AJ24" s="651">
        <f t="shared" si="31"/>
        <v>0</v>
      </c>
      <c r="AK24" s="651">
        <f t="shared" si="31"/>
        <v>0</v>
      </c>
      <c r="AL24" s="651">
        <f t="shared" si="31"/>
        <v>0</v>
      </c>
    </row>
    <row r="25" spans="1:65">
      <c r="B25" s="666"/>
      <c r="R25" s="650"/>
      <c r="S25" s="650"/>
      <c r="T25" s="650"/>
      <c r="U25" s="650"/>
      <c r="V25" s="650"/>
      <c r="W25" s="650"/>
      <c r="X25" s="650"/>
      <c r="Y25" s="650"/>
      <c r="Z25" s="650"/>
      <c r="AA25" s="650"/>
      <c r="AB25" s="650"/>
      <c r="AC25" s="650"/>
      <c r="AD25" s="650"/>
      <c r="AE25" s="650"/>
      <c r="AF25" s="650"/>
      <c r="AG25" s="650"/>
      <c r="AH25" s="650"/>
      <c r="AI25" s="650"/>
      <c r="AJ25" s="650"/>
      <c r="AK25" s="650"/>
      <c r="AL25" s="650"/>
    </row>
    <row r="26" spans="1:65" ht="13.45" customHeight="1">
      <c r="A26" s="667" t="s">
        <v>940</v>
      </c>
      <c r="B26" s="668"/>
      <c r="C26" s="668"/>
      <c r="D26" s="668"/>
      <c r="E26" s="668"/>
      <c r="F26" s="668"/>
      <c r="G26" s="668"/>
      <c r="H26" s="668"/>
      <c r="I26" s="668"/>
      <c r="J26" s="669" t="s">
        <v>891</v>
      </c>
      <c r="K26" s="669" t="s">
        <v>892</v>
      </c>
      <c r="L26" s="1072" t="s">
        <v>893</v>
      </c>
      <c r="M26" s="1072"/>
      <c r="N26" s="668"/>
      <c r="O26" s="668"/>
      <c r="P26" s="670"/>
    </row>
    <row r="27" spans="1:65" ht="12.8" customHeight="1">
      <c r="A27" s="671"/>
      <c r="J27" s="598" t="s">
        <v>894</v>
      </c>
      <c r="K27" s="601">
        <f t="shared" ref="K27:K28" si="32">H35</f>
        <v>66.83</v>
      </c>
      <c r="L27" s="1066">
        <f t="shared" ref="L27:L28" si="33">I35</f>
        <v>72.84</v>
      </c>
      <c r="M27" s="1066"/>
      <c r="N27" s="591" t="s">
        <v>895</v>
      </c>
      <c r="P27" s="672"/>
    </row>
    <row r="28" spans="1:65" ht="13.1">
      <c r="A28" s="671"/>
      <c r="J28" s="598" t="s">
        <v>896</v>
      </c>
      <c r="K28" s="601">
        <f t="shared" si="32"/>
        <v>431.20196400000003</v>
      </c>
      <c r="L28" s="1066">
        <f t="shared" si="33"/>
        <v>470.01014076000007</v>
      </c>
      <c r="M28" s="1066"/>
      <c r="N28" s="591" t="s">
        <v>897</v>
      </c>
      <c r="P28" s="672"/>
    </row>
    <row r="29" spans="1:65" ht="13.1">
      <c r="A29" s="671"/>
      <c r="J29" s="602" t="s">
        <v>898</v>
      </c>
      <c r="K29" s="601">
        <f>J36</f>
        <v>654.36015595940114</v>
      </c>
      <c r="L29" s="1066">
        <f>K36</f>
        <v>735.65944806344805</v>
      </c>
      <c r="M29" s="1066"/>
      <c r="N29" s="591" t="s">
        <v>899</v>
      </c>
      <c r="P29" s="672"/>
    </row>
    <row r="30" spans="1:65" ht="25.4" customHeight="1">
      <c r="A30" s="671"/>
      <c r="J30" s="602" t="s">
        <v>900</v>
      </c>
      <c r="K30" s="601">
        <f>L36</f>
        <v>115.60003264800001</v>
      </c>
      <c r="L30" s="1066">
        <f>M36</f>
        <v>129.84061638</v>
      </c>
      <c r="M30" s="1066"/>
      <c r="N30" s="591" t="s">
        <v>901</v>
      </c>
      <c r="O30" s="1067" t="s">
        <v>902</v>
      </c>
      <c r="P30" s="1067"/>
    </row>
    <row r="31" spans="1:65" ht="13.1">
      <c r="A31" s="673" t="s">
        <v>941</v>
      </c>
      <c r="B31" s="450"/>
      <c r="C31" s="450"/>
      <c r="D31" s="450"/>
      <c r="E31" s="450"/>
      <c r="F31" s="450"/>
      <c r="G31" s="450"/>
      <c r="H31" s="450"/>
      <c r="I31" s="450"/>
      <c r="J31" s="674" t="s">
        <v>903</v>
      </c>
      <c r="K31" s="675">
        <f>SUM(K27:K30)</f>
        <v>1267.9921526074011</v>
      </c>
      <c r="L31" s="1068">
        <f>SUM(L27:M30)</f>
        <v>1408.3502052034482</v>
      </c>
      <c r="M31" s="1068"/>
      <c r="N31" s="450"/>
      <c r="O31" s="676">
        <v>3.3</v>
      </c>
      <c r="P31" s="677">
        <v>3.71</v>
      </c>
      <c r="AM31" s="450"/>
      <c r="AN31" s="450"/>
      <c r="AO31" s="450"/>
      <c r="AP31" s="450"/>
      <c r="AQ31" s="450"/>
      <c r="AR31" s="450"/>
      <c r="AS31" s="450"/>
      <c r="AT31" s="450"/>
      <c r="AU31" s="450"/>
      <c r="AV31" s="450"/>
      <c r="AW31" s="450"/>
      <c r="AX31" s="450"/>
      <c r="AY31" s="450"/>
      <c r="AZ31" s="450"/>
      <c r="BA31" s="450"/>
      <c r="BB31" s="450"/>
      <c r="BC31" s="450"/>
      <c r="BD31" s="450"/>
      <c r="BE31" s="450"/>
      <c r="BF31" s="450"/>
      <c r="BG31" s="450"/>
      <c r="BH31" s="450"/>
      <c r="BI31" s="450"/>
      <c r="BJ31" s="450"/>
      <c r="BK31" s="450"/>
      <c r="BL31" s="450"/>
      <c r="BM31" s="450"/>
    </row>
    <row r="32" spans="1:65" ht="12.8" customHeight="1">
      <c r="A32" s="1064" t="s">
        <v>904</v>
      </c>
      <c r="B32" s="1059" t="s">
        <v>905</v>
      </c>
      <c r="C32" s="1065" t="s">
        <v>906</v>
      </c>
      <c r="D32" s="1059" t="s">
        <v>907</v>
      </c>
      <c r="E32" s="1059" t="s">
        <v>908</v>
      </c>
      <c r="F32" s="1060" t="s">
        <v>909</v>
      </c>
      <c r="G32" s="1060" t="s">
        <v>910</v>
      </c>
      <c r="H32" s="1059" t="s">
        <v>911</v>
      </c>
      <c r="I32" s="1059"/>
      <c r="J32" s="1059" t="s">
        <v>912</v>
      </c>
      <c r="K32" s="1059"/>
      <c r="L32" s="1059" t="s">
        <v>913</v>
      </c>
      <c r="M32" s="1059"/>
      <c r="N32" s="1059" t="s">
        <v>914</v>
      </c>
      <c r="O32" s="1060" t="s">
        <v>915</v>
      </c>
      <c r="P32" s="1061" t="s">
        <v>916</v>
      </c>
      <c r="Q32" s="1062" t="s">
        <v>942</v>
      </c>
      <c r="R32" s="1062"/>
      <c r="S32" s="1062"/>
      <c r="T32" s="1062"/>
      <c r="U32" s="1062"/>
      <c r="V32" s="1062"/>
      <c r="W32" s="1062"/>
      <c r="X32" s="1062"/>
      <c r="Y32" s="1062"/>
      <c r="Z32" s="1062"/>
      <c r="AA32" s="1062"/>
      <c r="AB32" s="1062"/>
      <c r="AC32" s="1062"/>
      <c r="AD32" s="1062"/>
      <c r="AE32" s="1062"/>
      <c r="AF32" s="1062"/>
      <c r="AG32" s="1062"/>
      <c r="AH32" s="1062"/>
      <c r="AI32" s="1062"/>
      <c r="AJ32" s="1062"/>
      <c r="AK32" s="1062"/>
      <c r="AL32" s="1062"/>
      <c r="AM32" s="450"/>
      <c r="AN32" s="450"/>
      <c r="AO32" s="450"/>
      <c r="AP32" s="450"/>
      <c r="AQ32" s="450"/>
      <c r="AR32" s="450"/>
      <c r="AS32" s="450"/>
      <c r="AT32" s="450"/>
      <c r="AU32" s="450"/>
      <c r="AV32" s="450"/>
      <c r="AW32" s="450"/>
      <c r="AX32" s="450"/>
      <c r="AY32" s="450"/>
      <c r="AZ32" s="450"/>
      <c r="BA32" s="450"/>
      <c r="BB32" s="450"/>
      <c r="BC32" s="450"/>
      <c r="BD32" s="450"/>
      <c r="BE32" s="450"/>
      <c r="BF32" s="450"/>
      <c r="BG32" s="450"/>
      <c r="BH32" s="450"/>
      <c r="BI32" s="450"/>
      <c r="BJ32" s="450"/>
      <c r="BK32" s="450"/>
      <c r="BL32" s="450"/>
      <c r="BM32" s="450"/>
    </row>
    <row r="33" spans="1:65" ht="12.8" customHeight="1">
      <c r="A33" s="1064"/>
      <c r="B33" s="1059"/>
      <c r="C33" s="1065"/>
      <c r="D33" s="1059"/>
      <c r="E33" s="1059"/>
      <c r="F33" s="1060"/>
      <c r="G33" s="1060"/>
      <c r="H33" s="1059"/>
      <c r="I33" s="1059"/>
      <c r="J33" s="1059"/>
      <c r="K33" s="1059"/>
      <c r="L33" s="1059"/>
      <c r="M33" s="1059"/>
      <c r="N33" s="1059"/>
      <c r="O33" s="1060"/>
      <c r="P33" s="1061"/>
      <c r="Q33" s="639"/>
      <c r="R33" s="640">
        <v>2021</v>
      </c>
      <c r="S33" s="640">
        <f t="shared" ref="S33:AL33" si="34">R33+1</f>
        <v>2022</v>
      </c>
      <c r="T33" s="640">
        <f t="shared" si="34"/>
        <v>2023</v>
      </c>
      <c r="U33" s="640">
        <f t="shared" si="34"/>
        <v>2024</v>
      </c>
      <c r="V33" s="640">
        <f t="shared" si="34"/>
        <v>2025</v>
      </c>
      <c r="W33" s="640">
        <f t="shared" si="34"/>
        <v>2026</v>
      </c>
      <c r="X33" s="640">
        <f t="shared" si="34"/>
        <v>2027</v>
      </c>
      <c r="Y33" s="640">
        <f t="shared" si="34"/>
        <v>2028</v>
      </c>
      <c r="Z33" s="640">
        <f t="shared" si="34"/>
        <v>2029</v>
      </c>
      <c r="AA33" s="640">
        <f t="shared" si="34"/>
        <v>2030</v>
      </c>
      <c r="AB33" s="640">
        <f t="shared" si="34"/>
        <v>2031</v>
      </c>
      <c r="AC33" s="640">
        <f t="shared" si="34"/>
        <v>2032</v>
      </c>
      <c r="AD33" s="640">
        <f t="shared" si="34"/>
        <v>2033</v>
      </c>
      <c r="AE33" s="640">
        <f t="shared" si="34"/>
        <v>2034</v>
      </c>
      <c r="AF33" s="640">
        <f t="shared" si="34"/>
        <v>2035</v>
      </c>
      <c r="AG33" s="640">
        <f t="shared" si="34"/>
        <v>2036</v>
      </c>
      <c r="AH33" s="640">
        <f t="shared" si="34"/>
        <v>2037</v>
      </c>
      <c r="AI33" s="640">
        <f t="shared" si="34"/>
        <v>2038</v>
      </c>
      <c r="AJ33" s="640">
        <f t="shared" si="34"/>
        <v>2039</v>
      </c>
      <c r="AK33" s="640">
        <f t="shared" si="34"/>
        <v>2040</v>
      </c>
      <c r="AL33" s="640">
        <f t="shared" si="34"/>
        <v>2041</v>
      </c>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row>
    <row r="34" spans="1:65">
      <c r="A34" s="1064"/>
      <c r="B34" s="1059"/>
      <c r="C34" s="1065"/>
      <c r="D34" s="1059"/>
      <c r="E34" s="1059"/>
      <c r="F34" s="1060"/>
      <c r="G34" s="1060"/>
      <c r="H34" s="609" t="s">
        <v>917</v>
      </c>
      <c r="I34" s="609" t="s">
        <v>918</v>
      </c>
      <c r="J34" s="609" t="s">
        <v>917</v>
      </c>
      <c r="K34" s="609" t="s">
        <v>918</v>
      </c>
      <c r="L34" s="609" t="s">
        <v>917</v>
      </c>
      <c r="M34" s="609" t="s">
        <v>918</v>
      </c>
      <c r="N34" s="1059"/>
      <c r="O34" s="1060"/>
      <c r="P34" s="1061"/>
      <c r="Q34" s="591" t="s">
        <v>943</v>
      </c>
      <c r="R34" s="678">
        <v>1.6150000000000001E-2</v>
      </c>
      <c r="S34" s="678">
        <f t="shared" ref="S34:AL34" si="35">R34</f>
        <v>1.6150000000000001E-2</v>
      </c>
      <c r="T34" s="678">
        <f t="shared" si="35"/>
        <v>1.6150000000000001E-2</v>
      </c>
      <c r="U34" s="678">
        <f t="shared" si="35"/>
        <v>1.6150000000000001E-2</v>
      </c>
      <c r="V34" s="678">
        <f t="shared" si="35"/>
        <v>1.6150000000000001E-2</v>
      </c>
      <c r="W34" s="678">
        <f t="shared" si="35"/>
        <v>1.6150000000000001E-2</v>
      </c>
      <c r="X34" s="678">
        <f t="shared" si="35"/>
        <v>1.6150000000000001E-2</v>
      </c>
      <c r="Y34" s="678">
        <f t="shared" si="35"/>
        <v>1.6150000000000001E-2</v>
      </c>
      <c r="Z34" s="678">
        <f t="shared" si="35"/>
        <v>1.6150000000000001E-2</v>
      </c>
      <c r="AA34" s="678">
        <f t="shared" si="35"/>
        <v>1.6150000000000001E-2</v>
      </c>
      <c r="AB34" s="678">
        <f t="shared" si="35"/>
        <v>1.6150000000000001E-2</v>
      </c>
      <c r="AC34" s="678">
        <f t="shared" si="35"/>
        <v>1.6150000000000001E-2</v>
      </c>
      <c r="AD34" s="678">
        <f t="shared" si="35"/>
        <v>1.6150000000000001E-2</v>
      </c>
      <c r="AE34" s="678">
        <f t="shared" si="35"/>
        <v>1.6150000000000001E-2</v>
      </c>
      <c r="AF34" s="678">
        <f t="shared" si="35"/>
        <v>1.6150000000000001E-2</v>
      </c>
      <c r="AG34" s="678">
        <f t="shared" si="35"/>
        <v>1.6150000000000001E-2</v>
      </c>
      <c r="AH34" s="678">
        <f t="shared" si="35"/>
        <v>1.6150000000000001E-2</v>
      </c>
      <c r="AI34" s="678">
        <f t="shared" si="35"/>
        <v>1.6150000000000001E-2</v>
      </c>
      <c r="AJ34" s="678">
        <f t="shared" si="35"/>
        <v>1.6150000000000001E-2</v>
      </c>
      <c r="AK34" s="678">
        <f t="shared" si="35"/>
        <v>1.6150000000000001E-2</v>
      </c>
      <c r="AL34" s="678">
        <f t="shared" si="35"/>
        <v>1.6150000000000001E-2</v>
      </c>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row>
    <row r="35" spans="1:65" s="679" customFormat="1" ht="20.95" customHeight="1">
      <c r="A35" s="1063" t="s">
        <v>919</v>
      </c>
      <c r="B35" s="1063"/>
      <c r="C35" s="1063"/>
      <c r="D35" s="1063"/>
      <c r="E35" s="1063"/>
      <c r="F35" s="1063"/>
      <c r="G35" s="610" t="s">
        <v>358</v>
      </c>
      <c r="H35" s="611">
        <f>IF(G35="Oui",66.83,0)</f>
        <v>66.83</v>
      </c>
      <c r="I35" s="611">
        <f>IF(G35="Oui",72.84,0)</f>
        <v>72.84</v>
      </c>
      <c r="J35" s="613"/>
      <c r="K35" s="613"/>
      <c r="L35" s="613"/>
      <c r="M35" s="614"/>
      <c r="N35" s="612"/>
      <c r="O35" s="614"/>
      <c r="P35" s="680"/>
      <c r="Q35" s="681" t="s">
        <v>944</v>
      </c>
      <c r="R35" s="650">
        <f t="shared" ref="R35:AL35" si="36">IF(AND(R23="Oui",R22&gt;=R14,R22&lt;R16),(R22-R14+1)*1.615%,IF(AND(R23="Oui",R22&gt;=R16,R22&lt;R18),(R22-R16+1)*1.615%,IF(AND(R23="Oui",R22&gt;=R18,R22&lt;R20),(R22-R18+1)*1.615%,0)))</f>
        <v>0</v>
      </c>
      <c r="S35" s="650">
        <f t="shared" si="36"/>
        <v>0</v>
      </c>
      <c r="T35" s="650">
        <f t="shared" si="36"/>
        <v>0</v>
      </c>
      <c r="U35" s="650">
        <f t="shared" si="36"/>
        <v>0</v>
      </c>
      <c r="V35" s="650">
        <f t="shared" si="36"/>
        <v>0</v>
      </c>
      <c r="W35" s="650">
        <f t="shared" si="36"/>
        <v>0</v>
      </c>
      <c r="X35" s="650">
        <f t="shared" si="36"/>
        <v>0</v>
      </c>
      <c r="Y35" s="650">
        <f t="shared" si="36"/>
        <v>0</v>
      </c>
      <c r="Z35" s="650">
        <f t="shared" si="36"/>
        <v>0</v>
      </c>
      <c r="AA35" s="650">
        <f t="shared" si="36"/>
        <v>0</v>
      </c>
      <c r="AB35" s="659">
        <f t="shared" si="36"/>
        <v>0</v>
      </c>
      <c r="AC35" s="659">
        <f t="shared" si="36"/>
        <v>0</v>
      </c>
      <c r="AD35" s="659">
        <f t="shared" si="36"/>
        <v>0</v>
      </c>
      <c r="AE35" s="659">
        <f t="shared" si="36"/>
        <v>0</v>
      </c>
      <c r="AF35" s="659">
        <f t="shared" si="36"/>
        <v>0</v>
      </c>
      <c r="AG35" s="659">
        <f t="shared" si="36"/>
        <v>0</v>
      </c>
      <c r="AH35" s="659">
        <f t="shared" si="36"/>
        <v>0</v>
      </c>
      <c r="AI35" s="659">
        <f t="shared" si="36"/>
        <v>0</v>
      </c>
      <c r="AJ35" s="659">
        <f t="shared" si="36"/>
        <v>0</v>
      </c>
      <c r="AK35" s="659">
        <f t="shared" si="36"/>
        <v>0</v>
      </c>
      <c r="AL35" s="659">
        <f t="shared" si="36"/>
        <v>0</v>
      </c>
    </row>
    <row r="36" spans="1:65" ht="14.4">
      <c r="A36" s="682" t="s">
        <v>920</v>
      </c>
      <c r="B36" s="683" t="s">
        <v>921</v>
      </c>
      <c r="C36" s="683"/>
      <c r="D36" s="683" t="s">
        <v>922</v>
      </c>
      <c r="E36" s="618">
        <f>SUM(E37:E101)</f>
        <v>264387.94180177827</v>
      </c>
      <c r="F36" s="684">
        <f>SUM(F37:F101)</f>
        <v>27922.713200000002</v>
      </c>
      <c r="G36" s="684"/>
      <c r="H36" s="621">
        <f>SUM(H37:H101)</f>
        <v>431.20196400000003</v>
      </c>
      <c r="I36" s="622">
        <f>SUM(I37:I101)</f>
        <v>470.01014076000007</v>
      </c>
      <c r="J36" s="621">
        <f>IF(E36&lt;120000,SUM(J37:J181),IF(AND(E36&gt;120000,E36&lt;250000),SUM(J37:J181)*0.85,SUM(J37:J181)*0.75))</f>
        <v>654.36015595940114</v>
      </c>
      <c r="K36" s="621">
        <f>IF(E36&lt;120000,SUM(K37:K181),IF(AND(E36&gt;120000,E36&lt;250000),SUM(K37:K181)*0.85,SUM(K37:K181)*0.75))</f>
        <v>735.65944806344805</v>
      </c>
      <c r="L36" s="624">
        <f>IF(SUM(L37:L101)&lt;50,50,SUM(L37:L101))</f>
        <v>115.60003264800001</v>
      </c>
      <c r="M36" s="625">
        <f>IF(SUM(M37:M101)&lt;56.18,56.18,SUM(M37:M101))</f>
        <v>129.84061638</v>
      </c>
      <c r="N36" s="626" t="s">
        <v>230</v>
      </c>
      <c r="O36" s="685" t="s">
        <v>230</v>
      </c>
      <c r="P36" s="686" t="s">
        <v>230</v>
      </c>
      <c r="Q36" s="662" t="s">
        <v>945</v>
      </c>
      <c r="R36" s="663">
        <f t="shared" ref="R36:AL36" si="37">R24+R35</f>
        <v>654</v>
      </c>
      <c r="S36" s="663">
        <f t="shared" si="37"/>
        <v>0</v>
      </c>
      <c r="T36" s="663">
        <f t="shared" si="37"/>
        <v>0</v>
      </c>
      <c r="U36" s="663">
        <f t="shared" si="37"/>
        <v>0</v>
      </c>
      <c r="V36" s="663">
        <f t="shared" si="37"/>
        <v>0</v>
      </c>
      <c r="W36" s="663">
        <f t="shared" si="37"/>
        <v>0</v>
      </c>
      <c r="X36" s="663">
        <f t="shared" si="37"/>
        <v>0</v>
      </c>
      <c r="Y36" s="663">
        <f t="shared" si="37"/>
        <v>0</v>
      </c>
      <c r="Z36" s="663">
        <f t="shared" si="37"/>
        <v>0</v>
      </c>
      <c r="AA36" s="663">
        <f t="shared" si="37"/>
        <v>0</v>
      </c>
      <c r="AB36" s="663">
        <f t="shared" si="37"/>
        <v>0</v>
      </c>
      <c r="AC36" s="663">
        <f t="shared" si="37"/>
        <v>0</v>
      </c>
      <c r="AD36" s="663">
        <f t="shared" si="37"/>
        <v>0</v>
      </c>
      <c r="AE36" s="663">
        <f t="shared" si="37"/>
        <v>0</v>
      </c>
      <c r="AF36" s="663">
        <f t="shared" si="37"/>
        <v>0</v>
      </c>
      <c r="AG36" s="663">
        <f t="shared" si="37"/>
        <v>0</v>
      </c>
      <c r="AH36" s="663">
        <f t="shared" si="37"/>
        <v>0</v>
      </c>
      <c r="AI36" s="663">
        <f t="shared" si="37"/>
        <v>0</v>
      </c>
      <c r="AJ36" s="663">
        <f t="shared" si="37"/>
        <v>0</v>
      </c>
      <c r="AK36" s="663">
        <f t="shared" si="37"/>
        <v>0</v>
      </c>
      <c r="AL36" s="663">
        <f t="shared" si="37"/>
        <v>0</v>
      </c>
      <c r="AM36" s="450"/>
      <c r="AN36" s="450"/>
      <c r="AO36" s="450"/>
      <c r="AP36" s="450"/>
      <c r="AQ36" s="450"/>
      <c r="AR36" s="450"/>
      <c r="AS36" s="450"/>
      <c r="AT36" s="450"/>
      <c r="AU36" s="450"/>
      <c r="AV36" s="450"/>
      <c r="AW36" s="450"/>
      <c r="AX36" s="450"/>
      <c r="AY36" s="450"/>
      <c r="AZ36" s="450"/>
      <c r="BA36" s="450"/>
      <c r="BB36" s="450"/>
      <c r="BC36" s="450"/>
      <c r="BD36" s="450"/>
      <c r="BE36" s="450"/>
      <c r="BF36" s="450"/>
      <c r="BG36" s="450"/>
      <c r="BH36" s="450"/>
      <c r="BI36" s="450"/>
      <c r="BJ36" s="450"/>
      <c r="BK36" s="450"/>
      <c r="BL36" s="450"/>
      <c r="BM36" s="450"/>
    </row>
    <row r="37" spans="1:65" ht="24.9">
      <c r="A37" s="687" t="str">
        <f>Installations!F7</f>
        <v>59 rue J Prévert
71000 Mâcon</v>
      </c>
      <c r="B37" s="688" t="str">
        <f>Installations!D7</f>
        <v>041 Laurence BOUBET Macon</v>
      </c>
      <c r="C37" s="630">
        <v>43383</v>
      </c>
      <c r="D37" s="631">
        <v>43432</v>
      </c>
      <c r="E37" s="645">
        <f>Installations!W7</f>
        <v>17186.414763384786</v>
      </c>
      <c r="F37" s="689">
        <f>Installations!AZ7</f>
        <v>1790.5664000000002</v>
      </c>
      <c r="G37" s="689">
        <f>Installations!K7</f>
        <v>9</v>
      </c>
      <c r="H37" s="652">
        <f t="shared" ref="H37:H99" si="38">IF(AND(F37*15/1000&lt;30,F37&lt;&gt;0),30,F37*15/1000)</f>
        <v>30</v>
      </c>
      <c r="I37" s="635">
        <f t="shared" ref="I37:I99" si="39">(H37*9/100)+H37</f>
        <v>32.700000000000003</v>
      </c>
      <c r="J37" s="635">
        <f t="shared" ref="J37:J99" si="40">E37*$O$31/1000</f>
        <v>56.715168719169796</v>
      </c>
      <c r="K37" s="635">
        <f t="shared" ref="K37:K99" si="41">E37*$P$31/1000</f>
        <v>63.761598772157555</v>
      </c>
      <c r="L37" s="636">
        <f t="shared" ref="L37:L99" si="42">F37*4.14/1000</f>
        <v>7.412944896</v>
      </c>
      <c r="M37" s="636">
        <f t="shared" ref="M37:M99" si="43">F37*4.65/1000</f>
        <v>8.3261337600000012</v>
      </c>
      <c r="N37" s="637"/>
      <c r="O37" s="690"/>
      <c r="P37" s="691">
        <f t="shared" si="8"/>
        <v>2018</v>
      </c>
      <c r="Q37" s="450"/>
      <c r="R37" s="450" t="str">
        <f t="shared" ref="R37:R99" si="44">IF($P37=R$13,$E37,"")</f>
        <v/>
      </c>
      <c r="S37" s="450" t="str">
        <f t="shared" ref="S37:S99" si="45">IF($P37=S$13,$E37,"")</f>
        <v/>
      </c>
      <c r="T37" s="450" t="str">
        <f t="shared" ref="T37:T99" si="46">IF($P37=T$13,$E37,"")</f>
        <v/>
      </c>
      <c r="U37" s="450" t="str">
        <f t="shared" ref="U37:U99" si="47">IF($P37=U$13,$E37,"")</f>
        <v/>
      </c>
      <c r="V37" s="450" t="str">
        <f t="shared" ref="V37:V99" si="48">IF($P37=V$13,$E37,"")</f>
        <v/>
      </c>
      <c r="W37" s="450" t="str">
        <f t="shared" ref="W37:W99" si="49">IF($P37=W$13,$E37,"")</f>
        <v/>
      </c>
      <c r="X37" s="450" t="str">
        <f t="shared" ref="X37:X99" si="50">IF($P37=X$13,$E37,"")</f>
        <v/>
      </c>
      <c r="Y37" s="450" t="str">
        <f t="shared" ref="Y37:Y99" si="51">IF($P37=Y$13,$E37,"")</f>
        <v/>
      </c>
      <c r="Z37" s="450" t="str">
        <f t="shared" ref="Z37:Z99" si="52">IF($P37=Z$13,$E37,"")</f>
        <v/>
      </c>
      <c r="AA37" s="450" t="str">
        <f t="shared" ref="AA37:AA99" si="53">IF($P37=AA$13,$E37,"")</f>
        <v/>
      </c>
      <c r="AB37" s="692" t="str">
        <f t="shared" ref="AB37:AB99" si="54">IF($P37=AB$13,$E37,"")</f>
        <v/>
      </c>
      <c r="AC37" s="692" t="str">
        <f t="shared" ref="AC37:AC99" si="55">IF($P37=AC$13,$E37,"")</f>
        <v/>
      </c>
      <c r="AD37" s="692" t="str">
        <f t="shared" ref="AD37:AD99" si="56">IF($P37=AD$13,$E37,"")</f>
        <v/>
      </c>
      <c r="AE37" s="692" t="str">
        <f t="shared" ref="AE37:AE99" si="57">IF($P37=AE$13,$E37,"")</f>
        <v/>
      </c>
      <c r="AF37" s="692" t="str">
        <f t="shared" ref="AF37:AF99" si="58">IF($P37=AF$13,$E37,"")</f>
        <v/>
      </c>
      <c r="AG37" s="692" t="str">
        <f t="shared" ref="AG37:AG99" si="59">IF($P37=AG$13,$E37,"")</f>
        <v/>
      </c>
      <c r="AH37" s="692" t="str">
        <f t="shared" ref="AH37:AH99" si="60">IF($P37=AH$13,$E37,"")</f>
        <v/>
      </c>
      <c r="AI37" s="692" t="str">
        <f t="shared" ref="AI37:AI99" si="61">IF($P37=AI$13,$E37,"")</f>
        <v/>
      </c>
      <c r="AJ37" s="692" t="str">
        <f t="shared" ref="AJ37:AJ99" si="62">IF($P37=AJ$13,$E37,"")</f>
        <v/>
      </c>
      <c r="AK37" s="692" t="str">
        <f t="shared" ref="AK37:AK99" si="63">IF($P37=AK$13,$E37,"")</f>
        <v/>
      </c>
      <c r="AL37" s="692" t="str">
        <f t="shared" ref="AL37:AL99" si="64">IF($P37=AL$13,$E37,"")</f>
        <v/>
      </c>
      <c r="AM37" s="450"/>
      <c r="AN37" s="450"/>
      <c r="AO37" s="450"/>
      <c r="AP37" s="450"/>
      <c r="AQ37" s="450"/>
      <c r="AR37" s="450"/>
      <c r="AS37" s="450"/>
      <c r="AT37" s="450"/>
      <c r="AU37" s="450"/>
      <c r="AV37" s="450"/>
      <c r="AW37" s="450"/>
      <c r="AX37" s="450"/>
      <c r="AY37" s="450"/>
      <c r="AZ37" s="450"/>
      <c r="BA37" s="450"/>
      <c r="BB37" s="450"/>
      <c r="BC37" s="450"/>
      <c r="BD37" s="450"/>
      <c r="BE37" s="450"/>
      <c r="BF37" s="450"/>
      <c r="BG37" s="450"/>
      <c r="BH37" s="450"/>
      <c r="BI37" s="450"/>
      <c r="BJ37" s="450"/>
      <c r="BK37" s="450"/>
      <c r="BL37" s="450"/>
      <c r="BM37" s="450"/>
    </row>
    <row r="38" spans="1:65" ht="24.9">
      <c r="A38" s="687" t="str">
        <f>Installations!F8</f>
        <v>Les Bots
71520 Matour</v>
      </c>
      <c r="B38" s="693" t="str">
        <f>Installations!D8</f>
        <v>245 Françoise MARTINEZ Matour</v>
      </c>
      <c r="C38" s="643">
        <v>43466</v>
      </c>
      <c r="D38" s="644">
        <v>43486</v>
      </c>
      <c r="E38" s="645">
        <f>Installations!W8</f>
        <v>15771.254873639336</v>
      </c>
      <c r="F38" s="689">
        <f>Installations!AZ8</f>
        <v>1825.6896000000002</v>
      </c>
      <c r="G38" s="689">
        <f>Installations!K8</f>
        <v>9</v>
      </c>
      <c r="H38" s="652">
        <f t="shared" si="38"/>
        <v>30</v>
      </c>
      <c r="I38" s="635">
        <f t="shared" si="39"/>
        <v>32.700000000000003</v>
      </c>
      <c r="J38" s="635">
        <f t="shared" si="40"/>
        <v>52.04514108300981</v>
      </c>
      <c r="K38" s="635">
        <f t="shared" si="41"/>
        <v>58.51135558120194</v>
      </c>
      <c r="L38" s="636">
        <f t="shared" si="42"/>
        <v>7.5583549439999995</v>
      </c>
      <c r="M38" s="636">
        <f t="shared" si="43"/>
        <v>8.489456640000002</v>
      </c>
      <c r="N38" s="648"/>
      <c r="O38" s="597"/>
      <c r="P38" s="691">
        <f t="shared" si="8"/>
        <v>2019</v>
      </c>
      <c r="Q38" s="450"/>
      <c r="R38" s="450" t="str">
        <f t="shared" si="44"/>
        <v/>
      </c>
      <c r="S38" s="450" t="str">
        <f t="shared" si="45"/>
        <v/>
      </c>
      <c r="T38" s="450" t="str">
        <f t="shared" si="46"/>
        <v/>
      </c>
      <c r="U38" s="450" t="str">
        <f t="shared" si="47"/>
        <v/>
      </c>
      <c r="V38" s="450" t="str">
        <f t="shared" si="48"/>
        <v/>
      </c>
      <c r="W38" s="450" t="str">
        <f t="shared" si="49"/>
        <v/>
      </c>
      <c r="X38" s="450" t="str">
        <f t="shared" si="50"/>
        <v/>
      </c>
      <c r="Y38" s="450" t="str">
        <f t="shared" si="51"/>
        <v/>
      </c>
      <c r="Z38" s="450" t="str">
        <f t="shared" si="52"/>
        <v/>
      </c>
      <c r="AA38" s="450" t="str">
        <f t="shared" si="53"/>
        <v/>
      </c>
      <c r="AB38" s="450" t="str">
        <f t="shared" si="54"/>
        <v/>
      </c>
      <c r="AC38" s="450" t="str">
        <f t="shared" si="55"/>
        <v/>
      </c>
      <c r="AD38" s="450" t="str">
        <f t="shared" si="56"/>
        <v/>
      </c>
      <c r="AE38" s="450" t="str">
        <f t="shared" si="57"/>
        <v/>
      </c>
      <c r="AF38" s="450" t="str">
        <f t="shared" si="58"/>
        <v/>
      </c>
      <c r="AG38" s="450" t="str">
        <f t="shared" si="59"/>
        <v/>
      </c>
      <c r="AH38" s="450" t="str">
        <f t="shared" si="60"/>
        <v/>
      </c>
      <c r="AI38" s="450" t="str">
        <f t="shared" si="61"/>
        <v/>
      </c>
      <c r="AJ38" s="450" t="str">
        <f t="shared" si="62"/>
        <v/>
      </c>
      <c r="AK38" s="450" t="str">
        <f t="shared" si="63"/>
        <v/>
      </c>
      <c r="AL38" s="450" t="str">
        <f t="shared" si="64"/>
        <v/>
      </c>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row>
    <row r="39" spans="1:65">
      <c r="A39" s="673" t="str">
        <f>Installations!F9</f>
        <v>2 rue de la Gendarmerie
71520 Tramayes</v>
      </c>
      <c r="B39" s="693" t="str">
        <f>Installations!D9</f>
        <v>051 Sylvain DELIOT</v>
      </c>
      <c r="C39" s="643">
        <v>43466</v>
      </c>
      <c r="D39" s="644">
        <v>43486</v>
      </c>
      <c r="E39" s="645">
        <f>Installations!W9</f>
        <v>19818.699131177647</v>
      </c>
      <c r="F39" s="689">
        <f>Installations!AZ9</f>
        <v>1807.7696000000003</v>
      </c>
      <c r="G39" s="689">
        <f>Installations!K9</f>
        <v>9</v>
      </c>
      <c r="H39" s="652">
        <f t="shared" si="38"/>
        <v>30</v>
      </c>
      <c r="I39" s="635">
        <f t="shared" si="39"/>
        <v>32.700000000000003</v>
      </c>
      <c r="J39" s="635">
        <f t="shared" si="40"/>
        <v>65.40170713288623</v>
      </c>
      <c r="K39" s="635">
        <f t="shared" si="41"/>
        <v>73.52737377666908</v>
      </c>
      <c r="L39" s="636">
        <f t="shared" si="42"/>
        <v>7.4841661440000005</v>
      </c>
      <c r="M39" s="636">
        <f t="shared" si="43"/>
        <v>8.4061286400000022</v>
      </c>
      <c r="N39" s="648"/>
      <c r="O39" s="597"/>
      <c r="P39" s="691">
        <f t="shared" si="8"/>
        <v>2019</v>
      </c>
      <c r="Q39" s="450"/>
      <c r="R39" s="450" t="str">
        <f t="shared" si="44"/>
        <v/>
      </c>
      <c r="S39" s="450" t="str">
        <f t="shared" si="45"/>
        <v/>
      </c>
      <c r="T39" s="450" t="str">
        <f t="shared" si="46"/>
        <v/>
      </c>
      <c r="U39" s="450" t="str">
        <f t="shared" si="47"/>
        <v/>
      </c>
      <c r="V39" s="450" t="str">
        <f t="shared" si="48"/>
        <v/>
      </c>
      <c r="W39" s="450" t="str">
        <f t="shared" si="49"/>
        <v/>
      </c>
      <c r="X39" s="450" t="str">
        <f t="shared" si="50"/>
        <v/>
      </c>
      <c r="Y39" s="450" t="str">
        <f t="shared" si="51"/>
        <v/>
      </c>
      <c r="Z39" s="450" t="str">
        <f t="shared" si="52"/>
        <v/>
      </c>
      <c r="AA39" s="450" t="str">
        <f t="shared" si="53"/>
        <v/>
      </c>
      <c r="AB39" s="450" t="str">
        <f t="shared" si="54"/>
        <v/>
      </c>
      <c r="AC39" s="450" t="str">
        <f t="shared" si="55"/>
        <v/>
      </c>
      <c r="AD39" s="450" t="str">
        <f t="shared" si="56"/>
        <v/>
      </c>
      <c r="AE39" s="450" t="str">
        <f t="shared" si="57"/>
        <v/>
      </c>
      <c r="AF39" s="450" t="str">
        <f t="shared" si="58"/>
        <v/>
      </c>
      <c r="AG39" s="450" t="str">
        <f t="shared" si="59"/>
        <v/>
      </c>
      <c r="AH39" s="450" t="str">
        <f t="shared" si="60"/>
        <v/>
      </c>
      <c r="AI39" s="450" t="str">
        <f t="shared" si="61"/>
        <v/>
      </c>
      <c r="AJ39" s="450" t="str">
        <f t="shared" si="62"/>
        <v/>
      </c>
      <c r="AK39" s="450" t="str">
        <f t="shared" si="63"/>
        <v/>
      </c>
      <c r="AL39" s="450" t="str">
        <f t="shared" si="64"/>
        <v/>
      </c>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row>
    <row r="40" spans="1:65" ht="24.9">
      <c r="A40" s="673" t="str">
        <f>Installations!F10</f>
        <v>Ateliers municipaux
71960 Verzé</v>
      </c>
      <c r="B40" s="693" t="str">
        <f>Installations!D10</f>
        <v>076 Ateliers municipaux Verzé</v>
      </c>
      <c r="C40" s="643">
        <v>43466</v>
      </c>
      <c r="D40" s="644">
        <v>43486</v>
      </c>
      <c r="E40" s="645">
        <f>Installations!W10</f>
        <v>18694.18471357652</v>
      </c>
      <c r="F40" s="689">
        <f>Installations!AZ10</f>
        <v>1751.8900000000003</v>
      </c>
      <c r="G40" s="689">
        <f>Installations!K10</f>
        <v>9</v>
      </c>
      <c r="H40" s="652">
        <f t="shared" si="38"/>
        <v>30</v>
      </c>
      <c r="I40" s="635">
        <f t="shared" si="39"/>
        <v>32.700000000000003</v>
      </c>
      <c r="J40" s="635">
        <f t="shared" si="40"/>
        <v>61.690809554802513</v>
      </c>
      <c r="K40" s="635">
        <f t="shared" si="41"/>
        <v>69.355425287368888</v>
      </c>
      <c r="L40" s="636">
        <f t="shared" si="42"/>
        <v>7.2528246000000012</v>
      </c>
      <c r="M40" s="636">
        <f t="shared" si="43"/>
        <v>8.1462885000000025</v>
      </c>
      <c r="N40" s="648"/>
      <c r="O40" s="597"/>
      <c r="P40" s="691">
        <f t="shared" si="8"/>
        <v>2019</v>
      </c>
      <c r="R40" s="450" t="str">
        <f t="shared" si="44"/>
        <v/>
      </c>
      <c r="S40" s="450" t="str">
        <f t="shared" si="45"/>
        <v/>
      </c>
      <c r="T40" s="450" t="str">
        <f t="shared" si="46"/>
        <v/>
      </c>
      <c r="U40" s="450" t="str">
        <f t="shared" si="47"/>
        <v/>
      </c>
      <c r="V40" s="450" t="str">
        <f t="shared" si="48"/>
        <v/>
      </c>
      <c r="W40" s="450" t="str">
        <f t="shared" si="49"/>
        <v/>
      </c>
      <c r="X40" s="450" t="str">
        <f t="shared" si="50"/>
        <v/>
      </c>
      <c r="Y40" s="450" t="str">
        <f t="shared" si="51"/>
        <v/>
      </c>
      <c r="Z40" s="450" t="str">
        <f t="shared" si="52"/>
        <v/>
      </c>
      <c r="AA40" s="450" t="str">
        <f t="shared" si="53"/>
        <v/>
      </c>
      <c r="AB40" s="450" t="str">
        <f t="shared" si="54"/>
        <v/>
      </c>
      <c r="AC40" s="450" t="str">
        <f t="shared" si="55"/>
        <v/>
      </c>
      <c r="AD40" s="450" t="str">
        <f t="shared" si="56"/>
        <v/>
      </c>
      <c r="AE40" s="450" t="str">
        <f t="shared" si="57"/>
        <v/>
      </c>
      <c r="AF40" s="450" t="str">
        <f t="shared" si="58"/>
        <v/>
      </c>
      <c r="AG40" s="450" t="str">
        <f t="shared" si="59"/>
        <v/>
      </c>
      <c r="AH40" s="450" t="str">
        <f t="shared" si="60"/>
        <v/>
      </c>
      <c r="AI40" s="450" t="str">
        <f t="shared" si="61"/>
        <v/>
      </c>
      <c r="AJ40" s="450" t="str">
        <f t="shared" si="62"/>
        <v/>
      </c>
      <c r="AK40" s="450" t="str">
        <f t="shared" si="63"/>
        <v/>
      </c>
      <c r="AL40" s="450" t="str">
        <f t="shared" si="64"/>
        <v/>
      </c>
      <c r="AM40" s="450"/>
      <c r="AN40" s="450"/>
      <c r="AO40" s="450"/>
      <c r="AP40" s="450"/>
      <c r="AQ40" s="450"/>
      <c r="AR40" s="450"/>
      <c r="AS40" s="450"/>
      <c r="AT40" s="450"/>
      <c r="AU40" s="450"/>
      <c r="AV40" s="450"/>
      <c r="AW40" s="450"/>
      <c r="AX40" s="450"/>
      <c r="AY40" s="450"/>
      <c r="AZ40" s="450"/>
      <c r="BA40" s="450"/>
      <c r="BB40" s="450"/>
      <c r="BC40" s="450"/>
      <c r="BD40" s="450"/>
      <c r="BE40" s="450"/>
      <c r="BF40" s="450"/>
      <c r="BG40" s="450"/>
      <c r="BH40" s="450"/>
      <c r="BI40" s="450"/>
      <c r="BJ40" s="450"/>
      <c r="BK40" s="450"/>
      <c r="BL40" s="450"/>
      <c r="BM40" s="450"/>
    </row>
    <row r="41" spans="1:65" ht="24.9">
      <c r="A41" s="673" t="str">
        <f>Installations!F11</f>
        <v>5 et 7 chemin de Vannas
71520 Tramayes</v>
      </c>
      <c r="B41" s="693" t="str">
        <f>Installations!D11</f>
        <v>058  5 che.  Vannas et école élémentaire</v>
      </c>
      <c r="C41" s="643"/>
      <c r="D41" s="644"/>
      <c r="E41" s="645">
        <f>IF(Installations!B11="oui",Installations!W11,0)</f>
        <v>0</v>
      </c>
      <c r="F41" s="689">
        <f>IF(Installations!B11="oui",Installations!AZ11,0)</f>
        <v>0</v>
      </c>
      <c r="G41" s="689">
        <f>IF(Installations!B11="oui",Installations!K11,0)</f>
        <v>0</v>
      </c>
      <c r="H41" s="652">
        <f t="shared" si="38"/>
        <v>0</v>
      </c>
      <c r="I41" s="635">
        <f t="shared" si="39"/>
        <v>0</v>
      </c>
      <c r="J41" s="635">
        <f t="shared" si="40"/>
        <v>0</v>
      </c>
      <c r="K41" s="635">
        <f t="shared" si="41"/>
        <v>0</v>
      </c>
      <c r="L41" s="636">
        <f t="shared" si="42"/>
        <v>0</v>
      </c>
      <c r="M41" s="636">
        <f t="shared" si="43"/>
        <v>0</v>
      </c>
      <c r="N41" s="648"/>
      <c r="O41" s="597"/>
      <c r="P41" s="691" t="str">
        <f t="shared" si="8"/>
        <v/>
      </c>
      <c r="Q41" s="450"/>
      <c r="R41" s="450" t="str">
        <f t="shared" si="44"/>
        <v/>
      </c>
      <c r="S41" s="450" t="str">
        <f t="shared" si="45"/>
        <v/>
      </c>
      <c r="T41" s="450" t="str">
        <f t="shared" si="46"/>
        <v/>
      </c>
      <c r="U41" s="450" t="str">
        <f t="shared" si="47"/>
        <v/>
      </c>
      <c r="V41" s="450" t="str">
        <f t="shared" si="48"/>
        <v/>
      </c>
      <c r="W41" s="450" t="str">
        <f t="shared" si="49"/>
        <v/>
      </c>
      <c r="X41" s="450" t="str">
        <f t="shared" si="50"/>
        <v/>
      </c>
      <c r="Y41" s="450" t="str">
        <f t="shared" si="51"/>
        <v/>
      </c>
      <c r="Z41" s="450" t="str">
        <f t="shared" si="52"/>
        <v/>
      </c>
      <c r="AA41" s="450" t="str">
        <f t="shared" si="53"/>
        <v/>
      </c>
      <c r="AB41" s="450" t="str">
        <f t="shared" si="54"/>
        <v/>
      </c>
      <c r="AC41" s="450" t="str">
        <f t="shared" si="55"/>
        <v/>
      </c>
      <c r="AD41" s="450" t="str">
        <f t="shared" si="56"/>
        <v/>
      </c>
      <c r="AE41" s="450" t="str">
        <f t="shared" si="57"/>
        <v/>
      </c>
      <c r="AF41" s="450" t="str">
        <f t="shared" si="58"/>
        <v/>
      </c>
      <c r="AG41" s="450" t="str">
        <f t="shared" si="59"/>
        <v/>
      </c>
      <c r="AH41" s="450" t="str">
        <f t="shared" si="60"/>
        <v/>
      </c>
      <c r="AI41" s="450" t="str">
        <f t="shared" si="61"/>
        <v/>
      </c>
      <c r="AJ41" s="450" t="str">
        <f t="shared" si="62"/>
        <v/>
      </c>
      <c r="AK41" s="450" t="str">
        <f t="shared" si="63"/>
        <v/>
      </c>
      <c r="AL41" s="450" t="str">
        <f t="shared" si="64"/>
        <v/>
      </c>
      <c r="AM41" s="450"/>
      <c r="AN41" s="450"/>
      <c r="AO41" s="450"/>
      <c r="AP41" s="450"/>
      <c r="AQ41" s="450"/>
      <c r="AR41" s="450"/>
      <c r="AS41" s="450"/>
      <c r="AT41" s="450"/>
      <c r="AU41" s="450"/>
      <c r="AV41" s="450"/>
      <c r="AW41" s="450"/>
      <c r="AX41" s="450"/>
      <c r="AY41" s="450"/>
      <c r="AZ41" s="450"/>
      <c r="BA41" s="450"/>
      <c r="BB41" s="450"/>
      <c r="BC41" s="450"/>
      <c r="BD41" s="450"/>
      <c r="BE41" s="450"/>
      <c r="BF41" s="450"/>
      <c r="BG41" s="450"/>
      <c r="BH41" s="450"/>
      <c r="BI41" s="450"/>
      <c r="BJ41" s="450"/>
      <c r="BK41" s="450"/>
      <c r="BL41" s="450"/>
      <c r="BM41" s="450"/>
    </row>
    <row r="42" spans="1:65">
      <c r="A42" s="694" t="str">
        <f>Installations!F12</f>
        <v>2 rue du Bourg 71000 Sancé</v>
      </c>
      <c r="B42" s="642" t="str">
        <f>Installations!D12</f>
        <v>335 Salle des fêtes Sancé</v>
      </c>
      <c r="C42" s="643"/>
      <c r="D42" s="644"/>
      <c r="E42" s="645">
        <f>IF(Installations!B12="oui",Installations!W12,0)</f>
        <v>0</v>
      </c>
      <c r="F42" s="646">
        <f>IF(Installations!B12="oui",Installations!AZ12,0)</f>
        <v>0</v>
      </c>
      <c r="G42" s="647">
        <f>IF(Installations!B12="oui",Installations!K12,0)</f>
        <v>0</v>
      </c>
      <c r="H42" s="652">
        <f t="shared" si="38"/>
        <v>0</v>
      </c>
      <c r="I42" s="635">
        <f t="shared" si="39"/>
        <v>0</v>
      </c>
      <c r="J42" s="635">
        <f t="shared" si="40"/>
        <v>0</v>
      </c>
      <c r="K42" s="635">
        <f t="shared" si="41"/>
        <v>0</v>
      </c>
      <c r="L42" s="636">
        <f t="shared" si="42"/>
        <v>0</v>
      </c>
      <c r="M42" s="636">
        <f t="shared" si="43"/>
        <v>0</v>
      </c>
      <c r="N42" s="648"/>
      <c r="O42" s="597"/>
      <c r="P42" s="691" t="str">
        <f t="shared" si="8"/>
        <v/>
      </c>
      <c r="Q42" s="450"/>
      <c r="R42" s="450" t="str">
        <f t="shared" si="44"/>
        <v/>
      </c>
      <c r="S42" s="450" t="str">
        <f t="shared" si="45"/>
        <v/>
      </c>
      <c r="T42" s="450" t="str">
        <f t="shared" si="46"/>
        <v/>
      </c>
      <c r="U42" s="450" t="str">
        <f t="shared" si="47"/>
        <v/>
      </c>
      <c r="V42" s="450" t="str">
        <f t="shared" si="48"/>
        <v/>
      </c>
      <c r="W42" s="450" t="str">
        <f t="shared" si="49"/>
        <v/>
      </c>
      <c r="X42" s="450" t="str">
        <f t="shared" si="50"/>
        <v/>
      </c>
      <c r="Y42" s="450" t="str">
        <f t="shared" si="51"/>
        <v/>
      </c>
      <c r="Z42" s="450" t="str">
        <f t="shared" si="52"/>
        <v/>
      </c>
      <c r="AA42" s="450" t="str">
        <f t="shared" si="53"/>
        <v/>
      </c>
      <c r="AB42" s="450" t="str">
        <f t="shared" si="54"/>
        <v/>
      </c>
      <c r="AC42" s="450" t="str">
        <f t="shared" si="55"/>
        <v/>
      </c>
      <c r="AD42" s="450" t="str">
        <f t="shared" si="56"/>
        <v/>
      </c>
      <c r="AE42" s="450" t="str">
        <f t="shared" si="57"/>
        <v/>
      </c>
      <c r="AF42" s="450" t="str">
        <f t="shared" si="58"/>
        <v/>
      </c>
      <c r="AG42" s="450" t="str">
        <f t="shared" si="59"/>
        <v/>
      </c>
      <c r="AH42" s="450" t="str">
        <f t="shared" si="60"/>
        <v/>
      </c>
      <c r="AI42" s="450" t="str">
        <f t="shared" si="61"/>
        <v/>
      </c>
      <c r="AJ42" s="450" t="str">
        <f t="shared" si="62"/>
        <v/>
      </c>
      <c r="AK42" s="450" t="str">
        <f t="shared" si="63"/>
        <v/>
      </c>
      <c r="AL42" s="450" t="str">
        <f t="shared" si="64"/>
        <v/>
      </c>
      <c r="AM42" s="450"/>
      <c r="AN42" s="450"/>
      <c r="AO42" s="450"/>
      <c r="AP42" s="450"/>
      <c r="AQ42" s="450"/>
      <c r="AR42" s="450"/>
      <c r="AS42" s="450"/>
      <c r="AT42" s="450"/>
      <c r="AU42" s="450"/>
      <c r="AV42" s="450"/>
      <c r="AW42" s="450"/>
      <c r="AX42" s="450"/>
      <c r="AY42" s="450"/>
      <c r="AZ42" s="450"/>
      <c r="BA42" s="450"/>
      <c r="BB42" s="450"/>
      <c r="BC42" s="450"/>
      <c r="BD42" s="450"/>
      <c r="BE42" s="450"/>
      <c r="BF42" s="450"/>
      <c r="BG42" s="450"/>
      <c r="BH42" s="450"/>
      <c r="BI42" s="450"/>
      <c r="BJ42" s="450"/>
      <c r="BK42" s="450"/>
      <c r="BL42" s="450"/>
      <c r="BM42" s="450"/>
    </row>
    <row r="43" spans="1:65">
      <c r="A43" s="694" t="str">
        <f>Installations!F13</f>
        <v>2 rue du Bourg 71000 Sancé</v>
      </c>
      <c r="B43" s="642" t="str">
        <f>Installations!D13</f>
        <v>335 Salle des fêtes Sancé</v>
      </c>
      <c r="C43" s="643"/>
      <c r="D43" s="644"/>
      <c r="E43" s="645">
        <f>IF(Installations!B13="oui",Installations!W13,0)</f>
        <v>0</v>
      </c>
      <c r="F43" s="646">
        <f>IF(Installations!B13="oui",Installations!AZ13,0)</f>
        <v>0</v>
      </c>
      <c r="G43" s="647">
        <f>IF(Installations!B13="oui",Installations!K13,0)</f>
        <v>0</v>
      </c>
      <c r="H43" s="652">
        <f t="shared" si="38"/>
        <v>0</v>
      </c>
      <c r="I43" s="635">
        <f t="shared" si="39"/>
        <v>0</v>
      </c>
      <c r="J43" s="635">
        <f t="shared" si="40"/>
        <v>0</v>
      </c>
      <c r="K43" s="635">
        <f t="shared" si="41"/>
        <v>0</v>
      </c>
      <c r="L43" s="636">
        <f t="shared" si="42"/>
        <v>0</v>
      </c>
      <c r="M43" s="636">
        <f t="shared" si="43"/>
        <v>0</v>
      </c>
      <c r="N43" s="648"/>
      <c r="O43" s="597"/>
      <c r="P43" s="691" t="str">
        <f t="shared" si="8"/>
        <v/>
      </c>
      <c r="Q43" s="450"/>
      <c r="R43" s="450" t="str">
        <f t="shared" si="44"/>
        <v/>
      </c>
      <c r="S43" s="450" t="str">
        <f t="shared" si="45"/>
        <v/>
      </c>
      <c r="T43" s="450" t="str">
        <f t="shared" si="46"/>
        <v/>
      </c>
      <c r="U43" s="450" t="str">
        <f t="shared" si="47"/>
        <v/>
      </c>
      <c r="V43" s="450" t="str">
        <f t="shared" si="48"/>
        <v/>
      </c>
      <c r="W43" s="450" t="str">
        <f t="shared" si="49"/>
        <v/>
      </c>
      <c r="X43" s="450" t="str">
        <f t="shared" si="50"/>
        <v/>
      </c>
      <c r="Y43" s="450" t="str">
        <f t="shared" si="51"/>
        <v/>
      </c>
      <c r="Z43" s="450" t="str">
        <f t="shared" si="52"/>
        <v/>
      </c>
      <c r="AA43" s="450" t="str">
        <f t="shared" si="53"/>
        <v/>
      </c>
      <c r="AB43" s="450" t="str">
        <f t="shared" si="54"/>
        <v/>
      </c>
      <c r="AC43" s="450" t="str">
        <f t="shared" si="55"/>
        <v/>
      </c>
      <c r="AD43" s="450" t="str">
        <f t="shared" si="56"/>
        <v/>
      </c>
      <c r="AE43" s="450" t="str">
        <f t="shared" si="57"/>
        <v/>
      </c>
      <c r="AF43" s="450" t="str">
        <f t="shared" si="58"/>
        <v/>
      </c>
      <c r="AG43" s="450" t="str">
        <f t="shared" si="59"/>
        <v/>
      </c>
      <c r="AH43" s="450" t="str">
        <f t="shared" si="60"/>
        <v/>
      </c>
      <c r="AI43" s="450" t="str">
        <f t="shared" si="61"/>
        <v/>
      </c>
      <c r="AJ43" s="450" t="str">
        <f t="shared" si="62"/>
        <v/>
      </c>
      <c r="AK43" s="450" t="str">
        <f t="shared" si="63"/>
        <v/>
      </c>
      <c r="AL43" s="450" t="str">
        <f t="shared" si="64"/>
        <v/>
      </c>
      <c r="AM43" s="450"/>
      <c r="AN43" s="450"/>
      <c r="AO43" s="450"/>
      <c r="AP43" s="450"/>
      <c r="AQ43" s="450"/>
      <c r="AR43" s="450"/>
      <c r="AS43" s="450"/>
      <c r="AT43" s="450"/>
      <c r="AU43" s="450"/>
      <c r="AV43" s="450"/>
      <c r="AW43" s="450"/>
      <c r="AX43" s="450"/>
      <c r="AY43" s="450"/>
      <c r="AZ43" s="450"/>
      <c r="BA43" s="450"/>
      <c r="BB43" s="450"/>
      <c r="BC43" s="450"/>
      <c r="BD43" s="450"/>
      <c r="BE43" s="450"/>
      <c r="BF43" s="450"/>
      <c r="BG43" s="450"/>
      <c r="BH43" s="450"/>
      <c r="BI43" s="450"/>
      <c r="BJ43" s="450"/>
      <c r="BK43" s="450"/>
      <c r="BL43" s="450"/>
      <c r="BM43" s="450"/>
    </row>
    <row r="44" spans="1:65">
      <c r="A44" s="694" t="str">
        <f>Installations!F14</f>
        <v>102 route des Poncetys
71960 Davayé</v>
      </c>
      <c r="B44" s="642" t="str">
        <f>Installations!D14</f>
        <v>337 Vinipole</v>
      </c>
      <c r="C44" s="643"/>
      <c r="D44" s="644"/>
      <c r="E44" s="645">
        <f>IF(Installations!B14="oui",Installations!W14,0)</f>
        <v>0</v>
      </c>
      <c r="F44" s="646">
        <f>IF(Installations!B14="oui",Installations!AZ14,0)</f>
        <v>0</v>
      </c>
      <c r="G44" s="647">
        <f>IF(Installations!B14="oui",Installations!K14,0)</f>
        <v>0</v>
      </c>
      <c r="H44" s="652">
        <f t="shared" si="38"/>
        <v>0</v>
      </c>
      <c r="I44" s="635">
        <f t="shared" si="39"/>
        <v>0</v>
      </c>
      <c r="J44" s="635">
        <f t="shared" si="40"/>
        <v>0</v>
      </c>
      <c r="K44" s="635">
        <f t="shared" si="41"/>
        <v>0</v>
      </c>
      <c r="L44" s="636">
        <f t="shared" si="42"/>
        <v>0</v>
      </c>
      <c r="M44" s="636">
        <f t="shared" si="43"/>
        <v>0</v>
      </c>
      <c r="N44" s="648"/>
      <c r="O44" s="597"/>
      <c r="P44" s="691" t="str">
        <f t="shared" si="8"/>
        <v/>
      </c>
      <c r="Q44" s="450"/>
      <c r="R44" s="450" t="str">
        <f t="shared" si="44"/>
        <v/>
      </c>
      <c r="S44" s="450" t="str">
        <f t="shared" si="45"/>
        <v/>
      </c>
      <c r="T44" s="450" t="str">
        <f t="shared" si="46"/>
        <v/>
      </c>
      <c r="U44" s="450" t="str">
        <f t="shared" si="47"/>
        <v/>
      </c>
      <c r="V44" s="450" t="str">
        <f t="shared" si="48"/>
        <v/>
      </c>
      <c r="W44" s="450" t="str">
        <f t="shared" si="49"/>
        <v/>
      </c>
      <c r="X44" s="450" t="str">
        <f t="shared" si="50"/>
        <v/>
      </c>
      <c r="Y44" s="450" t="str">
        <f t="shared" si="51"/>
        <v/>
      </c>
      <c r="Z44" s="450" t="str">
        <f t="shared" si="52"/>
        <v/>
      </c>
      <c r="AA44" s="450" t="str">
        <f t="shared" si="53"/>
        <v/>
      </c>
      <c r="AB44" s="450" t="str">
        <f t="shared" si="54"/>
        <v/>
      </c>
      <c r="AC44" s="450" t="str">
        <f t="shared" si="55"/>
        <v/>
      </c>
      <c r="AD44" s="450" t="str">
        <f t="shared" si="56"/>
        <v/>
      </c>
      <c r="AE44" s="450" t="str">
        <f t="shared" si="57"/>
        <v/>
      </c>
      <c r="AF44" s="450" t="str">
        <f t="shared" si="58"/>
        <v/>
      </c>
      <c r="AG44" s="450" t="str">
        <f t="shared" si="59"/>
        <v/>
      </c>
      <c r="AH44" s="450" t="str">
        <f t="shared" si="60"/>
        <v/>
      </c>
      <c r="AI44" s="450" t="str">
        <f t="shared" si="61"/>
        <v/>
      </c>
      <c r="AJ44" s="450" t="str">
        <f t="shared" si="62"/>
        <v/>
      </c>
      <c r="AK44" s="450" t="str">
        <f t="shared" si="63"/>
        <v/>
      </c>
      <c r="AL44" s="450" t="str">
        <f t="shared" si="64"/>
        <v/>
      </c>
      <c r="AM44" s="450"/>
      <c r="AN44" s="450"/>
      <c r="AO44" s="450"/>
      <c r="AP44" s="450"/>
      <c r="AQ44" s="450"/>
      <c r="AR44" s="450"/>
      <c r="AS44" s="450"/>
      <c r="AT44" s="450"/>
      <c r="AU44" s="450"/>
      <c r="AV44" s="450"/>
      <c r="AW44" s="450"/>
      <c r="AX44" s="450"/>
      <c r="AY44" s="450"/>
      <c r="AZ44" s="450"/>
      <c r="BA44" s="450"/>
      <c r="BB44" s="450"/>
      <c r="BC44" s="450"/>
      <c r="BD44" s="450"/>
      <c r="BE44" s="450"/>
      <c r="BF44" s="450"/>
      <c r="BG44" s="450"/>
      <c r="BH44" s="450"/>
      <c r="BI44" s="450"/>
      <c r="BJ44" s="450"/>
      <c r="BK44" s="450"/>
      <c r="BL44" s="450"/>
      <c r="BM44" s="450"/>
    </row>
    <row r="45" spans="1:65">
      <c r="A45" s="694" t="str">
        <f>Installations!F15</f>
        <v>102 route des Poncetys
71960 Davayé</v>
      </c>
      <c r="B45" s="642" t="str">
        <f>Installations!D15</f>
        <v>337 Vinipole</v>
      </c>
      <c r="C45" s="643"/>
      <c r="D45" s="644"/>
      <c r="E45" s="645">
        <f>IF(Installations!B15="oui",Installations!W15,0)</f>
        <v>0</v>
      </c>
      <c r="F45" s="646">
        <f>IF(Installations!B15="oui",Installations!AZ15,0)</f>
        <v>0</v>
      </c>
      <c r="G45" s="647">
        <f>IF(Installations!B15="oui",Installations!K15,0)</f>
        <v>0</v>
      </c>
      <c r="H45" s="652">
        <f t="shared" si="38"/>
        <v>0</v>
      </c>
      <c r="I45" s="635">
        <f t="shared" si="39"/>
        <v>0</v>
      </c>
      <c r="J45" s="635">
        <f t="shared" si="40"/>
        <v>0</v>
      </c>
      <c r="K45" s="635">
        <f t="shared" si="41"/>
        <v>0</v>
      </c>
      <c r="L45" s="636">
        <f t="shared" si="42"/>
        <v>0</v>
      </c>
      <c r="M45" s="636">
        <f t="shared" si="43"/>
        <v>0</v>
      </c>
      <c r="N45" s="648"/>
      <c r="O45" s="597"/>
      <c r="P45" s="691" t="str">
        <f t="shared" si="8"/>
        <v/>
      </c>
      <c r="Q45" s="450"/>
      <c r="R45" s="450" t="str">
        <f t="shared" si="44"/>
        <v/>
      </c>
      <c r="S45" s="450" t="str">
        <f t="shared" si="45"/>
        <v/>
      </c>
      <c r="T45" s="450" t="str">
        <f t="shared" si="46"/>
        <v/>
      </c>
      <c r="U45" s="450" t="str">
        <f t="shared" si="47"/>
        <v/>
      </c>
      <c r="V45" s="450" t="str">
        <f t="shared" si="48"/>
        <v/>
      </c>
      <c r="W45" s="450" t="str">
        <f t="shared" si="49"/>
        <v/>
      </c>
      <c r="X45" s="450" t="str">
        <f t="shared" si="50"/>
        <v/>
      </c>
      <c r="Y45" s="450" t="str">
        <f t="shared" si="51"/>
        <v/>
      </c>
      <c r="Z45" s="450" t="str">
        <f t="shared" si="52"/>
        <v/>
      </c>
      <c r="AA45" s="450" t="str">
        <f t="shared" si="53"/>
        <v/>
      </c>
      <c r="AB45" s="450" t="str">
        <f t="shared" si="54"/>
        <v/>
      </c>
      <c r="AC45" s="450" t="str">
        <f t="shared" si="55"/>
        <v/>
      </c>
      <c r="AD45" s="450" t="str">
        <f t="shared" si="56"/>
        <v/>
      </c>
      <c r="AE45" s="450" t="str">
        <f t="shared" si="57"/>
        <v/>
      </c>
      <c r="AF45" s="450" t="str">
        <f t="shared" si="58"/>
        <v/>
      </c>
      <c r="AG45" s="450" t="str">
        <f t="shared" si="59"/>
        <v/>
      </c>
      <c r="AH45" s="450" t="str">
        <f t="shared" si="60"/>
        <v/>
      </c>
      <c r="AI45" s="450" t="str">
        <f t="shared" si="61"/>
        <v/>
      </c>
      <c r="AJ45" s="450" t="str">
        <f t="shared" si="62"/>
        <v/>
      </c>
      <c r="AK45" s="450" t="str">
        <f t="shared" si="63"/>
        <v/>
      </c>
      <c r="AL45" s="450" t="str">
        <f t="shared" si="64"/>
        <v/>
      </c>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row>
    <row r="46" spans="1:65">
      <c r="A46" s="694" t="str">
        <f>Installations!F16</f>
        <v>102 route des Poncetys
71960 Davayé</v>
      </c>
      <c r="B46" s="642" t="str">
        <f>Installations!D16</f>
        <v>337 Vinipole</v>
      </c>
      <c r="C46" s="643"/>
      <c r="D46" s="644"/>
      <c r="E46" s="645">
        <f>IF(Installations!B16="oui",Installations!W16,0)</f>
        <v>0</v>
      </c>
      <c r="F46" s="646">
        <f>IF(Installations!B16="oui",Installations!AZ16,0)</f>
        <v>0</v>
      </c>
      <c r="G46" s="647">
        <f>IF(Installations!B16="oui",Installations!K16,0)</f>
        <v>0</v>
      </c>
      <c r="H46" s="652">
        <f t="shared" si="38"/>
        <v>0</v>
      </c>
      <c r="I46" s="635">
        <f t="shared" si="39"/>
        <v>0</v>
      </c>
      <c r="J46" s="635">
        <f t="shared" si="40"/>
        <v>0</v>
      </c>
      <c r="K46" s="635">
        <f t="shared" si="41"/>
        <v>0</v>
      </c>
      <c r="L46" s="636">
        <f t="shared" si="42"/>
        <v>0</v>
      </c>
      <c r="M46" s="636">
        <f t="shared" si="43"/>
        <v>0</v>
      </c>
      <c r="N46" s="648"/>
      <c r="O46" s="597"/>
      <c r="P46" s="691" t="str">
        <f t="shared" si="8"/>
        <v/>
      </c>
      <c r="Q46" s="450"/>
      <c r="R46" s="450" t="str">
        <f t="shared" si="44"/>
        <v/>
      </c>
      <c r="S46" s="450" t="str">
        <f t="shared" si="45"/>
        <v/>
      </c>
      <c r="T46" s="450" t="str">
        <f t="shared" si="46"/>
        <v/>
      </c>
      <c r="U46" s="450" t="str">
        <f t="shared" si="47"/>
        <v/>
      </c>
      <c r="V46" s="450" t="str">
        <f t="shared" si="48"/>
        <v/>
      </c>
      <c r="W46" s="450" t="str">
        <f t="shared" si="49"/>
        <v/>
      </c>
      <c r="X46" s="450" t="str">
        <f t="shared" si="50"/>
        <v/>
      </c>
      <c r="Y46" s="450" t="str">
        <f t="shared" si="51"/>
        <v/>
      </c>
      <c r="Z46" s="450" t="str">
        <f t="shared" si="52"/>
        <v/>
      </c>
      <c r="AA46" s="450" t="str">
        <f t="shared" si="53"/>
        <v/>
      </c>
      <c r="AB46" s="450" t="str">
        <f t="shared" si="54"/>
        <v/>
      </c>
      <c r="AC46" s="450" t="str">
        <f t="shared" si="55"/>
        <v/>
      </c>
      <c r="AD46" s="450" t="str">
        <f t="shared" si="56"/>
        <v/>
      </c>
      <c r="AE46" s="450" t="str">
        <f t="shared" si="57"/>
        <v/>
      </c>
      <c r="AF46" s="450" t="str">
        <f t="shared" si="58"/>
        <v/>
      </c>
      <c r="AG46" s="450" t="str">
        <f t="shared" si="59"/>
        <v/>
      </c>
      <c r="AH46" s="450" t="str">
        <f t="shared" si="60"/>
        <v/>
      </c>
      <c r="AI46" s="450" t="str">
        <f t="shared" si="61"/>
        <v/>
      </c>
      <c r="AJ46" s="450" t="str">
        <f t="shared" si="62"/>
        <v/>
      </c>
      <c r="AK46" s="450" t="str">
        <f t="shared" si="63"/>
        <v/>
      </c>
      <c r="AL46" s="450" t="str">
        <f t="shared" si="64"/>
        <v/>
      </c>
      <c r="AM46" s="450"/>
      <c r="AN46" s="450"/>
      <c r="AO46" s="450"/>
      <c r="AP46" s="450"/>
      <c r="AQ46" s="450"/>
      <c r="AR46" s="450"/>
      <c r="AS46" s="450"/>
      <c r="AT46" s="450"/>
      <c r="AU46" s="450"/>
      <c r="AV46" s="450"/>
      <c r="AW46" s="450"/>
      <c r="AX46" s="450"/>
      <c r="AY46" s="450"/>
      <c r="AZ46" s="450"/>
      <c r="BA46" s="450"/>
      <c r="BB46" s="450"/>
      <c r="BC46" s="450"/>
      <c r="BD46" s="450"/>
      <c r="BE46" s="450"/>
      <c r="BF46" s="450"/>
      <c r="BG46" s="450"/>
      <c r="BH46" s="450"/>
      <c r="BI46" s="450"/>
      <c r="BJ46" s="450"/>
      <c r="BK46" s="450"/>
      <c r="BL46" s="450"/>
      <c r="BM46" s="450"/>
    </row>
    <row r="47" spans="1:65">
      <c r="A47" s="694" t="str">
        <f>Installations!F17</f>
        <v>102 route des Poncetys
71960 Davayé</v>
      </c>
      <c r="B47" s="642" t="str">
        <f>Installations!D17</f>
        <v>337 Vinipole</v>
      </c>
      <c r="C47" s="643"/>
      <c r="D47" s="644"/>
      <c r="E47" s="645">
        <f>IF(Installations!B17="oui",Installations!W17,0)</f>
        <v>0</v>
      </c>
      <c r="F47" s="646">
        <f>IF(Installations!B17="oui",Installations!AZ17,0)</f>
        <v>0</v>
      </c>
      <c r="G47" s="647">
        <f>IF(Installations!B17="oui",Installations!K17,0)</f>
        <v>0</v>
      </c>
      <c r="H47" s="652">
        <f t="shared" si="38"/>
        <v>0</v>
      </c>
      <c r="I47" s="635">
        <f t="shared" si="39"/>
        <v>0</v>
      </c>
      <c r="J47" s="635">
        <f t="shared" si="40"/>
        <v>0</v>
      </c>
      <c r="K47" s="635">
        <f t="shared" si="41"/>
        <v>0</v>
      </c>
      <c r="L47" s="636">
        <f t="shared" si="42"/>
        <v>0</v>
      </c>
      <c r="M47" s="636">
        <f t="shared" si="43"/>
        <v>0</v>
      </c>
      <c r="N47" s="648"/>
      <c r="O47" s="597"/>
      <c r="P47" s="691" t="str">
        <f t="shared" si="8"/>
        <v/>
      </c>
      <c r="Q47" s="450"/>
      <c r="R47" s="450" t="str">
        <f t="shared" si="44"/>
        <v/>
      </c>
      <c r="S47" s="450" t="str">
        <f t="shared" si="45"/>
        <v/>
      </c>
      <c r="T47" s="450" t="str">
        <f t="shared" si="46"/>
        <v/>
      </c>
      <c r="U47" s="450" t="str">
        <f t="shared" si="47"/>
        <v/>
      </c>
      <c r="V47" s="450" t="str">
        <f t="shared" si="48"/>
        <v/>
      </c>
      <c r="W47" s="450" t="str">
        <f t="shared" si="49"/>
        <v/>
      </c>
      <c r="X47" s="450" t="str">
        <f t="shared" si="50"/>
        <v/>
      </c>
      <c r="Y47" s="450" t="str">
        <f t="shared" si="51"/>
        <v/>
      </c>
      <c r="Z47" s="450" t="str">
        <f t="shared" si="52"/>
        <v/>
      </c>
      <c r="AA47" s="450" t="str">
        <f t="shared" si="53"/>
        <v/>
      </c>
      <c r="AB47" s="450" t="str">
        <f t="shared" si="54"/>
        <v/>
      </c>
      <c r="AC47" s="450" t="str">
        <f t="shared" si="55"/>
        <v/>
      </c>
      <c r="AD47" s="450" t="str">
        <f t="shared" si="56"/>
        <v/>
      </c>
      <c r="AE47" s="450" t="str">
        <f t="shared" si="57"/>
        <v/>
      </c>
      <c r="AF47" s="450" t="str">
        <f t="shared" si="58"/>
        <v/>
      </c>
      <c r="AG47" s="450" t="str">
        <f t="shared" si="59"/>
        <v/>
      </c>
      <c r="AH47" s="450" t="str">
        <f t="shared" si="60"/>
        <v/>
      </c>
      <c r="AI47" s="450" t="str">
        <f t="shared" si="61"/>
        <v/>
      </c>
      <c r="AJ47" s="450" t="str">
        <f t="shared" si="62"/>
        <v/>
      </c>
      <c r="AK47" s="450" t="str">
        <f t="shared" si="63"/>
        <v/>
      </c>
      <c r="AL47" s="450" t="str">
        <f t="shared" si="64"/>
        <v/>
      </c>
      <c r="AM47" s="450"/>
      <c r="AN47" s="450"/>
      <c r="AO47" s="450"/>
      <c r="AP47" s="450"/>
      <c r="AQ47" s="450"/>
      <c r="AR47" s="450"/>
      <c r="AS47" s="450"/>
      <c r="AT47" s="450"/>
      <c r="AU47" s="450"/>
      <c r="AV47" s="450"/>
      <c r="AW47" s="450"/>
      <c r="AX47" s="450"/>
      <c r="AY47" s="450"/>
      <c r="AZ47" s="450"/>
      <c r="BA47" s="450"/>
      <c r="BB47" s="450"/>
      <c r="BC47" s="450"/>
      <c r="BD47" s="450"/>
      <c r="BE47" s="450"/>
      <c r="BF47" s="450"/>
      <c r="BG47" s="450"/>
      <c r="BH47" s="450"/>
      <c r="BI47" s="450"/>
      <c r="BJ47" s="450"/>
      <c r="BK47" s="450"/>
      <c r="BL47" s="450"/>
      <c r="BM47" s="450"/>
    </row>
    <row r="48" spans="1:65">
      <c r="A48" s="694" t="str">
        <f>Installations!F18</f>
        <v>102 route des Poncetys
71960 Davayé</v>
      </c>
      <c r="B48" s="642" t="str">
        <f>Installations!D18</f>
        <v>337 Vinipole</v>
      </c>
      <c r="C48" s="643"/>
      <c r="D48" s="644"/>
      <c r="E48" s="645">
        <f>IF(Installations!B18="oui",Installations!W18,0)</f>
        <v>0</v>
      </c>
      <c r="F48" s="646">
        <f>IF(Installations!B18="oui",Installations!AZ18,0)</f>
        <v>0</v>
      </c>
      <c r="G48" s="647">
        <f>IF(Installations!B18="oui",Installations!K18,0)</f>
        <v>0</v>
      </c>
      <c r="H48" s="652">
        <f t="shared" si="38"/>
        <v>0</v>
      </c>
      <c r="I48" s="635">
        <f t="shared" si="39"/>
        <v>0</v>
      </c>
      <c r="J48" s="635">
        <f t="shared" si="40"/>
        <v>0</v>
      </c>
      <c r="K48" s="635">
        <f t="shared" si="41"/>
        <v>0</v>
      </c>
      <c r="L48" s="636">
        <f t="shared" si="42"/>
        <v>0</v>
      </c>
      <c r="M48" s="636">
        <f t="shared" si="43"/>
        <v>0</v>
      </c>
      <c r="N48" s="648"/>
      <c r="O48" s="597"/>
      <c r="P48" s="691" t="str">
        <f t="shared" si="8"/>
        <v/>
      </c>
      <c r="Q48" s="450"/>
      <c r="R48" s="450" t="str">
        <f t="shared" si="44"/>
        <v/>
      </c>
      <c r="S48" s="450" t="str">
        <f t="shared" si="45"/>
        <v/>
      </c>
      <c r="T48" s="450" t="str">
        <f t="shared" si="46"/>
        <v/>
      </c>
      <c r="U48" s="450" t="str">
        <f t="shared" si="47"/>
        <v/>
      </c>
      <c r="V48" s="450" t="str">
        <f t="shared" si="48"/>
        <v/>
      </c>
      <c r="W48" s="450" t="str">
        <f t="shared" si="49"/>
        <v/>
      </c>
      <c r="X48" s="450" t="str">
        <f t="shared" si="50"/>
        <v/>
      </c>
      <c r="Y48" s="450" t="str">
        <f t="shared" si="51"/>
        <v/>
      </c>
      <c r="Z48" s="450" t="str">
        <f t="shared" si="52"/>
        <v/>
      </c>
      <c r="AA48" s="450" t="str">
        <f t="shared" si="53"/>
        <v/>
      </c>
      <c r="AB48" s="450" t="str">
        <f t="shared" si="54"/>
        <v/>
      </c>
      <c r="AC48" s="450" t="str">
        <f t="shared" si="55"/>
        <v/>
      </c>
      <c r="AD48" s="450" t="str">
        <f t="shared" si="56"/>
        <v/>
      </c>
      <c r="AE48" s="450" t="str">
        <f t="shared" si="57"/>
        <v/>
      </c>
      <c r="AF48" s="450" t="str">
        <f t="shared" si="58"/>
        <v/>
      </c>
      <c r="AG48" s="450" t="str">
        <f t="shared" si="59"/>
        <v/>
      </c>
      <c r="AH48" s="450" t="str">
        <f t="shared" si="60"/>
        <v/>
      </c>
      <c r="AI48" s="450" t="str">
        <f t="shared" si="61"/>
        <v/>
      </c>
      <c r="AJ48" s="450" t="str">
        <f t="shared" si="62"/>
        <v/>
      </c>
      <c r="AK48" s="450" t="str">
        <f t="shared" si="63"/>
        <v/>
      </c>
      <c r="AL48" s="450" t="str">
        <f t="shared" si="64"/>
        <v/>
      </c>
      <c r="AM48" s="450"/>
      <c r="AN48" s="450"/>
      <c r="AO48" s="450"/>
      <c r="AP48" s="450"/>
      <c r="AQ48" s="450"/>
      <c r="AR48" s="450"/>
      <c r="AS48" s="450"/>
      <c r="AT48" s="450"/>
      <c r="AU48" s="450"/>
      <c r="AV48" s="450"/>
      <c r="AW48" s="450"/>
      <c r="AX48" s="450"/>
      <c r="AY48" s="450"/>
      <c r="AZ48" s="450"/>
      <c r="BA48" s="450"/>
      <c r="BB48" s="450"/>
      <c r="BC48" s="450"/>
      <c r="BD48" s="450"/>
      <c r="BE48" s="450"/>
      <c r="BF48" s="450"/>
      <c r="BG48" s="450"/>
      <c r="BH48" s="450"/>
      <c r="BI48" s="450"/>
      <c r="BJ48" s="450"/>
      <c r="BK48" s="450"/>
      <c r="BL48" s="450"/>
      <c r="BM48" s="450"/>
    </row>
    <row r="49" spans="1:65">
      <c r="A49" s="694" t="str">
        <f>Installations!F19</f>
        <v>102 route des Poncetys
71960 Davayé</v>
      </c>
      <c r="B49" s="642" t="str">
        <f>Installations!D19</f>
        <v>337 Vinipole</v>
      </c>
      <c r="C49" s="643"/>
      <c r="D49" s="644"/>
      <c r="E49" s="645">
        <f>IF(Installations!B19="oui",Installations!W19,0)</f>
        <v>0</v>
      </c>
      <c r="F49" s="646">
        <f>IF(Installations!B19="oui",Installations!AZ19,0)</f>
        <v>0</v>
      </c>
      <c r="G49" s="647">
        <f>IF(Installations!B19="oui",Installations!K19,0)</f>
        <v>0</v>
      </c>
      <c r="H49" s="652">
        <f t="shared" si="38"/>
        <v>0</v>
      </c>
      <c r="I49" s="635">
        <f t="shared" si="39"/>
        <v>0</v>
      </c>
      <c r="J49" s="635">
        <f t="shared" si="40"/>
        <v>0</v>
      </c>
      <c r="K49" s="635">
        <f t="shared" si="41"/>
        <v>0</v>
      </c>
      <c r="L49" s="636">
        <f t="shared" si="42"/>
        <v>0</v>
      </c>
      <c r="M49" s="636">
        <f t="shared" si="43"/>
        <v>0</v>
      </c>
      <c r="N49" s="648"/>
      <c r="O49" s="597"/>
      <c r="P49" s="691" t="str">
        <f t="shared" si="8"/>
        <v/>
      </c>
      <c r="Q49" s="450"/>
      <c r="R49" s="450" t="str">
        <f t="shared" si="44"/>
        <v/>
      </c>
      <c r="S49" s="450" t="str">
        <f t="shared" si="45"/>
        <v/>
      </c>
      <c r="T49" s="450" t="str">
        <f t="shared" si="46"/>
        <v/>
      </c>
      <c r="U49" s="450" t="str">
        <f t="shared" si="47"/>
        <v/>
      </c>
      <c r="V49" s="450" t="str">
        <f t="shared" si="48"/>
        <v/>
      </c>
      <c r="W49" s="450" t="str">
        <f t="shared" si="49"/>
        <v/>
      </c>
      <c r="X49" s="450" t="str">
        <f t="shared" si="50"/>
        <v/>
      </c>
      <c r="Y49" s="450" t="str">
        <f t="shared" si="51"/>
        <v/>
      </c>
      <c r="Z49" s="450" t="str">
        <f t="shared" si="52"/>
        <v/>
      </c>
      <c r="AA49" s="450" t="str">
        <f t="shared" si="53"/>
        <v/>
      </c>
      <c r="AB49" s="450" t="str">
        <f t="shared" si="54"/>
        <v/>
      </c>
      <c r="AC49" s="450" t="str">
        <f t="shared" si="55"/>
        <v/>
      </c>
      <c r="AD49" s="450" t="str">
        <f t="shared" si="56"/>
        <v/>
      </c>
      <c r="AE49" s="450" t="str">
        <f t="shared" si="57"/>
        <v/>
      </c>
      <c r="AF49" s="450" t="str">
        <f t="shared" si="58"/>
        <v/>
      </c>
      <c r="AG49" s="450" t="str">
        <f t="shared" si="59"/>
        <v/>
      </c>
      <c r="AH49" s="450" t="str">
        <f t="shared" si="60"/>
        <v/>
      </c>
      <c r="AI49" s="450" t="str">
        <f t="shared" si="61"/>
        <v/>
      </c>
      <c r="AJ49" s="450" t="str">
        <f t="shared" si="62"/>
        <v/>
      </c>
      <c r="AK49" s="450" t="str">
        <f t="shared" si="63"/>
        <v/>
      </c>
      <c r="AL49" s="450" t="str">
        <f t="shared" si="64"/>
        <v/>
      </c>
      <c r="AM49" s="450"/>
      <c r="AN49" s="450"/>
      <c r="AO49" s="450"/>
      <c r="AP49" s="450"/>
      <c r="AQ49" s="450"/>
      <c r="AR49" s="450"/>
      <c r="AS49" s="450"/>
      <c r="AT49" s="450"/>
      <c r="AU49" s="450"/>
      <c r="AV49" s="450"/>
      <c r="AW49" s="450"/>
      <c r="AX49" s="450"/>
      <c r="AY49" s="450"/>
      <c r="AZ49" s="450"/>
      <c r="BA49" s="450"/>
      <c r="BB49" s="450"/>
      <c r="BC49" s="450"/>
      <c r="BD49" s="450"/>
      <c r="BE49" s="450"/>
      <c r="BF49" s="450"/>
      <c r="BG49" s="450"/>
      <c r="BH49" s="450"/>
      <c r="BI49" s="450"/>
      <c r="BJ49" s="450"/>
      <c r="BK49" s="450"/>
      <c r="BL49" s="450"/>
      <c r="BM49" s="450"/>
    </row>
    <row r="50" spans="1:65">
      <c r="A50" s="694" t="str">
        <f>Installations!F20</f>
        <v>102 route des Poncetys
71960 Davayé</v>
      </c>
      <c r="B50" s="642" t="str">
        <f>Installations!D20</f>
        <v>337 Vinipole</v>
      </c>
      <c r="C50" s="643"/>
      <c r="D50" s="644"/>
      <c r="E50" s="645">
        <f>IF(Installations!B20="oui",Installations!W20,0)</f>
        <v>0</v>
      </c>
      <c r="F50" s="646">
        <f>IF(Installations!B20="oui",Installations!AZ20,0)</f>
        <v>0</v>
      </c>
      <c r="G50" s="647">
        <f>IF(Installations!B20="oui",Installations!K20,0)</f>
        <v>0</v>
      </c>
      <c r="H50" s="652">
        <f t="shared" si="38"/>
        <v>0</v>
      </c>
      <c r="I50" s="635">
        <f t="shared" si="39"/>
        <v>0</v>
      </c>
      <c r="J50" s="635">
        <f t="shared" si="40"/>
        <v>0</v>
      </c>
      <c r="K50" s="635">
        <f t="shared" si="41"/>
        <v>0</v>
      </c>
      <c r="L50" s="636">
        <f t="shared" si="42"/>
        <v>0</v>
      </c>
      <c r="M50" s="636">
        <f t="shared" si="43"/>
        <v>0</v>
      </c>
      <c r="N50" s="648"/>
      <c r="O50" s="597"/>
      <c r="P50" s="691" t="str">
        <f t="shared" si="8"/>
        <v/>
      </c>
      <c r="Q50" s="450"/>
      <c r="R50" s="450" t="str">
        <f t="shared" si="44"/>
        <v/>
      </c>
      <c r="S50" s="450" t="str">
        <f t="shared" si="45"/>
        <v/>
      </c>
      <c r="T50" s="450" t="str">
        <f t="shared" si="46"/>
        <v/>
      </c>
      <c r="U50" s="450" t="str">
        <f t="shared" si="47"/>
        <v/>
      </c>
      <c r="V50" s="450" t="str">
        <f t="shared" si="48"/>
        <v/>
      </c>
      <c r="W50" s="450" t="str">
        <f t="shared" si="49"/>
        <v/>
      </c>
      <c r="X50" s="450" t="str">
        <f t="shared" si="50"/>
        <v/>
      </c>
      <c r="Y50" s="450" t="str">
        <f t="shared" si="51"/>
        <v/>
      </c>
      <c r="Z50" s="450" t="str">
        <f t="shared" si="52"/>
        <v/>
      </c>
      <c r="AA50" s="450" t="str">
        <f t="shared" si="53"/>
        <v/>
      </c>
      <c r="AB50" s="450" t="str">
        <f t="shared" si="54"/>
        <v/>
      </c>
      <c r="AC50" s="450" t="str">
        <f t="shared" si="55"/>
        <v/>
      </c>
      <c r="AD50" s="450" t="str">
        <f t="shared" si="56"/>
        <v/>
      </c>
      <c r="AE50" s="450" t="str">
        <f t="shared" si="57"/>
        <v/>
      </c>
      <c r="AF50" s="450" t="str">
        <f t="shared" si="58"/>
        <v/>
      </c>
      <c r="AG50" s="450" t="str">
        <f t="shared" si="59"/>
        <v/>
      </c>
      <c r="AH50" s="450" t="str">
        <f t="shared" si="60"/>
        <v/>
      </c>
      <c r="AI50" s="450" t="str">
        <f t="shared" si="61"/>
        <v/>
      </c>
      <c r="AJ50" s="450" t="str">
        <f t="shared" si="62"/>
        <v/>
      </c>
      <c r="AK50" s="450" t="str">
        <f t="shared" si="63"/>
        <v/>
      </c>
      <c r="AL50" s="450" t="str">
        <f t="shared" si="64"/>
        <v/>
      </c>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450"/>
      <c r="BJ50" s="450"/>
      <c r="BK50" s="450"/>
      <c r="BL50" s="450"/>
      <c r="BM50" s="450"/>
    </row>
    <row r="51" spans="1:65">
      <c r="A51" s="694" t="str">
        <f>Installations!F21</f>
        <v>102 route des Poncetys
71960 Davayé</v>
      </c>
      <c r="B51" s="642" t="str">
        <f>Installations!D21</f>
        <v>337 Vinipole</v>
      </c>
      <c r="C51" s="643"/>
      <c r="D51" s="644"/>
      <c r="E51" s="645">
        <f>IF(Installations!B21="oui",Installations!W21,0)</f>
        <v>48241.19</v>
      </c>
      <c r="F51" s="646">
        <f>IF(Installations!B21="oui",Installations!AZ21,0)</f>
        <v>4649.5944000000009</v>
      </c>
      <c r="G51" s="647">
        <f>IF(Installations!B21="oui",Installations!K21,0)</f>
        <v>36</v>
      </c>
      <c r="H51" s="652">
        <f t="shared" si="38"/>
        <v>69.743916000000013</v>
      </c>
      <c r="I51" s="635">
        <f t="shared" si="39"/>
        <v>76.020868440000015</v>
      </c>
      <c r="J51" s="635">
        <f t="shared" si="40"/>
        <v>159.19592699999998</v>
      </c>
      <c r="K51" s="635">
        <f t="shared" si="41"/>
        <v>178.97481489999998</v>
      </c>
      <c r="L51" s="636">
        <f t="shared" si="42"/>
        <v>19.249320816000004</v>
      </c>
      <c r="M51" s="636">
        <f t="shared" si="43"/>
        <v>21.620613960000007</v>
      </c>
      <c r="N51" s="648" t="s">
        <v>214</v>
      </c>
      <c r="O51" s="597" t="s">
        <v>946</v>
      </c>
      <c r="P51" s="691">
        <v>2021</v>
      </c>
      <c r="Q51" s="450"/>
      <c r="R51" s="450">
        <f t="shared" si="44"/>
        <v>48241.19</v>
      </c>
      <c r="S51" s="450" t="str">
        <f t="shared" si="45"/>
        <v/>
      </c>
      <c r="T51" s="450" t="str">
        <f t="shared" si="46"/>
        <v/>
      </c>
      <c r="U51" s="450" t="str">
        <f t="shared" si="47"/>
        <v/>
      </c>
      <c r="V51" s="450" t="str">
        <f t="shared" si="48"/>
        <v/>
      </c>
      <c r="W51" s="450" t="str">
        <f t="shared" si="49"/>
        <v/>
      </c>
      <c r="X51" s="450" t="str">
        <f t="shared" si="50"/>
        <v/>
      </c>
      <c r="Y51" s="450" t="str">
        <f t="shared" si="51"/>
        <v/>
      </c>
      <c r="Z51" s="450" t="str">
        <f t="shared" si="52"/>
        <v/>
      </c>
      <c r="AA51" s="450" t="str">
        <f t="shared" si="53"/>
        <v/>
      </c>
      <c r="AB51" s="450" t="str">
        <f t="shared" si="54"/>
        <v/>
      </c>
      <c r="AC51" s="450" t="str">
        <f t="shared" si="55"/>
        <v/>
      </c>
      <c r="AD51" s="450" t="str">
        <f t="shared" si="56"/>
        <v/>
      </c>
      <c r="AE51" s="450" t="str">
        <f t="shared" si="57"/>
        <v/>
      </c>
      <c r="AF51" s="450" t="str">
        <f t="shared" si="58"/>
        <v/>
      </c>
      <c r="AG51" s="450" t="str">
        <f t="shared" si="59"/>
        <v/>
      </c>
      <c r="AH51" s="450" t="str">
        <f t="shared" si="60"/>
        <v/>
      </c>
      <c r="AI51" s="450" t="str">
        <f t="shared" si="61"/>
        <v/>
      </c>
      <c r="AJ51" s="450" t="str">
        <f t="shared" si="62"/>
        <v/>
      </c>
      <c r="AK51" s="450" t="str">
        <f t="shared" si="63"/>
        <v/>
      </c>
      <c r="AL51" s="450" t="str">
        <f t="shared" si="64"/>
        <v/>
      </c>
      <c r="AM51" s="450"/>
      <c r="AN51" s="450"/>
      <c r="AO51" s="450"/>
      <c r="AP51" s="450"/>
      <c r="AQ51" s="450"/>
      <c r="AR51" s="450"/>
      <c r="AS51" s="450"/>
      <c r="AT51" s="450"/>
      <c r="AU51" s="450"/>
      <c r="AV51" s="450"/>
      <c r="AW51" s="450"/>
      <c r="AX51" s="450"/>
      <c r="AY51" s="450"/>
      <c r="AZ51" s="450"/>
      <c r="BA51" s="450"/>
      <c r="BB51" s="450"/>
      <c r="BC51" s="450"/>
      <c r="BD51" s="450"/>
      <c r="BE51" s="450"/>
      <c r="BF51" s="450"/>
      <c r="BG51" s="450"/>
      <c r="BH51" s="450"/>
      <c r="BI51" s="450"/>
      <c r="BJ51" s="450"/>
      <c r="BK51" s="450"/>
      <c r="BL51" s="450"/>
      <c r="BM51" s="450"/>
    </row>
    <row r="52" spans="1:65">
      <c r="A52" s="694" t="str">
        <f>Installations!F22</f>
        <v>71960 La Roche vineuse</v>
      </c>
      <c r="B52" s="642" t="str">
        <f>Installations!D22</f>
        <v>338 Salle polyvalente</v>
      </c>
      <c r="C52" s="643"/>
      <c r="D52" s="644"/>
      <c r="E52" s="645">
        <f>IF(Installations!B22="oui",Installations!W22,0)</f>
        <v>0</v>
      </c>
      <c r="F52" s="646">
        <f>IF(Installations!B22="oui",Installations!AZ22,0)</f>
        <v>0</v>
      </c>
      <c r="G52" s="647">
        <f>IF(Installations!B22="oui",Installations!K22,0)</f>
        <v>0</v>
      </c>
      <c r="H52" s="652">
        <f t="shared" si="38"/>
        <v>0</v>
      </c>
      <c r="I52" s="635">
        <f t="shared" si="39"/>
        <v>0</v>
      </c>
      <c r="J52" s="635">
        <f t="shared" si="40"/>
        <v>0</v>
      </c>
      <c r="K52" s="635">
        <f t="shared" si="41"/>
        <v>0</v>
      </c>
      <c r="L52" s="636">
        <f t="shared" si="42"/>
        <v>0</v>
      </c>
      <c r="M52" s="636">
        <f t="shared" si="43"/>
        <v>0</v>
      </c>
      <c r="N52" s="648"/>
      <c r="O52" s="597"/>
      <c r="P52" s="691" t="str">
        <f t="shared" si="8"/>
        <v/>
      </c>
      <c r="Q52" s="450"/>
      <c r="R52" s="450" t="str">
        <f t="shared" si="44"/>
        <v/>
      </c>
      <c r="S52" s="450" t="str">
        <f t="shared" si="45"/>
        <v/>
      </c>
      <c r="T52" s="450" t="str">
        <f t="shared" si="46"/>
        <v/>
      </c>
      <c r="U52" s="450" t="str">
        <f t="shared" si="47"/>
        <v/>
      </c>
      <c r="V52" s="450" t="str">
        <f t="shared" si="48"/>
        <v/>
      </c>
      <c r="W52" s="450" t="str">
        <f t="shared" si="49"/>
        <v/>
      </c>
      <c r="X52" s="450" t="str">
        <f t="shared" si="50"/>
        <v/>
      </c>
      <c r="Y52" s="450" t="str">
        <f t="shared" si="51"/>
        <v/>
      </c>
      <c r="Z52" s="450" t="str">
        <f t="shared" si="52"/>
        <v/>
      </c>
      <c r="AA52" s="450" t="str">
        <f t="shared" si="53"/>
        <v/>
      </c>
      <c r="AB52" s="450" t="str">
        <f t="shared" si="54"/>
        <v/>
      </c>
      <c r="AC52" s="450" t="str">
        <f t="shared" si="55"/>
        <v/>
      </c>
      <c r="AD52" s="450" t="str">
        <f t="shared" si="56"/>
        <v/>
      </c>
      <c r="AE52" s="450" t="str">
        <f t="shared" si="57"/>
        <v/>
      </c>
      <c r="AF52" s="450" t="str">
        <f t="shared" si="58"/>
        <v/>
      </c>
      <c r="AG52" s="450" t="str">
        <f t="shared" si="59"/>
        <v/>
      </c>
      <c r="AH52" s="450" t="str">
        <f t="shared" si="60"/>
        <v/>
      </c>
      <c r="AI52" s="450" t="str">
        <f t="shared" si="61"/>
        <v/>
      </c>
      <c r="AJ52" s="450" t="str">
        <f t="shared" si="62"/>
        <v/>
      </c>
      <c r="AK52" s="450" t="str">
        <f t="shared" si="63"/>
        <v/>
      </c>
      <c r="AL52" s="450" t="str">
        <f t="shared" si="64"/>
        <v/>
      </c>
      <c r="AM52" s="450"/>
      <c r="AN52" s="450"/>
      <c r="AO52" s="450"/>
      <c r="AP52" s="450"/>
      <c r="AQ52" s="450"/>
      <c r="AR52" s="450"/>
      <c r="AS52" s="450"/>
      <c r="AT52" s="450"/>
      <c r="AU52" s="450"/>
      <c r="AV52" s="450"/>
      <c r="AW52" s="450"/>
      <c r="AX52" s="450"/>
      <c r="AY52" s="450"/>
      <c r="AZ52" s="450"/>
      <c r="BA52" s="450"/>
      <c r="BB52" s="450"/>
      <c r="BC52" s="450"/>
      <c r="BD52" s="450"/>
      <c r="BE52" s="450"/>
      <c r="BF52" s="450"/>
      <c r="BG52" s="450"/>
      <c r="BH52" s="450"/>
      <c r="BI52" s="450"/>
      <c r="BJ52" s="450"/>
      <c r="BK52" s="450"/>
      <c r="BL52" s="450"/>
      <c r="BM52" s="450"/>
    </row>
    <row r="53" spans="1:65" ht="24.9">
      <c r="A53" s="694" t="str">
        <f>Installations!F23</f>
        <v>71960 La Roche vineuse</v>
      </c>
      <c r="B53" s="642" t="str">
        <f>Installations!D23</f>
        <v>354 Salle d'activités et de judo</v>
      </c>
      <c r="C53" s="643"/>
      <c r="D53" s="644"/>
      <c r="E53" s="645">
        <f>IF(Installations!B23="oui",Installations!W23,0)</f>
        <v>0</v>
      </c>
      <c r="F53" s="646">
        <f>IF(Installations!B23="oui",Installations!AZ23,0)</f>
        <v>0</v>
      </c>
      <c r="G53" s="647">
        <f>IF(Installations!B23="oui",Installations!K23,0)</f>
        <v>0</v>
      </c>
      <c r="H53" s="652">
        <f t="shared" si="38"/>
        <v>0</v>
      </c>
      <c r="I53" s="635">
        <f t="shared" si="39"/>
        <v>0</v>
      </c>
      <c r="J53" s="635">
        <f t="shared" si="40"/>
        <v>0</v>
      </c>
      <c r="K53" s="635">
        <f t="shared" si="41"/>
        <v>0</v>
      </c>
      <c r="L53" s="636">
        <f t="shared" si="42"/>
        <v>0</v>
      </c>
      <c r="M53" s="636">
        <f t="shared" si="43"/>
        <v>0</v>
      </c>
      <c r="N53" s="648"/>
      <c r="O53" s="597"/>
      <c r="P53" s="691" t="str">
        <f t="shared" si="8"/>
        <v/>
      </c>
      <c r="Q53" s="450"/>
      <c r="R53" s="450" t="str">
        <f t="shared" si="44"/>
        <v/>
      </c>
      <c r="S53" s="450" t="str">
        <f t="shared" si="45"/>
        <v/>
      </c>
      <c r="T53" s="450" t="str">
        <f t="shared" si="46"/>
        <v/>
      </c>
      <c r="U53" s="450" t="str">
        <f t="shared" si="47"/>
        <v/>
      </c>
      <c r="V53" s="450" t="str">
        <f t="shared" si="48"/>
        <v/>
      </c>
      <c r="W53" s="450" t="str">
        <f t="shared" si="49"/>
        <v/>
      </c>
      <c r="X53" s="450" t="str">
        <f t="shared" si="50"/>
        <v/>
      </c>
      <c r="Y53" s="450" t="str">
        <f t="shared" si="51"/>
        <v/>
      </c>
      <c r="Z53" s="450" t="str">
        <f t="shared" si="52"/>
        <v/>
      </c>
      <c r="AA53" s="450" t="str">
        <f t="shared" si="53"/>
        <v/>
      </c>
      <c r="AB53" s="450" t="str">
        <f t="shared" si="54"/>
        <v/>
      </c>
      <c r="AC53" s="450" t="str">
        <f t="shared" si="55"/>
        <v/>
      </c>
      <c r="AD53" s="450" t="str">
        <f t="shared" si="56"/>
        <v/>
      </c>
      <c r="AE53" s="450" t="str">
        <f t="shared" si="57"/>
        <v/>
      </c>
      <c r="AF53" s="450" t="str">
        <f t="shared" si="58"/>
        <v/>
      </c>
      <c r="AG53" s="450" t="str">
        <f t="shared" si="59"/>
        <v/>
      </c>
      <c r="AH53" s="450" t="str">
        <f t="shared" si="60"/>
        <v/>
      </c>
      <c r="AI53" s="450" t="str">
        <f t="shared" si="61"/>
        <v/>
      </c>
      <c r="AJ53" s="450" t="str">
        <f t="shared" si="62"/>
        <v/>
      </c>
      <c r="AK53" s="450" t="str">
        <f t="shared" si="63"/>
        <v/>
      </c>
      <c r="AL53" s="450" t="str">
        <f t="shared" si="64"/>
        <v/>
      </c>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450"/>
      <c r="BJ53" s="450"/>
      <c r="BK53" s="450"/>
      <c r="BL53" s="450"/>
      <c r="BM53" s="450"/>
    </row>
    <row r="54" spans="1:65" ht="24.9">
      <c r="A54" s="694" t="str">
        <f>Installations!F24</f>
        <v>71960 La Roche vineuse</v>
      </c>
      <c r="B54" s="642" t="str">
        <f>Installations!D24</f>
        <v>354 Salle d'activités et de judo</v>
      </c>
      <c r="C54" s="643"/>
      <c r="D54" s="644"/>
      <c r="E54" s="645">
        <f>IF(Installations!B24="oui",Installations!W24,0)</f>
        <v>0</v>
      </c>
      <c r="F54" s="646">
        <f>IF(Installations!B24="oui",Installations!AZ24,0)</f>
        <v>0</v>
      </c>
      <c r="G54" s="647">
        <f>IF(Installations!B24="oui",Installations!K24,0)</f>
        <v>0</v>
      </c>
      <c r="H54" s="652">
        <f t="shared" si="38"/>
        <v>0</v>
      </c>
      <c r="I54" s="635">
        <f t="shared" si="39"/>
        <v>0</v>
      </c>
      <c r="J54" s="635">
        <f t="shared" si="40"/>
        <v>0</v>
      </c>
      <c r="K54" s="635">
        <f t="shared" si="41"/>
        <v>0</v>
      </c>
      <c r="L54" s="636">
        <f t="shared" si="42"/>
        <v>0</v>
      </c>
      <c r="M54" s="636">
        <f t="shared" si="43"/>
        <v>0</v>
      </c>
      <c r="N54" s="648"/>
      <c r="O54" s="597"/>
      <c r="P54" s="691" t="str">
        <f t="shared" si="8"/>
        <v/>
      </c>
      <c r="Q54" s="450"/>
      <c r="R54" s="450" t="str">
        <f t="shared" si="44"/>
        <v/>
      </c>
      <c r="S54" s="450" t="str">
        <f t="shared" si="45"/>
        <v/>
      </c>
      <c r="T54" s="450" t="str">
        <f t="shared" si="46"/>
        <v/>
      </c>
      <c r="U54" s="450" t="str">
        <f t="shared" si="47"/>
        <v/>
      </c>
      <c r="V54" s="450" t="str">
        <f t="shared" si="48"/>
        <v/>
      </c>
      <c r="W54" s="450" t="str">
        <f t="shared" si="49"/>
        <v/>
      </c>
      <c r="X54" s="450" t="str">
        <f t="shared" si="50"/>
        <v/>
      </c>
      <c r="Y54" s="450" t="str">
        <f t="shared" si="51"/>
        <v/>
      </c>
      <c r="Z54" s="450" t="str">
        <f t="shared" si="52"/>
        <v/>
      </c>
      <c r="AA54" s="450" t="str">
        <f t="shared" si="53"/>
        <v/>
      </c>
      <c r="AB54" s="450" t="str">
        <f t="shared" si="54"/>
        <v/>
      </c>
      <c r="AC54" s="450" t="str">
        <f t="shared" si="55"/>
        <v/>
      </c>
      <c r="AD54" s="450" t="str">
        <f t="shared" si="56"/>
        <v/>
      </c>
      <c r="AE54" s="450" t="str">
        <f t="shared" si="57"/>
        <v/>
      </c>
      <c r="AF54" s="450" t="str">
        <f t="shared" si="58"/>
        <v/>
      </c>
      <c r="AG54" s="450" t="str">
        <f t="shared" si="59"/>
        <v/>
      </c>
      <c r="AH54" s="450" t="str">
        <f t="shared" si="60"/>
        <v/>
      </c>
      <c r="AI54" s="450" t="str">
        <f t="shared" si="61"/>
        <v/>
      </c>
      <c r="AJ54" s="450" t="str">
        <f t="shared" si="62"/>
        <v/>
      </c>
      <c r="AK54" s="450" t="str">
        <f t="shared" si="63"/>
        <v/>
      </c>
      <c r="AL54" s="450" t="str">
        <f t="shared" si="64"/>
        <v/>
      </c>
      <c r="AM54" s="450"/>
      <c r="AN54" s="450"/>
      <c r="AO54" s="450"/>
      <c r="AP54" s="450"/>
      <c r="AQ54" s="450"/>
      <c r="AR54" s="450"/>
      <c r="AS54" s="450"/>
      <c r="AT54" s="450"/>
      <c r="AU54" s="450"/>
      <c r="AV54" s="450"/>
      <c r="AW54" s="450"/>
      <c r="AX54" s="450"/>
      <c r="AY54" s="450"/>
      <c r="AZ54" s="450"/>
      <c r="BA54" s="450"/>
      <c r="BB54" s="450"/>
      <c r="BC54" s="450"/>
      <c r="BD54" s="450"/>
      <c r="BE54" s="450"/>
      <c r="BF54" s="450"/>
      <c r="BG54" s="450"/>
      <c r="BH54" s="450"/>
      <c r="BI54" s="450"/>
      <c r="BJ54" s="450"/>
      <c r="BK54" s="450"/>
      <c r="BL54" s="450"/>
      <c r="BM54" s="450"/>
    </row>
    <row r="55" spans="1:65" ht="24.9">
      <c r="A55" s="694" t="str">
        <f>Installations!F25</f>
        <v>71960 La Roche vineuse</v>
      </c>
      <c r="B55" s="642" t="str">
        <f>Installations!D25</f>
        <v>356 Services techniques communaux : partie Ouest</v>
      </c>
      <c r="C55" s="643"/>
      <c r="D55" s="644"/>
      <c r="E55" s="645">
        <f>IF(Installations!B25="oui",Installations!W25,0)</f>
        <v>0</v>
      </c>
      <c r="F55" s="646">
        <f>IF(Installations!B25="oui",Installations!AZ25,0)</f>
        <v>0</v>
      </c>
      <c r="G55" s="647">
        <f>IF(Installations!B25="oui",Installations!K25,0)</f>
        <v>0</v>
      </c>
      <c r="H55" s="652">
        <f t="shared" si="38"/>
        <v>0</v>
      </c>
      <c r="I55" s="635">
        <f t="shared" si="39"/>
        <v>0</v>
      </c>
      <c r="J55" s="635">
        <f t="shared" si="40"/>
        <v>0</v>
      </c>
      <c r="K55" s="635">
        <f t="shared" si="41"/>
        <v>0</v>
      </c>
      <c r="L55" s="636">
        <f t="shared" si="42"/>
        <v>0</v>
      </c>
      <c r="M55" s="636">
        <f t="shared" si="43"/>
        <v>0</v>
      </c>
      <c r="N55" s="648"/>
      <c r="O55" s="597"/>
      <c r="P55" s="691" t="str">
        <f t="shared" si="8"/>
        <v/>
      </c>
      <c r="Q55" s="450"/>
      <c r="R55" s="450" t="str">
        <f t="shared" si="44"/>
        <v/>
      </c>
      <c r="S55" s="450" t="str">
        <f t="shared" si="45"/>
        <v/>
      </c>
      <c r="T55" s="450" t="str">
        <f t="shared" si="46"/>
        <v/>
      </c>
      <c r="U55" s="450" t="str">
        <f t="shared" si="47"/>
        <v/>
      </c>
      <c r="V55" s="450" t="str">
        <f t="shared" si="48"/>
        <v/>
      </c>
      <c r="W55" s="450" t="str">
        <f t="shared" si="49"/>
        <v/>
      </c>
      <c r="X55" s="450" t="str">
        <f t="shared" si="50"/>
        <v/>
      </c>
      <c r="Y55" s="450" t="str">
        <f t="shared" si="51"/>
        <v/>
      </c>
      <c r="Z55" s="450" t="str">
        <f t="shared" si="52"/>
        <v/>
      </c>
      <c r="AA55" s="450" t="str">
        <f t="shared" si="53"/>
        <v/>
      </c>
      <c r="AB55" s="450" t="str">
        <f t="shared" si="54"/>
        <v/>
      </c>
      <c r="AC55" s="450" t="str">
        <f t="shared" si="55"/>
        <v/>
      </c>
      <c r="AD55" s="450" t="str">
        <f t="shared" si="56"/>
        <v/>
      </c>
      <c r="AE55" s="450" t="str">
        <f t="shared" si="57"/>
        <v/>
      </c>
      <c r="AF55" s="450" t="str">
        <f t="shared" si="58"/>
        <v/>
      </c>
      <c r="AG55" s="450" t="str">
        <f t="shared" si="59"/>
        <v/>
      </c>
      <c r="AH55" s="450" t="str">
        <f t="shared" si="60"/>
        <v/>
      </c>
      <c r="AI55" s="450" t="str">
        <f t="shared" si="61"/>
        <v/>
      </c>
      <c r="AJ55" s="450" t="str">
        <f t="shared" si="62"/>
        <v/>
      </c>
      <c r="AK55" s="450" t="str">
        <f t="shared" si="63"/>
        <v/>
      </c>
      <c r="AL55" s="450" t="str">
        <f t="shared" si="64"/>
        <v/>
      </c>
      <c r="AM55" s="450"/>
      <c r="AN55" s="450"/>
      <c r="AO55" s="450"/>
      <c r="AP55" s="450"/>
      <c r="AQ55" s="450"/>
      <c r="AR55" s="450"/>
      <c r="AS55" s="450"/>
      <c r="AT55" s="450"/>
      <c r="AU55" s="450"/>
      <c r="AV55" s="450"/>
      <c r="AW55" s="450"/>
      <c r="AX55" s="450"/>
      <c r="AY55" s="450"/>
      <c r="AZ55" s="450"/>
      <c r="BA55" s="450"/>
      <c r="BB55" s="450"/>
      <c r="BC55" s="450"/>
      <c r="BD55" s="450"/>
      <c r="BE55" s="450"/>
      <c r="BF55" s="450"/>
      <c r="BG55" s="450"/>
      <c r="BH55" s="450"/>
      <c r="BI55" s="450"/>
      <c r="BJ55" s="450"/>
      <c r="BK55" s="450"/>
      <c r="BL55" s="450"/>
      <c r="BM55" s="450"/>
    </row>
    <row r="56" spans="1:65">
      <c r="A56" s="694" t="str">
        <f>Installations!F26</f>
        <v>71960 La Roche vineuse</v>
      </c>
      <c r="B56" s="642" t="str">
        <f>Installations!D26</f>
        <v>360 Maison du gardien</v>
      </c>
      <c r="C56" s="643"/>
      <c r="D56" s="644"/>
      <c r="E56" s="645">
        <f>IF(Installations!B26="oui",Installations!W26,0)</f>
        <v>0</v>
      </c>
      <c r="F56" s="646">
        <f>IF(Installations!B26="oui",Installations!AZ26,0)</f>
        <v>0</v>
      </c>
      <c r="G56" s="647">
        <f>IF(Installations!B26="oui",Installations!K26,0)</f>
        <v>0</v>
      </c>
      <c r="H56" s="652">
        <f t="shared" si="38"/>
        <v>0</v>
      </c>
      <c r="I56" s="635">
        <f t="shared" si="39"/>
        <v>0</v>
      </c>
      <c r="J56" s="635">
        <f t="shared" si="40"/>
        <v>0</v>
      </c>
      <c r="K56" s="635">
        <f t="shared" si="41"/>
        <v>0</v>
      </c>
      <c r="L56" s="636">
        <f t="shared" si="42"/>
        <v>0</v>
      </c>
      <c r="M56" s="636">
        <f t="shared" si="43"/>
        <v>0</v>
      </c>
      <c r="N56" s="648"/>
      <c r="O56" s="597"/>
      <c r="P56" s="691" t="str">
        <f t="shared" si="8"/>
        <v/>
      </c>
      <c r="Q56" s="450"/>
      <c r="R56" s="450" t="str">
        <f t="shared" si="44"/>
        <v/>
      </c>
      <c r="S56" s="450" t="str">
        <f t="shared" si="45"/>
        <v/>
      </c>
      <c r="T56" s="450" t="str">
        <f t="shared" si="46"/>
        <v/>
      </c>
      <c r="U56" s="450" t="str">
        <f t="shared" si="47"/>
        <v/>
      </c>
      <c r="V56" s="450" t="str">
        <f t="shared" si="48"/>
        <v/>
      </c>
      <c r="W56" s="450" t="str">
        <f t="shared" si="49"/>
        <v/>
      </c>
      <c r="X56" s="450" t="str">
        <f t="shared" si="50"/>
        <v/>
      </c>
      <c r="Y56" s="450" t="str">
        <f t="shared" si="51"/>
        <v/>
      </c>
      <c r="Z56" s="450" t="str">
        <f t="shared" si="52"/>
        <v/>
      </c>
      <c r="AA56" s="450" t="str">
        <f t="shared" si="53"/>
        <v/>
      </c>
      <c r="AB56" s="450" t="str">
        <f t="shared" si="54"/>
        <v/>
      </c>
      <c r="AC56" s="450" t="str">
        <f t="shared" si="55"/>
        <v/>
      </c>
      <c r="AD56" s="450" t="str">
        <f t="shared" si="56"/>
        <v/>
      </c>
      <c r="AE56" s="450" t="str">
        <f t="shared" si="57"/>
        <v/>
      </c>
      <c r="AF56" s="450" t="str">
        <f t="shared" si="58"/>
        <v/>
      </c>
      <c r="AG56" s="450" t="str">
        <f t="shared" si="59"/>
        <v/>
      </c>
      <c r="AH56" s="450" t="str">
        <f t="shared" si="60"/>
        <v/>
      </c>
      <c r="AI56" s="450" t="str">
        <f t="shared" si="61"/>
        <v/>
      </c>
      <c r="AJ56" s="450" t="str">
        <f t="shared" si="62"/>
        <v/>
      </c>
      <c r="AK56" s="450" t="str">
        <f t="shared" si="63"/>
        <v/>
      </c>
      <c r="AL56" s="450" t="str">
        <f t="shared" si="64"/>
        <v/>
      </c>
      <c r="AM56" s="450"/>
      <c r="AN56" s="450"/>
      <c r="AO56" s="450"/>
      <c r="AP56" s="450"/>
      <c r="AQ56" s="450"/>
      <c r="AR56" s="450"/>
      <c r="AS56" s="450"/>
      <c r="AT56" s="450"/>
      <c r="AU56" s="450"/>
      <c r="AV56" s="450"/>
      <c r="AW56" s="450"/>
      <c r="AX56" s="450"/>
      <c r="AY56" s="450"/>
      <c r="AZ56" s="450"/>
      <c r="BA56" s="450"/>
      <c r="BB56" s="450"/>
      <c r="BC56" s="450"/>
      <c r="BD56" s="450"/>
      <c r="BE56" s="450"/>
      <c r="BF56" s="450"/>
      <c r="BG56" s="450"/>
      <c r="BH56" s="450"/>
      <c r="BI56" s="450"/>
      <c r="BJ56" s="450"/>
      <c r="BK56" s="450"/>
      <c r="BL56" s="450"/>
      <c r="BM56" s="450"/>
    </row>
    <row r="57" spans="1:65" ht="24.9">
      <c r="A57" s="694" t="str">
        <f>Installations!F27</f>
        <v>180 route de Juliénas
71570 Chaintré</v>
      </c>
      <c r="B57" s="642" t="str">
        <f>Installations!D27</f>
        <v xml:space="preserve">387 Cave Grands Vins Julienas Chaintre </v>
      </c>
      <c r="C57" s="643"/>
      <c r="D57" s="644"/>
      <c r="E57" s="645">
        <f>IF(Installations!B27="oui",Installations!W27,0)</f>
        <v>0</v>
      </c>
      <c r="F57" s="646">
        <f>IF(Installations!B27="oui",Installations!AZ27,0)</f>
        <v>0</v>
      </c>
      <c r="G57" s="647">
        <f>IF(Installations!B27="oui",Installations!K27,0)</f>
        <v>0</v>
      </c>
      <c r="H57" s="652">
        <f t="shared" si="38"/>
        <v>0</v>
      </c>
      <c r="I57" s="635">
        <f t="shared" si="39"/>
        <v>0</v>
      </c>
      <c r="J57" s="635">
        <f t="shared" si="40"/>
        <v>0</v>
      </c>
      <c r="K57" s="635">
        <f t="shared" si="41"/>
        <v>0</v>
      </c>
      <c r="L57" s="636">
        <f t="shared" si="42"/>
        <v>0</v>
      </c>
      <c r="M57" s="636">
        <f t="shared" si="43"/>
        <v>0</v>
      </c>
      <c r="N57" s="648"/>
      <c r="O57" s="597"/>
      <c r="P57" s="691" t="str">
        <f t="shared" si="8"/>
        <v/>
      </c>
      <c r="Q57" s="450"/>
      <c r="R57" s="450" t="str">
        <f t="shared" si="44"/>
        <v/>
      </c>
      <c r="S57" s="450" t="str">
        <f t="shared" si="45"/>
        <v/>
      </c>
      <c r="T57" s="450" t="str">
        <f t="shared" si="46"/>
        <v/>
      </c>
      <c r="U57" s="450" t="str">
        <f t="shared" si="47"/>
        <v/>
      </c>
      <c r="V57" s="450" t="str">
        <f t="shared" si="48"/>
        <v/>
      </c>
      <c r="W57" s="450" t="str">
        <f t="shared" si="49"/>
        <v/>
      </c>
      <c r="X57" s="450" t="str">
        <f t="shared" si="50"/>
        <v/>
      </c>
      <c r="Y57" s="450" t="str">
        <f t="shared" si="51"/>
        <v/>
      </c>
      <c r="Z57" s="450" t="str">
        <f t="shared" si="52"/>
        <v/>
      </c>
      <c r="AA57" s="450" t="str">
        <f t="shared" si="53"/>
        <v/>
      </c>
      <c r="AB57" s="450" t="str">
        <f t="shared" si="54"/>
        <v/>
      </c>
      <c r="AC57" s="450" t="str">
        <f t="shared" si="55"/>
        <v/>
      </c>
      <c r="AD57" s="450" t="str">
        <f t="shared" si="56"/>
        <v/>
      </c>
      <c r="AE57" s="450" t="str">
        <f t="shared" si="57"/>
        <v/>
      </c>
      <c r="AF57" s="450" t="str">
        <f t="shared" si="58"/>
        <v/>
      </c>
      <c r="AG57" s="450" t="str">
        <f t="shared" si="59"/>
        <v/>
      </c>
      <c r="AH57" s="450" t="str">
        <f t="shared" si="60"/>
        <v/>
      </c>
      <c r="AI57" s="450" t="str">
        <f t="shared" si="61"/>
        <v/>
      </c>
      <c r="AJ57" s="450" t="str">
        <f t="shared" si="62"/>
        <v/>
      </c>
      <c r="AK57" s="450" t="str">
        <f t="shared" si="63"/>
        <v/>
      </c>
      <c r="AL57" s="450" t="str">
        <f t="shared" si="64"/>
        <v/>
      </c>
      <c r="AM57" s="450"/>
      <c r="AN57" s="450"/>
      <c r="AO57" s="450"/>
      <c r="AP57" s="450"/>
      <c r="AQ57" s="450"/>
      <c r="AR57" s="450"/>
      <c r="AS57" s="450"/>
      <c r="AT57" s="450"/>
      <c r="AU57" s="450"/>
      <c r="AV57" s="450"/>
      <c r="AW57" s="450"/>
      <c r="AX57" s="450"/>
      <c r="AY57" s="450"/>
      <c r="AZ57" s="450"/>
      <c r="BA57" s="450"/>
      <c r="BB57" s="450"/>
      <c r="BC57" s="450"/>
      <c r="BD57" s="450"/>
      <c r="BE57" s="450"/>
      <c r="BF57" s="450"/>
      <c r="BG57" s="450"/>
      <c r="BH57" s="450"/>
      <c r="BI57" s="450"/>
      <c r="BJ57" s="450"/>
      <c r="BK57" s="450"/>
      <c r="BL57" s="450"/>
      <c r="BM57" s="450"/>
    </row>
    <row r="58" spans="1:65">
      <c r="A58" s="694" t="str">
        <f>Installations!F28</f>
        <v>189 chemin des Frozieres
71850 Charnay-lès-Mâcon</v>
      </c>
      <c r="B58" s="642" t="str">
        <f>Installations!D28</f>
        <v>400 Teixera</v>
      </c>
      <c r="C58" s="643"/>
      <c r="D58" s="644"/>
      <c r="E58" s="645">
        <f>IF(Installations!B28="oui",Installations!W28,0)</f>
        <v>0</v>
      </c>
      <c r="F58" s="646">
        <f>IF(Installations!B28="oui",Installations!AZ28,0)</f>
        <v>0</v>
      </c>
      <c r="G58" s="647">
        <f>IF(Installations!B28="oui",Installations!K28,0)</f>
        <v>0</v>
      </c>
      <c r="H58" s="652">
        <f t="shared" si="38"/>
        <v>0</v>
      </c>
      <c r="I58" s="635">
        <f t="shared" si="39"/>
        <v>0</v>
      </c>
      <c r="J58" s="635">
        <f t="shared" si="40"/>
        <v>0</v>
      </c>
      <c r="K58" s="635">
        <f t="shared" si="41"/>
        <v>0</v>
      </c>
      <c r="L58" s="636">
        <f t="shared" si="42"/>
        <v>0</v>
      </c>
      <c r="M58" s="636">
        <f t="shared" si="43"/>
        <v>0</v>
      </c>
      <c r="N58" s="648"/>
      <c r="O58" s="597"/>
      <c r="P58" s="691" t="str">
        <f t="shared" si="8"/>
        <v/>
      </c>
      <c r="Q58" s="450"/>
      <c r="R58" s="450" t="str">
        <f t="shared" si="44"/>
        <v/>
      </c>
      <c r="S58" s="450" t="str">
        <f t="shared" si="45"/>
        <v/>
      </c>
      <c r="T58" s="450" t="str">
        <f t="shared" si="46"/>
        <v/>
      </c>
      <c r="U58" s="450" t="str">
        <f t="shared" si="47"/>
        <v/>
      </c>
      <c r="V58" s="450" t="str">
        <f t="shared" si="48"/>
        <v/>
      </c>
      <c r="W58" s="450" t="str">
        <f t="shared" si="49"/>
        <v/>
      </c>
      <c r="X58" s="450" t="str">
        <f t="shared" si="50"/>
        <v/>
      </c>
      <c r="Y58" s="450" t="str">
        <f t="shared" si="51"/>
        <v/>
      </c>
      <c r="Z58" s="450" t="str">
        <f t="shared" si="52"/>
        <v/>
      </c>
      <c r="AA58" s="450" t="str">
        <f t="shared" si="53"/>
        <v/>
      </c>
      <c r="AB58" s="450" t="str">
        <f t="shared" si="54"/>
        <v/>
      </c>
      <c r="AC58" s="450" t="str">
        <f t="shared" si="55"/>
        <v/>
      </c>
      <c r="AD58" s="450" t="str">
        <f t="shared" si="56"/>
        <v/>
      </c>
      <c r="AE58" s="450" t="str">
        <f t="shared" si="57"/>
        <v/>
      </c>
      <c r="AF58" s="450" t="str">
        <f t="shared" si="58"/>
        <v/>
      </c>
      <c r="AG58" s="450" t="str">
        <f t="shared" si="59"/>
        <v/>
      </c>
      <c r="AH58" s="450" t="str">
        <f t="shared" si="60"/>
        <v/>
      </c>
      <c r="AI58" s="450" t="str">
        <f t="shared" si="61"/>
        <v/>
      </c>
      <c r="AJ58" s="450" t="str">
        <f t="shared" si="62"/>
        <v/>
      </c>
      <c r="AK58" s="450" t="str">
        <f t="shared" si="63"/>
        <v/>
      </c>
      <c r="AL58" s="450" t="str">
        <f t="shared" si="64"/>
        <v/>
      </c>
      <c r="AM58" s="450"/>
      <c r="AN58" s="450"/>
      <c r="AO58" s="450"/>
      <c r="AP58" s="450"/>
      <c r="AQ58" s="450"/>
      <c r="AR58" s="450"/>
      <c r="AS58" s="450"/>
      <c r="AT58" s="450"/>
      <c r="AU58" s="450"/>
      <c r="AV58" s="450"/>
      <c r="AW58" s="450"/>
      <c r="AX58" s="450"/>
      <c r="AY58" s="450"/>
      <c r="AZ58" s="450"/>
      <c r="BA58" s="450"/>
      <c r="BB58" s="450"/>
      <c r="BC58" s="450"/>
      <c r="BD58" s="450"/>
      <c r="BE58" s="450"/>
      <c r="BF58" s="450"/>
      <c r="BG58" s="450"/>
      <c r="BH58" s="450"/>
      <c r="BI58" s="450"/>
      <c r="BJ58" s="450"/>
      <c r="BK58" s="450"/>
      <c r="BL58" s="450"/>
      <c r="BM58" s="450"/>
    </row>
    <row r="59" spans="1:65" ht="24.9">
      <c r="A59" s="694" t="str">
        <f>Installations!F29</f>
        <v>4 rue du 19 mars 1962
71000 Sancé</v>
      </c>
      <c r="B59" s="642" t="str">
        <f>Installations!D29</f>
        <v>436 ESPACE ET FONCTION</v>
      </c>
      <c r="C59" s="643"/>
      <c r="D59" s="644"/>
      <c r="E59" s="645">
        <f>IF(Installations!B29="oui",Installations!W29,0)</f>
        <v>0</v>
      </c>
      <c r="F59" s="646">
        <f>IF(Installations!B29="oui",Installations!AZ29,0)</f>
        <v>0</v>
      </c>
      <c r="G59" s="647">
        <f>IF(Installations!B29="oui",Installations!K29,0)</f>
        <v>0</v>
      </c>
      <c r="H59" s="652">
        <f t="shared" si="38"/>
        <v>0</v>
      </c>
      <c r="I59" s="635">
        <f t="shared" si="39"/>
        <v>0</v>
      </c>
      <c r="J59" s="635">
        <f t="shared" si="40"/>
        <v>0</v>
      </c>
      <c r="K59" s="635">
        <f t="shared" si="41"/>
        <v>0</v>
      </c>
      <c r="L59" s="636">
        <f t="shared" si="42"/>
        <v>0</v>
      </c>
      <c r="M59" s="636">
        <f t="shared" si="43"/>
        <v>0</v>
      </c>
      <c r="N59" s="648"/>
      <c r="O59" s="597"/>
      <c r="P59" s="691" t="str">
        <f t="shared" si="8"/>
        <v/>
      </c>
      <c r="Q59" s="450"/>
      <c r="R59" s="450" t="str">
        <f t="shared" si="44"/>
        <v/>
      </c>
      <c r="S59" s="450" t="str">
        <f t="shared" si="45"/>
        <v/>
      </c>
      <c r="T59" s="450" t="str">
        <f t="shared" si="46"/>
        <v/>
      </c>
      <c r="U59" s="450" t="str">
        <f t="shared" si="47"/>
        <v/>
      </c>
      <c r="V59" s="450" t="str">
        <f t="shared" si="48"/>
        <v/>
      </c>
      <c r="W59" s="450" t="str">
        <f t="shared" si="49"/>
        <v/>
      </c>
      <c r="X59" s="450" t="str">
        <f t="shared" si="50"/>
        <v/>
      </c>
      <c r="Y59" s="450" t="str">
        <f t="shared" si="51"/>
        <v/>
      </c>
      <c r="Z59" s="450" t="str">
        <f t="shared" si="52"/>
        <v/>
      </c>
      <c r="AA59" s="450" t="str">
        <f t="shared" si="53"/>
        <v/>
      </c>
      <c r="AB59" s="450" t="str">
        <f t="shared" si="54"/>
        <v/>
      </c>
      <c r="AC59" s="450" t="str">
        <f t="shared" si="55"/>
        <v/>
      </c>
      <c r="AD59" s="450" t="str">
        <f t="shared" si="56"/>
        <v/>
      </c>
      <c r="AE59" s="450" t="str">
        <f t="shared" si="57"/>
        <v/>
      </c>
      <c r="AF59" s="450" t="str">
        <f t="shared" si="58"/>
        <v/>
      </c>
      <c r="AG59" s="450" t="str">
        <f t="shared" si="59"/>
        <v/>
      </c>
      <c r="AH59" s="450" t="str">
        <f t="shared" si="60"/>
        <v/>
      </c>
      <c r="AI59" s="450" t="str">
        <f t="shared" si="61"/>
        <v/>
      </c>
      <c r="AJ59" s="450" t="str">
        <f t="shared" si="62"/>
        <v/>
      </c>
      <c r="AK59" s="450" t="str">
        <f t="shared" si="63"/>
        <v/>
      </c>
      <c r="AL59" s="450" t="str">
        <f t="shared" si="64"/>
        <v/>
      </c>
      <c r="AM59" s="450"/>
      <c r="AN59" s="450"/>
      <c r="AO59" s="450"/>
      <c r="AP59" s="450"/>
      <c r="AQ59" s="450"/>
      <c r="AR59" s="450"/>
      <c r="AS59" s="450"/>
      <c r="AT59" s="450"/>
      <c r="AU59" s="450"/>
      <c r="AV59" s="450"/>
      <c r="AW59" s="450"/>
      <c r="AX59" s="450"/>
      <c r="AY59" s="450"/>
      <c r="AZ59" s="450"/>
      <c r="BA59" s="450"/>
      <c r="BB59" s="450"/>
      <c r="BC59" s="450"/>
      <c r="BD59" s="450"/>
      <c r="BE59" s="450"/>
      <c r="BF59" s="450"/>
      <c r="BG59" s="450"/>
      <c r="BH59" s="450"/>
      <c r="BI59" s="450"/>
      <c r="BJ59" s="450"/>
      <c r="BK59" s="450"/>
      <c r="BL59" s="450"/>
      <c r="BM59" s="450"/>
    </row>
    <row r="60" spans="1:65">
      <c r="A60" s="694" t="str">
        <f>Installations!F30</f>
        <v>01750 Replonges</v>
      </c>
      <c r="B60" s="642" t="str">
        <f>Installations!D30</f>
        <v>446 Ateliers municipaux</v>
      </c>
      <c r="C60" s="643"/>
      <c r="D60" s="644"/>
      <c r="E60" s="645">
        <f>IF(Installations!B30="oui",Installations!W30,0)</f>
        <v>0</v>
      </c>
      <c r="F60" s="646">
        <f>IF(Installations!B30="oui",Installations!AZ30,0)</f>
        <v>0</v>
      </c>
      <c r="G60" s="647">
        <f>IF(Installations!B30="oui",Installations!K30,0)</f>
        <v>0</v>
      </c>
      <c r="H60" s="652">
        <f t="shared" si="38"/>
        <v>0</v>
      </c>
      <c r="I60" s="635">
        <f t="shared" si="39"/>
        <v>0</v>
      </c>
      <c r="J60" s="635">
        <f t="shared" si="40"/>
        <v>0</v>
      </c>
      <c r="K60" s="635">
        <f t="shared" si="41"/>
        <v>0</v>
      </c>
      <c r="L60" s="636">
        <f t="shared" si="42"/>
        <v>0</v>
      </c>
      <c r="M60" s="636">
        <f t="shared" si="43"/>
        <v>0</v>
      </c>
      <c r="N60" s="648"/>
      <c r="O60" s="597"/>
      <c r="P60" s="691" t="str">
        <f t="shared" si="8"/>
        <v/>
      </c>
      <c r="Q60" s="450"/>
      <c r="R60" s="450" t="str">
        <f t="shared" si="44"/>
        <v/>
      </c>
      <c r="S60" s="450" t="str">
        <f t="shared" si="45"/>
        <v/>
      </c>
      <c r="T60" s="450" t="str">
        <f t="shared" si="46"/>
        <v/>
      </c>
      <c r="U60" s="450" t="str">
        <f t="shared" si="47"/>
        <v/>
      </c>
      <c r="V60" s="450" t="str">
        <f t="shared" si="48"/>
        <v/>
      </c>
      <c r="W60" s="450" t="str">
        <f t="shared" si="49"/>
        <v/>
      </c>
      <c r="X60" s="450" t="str">
        <f t="shared" si="50"/>
        <v/>
      </c>
      <c r="Y60" s="450" t="str">
        <f t="shared" si="51"/>
        <v/>
      </c>
      <c r="Z60" s="450" t="str">
        <f t="shared" si="52"/>
        <v/>
      </c>
      <c r="AA60" s="450" t="str">
        <f t="shared" si="53"/>
        <v/>
      </c>
      <c r="AB60" s="450" t="str">
        <f t="shared" si="54"/>
        <v/>
      </c>
      <c r="AC60" s="450" t="str">
        <f t="shared" si="55"/>
        <v/>
      </c>
      <c r="AD60" s="450" t="str">
        <f t="shared" si="56"/>
        <v/>
      </c>
      <c r="AE60" s="450" t="str">
        <f t="shared" si="57"/>
        <v/>
      </c>
      <c r="AF60" s="450" t="str">
        <f t="shared" si="58"/>
        <v/>
      </c>
      <c r="AG60" s="450" t="str">
        <f t="shared" si="59"/>
        <v/>
      </c>
      <c r="AH60" s="450" t="str">
        <f t="shared" si="60"/>
        <v/>
      </c>
      <c r="AI60" s="450" t="str">
        <f t="shared" si="61"/>
        <v/>
      </c>
      <c r="AJ60" s="450" t="str">
        <f t="shared" si="62"/>
        <v/>
      </c>
      <c r="AK60" s="450" t="str">
        <f t="shared" si="63"/>
        <v/>
      </c>
      <c r="AL60" s="450" t="str">
        <f t="shared" si="64"/>
        <v/>
      </c>
      <c r="AM60" s="450"/>
      <c r="AN60" s="450"/>
      <c r="AO60" s="450"/>
      <c r="AP60" s="450"/>
      <c r="AQ60" s="450"/>
      <c r="AR60" s="450"/>
      <c r="AS60" s="450"/>
      <c r="AT60" s="450"/>
      <c r="AU60" s="450"/>
      <c r="AV60" s="450"/>
      <c r="AW60" s="450"/>
      <c r="AX60" s="450"/>
      <c r="AY60" s="450"/>
      <c r="AZ60" s="450"/>
      <c r="BA60" s="450"/>
      <c r="BB60" s="450"/>
      <c r="BC60" s="450"/>
      <c r="BD60" s="450"/>
      <c r="BE60" s="450"/>
      <c r="BF60" s="450"/>
      <c r="BG60" s="450"/>
      <c r="BH60" s="450"/>
      <c r="BI60" s="450"/>
      <c r="BJ60" s="450"/>
      <c r="BK60" s="450"/>
      <c r="BL60" s="450"/>
      <c r="BM60" s="450"/>
    </row>
    <row r="61" spans="1:65" ht="24.9">
      <c r="A61" s="694" t="str">
        <f>Installations!F31</f>
        <v>Impasse Jean Bouvet 71000 Mâcon</v>
      </c>
      <c r="B61" s="642" t="str">
        <f>Installations!D31</f>
        <v>461 EHPAD de l’Héritan – Bâtiment Nord</v>
      </c>
      <c r="C61" s="643"/>
      <c r="D61" s="644"/>
      <c r="E61" s="645">
        <f>IF(Installations!B31="oui",Installations!W31,0)</f>
        <v>0</v>
      </c>
      <c r="F61" s="646">
        <f>IF(Installations!B31="oui",Installations!AZ31,0)</f>
        <v>0</v>
      </c>
      <c r="G61" s="647">
        <f>IF(Installations!B31="oui",Installations!K31,0)</f>
        <v>0</v>
      </c>
      <c r="H61" s="652">
        <f t="shared" si="38"/>
        <v>0</v>
      </c>
      <c r="I61" s="635">
        <f t="shared" si="39"/>
        <v>0</v>
      </c>
      <c r="J61" s="635">
        <f t="shared" si="40"/>
        <v>0</v>
      </c>
      <c r="K61" s="635">
        <f t="shared" si="41"/>
        <v>0</v>
      </c>
      <c r="L61" s="636">
        <f t="shared" si="42"/>
        <v>0</v>
      </c>
      <c r="M61" s="636">
        <f t="shared" si="43"/>
        <v>0</v>
      </c>
      <c r="N61" s="648"/>
      <c r="O61" s="597"/>
      <c r="P61" s="691" t="str">
        <f t="shared" si="8"/>
        <v/>
      </c>
      <c r="Q61" s="450"/>
      <c r="R61" s="450" t="str">
        <f t="shared" si="44"/>
        <v/>
      </c>
      <c r="S61" s="450" t="str">
        <f t="shared" si="45"/>
        <v/>
      </c>
      <c r="T61" s="450" t="str">
        <f t="shared" si="46"/>
        <v/>
      </c>
      <c r="U61" s="450" t="str">
        <f t="shared" si="47"/>
        <v/>
      </c>
      <c r="V61" s="450" t="str">
        <f t="shared" si="48"/>
        <v/>
      </c>
      <c r="W61" s="450" t="str">
        <f t="shared" si="49"/>
        <v/>
      </c>
      <c r="X61" s="450" t="str">
        <f t="shared" si="50"/>
        <v/>
      </c>
      <c r="Y61" s="450" t="str">
        <f t="shared" si="51"/>
        <v/>
      </c>
      <c r="Z61" s="450" t="str">
        <f t="shared" si="52"/>
        <v/>
      </c>
      <c r="AA61" s="450" t="str">
        <f t="shared" si="53"/>
        <v/>
      </c>
      <c r="AB61" s="450" t="str">
        <f t="shared" si="54"/>
        <v/>
      </c>
      <c r="AC61" s="450" t="str">
        <f t="shared" si="55"/>
        <v/>
      </c>
      <c r="AD61" s="450" t="str">
        <f t="shared" si="56"/>
        <v/>
      </c>
      <c r="AE61" s="450" t="str">
        <f t="shared" si="57"/>
        <v/>
      </c>
      <c r="AF61" s="450" t="str">
        <f t="shared" si="58"/>
        <v/>
      </c>
      <c r="AG61" s="450" t="str">
        <f t="shared" si="59"/>
        <v/>
      </c>
      <c r="AH61" s="450" t="str">
        <f t="shared" si="60"/>
        <v/>
      </c>
      <c r="AI61" s="450" t="str">
        <f t="shared" si="61"/>
        <v/>
      </c>
      <c r="AJ61" s="450" t="str">
        <f t="shared" si="62"/>
        <v/>
      </c>
      <c r="AK61" s="450" t="str">
        <f t="shared" si="63"/>
        <v/>
      </c>
      <c r="AL61" s="450" t="str">
        <f t="shared" si="64"/>
        <v/>
      </c>
      <c r="AM61" s="450"/>
      <c r="AN61" s="450"/>
      <c r="AO61" s="450"/>
      <c r="AP61" s="450"/>
      <c r="AQ61" s="450"/>
      <c r="AR61" s="450"/>
      <c r="AS61" s="450"/>
      <c r="AT61" s="450"/>
      <c r="AU61" s="450"/>
      <c r="AV61" s="450"/>
      <c r="AW61" s="450"/>
      <c r="AX61" s="450"/>
      <c r="AY61" s="450"/>
      <c r="AZ61" s="450"/>
      <c r="BA61" s="450"/>
      <c r="BB61" s="450"/>
      <c r="BC61" s="450"/>
      <c r="BD61" s="450"/>
      <c r="BE61" s="450"/>
      <c r="BF61" s="450"/>
      <c r="BG61" s="450"/>
      <c r="BH61" s="450"/>
      <c r="BI61" s="450"/>
      <c r="BJ61" s="450"/>
      <c r="BK61" s="450"/>
      <c r="BL61" s="450"/>
      <c r="BM61" s="450"/>
    </row>
    <row r="62" spans="1:65">
      <c r="A62" s="694" t="str">
        <f>Installations!F32</f>
        <v>Croche Saint Pierre 71250 Taizé</v>
      </c>
      <c r="B62" s="642" t="str">
        <f>Installations!D32</f>
        <v>505 Communauté de Taizé</v>
      </c>
      <c r="C62" s="643"/>
      <c r="D62" s="644"/>
      <c r="E62" s="645">
        <f>IF(Installations!B32="oui",Installations!W32,0)</f>
        <v>0</v>
      </c>
      <c r="F62" s="646">
        <f>IF(Installations!B32="oui",Installations!AZ32,0)</f>
        <v>0</v>
      </c>
      <c r="G62" s="647">
        <f>IF(Installations!B32="oui",Installations!K32,0)</f>
        <v>0</v>
      </c>
      <c r="H62" s="652">
        <f t="shared" si="38"/>
        <v>0</v>
      </c>
      <c r="I62" s="635">
        <f t="shared" si="39"/>
        <v>0</v>
      </c>
      <c r="J62" s="635">
        <f t="shared" si="40"/>
        <v>0</v>
      </c>
      <c r="K62" s="635">
        <f t="shared" si="41"/>
        <v>0</v>
      </c>
      <c r="L62" s="636">
        <f t="shared" si="42"/>
        <v>0</v>
      </c>
      <c r="M62" s="636">
        <f t="shared" si="43"/>
        <v>0</v>
      </c>
      <c r="N62" s="648"/>
      <c r="O62" s="597"/>
      <c r="P62" s="691" t="str">
        <f t="shared" si="8"/>
        <v/>
      </c>
      <c r="Q62" s="450"/>
      <c r="R62" s="450" t="str">
        <f t="shared" si="44"/>
        <v/>
      </c>
      <c r="S62" s="450" t="str">
        <f t="shared" si="45"/>
        <v/>
      </c>
      <c r="T62" s="450" t="str">
        <f t="shared" si="46"/>
        <v/>
      </c>
      <c r="U62" s="450" t="str">
        <f t="shared" si="47"/>
        <v/>
      </c>
      <c r="V62" s="450" t="str">
        <f t="shared" si="48"/>
        <v/>
      </c>
      <c r="W62" s="450" t="str">
        <f t="shared" si="49"/>
        <v/>
      </c>
      <c r="X62" s="450" t="str">
        <f t="shared" si="50"/>
        <v/>
      </c>
      <c r="Y62" s="450" t="str">
        <f t="shared" si="51"/>
        <v/>
      </c>
      <c r="Z62" s="450" t="str">
        <f t="shared" si="52"/>
        <v/>
      </c>
      <c r="AA62" s="450" t="str">
        <f t="shared" si="53"/>
        <v/>
      </c>
      <c r="AB62" s="450" t="str">
        <f t="shared" si="54"/>
        <v/>
      </c>
      <c r="AC62" s="450" t="str">
        <f t="shared" si="55"/>
        <v/>
      </c>
      <c r="AD62" s="450" t="str">
        <f t="shared" si="56"/>
        <v/>
      </c>
      <c r="AE62" s="450" t="str">
        <f t="shared" si="57"/>
        <v/>
      </c>
      <c r="AF62" s="450" t="str">
        <f t="shared" si="58"/>
        <v/>
      </c>
      <c r="AG62" s="450" t="str">
        <f t="shared" si="59"/>
        <v/>
      </c>
      <c r="AH62" s="450" t="str">
        <f t="shared" si="60"/>
        <v/>
      </c>
      <c r="AI62" s="450" t="str">
        <f t="shared" si="61"/>
        <v/>
      </c>
      <c r="AJ62" s="450" t="str">
        <f t="shared" si="62"/>
        <v/>
      </c>
      <c r="AK62" s="450" t="str">
        <f t="shared" si="63"/>
        <v/>
      </c>
      <c r="AL62" s="450" t="str">
        <f t="shared" si="64"/>
        <v/>
      </c>
      <c r="AM62" s="450"/>
      <c r="AN62" s="450"/>
      <c r="AO62" s="450"/>
      <c r="AP62" s="450"/>
      <c r="AQ62" s="450"/>
      <c r="AR62" s="450"/>
      <c r="AS62" s="450"/>
      <c r="AT62" s="450"/>
      <c r="AU62" s="450"/>
      <c r="AV62" s="450"/>
      <c r="AW62" s="450"/>
      <c r="AX62" s="450"/>
      <c r="AY62" s="450"/>
      <c r="AZ62" s="450"/>
      <c r="BA62" s="450"/>
      <c r="BB62" s="450"/>
      <c r="BC62" s="450"/>
      <c r="BD62" s="450"/>
      <c r="BE62" s="450"/>
      <c r="BF62" s="450"/>
      <c r="BG62" s="450"/>
      <c r="BH62" s="450"/>
      <c r="BI62" s="450"/>
      <c r="BJ62" s="450"/>
      <c r="BK62" s="450"/>
      <c r="BL62" s="450"/>
      <c r="BM62" s="450"/>
    </row>
    <row r="63" spans="1:65" ht="37.35">
      <c r="A63" s="694">
        <f>Installations!F33</f>
        <v>0</v>
      </c>
      <c r="B63" s="642" t="str">
        <f>Installations!D33</f>
        <v>523 Ecole municipale et Cantine Saint-Martin-Belle-Roche</v>
      </c>
      <c r="C63" s="643"/>
      <c r="D63" s="644"/>
      <c r="E63" s="645">
        <f>IF(Installations!B33="oui",Installations!W33,0)</f>
        <v>0</v>
      </c>
      <c r="F63" s="646">
        <f>IF(Installations!B33="oui",Installations!AZ33,0)</f>
        <v>0</v>
      </c>
      <c r="G63" s="647">
        <f>IF(Installations!B33="oui",Installations!K33,0)</f>
        <v>0</v>
      </c>
      <c r="H63" s="652">
        <f t="shared" si="38"/>
        <v>0</v>
      </c>
      <c r="I63" s="635">
        <f t="shared" si="39"/>
        <v>0</v>
      </c>
      <c r="J63" s="635">
        <f t="shared" si="40"/>
        <v>0</v>
      </c>
      <c r="K63" s="635">
        <f t="shared" si="41"/>
        <v>0</v>
      </c>
      <c r="L63" s="636">
        <f t="shared" si="42"/>
        <v>0</v>
      </c>
      <c r="M63" s="636">
        <f t="shared" si="43"/>
        <v>0</v>
      </c>
      <c r="N63" s="648"/>
      <c r="O63" s="597"/>
      <c r="P63" s="691" t="str">
        <f t="shared" si="8"/>
        <v/>
      </c>
      <c r="Q63" s="450"/>
      <c r="R63" s="450" t="str">
        <f t="shared" si="44"/>
        <v/>
      </c>
      <c r="S63" s="450" t="str">
        <f t="shared" si="45"/>
        <v/>
      </c>
      <c r="T63" s="450" t="str">
        <f t="shared" si="46"/>
        <v/>
      </c>
      <c r="U63" s="450" t="str">
        <f t="shared" si="47"/>
        <v/>
      </c>
      <c r="V63" s="450" t="str">
        <f t="shared" si="48"/>
        <v/>
      </c>
      <c r="W63" s="450" t="str">
        <f t="shared" si="49"/>
        <v/>
      </c>
      <c r="X63" s="450" t="str">
        <f t="shared" si="50"/>
        <v/>
      </c>
      <c r="Y63" s="450" t="str">
        <f t="shared" si="51"/>
        <v/>
      </c>
      <c r="Z63" s="450" t="str">
        <f t="shared" si="52"/>
        <v/>
      </c>
      <c r="AA63" s="450" t="str">
        <f t="shared" si="53"/>
        <v/>
      </c>
      <c r="AB63" s="450" t="str">
        <f t="shared" si="54"/>
        <v/>
      </c>
      <c r="AC63" s="450" t="str">
        <f t="shared" si="55"/>
        <v/>
      </c>
      <c r="AD63" s="450" t="str">
        <f t="shared" si="56"/>
        <v/>
      </c>
      <c r="AE63" s="450" t="str">
        <f t="shared" si="57"/>
        <v/>
      </c>
      <c r="AF63" s="450" t="str">
        <f t="shared" si="58"/>
        <v/>
      </c>
      <c r="AG63" s="450" t="str">
        <f t="shared" si="59"/>
        <v/>
      </c>
      <c r="AH63" s="450" t="str">
        <f t="shared" si="60"/>
        <v/>
      </c>
      <c r="AI63" s="450" t="str">
        <f t="shared" si="61"/>
        <v/>
      </c>
      <c r="AJ63" s="450" t="str">
        <f t="shared" si="62"/>
        <v/>
      </c>
      <c r="AK63" s="450" t="str">
        <f t="shared" si="63"/>
        <v/>
      </c>
      <c r="AL63" s="450" t="str">
        <f t="shared" si="64"/>
        <v/>
      </c>
      <c r="AM63" s="450"/>
      <c r="AN63" s="450"/>
      <c r="AO63" s="450"/>
      <c r="AP63" s="450"/>
      <c r="AQ63" s="450"/>
      <c r="AR63" s="450"/>
      <c r="AS63" s="450"/>
      <c r="AT63" s="450"/>
      <c r="AU63" s="450"/>
      <c r="AV63" s="450"/>
      <c r="AW63" s="450"/>
      <c r="AX63" s="450"/>
      <c r="AY63" s="450"/>
      <c r="AZ63" s="450"/>
      <c r="BA63" s="450"/>
      <c r="BB63" s="450"/>
      <c r="BC63" s="450"/>
      <c r="BD63" s="450"/>
      <c r="BE63" s="450"/>
      <c r="BF63" s="450"/>
      <c r="BG63" s="450"/>
      <c r="BH63" s="450"/>
      <c r="BI63" s="450"/>
      <c r="BJ63" s="450"/>
      <c r="BK63" s="450"/>
      <c r="BL63" s="450"/>
      <c r="BM63" s="450"/>
    </row>
    <row r="64" spans="1:65" ht="24.9">
      <c r="A64" s="694">
        <f>Installations!F34</f>
        <v>0</v>
      </c>
      <c r="B64" s="642" t="str">
        <f>Installations!D34</f>
        <v>525 Gymnase omnisport Saint-Martin-Belle-Roche</v>
      </c>
      <c r="C64" s="643"/>
      <c r="D64" s="644"/>
      <c r="E64" s="645">
        <f>IF(Installations!B34="oui",Installations!W34,0)</f>
        <v>0</v>
      </c>
      <c r="F64" s="646">
        <f>IF(Installations!B34="oui",Installations!AZ34,0)</f>
        <v>0</v>
      </c>
      <c r="G64" s="647">
        <f>IF(Installations!B34="oui",Installations!K34,0)</f>
        <v>0</v>
      </c>
      <c r="H64" s="652">
        <f t="shared" si="38"/>
        <v>0</v>
      </c>
      <c r="I64" s="635">
        <f t="shared" si="39"/>
        <v>0</v>
      </c>
      <c r="J64" s="635">
        <f t="shared" si="40"/>
        <v>0</v>
      </c>
      <c r="K64" s="635">
        <f t="shared" si="41"/>
        <v>0</v>
      </c>
      <c r="L64" s="636">
        <f t="shared" si="42"/>
        <v>0</v>
      </c>
      <c r="M64" s="636">
        <f t="shared" si="43"/>
        <v>0</v>
      </c>
      <c r="N64" s="648"/>
      <c r="O64" s="597"/>
      <c r="P64" s="691" t="str">
        <f t="shared" si="8"/>
        <v/>
      </c>
      <c r="Q64" s="450"/>
      <c r="R64" s="450" t="str">
        <f t="shared" si="44"/>
        <v/>
      </c>
      <c r="S64" s="450" t="str">
        <f t="shared" si="45"/>
        <v/>
      </c>
      <c r="T64" s="450" t="str">
        <f t="shared" si="46"/>
        <v/>
      </c>
      <c r="U64" s="450" t="str">
        <f t="shared" si="47"/>
        <v/>
      </c>
      <c r="V64" s="450" t="str">
        <f t="shared" si="48"/>
        <v/>
      </c>
      <c r="W64" s="450" t="str">
        <f t="shared" si="49"/>
        <v/>
      </c>
      <c r="X64" s="450" t="str">
        <f t="shared" si="50"/>
        <v/>
      </c>
      <c r="Y64" s="450" t="str">
        <f t="shared" si="51"/>
        <v/>
      </c>
      <c r="Z64" s="450" t="str">
        <f t="shared" si="52"/>
        <v/>
      </c>
      <c r="AA64" s="450" t="str">
        <f t="shared" si="53"/>
        <v/>
      </c>
      <c r="AB64" s="450" t="str">
        <f t="shared" si="54"/>
        <v/>
      </c>
      <c r="AC64" s="450" t="str">
        <f t="shared" si="55"/>
        <v/>
      </c>
      <c r="AD64" s="450" t="str">
        <f t="shared" si="56"/>
        <v/>
      </c>
      <c r="AE64" s="450" t="str">
        <f t="shared" si="57"/>
        <v/>
      </c>
      <c r="AF64" s="450" t="str">
        <f t="shared" si="58"/>
        <v/>
      </c>
      <c r="AG64" s="450" t="str">
        <f t="shared" si="59"/>
        <v/>
      </c>
      <c r="AH64" s="450" t="str">
        <f t="shared" si="60"/>
        <v/>
      </c>
      <c r="AI64" s="450" t="str">
        <f t="shared" si="61"/>
        <v/>
      </c>
      <c r="AJ64" s="450" t="str">
        <f t="shared" si="62"/>
        <v/>
      </c>
      <c r="AK64" s="450" t="str">
        <f t="shared" si="63"/>
        <v/>
      </c>
      <c r="AL64" s="450" t="str">
        <f t="shared" si="64"/>
        <v/>
      </c>
      <c r="AM64" s="450"/>
      <c r="AN64" s="450"/>
      <c r="AO64" s="450"/>
      <c r="AP64" s="450"/>
      <c r="AQ64" s="450"/>
      <c r="AR64" s="450"/>
      <c r="AS64" s="450"/>
      <c r="AT64" s="450"/>
      <c r="AU64" s="450"/>
      <c r="AV64" s="450"/>
      <c r="AW64" s="450"/>
      <c r="AX64" s="450"/>
      <c r="AY64" s="450"/>
      <c r="AZ64" s="450"/>
      <c r="BA64" s="450"/>
      <c r="BB64" s="450"/>
      <c r="BC64" s="450"/>
      <c r="BD64" s="450"/>
      <c r="BE64" s="450"/>
      <c r="BF64" s="450"/>
      <c r="BG64" s="450"/>
      <c r="BH64" s="450"/>
      <c r="BI64" s="450"/>
      <c r="BJ64" s="450"/>
      <c r="BK64" s="450"/>
      <c r="BL64" s="450"/>
      <c r="BM64" s="450"/>
    </row>
    <row r="65" spans="1:65" ht="24.9">
      <c r="A65" s="694" t="str">
        <f>Installations!F35</f>
        <v>Les Colins, 71520 matour</v>
      </c>
      <c r="B65" s="642" t="str">
        <f>Installations!D35</f>
        <v>527 Nathalie FOURNIER et Didier JOULIN Matour</v>
      </c>
      <c r="C65" s="643"/>
      <c r="D65" s="644"/>
      <c r="E65" s="645">
        <f>IF(Installations!B35="oui",Installations!W35,0)</f>
        <v>0</v>
      </c>
      <c r="F65" s="646">
        <f>IF(Installations!B35="oui",Installations!AZ35,0)</f>
        <v>0</v>
      </c>
      <c r="G65" s="647">
        <f>IF(Installations!B35="oui",Installations!K35,0)</f>
        <v>0</v>
      </c>
      <c r="H65" s="652">
        <f t="shared" si="38"/>
        <v>0</v>
      </c>
      <c r="I65" s="635">
        <f t="shared" si="39"/>
        <v>0</v>
      </c>
      <c r="J65" s="635">
        <f t="shared" si="40"/>
        <v>0</v>
      </c>
      <c r="K65" s="635">
        <f t="shared" si="41"/>
        <v>0</v>
      </c>
      <c r="L65" s="636">
        <f t="shared" si="42"/>
        <v>0</v>
      </c>
      <c r="M65" s="636">
        <f t="shared" si="43"/>
        <v>0</v>
      </c>
      <c r="N65" s="648"/>
      <c r="O65" s="597"/>
      <c r="P65" s="691" t="str">
        <f t="shared" si="8"/>
        <v/>
      </c>
      <c r="Q65" s="450"/>
      <c r="R65" s="450" t="str">
        <f t="shared" si="44"/>
        <v/>
      </c>
      <c r="S65" s="450" t="str">
        <f t="shared" si="45"/>
        <v/>
      </c>
      <c r="T65" s="450" t="str">
        <f t="shared" si="46"/>
        <v/>
      </c>
      <c r="U65" s="450" t="str">
        <f t="shared" si="47"/>
        <v/>
      </c>
      <c r="V65" s="450" t="str">
        <f t="shared" si="48"/>
        <v/>
      </c>
      <c r="W65" s="450" t="str">
        <f t="shared" si="49"/>
        <v/>
      </c>
      <c r="X65" s="450" t="str">
        <f t="shared" si="50"/>
        <v/>
      </c>
      <c r="Y65" s="450" t="str">
        <f t="shared" si="51"/>
        <v/>
      </c>
      <c r="Z65" s="450" t="str">
        <f t="shared" si="52"/>
        <v/>
      </c>
      <c r="AA65" s="450" t="str">
        <f t="shared" si="53"/>
        <v/>
      </c>
      <c r="AB65" s="450" t="str">
        <f t="shared" si="54"/>
        <v/>
      </c>
      <c r="AC65" s="450" t="str">
        <f t="shared" si="55"/>
        <v/>
      </c>
      <c r="AD65" s="450" t="str">
        <f t="shared" si="56"/>
        <v/>
      </c>
      <c r="AE65" s="450" t="str">
        <f t="shared" si="57"/>
        <v/>
      </c>
      <c r="AF65" s="450" t="str">
        <f t="shared" si="58"/>
        <v/>
      </c>
      <c r="AG65" s="450" t="str">
        <f t="shared" si="59"/>
        <v/>
      </c>
      <c r="AH65" s="450" t="str">
        <f t="shared" si="60"/>
        <v/>
      </c>
      <c r="AI65" s="450" t="str">
        <f t="shared" si="61"/>
        <v/>
      </c>
      <c r="AJ65" s="450" t="str">
        <f t="shared" si="62"/>
        <v/>
      </c>
      <c r="AK65" s="450" t="str">
        <f t="shared" si="63"/>
        <v/>
      </c>
      <c r="AL65" s="450" t="str">
        <f t="shared" si="64"/>
        <v/>
      </c>
      <c r="AM65" s="450"/>
      <c r="AN65" s="450"/>
      <c r="AO65" s="450"/>
      <c r="AP65" s="450"/>
      <c r="AQ65" s="450"/>
      <c r="AR65" s="450"/>
      <c r="AS65" s="450"/>
      <c r="AT65" s="450"/>
      <c r="AU65" s="450"/>
      <c r="AV65" s="450"/>
      <c r="AW65" s="450"/>
      <c r="AX65" s="450"/>
      <c r="AY65" s="450"/>
      <c r="AZ65" s="450"/>
      <c r="BA65" s="450"/>
      <c r="BB65" s="450"/>
      <c r="BC65" s="450"/>
      <c r="BD65" s="450"/>
      <c r="BE65" s="450"/>
      <c r="BF65" s="450"/>
      <c r="BG65" s="450"/>
      <c r="BH65" s="450"/>
      <c r="BI65" s="450"/>
      <c r="BJ65" s="450"/>
      <c r="BK65" s="450"/>
      <c r="BL65" s="450"/>
      <c r="BM65" s="450"/>
    </row>
    <row r="66" spans="1:65">
      <c r="A66" s="694">
        <f>Installations!F36</f>
        <v>0</v>
      </c>
      <c r="B66" s="642" t="str">
        <f>Installations!D36</f>
        <v>533 Communauté de Taizé</v>
      </c>
      <c r="C66" s="643"/>
      <c r="D66" s="644"/>
      <c r="E66" s="645">
        <f>IF(Installations!B36="oui",Installations!W36,0)</f>
        <v>0</v>
      </c>
      <c r="F66" s="646">
        <f>IF(Installations!B36="oui",Installations!AZ36,0)</f>
        <v>0</v>
      </c>
      <c r="G66" s="647">
        <f>IF(Installations!B36="oui",Installations!K36,0)</f>
        <v>0</v>
      </c>
      <c r="H66" s="652">
        <f t="shared" si="38"/>
        <v>0</v>
      </c>
      <c r="I66" s="635">
        <f t="shared" si="39"/>
        <v>0</v>
      </c>
      <c r="J66" s="635">
        <f t="shared" si="40"/>
        <v>0</v>
      </c>
      <c r="K66" s="635">
        <f t="shared" si="41"/>
        <v>0</v>
      </c>
      <c r="L66" s="636">
        <f t="shared" si="42"/>
        <v>0</v>
      </c>
      <c r="M66" s="636">
        <f t="shared" si="43"/>
        <v>0</v>
      </c>
      <c r="N66" s="648"/>
      <c r="O66" s="597"/>
      <c r="P66" s="691" t="str">
        <f t="shared" si="8"/>
        <v/>
      </c>
      <c r="Q66" s="450"/>
      <c r="R66" s="450" t="str">
        <f t="shared" si="44"/>
        <v/>
      </c>
      <c r="S66" s="450" t="str">
        <f t="shared" si="45"/>
        <v/>
      </c>
      <c r="T66" s="450" t="str">
        <f t="shared" si="46"/>
        <v/>
      </c>
      <c r="U66" s="450" t="str">
        <f t="shared" si="47"/>
        <v/>
      </c>
      <c r="V66" s="450" t="str">
        <f t="shared" si="48"/>
        <v/>
      </c>
      <c r="W66" s="450" t="str">
        <f t="shared" si="49"/>
        <v/>
      </c>
      <c r="X66" s="450" t="str">
        <f t="shared" si="50"/>
        <v/>
      </c>
      <c r="Y66" s="450" t="str">
        <f t="shared" si="51"/>
        <v/>
      </c>
      <c r="Z66" s="450" t="str">
        <f t="shared" si="52"/>
        <v/>
      </c>
      <c r="AA66" s="450" t="str">
        <f t="shared" si="53"/>
        <v/>
      </c>
      <c r="AB66" s="450" t="str">
        <f t="shared" si="54"/>
        <v/>
      </c>
      <c r="AC66" s="450" t="str">
        <f t="shared" si="55"/>
        <v/>
      </c>
      <c r="AD66" s="450" t="str">
        <f t="shared" si="56"/>
        <v/>
      </c>
      <c r="AE66" s="450" t="str">
        <f t="shared" si="57"/>
        <v/>
      </c>
      <c r="AF66" s="450" t="str">
        <f t="shared" si="58"/>
        <v/>
      </c>
      <c r="AG66" s="450" t="str">
        <f t="shared" si="59"/>
        <v/>
      </c>
      <c r="AH66" s="450" t="str">
        <f t="shared" si="60"/>
        <v/>
      </c>
      <c r="AI66" s="450" t="str">
        <f t="shared" si="61"/>
        <v/>
      </c>
      <c r="AJ66" s="450" t="str">
        <f t="shared" si="62"/>
        <v/>
      </c>
      <c r="AK66" s="450" t="str">
        <f t="shared" si="63"/>
        <v/>
      </c>
      <c r="AL66" s="450" t="str">
        <f t="shared" si="64"/>
        <v/>
      </c>
      <c r="AM66" s="450"/>
      <c r="AN66" s="450"/>
      <c r="AO66" s="450"/>
      <c r="AP66" s="450"/>
      <c r="AQ66" s="450"/>
      <c r="AR66" s="450"/>
      <c r="AS66" s="450"/>
      <c r="AT66" s="450"/>
      <c r="AU66" s="450"/>
      <c r="AV66" s="450"/>
      <c r="AW66" s="450"/>
      <c r="AX66" s="450"/>
      <c r="AY66" s="450"/>
      <c r="AZ66" s="450"/>
      <c r="BA66" s="450"/>
      <c r="BB66" s="450"/>
      <c r="BC66" s="450"/>
      <c r="BD66" s="450"/>
      <c r="BE66" s="450"/>
      <c r="BF66" s="450"/>
      <c r="BG66" s="450"/>
      <c r="BH66" s="450"/>
      <c r="BI66" s="450"/>
      <c r="BJ66" s="450"/>
      <c r="BK66" s="450"/>
      <c r="BL66" s="450"/>
      <c r="BM66" s="450"/>
    </row>
    <row r="67" spans="1:65" ht="24.9">
      <c r="A67" s="694" t="str">
        <f>Installations!F37</f>
        <v>La Condemine, 71250 Blanot</v>
      </c>
      <c r="B67" s="642" t="str">
        <f>Installations!D37</f>
        <v>543 La Ferme du Mont rouge Blanot</v>
      </c>
      <c r="C67" s="643"/>
      <c r="D67" s="644"/>
      <c r="E67" s="645">
        <f>IF(Installations!B37="oui",Installations!W37,0)</f>
        <v>0</v>
      </c>
      <c r="F67" s="646">
        <f>IF(Installations!B37="oui",Installations!AZ37,0)</f>
        <v>0</v>
      </c>
      <c r="G67" s="647">
        <f>IF(Installations!B37="oui",Installations!K37,0)</f>
        <v>0</v>
      </c>
      <c r="H67" s="652">
        <f t="shared" si="38"/>
        <v>0</v>
      </c>
      <c r="I67" s="635">
        <f t="shared" si="39"/>
        <v>0</v>
      </c>
      <c r="J67" s="635">
        <f t="shared" si="40"/>
        <v>0</v>
      </c>
      <c r="K67" s="635">
        <f t="shared" si="41"/>
        <v>0</v>
      </c>
      <c r="L67" s="636">
        <f t="shared" si="42"/>
        <v>0</v>
      </c>
      <c r="M67" s="636">
        <f t="shared" si="43"/>
        <v>0</v>
      </c>
      <c r="N67" s="648"/>
      <c r="O67" s="597"/>
      <c r="P67" s="691" t="str">
        <f t="shared" si="8"/>
        <v/>
      </c>
      <c r="Q67" s="450"/>
      <c r="R67" s="450" t="str">
        <f t="shared" si="44"/>
        <v/>
      </c>
      <c r="S67" s="450" t="str">
        <f t="shared" si="45"/>
        <v/>
      </c>
      <c r="T67" s="450" t="str">
        <f t="shared" si="46"/>
        <v/>
      </c>
      <c r="U67" s="450" t="str">
        <f t="shared" si="47"/>
        <v/>
      </c>
      <c r="V67" s="450" t="str">
        <f t="shared" si="48"/>
        <v/>
      </c>
      <c r="W67" s="450" t="str">
        <f t="shared" si="49"/>
        <v/>
      </c>
      <c r="X67" s="450" t="str">
        <f t="shared" si="50"/>
        <v/>
      </c>
      <c r="Y67" s="450" t="str">
        <f t="shared" si="51"/>
        <v/>
      </c>
      <c r="Z67" s="450" t="str">
        <f t="shared" si="52"/>
        <v/>
      </c>
      <c r="AA67" s="450" t="str">
        <f t="shared" si="53"/>
        <v/>
      </c>
      <c r="AB67" s="450" t="str">
        <f t="shared" si="54"/>
        <v/>
      </c>
      <c r="AC67" s="450" t="str">
        <f t="shared" si="55"/>
        <v/>
      </c>
      <c r="AD67" s="450" t="str">
        <f t="shared" si="56"/>
        <v/>
      </c>
      <c r="AE67" s="450" t="str">
        <f t="shared" si="57"/>
        <v/>
      </c>
      <c r="AF67" s="450" t="str">
        <f t="shared" si="58"/>
        <v/>
      </c>
      <c r="AG67" s="450" t="str">
        <f t="shared" si="59"/>
        <v/>
      </c>
      <c r="AH67" s="450" t="str">
        <f t="shared" si="60"/>
        <v/>
      </c>
      <c r="AI67" s="450" t="str">
        <f t="shared" si="61"/>
        <v/>
      </c>
      <c r="AJ67" s="450" t="str">
        <f t="shared" si="62"/>
        <v/>
      </c>
      <c r="AK67" s="450" t="str">
        <f t="shared" si="63"/>
        <v/>
      </c>
      <c r="AL67" s="450" t="str">
        <f t="shared" si="64"/>
        <v/>
      </c>
      <c r="AM67" s="450"/>
      <c r="AN67" s="450"/>
      <c r="AO67" s="450"/>
      <c r="AP67" s="450"/>
      <c r="AQ67" s="450"/>
      <c r="AR67" s="450"/>
      <c r="AS67" s="450"/>
      <c r="AT67" s="450"/>
      <c r="AU67" s="450"/>
      <c r="AV67" s="450"/>
      <c r="AW67" s="450"/>
      <c r="AX67" s="450"/>
      <c r="AY67" s="450"/>
      <c r="AZ67" s="450"/>
      <c r="BA67" s="450"/>
      <c r="BB67" s="450"/>
      <c r="BC67" s="450"/>
      <c r="BD67" s="450"/>
      <c r="BE67" s="450"/>
      <c r="BF67" s="450"/>
      <c r="BG67" s="450"/>
      <c r="BH67" s="450"/>
      <c r="BI67" s="450"/>
      <c r="BJ67" s="450"/>
      <c r="BK67" s="450"/>
      <c r="BL67" s="450"/>
      <c r="BM67" s="450"/>
    </row>
    <row r="68" spans="1:65" ht="24.9">
      <c r="A68" s="694" t="str">
        <f>Installations!F38</f>
        <v>La Condemine, 71250 Blanot</v>
      </c>
      <c r="B68" s="642" t="str">
        <f>Installations!D38</f>
        <v>543 La Ferme du Mont rouge Blanot</v>
      </c>
      <c r="C68" s="643"/>
      <c r="D68" s="644"/>
      <c r="E68" s="645">
        <f>IF(Installations!B38="oui",Installations!W38,0)</f>
        <v>0</v>
      </c>
      <c r="F68" s="646">
        <f>IF(Installations!B38="oui",Installations!AZ38,0)</f>
        <v>0</v>
      </c>
      <c r="G68" s="647">
        <f>IF(Installations!B38="oui",Installations!K38,0)</f>
        <v>0</v>
      </c>
      <c r="H68" s="652">
        <f t="shared" si="38"/>
        <v>0</v>
      </c>
      <c r="I68" s="635">
        <f t="shared" si="39"/>
        <v>0</v>
      </c>
      <c r="J68" s="635">
        <f t="shared" si="40"/>
        <v>0</v>
      </c>
      <c r="K68" s="635">
        <f t="shared" si="41"/>
        <v>0</v>
      </c>
      <c r="L68" s="636">
        <f t="shared" si="42"/>
        <v>0</v>
      </c>
      <c r="M68" s="636">
        <f t="shared" si="43"/>
        <v>0</v>
      </c>
      <c r="N68" s="648"/>
      <c r="O68" s="597"/>
      <c r="P68" s="691" t="str">
        <f t="shared" si="8"/>
        <v/>
      </c>
      <c r="Q68" s="450"/>
      <c r="R68" s="450" t="str">
        <f t="shared" si="44"/>
        <v/>
      </c>
      <c r="S68" s="450" t="str">
        <f t="shared" si="45"/>
        <v/>
      </c>
      <c r="T68" s="450" t="str">
        <f t="shared" si="46"/>
        <v/>
      </c>
      <c r="U68" s="450" t="str">
        <f t="shared" si="47"/>
        <v/>
      </c>
      <c r="V68" s="450" t="str">
        <f t="shared" si="48"/>
        <v/>
      </c>
      <c r="W68" s="450" t="str">
        <f t="shared" si="49"/>
        <v/>
      </c>
      <c r="X68" s="450" t="str">
        <f t="shared" si="50"/>
        <v/>
      </c>
      <c r="Y68" s="450" t="str">
        <f t="shared" si="51"/>
        <v/>
      </c>
      <c r="Z68" s="450" t="str">
        <f t="shared" si="52"/>
        <v/>
      </c>
      <c r="AA68" s="450" t="str">
        <f t="shared" si="53"/>
        <v/>
      </c>
      <c r="AB68" s="450" t="str">
        <f t="shared" si="54"/>
        <v/>
      </c>
      <c r="AC68" s="450" t="str">
        <f t="shared" si="55"/>
        <v/>
      </c>
      <c r="AD68" s="450" t="str">
        <f t="shared" si="56"/>
        <v/>
      </c>
      <c r="AE68" s="450" t="str">
        <f t="shared" si="57"/>
        <v/>
      </c>
      <c r="AF68" s="450" t="str">
        <f t="shared" si="58"/>
        <v/>
      </c>
      <c r="AG68" s="450" t="str">
        <f t="shared" si="59"/>
        <v/>
      </c>
      <c r="AH68" s="450" t="str">
        <f t="shared" si="60"/>
        <v/>
      </c>
      <c r="AI68" s="450" t="str">
        <f t="shared" si="61"/>
        <v/>
      </c>
      <c r="AJ68" s="450" t="str">
        <f t="shared" si="62"/>
        <v/>
      </c>
      <c r="AK68" s="450" t="str">
        <f t="shared" si="63"/>
        <v/>
      </c>
      <c r="AL68" s="450" t="str">
        <f t="shared" si="64"/>
        <v/>
      </c>
      <c r="AM68" s="450"/>
      <c r="AN68" s="450"/>
      <c r="AO68" s="450"/>
      <c r="AP68" s="450"/>
      <c r="AQ68" s="450"/>
      <c r="AR68" s="450"/>
      <c r="AS68" s="450"/>
      <c r="AT68" s="450"/>
      <c r="AU68" s="450"/>
      <c r="AV68" s="450"/>
      <c r="AW68" s="450"/>
      <c r="AX68" s="450"/>
      <c r="AY68" s="450"/>
      <c r="AZ68" s="450"/>
      <c r="BA68" s="450"/>
      <c r="BB68" s="450"/>
      <c r="BC68" s="450"/>
      <c r="BD68" s="450"/>
      <c r="BE68" s="450"/>
      <c r="BF68" s="450"/>
      <c r="BG68" s="450"/>
      <c r="BH68" s="450"/>
      <c r="BI68" s="450"/>
      <c r="BJ68" s="450"/>
      <c r="BK68" s="450"/>
      <c r="BL68" s="450"/>
      <c r="BM68" s="450"/>
    </row>
    <row r="69" spans="1:65" ht="24.9">
      <c r="A69" s="694" t="str">
        <f>Installations!F39</f>
        <v>La Condemine, 71250 Blanot</v>
      </c>
      <c r="B69" s="642" t="str">
        <f>Installations!D39</f>
        <v>543 La Ferme du Mont rouge Blanot</v>
      </c>
      <c r="C69" s="643"/>
      <c r="D69" s="644"/>
      <c r="E69" s="645">
        <f>IF(Installations!B39="oui",Installations!W39,0)</f>
        <v>0</v>
      </c>
      <c r="F69" s="646">
        <f>IF(Installations!B39="oui",Installations!AZ39,0)</f>
        <v>0</v>
      </c>
      <c r="G69" s="647">
        <f>IF(Installations!B39="oui",Installations!K39,0)</f>
        <v>0</v>
      </c>
      <c r="H69" s="652">
        <f t="shared" si="38"/>
        <v>0</v>
      </c>
      <c r="I69" s="635">
        <f t="shared" si="39"/>
        <v>0</v>
      </c>
      <c r="J69" s="635">
        <f t="shared" si="40"/>
        <v>0</v>
      </c>
      <c r="K69" s="635">
        <f t="shared" si="41"/>
        <v>0</v>
      </c>
      <c r="L69" s="636">
        <f t="shared" si="42"/>
        <v>0</v>
      </c>
      <c r="M69" s="636">
        <f t="shared" si="43"/>
        <v>0</v>
      </c>
      <c r="N69" s="648"/>
      <c r="O69" s="597"/>
      <c r="P69" s="691" t="str">
        <f t="shared" si="8"/>
        <v/>
      </c>
      <c r="Q69" s="450"/>
      <c r="R69" s="450" t="str">
        <f t="shared" si="44"/>
        <v/>
      </c>
      <c r="S69" s="450" t="str">
        <f t="shared" si="45"/>
        <v/>
      </c>
      <c r="T69" s="450" t="str">
        <f t="shared" si="46"/>
        <v/>
      </c>
      <c r="U69" s="450" t="str">
        <f t="shared" si="47"/>
        <v/>
      </c>
      <c r="V69" s="450" t="str">
        <f t="shared" si="48"/>
        <v/>
      </c>
      <c r="W69" s="450" t="str">
        <f t="shared" si="49"/>
        <v/>
      </c>
      <c r="X69" s="450" t="str">
        <f t="shared" si="50"/>
        <v/>
      </c>
      <c r="Y69" s="450" t="str">
        <f t="shared" si="51"/>
        <v/>
      </c>
      <c r="Z69" s="450" t="str">
        <f t="shared" si="52"/>
        <v/>
      </c>
      <c r="AA69" s="450" t="str">
        <f t="shared" si="53"/>
        <v/>
      </c>
      <c r="AB69" s="450" t="str">
        <f t="shared" si="54"/>
        <v/>
      </c>
      <c r="AC69" s="450" t="str">
        <f t="shared" si="55"/>
        <v/>
      </c>
      <c r="AD69" s="450" t="str">
        <f t="shared" si="56"/>
        <v/>
      </c>
      <c r="AE69" s="450" t="str">
        <f t="shared" si="57"/>
        <v/>
      </c>
      <c r="AF69" s="450" t="str">
        <f t="shared" si="58"/>
        <v/>
      </c>
      <c r="AG69" s="450" t="str">
        <f t="shared" si="59"/>
        <v/>
      </c>
      <c r="AH69" s="450" t="str">
        <f t="shared" si="60"/>
        <v/>
      </c>
      <c r="AI69" s="450" t="str">
        <f t="shared" si="61"/>
        <v/>
      </c>
      <c r="AJ69" s="450" t="str">
        <f t="shared" si="62"/>
        <v/>
      </c>
      <c r="AK69" s="450" t="str">
        <f t="shared" si="63"/>
        <v/>
      </c>
      <c r="AL69" s="450" t="str">
        <f t="shared" si="64"/>
        <v/>
      </c>
      <c r="AM69" s="450"/>
      <c r="AN69" s="450"/>
      <c r="AO69" s="450"/>
      <c r="AP69" s="450"/>
      <c r="AQ69" s="450"/>
      <c r="AR69" s="450"/>
      <c r="AS69" s="450"/>
      <c r="AT69" s="450"/>
      <c r="AU69" s="450"/>
      <c r="AV69" s="450"/>
      <c r="AW69" s="450"/>
      <c r="AX69" s="450"/>
      <c r="AY69" s="450"/>
      <c r="AZ69" s="450"/>
      <c r="BA69" s="450"/>
      <c r="BB69" s="450"/>
      <c r="BC69" s="450"/>
      <c r="BD69" s="450"/>
      <c r="BE69" s="450"/>
      <c r="BF69" s="450"/>
      <c r="BG69" s="450"/>
      <c r="BH69" s="450"/>
      <c r="BI69" s="450"/>
      <c r="BJ69" s="450"/>
      <c r="BK69" s="450"/>
      <c r="BL69" s="450"/>
      <c r="BM69" s="450"/>
    </row>
    <row r="70" spans="1:65" ht="24.9">
      <c r="A70" s="694" t="str">
        <f>Installations!F40</f>
        <v>La Condemine, 71250 Blanot</v>
      </c>
      <c r="B70" s="642" t="str">
        <f>Installations!D40</f>
        <v>543 La Ferme du Mont rouge Blanot</v>
      </c>
      <c r="C70" s="643"/>
      <c r="D70" s="644"/>
      <c r="E70" s="645">
        <f>IF(Installations!B40="oui",Installations!W40,0)</f>
        <v>144676.19832</v>
      </c>
      <c r="F70" s="646">
        <f>IF(Installations!B40="oui",Installations!AZ40,0)</f>
        <v>16097.2032</v>
      </c>
      <c r="G70" s="647">
        <f>IF(Installations!B40="oui",Installations!K40,0)</f>
        <v>143.52000000000001</v>
      </c>
      <c r="H70" s="652">
        <f t="shared" si="38"/>
        <v>241.45804800000002</v>
      </c>
      <c r="I70" s="635">
        <f t="shared" si="39"/>
        <v>263.18927232000004</v>
      </c>
      <c r="J70" s="635">
        <f t="shared" si="40"/>
        <v>477.43145445599993</v>
      </c>
      <c r="K70" s="635">
        <f t="shared" si="41"/>
        <v>536.74869576719993</v>
      </c>
      <c r="L70" s="636">
        <f t="shared" si="42"/>
        <v>66.642421248000005</v>
      </c>
      <c r="M70" s="636">
        <f t="shared" si="43"/>
        <v>74.851994879999992</v>
      </c>
      <c r="N70" s="648"/>
      <c r="O70" s="597"/>
      <c r="P70" s="691" t="str">
        <f t="shared" si="8"/>
        <v/>
      </c>
      <c r="Q70" s="450"/>
      <c r="R70" s="450" t="str">
        <f t="shared" si="44"/>
        <v/>
      </c>
      <c r="S70" s="450" t="str">
        <f t="shared" si="45"/>
        <v/>
      </c>
      <c r="T70" s="450" t="str">
        <f t="shared" si="46"/>
        <v/>
      </c>
      <c r="U70" s="450" t="str">
        <f t="shared" si="47"/>
        <v/>
      </c>
      <c r="V70" s="450" t="str">
        <f t="shared" si="48"/>
        <v/>
      </c>
      <c r="W70" s="450" t="str">
        <f t="shared" si="49"/>
        <v/>
      </c>
      <c r="X70" s="450" t="str">
        <f t="shared" si="50"/>
        <v/>
      </c>
      <c r="Y70" s="450" t="str">
        <f t="shared" si="51"/>
        <v/>
      </c>
      <c r="Z70" s="450" t="str">
        <f t="shared" si="52"/>
        <v/>
      </c>
      <c r="AA70" s="450" t="str">
        <f t="shared" si="53"/>
        <v/>
      </c>
      <c r="AB70" s="450" t="str">
        <f t="shared" si="54"/>
        <v/>
      </c>
      <c r="AC70" s="450" t="str">
        <f t="shared" si="55"/>
        <v/>
      </c>
      <c r="AD70" s="450" t="str">
        <f t="shared" si="56"/>
        <v/>
      </c>
      <c r="AE70" s="450" t="str">
        <f t="shared" si="57"/>
        <v/>
      </c>
      <c r="AF70" s="450" t="str">
        <f t="shared" si="58"/>
        <v/>
      </c>
      <c r="AG70" s="450" t="str">
        <f t="shared" si="59"/>
        <v/>
      </c>
      <c r="AH70" s="450" t="str">
        <f t="shared" si="60"/>
        <v/>
      </c>
      <c r="AI70" s="450" t="str">
        <f t="shared" si="61"/>
        <v/>
      </c>
      <c r="AJ70" s="450" t="str">
        <f t="shared" si="62"/>
        <v/>
      </c>
      <c r="AK70" s="450" t="str">
        <f t="shared" si="63"/>
        <v/>
      </c>
      <c r="AL70" s="450" t="str">
        <f t="shared" si="64"/>
        <v/>
      </c>
      <c r="AM70" s="450"/>
      <c r="AN70" s="450"/>
      <c r="AO70" s="450"/>
      <c r="AP70" s="450"/>
      <c r="AQ70" s="450"/>
      <c r="AR70" s="450"/>
      <c r="AS70" s="450"/>
      <c r="AT70" s="450"/>
      <c r="AU70" s="450"/>
      <c r="AV70" s="450"/>
      <c r="AW70" s="450"/>
      <c r="AX70" s="450"/>
      <c r="AY70" s="450"/>
      <c r="AZ70" s="450"/>
      <c r="BA70" s="450"/>
      <c r="BB70" s="450"/>
      <c r="BC70" s="450"/>
      <c r="BD70" s="450"/>
      <c r="BE70" s="450"/>
      <c r="BF70" s="450"/>
      <c r="BG70" s="450"/>
      <c r="BH70" s="450"/>
      <c r="BI70" s="450"/>
      <c r="BJ70" s="450"/>
      <c r="BK70" s="450"/>
      <c r="BL70" s="450"/>
      <c r="BM70" s="450"/>
    </row>
    <row r="71" spans="1:65" ht="24.9">
      <c r="A71" s="694" t="str">
        <f>Installations!F41</f>
        <v>La Condemine, 71250 Blanot</v>
      </c>
      <c r="B71" s="642" t="str">
        <f>Installations!D41</f>
        <v>543 La Ferme du Mont rouge Blanot</v>
      </c>
      <c r="C71" s="643"/>
      <c r="D71" s="644"/>
      <c r="E71" s="645">
        <f>IF(Installations!B41="oui",Installations!W41,0)</f>
        <v>0</v>
      </c>
      <c r="F71" s="646">
        <f>IF(Installations!B41="oui",Installations!AZ41,0)</f>
        <v>0</v>
      </c>
      <c r="G71" s="647">
        <f>IF(Installations!B41="oui",Installations!K41,0)</f>
        <v>0</v>
      </c>
      <c r="H71" s="652">
        <f t="shared" si="38"/>
        <v>0</v>
      </c>
      <c r="I71" s="635">
        <f t="shared" si="39"/>
        <v>0</v>
      </c>
      <c r="J71" s="635">
        <f t="shared" si="40"/>
        <v>0</v>
      </c>
      <c r="K71" s="635">
        <f t="shared" si="41"/>
        <v>0</v>
      </c>
      <c r="L71" s="636">
        <f t="shared" si="42"/>
        <v>0</v>
      </c>
      <c r="M71" s="636">
        <f t="shared" si="43"/>
        <v>0</v>
      </c>
      <c r="N71" s="648"/>
      <c r="O71" s="648"/>
      <c r="P71" s="691" t="str">
        <f t="shared" si="8"/>
        <v/>
      </c>
      <c r="Q71" s="450"/>
      <c r="R71" s="450" t="str">
        <f t="shared" si="44"/>
        <v/>
      </c>
      <c r="S71" s="450" t="str">
        <f t="shared" si="45"/>
        <v/>
      </c>
      <c r="T71" s="450" t="str">
        <f t="shared" si="46"/>
        <v/>
      </c>
      <c r="U71" s="450" t="str">
        <f t="shared" si="47"/>
        <v/>
      </c>
      <c r="V71" s="450" t="str">
        <f t="shared" si="48"/>
        <v/>
      </c>
      <c r="W71" s="450" t="str">
        <f t="shared" si="49"/>
        <v/>
      </c>
      <c r="X71" s="450" t="str">
        <f t="shared" si="50"/>
        <v/>
      </c>
      <c r="Y71" s="450" t="str">
        <f t="shared" si="51"/>
        <v/>
      </c>
      <c r="Z71" s="450" t="str">
        <f t="shared" si="52"/>
        <v/>
      </c>
      <c r="AA71" s="450" t="str">
        <f t="shared" si="53"/>
        <v/>
      </c>
      <c r="AB71" s="450" t="str">
        <f t="shared" si="54"/>
        <v/>
      </c>
      <c r="AC71" s="450" t="str">
        <f t="shared" si="55"/>
        <v/>
      </c>
      <c r="AD71" s="450" t="str">
        <f t="shared" si="56"/>
        <v/>
      </c>
      <c r="AE71" s="450" t="str">
        <f t="shared" si="57"/>
        <v/>
      </c>
      <c r="AF71" s="450" t="str">
        <f t="shared" si="58"/>
        <v/>
      </c>
      <c r="AG71" s="450" t="str">
        <f t="shared" si="59"/>
        <v/>
      </c>
      <c r="AH71" s="450" t="str">
        <f t="shared" si="60"/>
        <v/>
      </c>
      <c r="AI71" s="450" t="str">
        <f t="shared" si="61"/>
        <v/>
      </c>
      <c r="AJ71" s="450" t="str">
        <f t="shared" si="62"/>
        <v/>
      </c>
      <c r="AK71" s="450" t="str">
        <f t="shared" si="63"/>
        <v/>
      </c>
      <c r="AL71" s="450" t="str">
        <f t="shared" si="64"/>
        <v/>
      </c>
      <c r="AM71" s="450"/>
      <c r="AN71" s="450"/>
      <c r="AO71" s="450"/>
      <c r="AP71" s="450"/>
      <c r="AQ71" s="450"/>
      <c r="AR71" s="450"/>
      <c r="AS71" s="450"/>
      <c r="AT71" s="450"/>
      <c r="AU71" s="450"/>
      <c r="AV71" s="450"/>
      <c r="AW71" s="450"/>
      <c r="AX71" s="450"/>
      <c r="AY71" s="450"/>
      <c r="AZ71" s="450"/>
      <c r="BA71" s="450"/>
      <c r="BB71" s="450"/>
      <c r="BC71" s="450"/>
      <c r="BD71" s="450"/>
      <c r="BE71" s="450"/>
      <c r="BF71" s="450"/>
      <c r="BG71" s="450"/>
      <c r="BH71" s="450"/>
      <c r="BI71" s="450"/>
      <c r="BJ71" s="450"/>
      <c r="BK71" s="450"/>
      <c r="BL71" s="450"/>
      <c r="BM71" s="450"/>
    </row>
    <row r="72" spans="1:65" ht="24.9">
      <c r="A72" s="694" t="str">
        <f>Installations!F42</f>
        <v>La Condemine, 71250 Blanot</v>
      </c>
      <c r="B72" s="642" t="str">
        <f>Installations!D42</f>
        <v>543 La Ferme du Mont rouge Blanot</v>
      </c>
      <c r="C72" s="643"/>
      <c r="D72" s="644"/>
      <c r="E72" s="645">
        <f>IF(Installations!B42="oui",Installations!W42,0)</f>
        <v>0</v>
      </c>
      <c r="F72" s="646">
        <f>IF(Installations!B42="oui",Installations!AZ42,0)</f>
        <v>0</v>
      </c>
      <c r="G72" s="647">
        <f>IF(Installations!B42="oui",Installations!K42,0)</f>
        <v>0</v>
      </c>
      <c r="H72" s="652">
        <f t="shared" si="38"/>
        <v>0</v>
      </c>
      <c r="I72" s="635">
        <f t="shared" si="39"/>
        <v>0</v>
      </c>
      <c r="J72" s="635">
        <f t="shared" si="40"/>
        <v>0</v>
      </c>
      <c r="K72" s="635">
        <f t="shared" si="41"/>
        <v>0</v>
      </c>
      <c r="L72" s="636">
        <f t="shared" si="42"/>
        <v>0</v>
      </c>
      <c r="M72" s="636">
        <f t="shared" si="43"/>
        <v>0</v>
      </c>
      <c r="N72" s="648"/>
      <c r="O72" s="648"/>
      <c r="P72" s="695" t="str">
        <f t="shared" si="8"/>
        <v/>
      </c>
      <c r="Q72" s="450"/>
      <c r="R72" s="450" t="str">
        <f t="shared" si="44"/>
        <v/>
      </c>
      <c r="S72" s="450" t="str">
        <f t="shared" si="45"/>
        <v/>
      </c>
      <c r="T72" s="450" t="str">
        <f t="shared" si="46"/>
        <v/>
      </c>
      <c r="U72" s="450" t="str">
        <f t="shared" si="47"/>
        <v/>
      </c>
      <c r="V72" s="450" t="str">
        <f t="shared" si="48"/>
        <v/>
      </c>
      <c r="W72" s="450" t="str">
        <f t="shared" si="49"/>
        <v/>
      </c>
      <c r="X72" s="450" t="str">
        <f t="shared" si="50"/>
        <v/>
      </c>
      <c r="Y72" s="450" t="str">
        <f t="shared" si="51"/>
        <v/>
      </c>
      <c r="Z72" s="450" t="str">
        <f t="shared" si="52"/>
        <v/>
      </c>
      <c r="AA72" s="450" t="str">
        <f t="shared" si="53"/>
        <v/>
      </c>
      <c r="AB72" s="450" t="str">
        <f t="shared" si="54"/>
        <v/>
      </c>
      <c r="AC72" s="450" t="str">
        <f t="shared" si="55"/>
        <v/>
      </c>
      <c r="AD72" s="450" t="str">
        <f t="shared" si="56"/>
        <v/>
      </c>
      <c r="AE72" s="450" t="str">
        <f t="shared" si="57"/>
        <v/>
      </c>
      <c r="AF72" s="450" t="str">
        <f t="shared" si="58"/>
        <v/>
      </c>
      <c r="AG72" s="450" t="str">
        <f t="shared" si="59"/>
        <v/>
      </c>
      <c r="AH72" s="450" t="str">
        <f t="shared" si="60"/>
        <v/>
      </c>
      <c r="AI72" s="450" t="str">
        <f t="shared" si="61"/>
        <v/>
      </c>
      <c r="AJ72" s="450" t="str">
        <f t="shared" si="62"/>
        <v/>
      </c>
      <c r="AK72" s="450" t="str">
        <f t="shared" si="63"/>
        <v/>
      </c>
      <c r="AL72" s="450" t="str">
        <f t="shared" si="64"/>
        <v/>
      </c>
      <c r="AM72" s="450"/>
      <c r="AN72" s="450"/>
      <c r="AO72" s="450"/>
      <c r="AP72" s="450"/>
      <c r="AQ72" s="450"/>
      <c r="AR72" s="450"/>
      <c r="AS72" s="450"/>
      <c r="AT72" s="450"/>
      <c r="AU72" s="450"/>
      <c r="AV72" s="450"/>
      <c r="AW72" s="450"/>
      <c r="AX72" s="450"/>
      <c r="AY72" s="450"/>
      <c r="AZ72" s="450"/>
      <c r="BA72" s="450"/>
      <c r="BB72" s="450"/>
      <c r="BC72" s="450"/>
      <c r="BD72" s="450"/>
      <c r="BE72" s="450"/>
      <c r="BF72" s="450"/>
      <c r="BG72" s="450"/>
      <c r="BH72" s="450"/>
      <c r="BI72" s="450"/>
      <c r="BJ72" s="450"/>
      <c r="BK72" s="450"/>
      <c r="BL72" s="450"/>
      <c r="BM72" s="450"/>
    </row>
    <row r="73" spans="1:65" ht="24.9">
      <c r="A73" s="694" t="str">
        <f>Installations!F43</f>
        <v>La Condemine, 71250 Blanot</v>
      </c>
      <c r="B73" s="642" t="str">
        <f>Installations!D43</f>
        <v>543 La Ferme du Mont rouge Blanot</v>
      </c>
      <c r="C73" s="643"/>
      <c r="D73" s="644"/>
      <c r="E73" s="645">
        <f>IF(Installations!B43="oui",Installations!W43,0)</f>
        <v>0</v>
      </c>
      <c r="F73" s="646">
        <f>IF(Installations!B43="oui",Installations!AZ43,0)</f>
        <v>0</v>
      </c>
      <c r="G73" s="647">
        <f>IF(Installations!B43="oui",Installations!K43,0)</f>
        <v>0</v>
      </c>
      <c r="H73" s="652">
        <f t="shared" si="38"/>
        <v>0</v>
      </c>
      <c r="I73" s="635">
        <f t="shared" si="39"/>
        <v>0</v>
      </c>
      <c r="J73" s="635">
        <f t="shared" si="40"/>
        <v>0</v>
      </c>
      <c r="K73" s="635">
        <f t="shared" si="41"/>
        <v>0</v>
      </c>
      <c r="L73" s="636">
        <f t="shared" si="42"/>
        <v>0</v>
      </c>
      <c r="M73" s="636">
        <f t="shared" si="43"/>
        <v>0</v>
      </c>
      <c r="N73" s="648"/>
      <c r="O73" s="648"/>
      <c r="P73" s="695" t="str">
        <f t="shared" si="8"/>
        <v/>
      </c>
      <c r="Q73" s="450"/>
      <c r="R73" s="450" t="str">
        <f t="shared" si="44"/>
        <v/>
      </c>
      <c r="S73" s="450" t="str">
        <f t="shared" si="45"/>
        <v/>
      </c>
      <c r="T73" s="450" t="str">
        <f t="shared" si="46"/>
        <v/>
      </c>
      <c r="U73" s="450" t="str">
        <f t="shared" si="47"/>
        <v/>
      </c>
      <c r="V73" s="450" t="str">
        <f t="shared" si="48"/>
        <v/>
      </c>
      <c r="W73" s="450" t="str">
        <f t="shared" si="49"/>
        <v/>
      </c>
      <c r="X73" s="450" t="str">
        <f t="shared" si="50"/>
        <v/>
      </c>
      <c r="Y73" s="450" t="str">
        <f t="shared" si="51"/>
        <v/>
      </c>
      <c r="Z73" s="450" t="str">
        <f t="shared" si="52"/>
        <v/>
      </c>
      <c r="AA73" s="450" t="str">
        <f t="shared" si="53"/>
        <v/>
      </c>
      <c r="AB73" s="450" t="str">
        <f t="shared" si="54"/>
        <v/>
      </c>
      <c r="AC73" s="450" t="str">
        <f t="shared" si="55"/>
        <v/>
      </c>
      <c r="AD73" s="450" t="str">
        <f t="shared" si="56"/>
        <v/>
      </c>
      <c r="AE73" s="450" t="str">
        <f t="shared" si="57"/>
        <v/>
      </c>
      <c r="AF73" s="450" t="str">
        <f t="shared" si="58"/>
        <v/>
      </c>
      <c r="AG73" s="450" t="str">
        <f t="shared" si="59"/>
        <v/>
      </c>
      <c r="AH73" s="450" t="str">
        <f t="shared" si="60"/>
        <v/>
      </c>
      <c r="AI73" s="450" t="str">
        <f t="shared" si="61"/>
        <v/>
      </c>
      <c r="AJ73" s="450" t="str">
        <f t="shared" si="62"/>
        <v/>
      </c>
      <c r="AK73" s="450" t="str">
        <f t="shared" si="63"/>
        <v/>
      </c>
      <c r="AL73" s="450" t="str">
        <f t="shared" si="64"/>
        <v/>
      </c>
      <c r="AM73" s="450"/>
      <c r="AN73" s="450"/>
      <c r="AO73" s="450"/>
      <c r="AP73" s="450"/>
      <c r="AQ73" s="450"/>
      <c r="AR73" s="450"/>
      <c r="AS73" s="450"/>
      <c r="AT73" s="450"/>
      <c r="AU73" s="450"/>
      <c r="AV73" s="450"/>
      <c r="AW73" s="450"/>
      <c r="AX73" s="450"/>
      <c r="AY73" s="450"/>
      <c r="AZ73" s="450"/>
      <c r="BA73" s="450"/>
      <c r="BB73" s="450"/>
      <c r="BC73" s="450"/>
      <c r="BD73" s="450"/>
      <c r="BE73" s="450"/>
      <c r="BF73" s="450"/>
      <c r="BG73" s="450"/>
      <c r="BH73" s="450"/>
      <c r="BI73" s="450"/>
      <c r="BJ73" s="450"/>
      <c r="BK73" s="450"/>
      <c r="BL73" s="450"/>
      <c r="BM73" s="450"/>
    </row>
    <row r="74" spans="1:65">
      <c r="A74" s="694">
        <f>Installations!F44</f>
        <v>0</v>
      </c>
      <c r="B74" s="642" t="str">
        <f>Installations!D44</f>
        <v>546 Communauté de Taizé</v>
      </c>
      <c r="C74" s="643"/>
      <c r="D74" s="644"/>
      <c r="E74" s="645">
        <f>IF(Installations!B44="oui",Installations!W44,0)</f>
        <v>0</v>
      </c>
      <c r="F74" s="646">
        <f>IF(Installations!B44="oui",Installations!AZ44,0)</f>
        <v>0</v>
      </c>
      <c r="G74" s="647">
        <f>IF(Installations!B44="oui",Installations!K44,0)</f>
        <v>0</v>
      </c>
      <c r="H74" s="652">
        <f t="shared" si="38"/>
        <v>0</v>
      </c>
      <c r="I74" s="635">
        <f t="shared" si="39"/>
        <v>0</v>
      </c>
      <c r="J74" s="635">
        <f t="shared" si="40"/>
        <v>0</v>
      </c>
      <c r="K74" s="635">
        <f t="shared" si="41"/>
        <v>0</v>
      </c>
      <c r="L74" s="636">
        <f t="shared" si="42"/>
        <v>0</v>
      </c>
      <c r="M74" s="636">
        <f t="shared" si="43"/>
        <v>0</v>
      </c>
      <c r="N74" s="648"/>
      <c r="O74" s="648"/>
      <c r="P74" s="695" t="str">
        <f t="shared" si="8"/>
        <v/>
      </c>
      <c r="Q74" s="450"/>
      <c r="R74" s="450" t="str">
        <f t="shared" si="44"/>
        <v/>
      </c>
      <c r="S74" s="450" t="str">
        <f t="shared" si="45"/>
        <v/>
      </c>
      <c r="T74" s="450" t="str">
        <f t="shared" si="46"/>
        <v/>
      </c>
      <c r="U74" s="450" t="str">
        <f t="shared" si="47"/>
        <v/>
      </c>
      <c r="V74" s="450" t="str">
        <f t="shared" si="48"/>
        <v/>
      </c>
      <c r="W74" s="450" t="str">
        <f t="shared" si="49"/>
        <v/>
      </c>
      <c r="X74" s="450" t="str">
        <f t="shared" si="50"/>
        <v/>
      </c>
      <c r="Y74" s="450" t="str">
        <f t="shared" si="51"/>
        <v/>
      </c>
      <c r="Z74" s="450" t="str">
        <f t="shared" si="52"/>
        <v/>
      </c>
      <c r="AA74" s="450" t="str">
        <f t="shared" si="53"/>
        <v/>
      </c>
      <c r="AB74" s="450" t="str">
        <f t="shared" si="54"/>
        <v/>
      </c>
      <c r="AC74" s="450" t="str">
        <f t="shared" si="55"/>
        <v/>
      </c>
      <c r="AD74" s="450" t="str">
        <f t="shared" si="56"/>
        <v/>
      </c>
      <c r="AE74" s="450" t="str">
        <f t="shared" si="57"/>
        <v/>
      </c>
      <c r="AF74" s="450" t="str">
        <f t="shared" si="58"/>
        <v/>
      </c>
      <c r="AG74" s="450" t="str">
        <f t="shared" si="59"/>
        <v/>
      </c>
      <c r="AH74" s="450" t="str">
        <f t="shared" si="60"/>
        <v/>
      </c>
      <c r="AI74" s="450" t="str">
        <f t="shared" si="61"/>
        <v/>
      </c>
      <c r="AJ74" s="450" t="str">
        <f t="shared" si="62"/>
        <v/>
      </c>
      <c r="AK74" s="450" t="str">
        <f t="shared" si="63"/>
        <v/>
      </c>
      <c r="AL74" s="450" t="str">
        <f t="shared" si="64"/>
        <v/>
      </c>
      <c r="AM74" s="450"/>
      <c r="AN74" s="450"/>
      <c r="AO74" s="450"/>
      <c r="AP74" s="450"/>
      <c r="AQ74" s="450"/>
      <c r="AR74" s="450"/>
      <c r="AS74" s="450"/>
      <c r="AT74" s="450"/>
      <c r="AU74" s="450"/>
      <c r="AV74" s="450"/>
      <c r="AW74" s="450"/>
      <c r="AX74" s="450"/>
      <c r="AY74" s="450"/>
      <c r="AZ74" s="450"/>
      <c r="BA74" s="450"/>
      <c r="BB74" s="450"/>
      <c r="BC74" s="450"/>
      <c r="BD74" s="450"/>
      <c r="BE74" s="450"/>
      <c r="BF74" s="450"/>
      <c r="BG74" s="450"/>
      <c r="BH74" s="450"/>
      <c r="BI74" s="450"/>
      <c r="BJ74" s="450"/>
      <c r="BK74" s="450"/>
      <c r="BL74" s="450"/>
      <c r="BM74" s="450"/>
    </row>
    <row r="75" spans="1:65" ht="37.35">
      <c r="A75" s="694" t="str">
        <f>Installations!F45</f>
        <v>Rue des Courots  71000 Varennes-lès-Mâcon</v>
      </c>
      <c r="B75" s="642" t="str">
        <f>Installations!D45</f>
        <v>550 Salle intergénérationnelle Varennes-lès-Mâcon</v>
      </c>
      <c r="C75" s="643"/>
      <c r="D75" s="644"/>
      <c r="E75" s="645">
        <f>IF(Installations!B45="oui",Installations!W45,0)</f>
        <v>0</v>
      </c>
      <c r="F75" s="646">
        <f>IF(Installations!B45="oui",Installations!AZ45,0)</f>
        <v>0</v>
      </c>
      <c r="G75" s="647">
        <f>IF(Installations!B45="oui",Installations!K45,0)</f>
        <v>0</v>
      </c>
      <c r="H75" s="652">
        <f t="shared" si="38"/>
        <v>0</v>
      </c>
      <c r="I75" s="635">
        <f t="shared" si="39"/>
        <v>0</v>
      </c>
      <c r="J75" s="635">
        <f t="shared" si="40"/>
        <v>0</v>
      </c>
      <c r="K75" s="635">
        <f t="shared" si="41"/>
        <v>0</v>
      </c>
      <c r="L75" s="636">
        <f t="shared" si="42"/>
        <v>0</v>
      </c>
      <c r="M75" s="636">
        <f t="shared" si="43"/>
        <v>0</v>
      </c>
      <c r="N75" s="648"/>
      <c r="O75" s="648"/>
      <c r="P75" s="695" t="str">
        <f t="shared" si="8"/>
        <v/>
      </c>
      <c r="Q75" s="450"/>
      <c r="R75" s="450" t="str">
        <f t="shared" si="44"/>
        <v/>
      </c>
      <c r="S75" s="450" t="str">
        <f t="shared" si="45"/>
        <v/>
      </c>
      <c r="T75" s="450" t="str">
        <f t="shared" si="46"/>
        <v/>
      </c>
      <c r="U75" s="450" t="str">
        <f t="shared" si="47"/>
        <v/>
      </c>
      <c r="V75" s="450" t="str">
        <f t="shared" si="48"/>
        <v/>
      </c>
      <c r="W75" s="450" t="str">
        <f t="shared" si="49"/>
        <v/>
      </c>
      <c r="X75" s="450" t="str">
        <f t="shared" si="50"/>
        <v/>
      </c>
      <c r="Y75" s="450" t="str">
        <f t="shared" si="51"/>
        <v/>
      </c>
      <c r="Z75" s="450" t="str">
        <f t="shared" si="52"/>
        <v/>
      </c>
      <c r="AA75" s="450" t="str">
        <f t="shared" si="53"/>
        <v/>
      </c>
      <c r="AB75" s="450" t="str">
        <f t="shared" si="54"/>
        <v/>
      </c>
      <c r="AC75" s="450" t="str">
        <f t="shared" si="55"/>
        <v/>
      </c>
      <c r="AD75" s="450" t="str">
        <f t="shared" si="56"/>
        <v/>
      </c>
      <c r="AE75" s="450" t="str">
        <f t="shared" si="57"/>
        <v/>
      </c>
      <c r="AF75" s="450" t="str">
        <f t="shared" si="58"/>
        <v/>
      </c>
      <c r="AG75" s="450" t="str">
        <f t="shared" si="59"/>
        <v/>
      </c>
      <c r="AH75" s="450" t="str">
        <f t="shared" si="60"/>
        <v/>
      </c>
      <c r="AI75" s="450" t="str">
        <f t="shared" si="61"/>
        <v/>
      </c>
      <c r="AJ75" s="450" t="str">
        <f t="shared" si="62"/>
        <v/>
      </c>
      <c r="AK75" s="450" t="str">
        <f t="shared" si="63"/>
        <v/>
      </c>
      <c r="AL75" s="450" t="str">
        <f t="shared" si="64"/>
        <v/>
      </c>
      <c r="AM75" s="450"/>
      <c r="AN75" s="450"/>
      <c r="AO75" s="450"/>
      <c r="AP75" s="450"/>
      <c r="AQ75" s="450"/>
      <c r="AR75" s="450"/>
      <c r="AS75" s="450"/>
      <c r="AT75" s="450"/>
      <c r="AU75" s="450"/>
      <c r="AV75" s="450"/>
      <c r="AW75" s="450"/>
      <c r="AX75" s="450"/>
      <c r="AY75" s="450"/>
      <c r="AZ75" s="450"/>
      <c r="BA75" s="450"/>
      <c r="BB75" s="450"/>
      <c r="BC75" s="450"/>
      <c r="BD75" s="450"/>
      <c r="BE75" s="450"/>
      <c r="BF75" s="450"/>
      <c r="BG75" s="450"/>
      <c r="BH75" s="450"/>
      <c r="BI75" s="450"/>
      <c r="BJ75" s="450"/>
      <c r="BK75" s="450"/>
      <c r="BL75" s="450"/>
      <c r="BM75" s="450"/>
    </row>
    <row r="76" spans="1:65" ht="37.35">
      <c r="A76" s="694" t="str">
        <f>Installations!F46</f>
        <v>Rue des Courots  71000 Varennes-lès-Mâcon</v>
      </c>
      <c r="B76" s="642" t="str">
        <f>Installations!D46</f>
        <v>550 Salle intergénérationnelle Varennes-lès-Mâcon</v>
      </c>
      <c r="C76" s="643"/>
      <c r="D76" s="644"/>
      <c r="E76" s="645">
        <f>IF(Installations!B46="oui",Installations!W46,0)</f>
        <v>0</v>
      </c>
      <c r="F76" s="646">
        <f>IF(Installations!B46="oui",Installations!AZ46,0)</f>
        <v>0</v>
      </c>
      <c r="G76" s="647">
        <f>IF(Installations!B46="oui",Installations!K46,0)</f>
        <v>0</v>
      </c>
      <c r="H76" s="652">
        <f t="shared" si="38"/>
        <v>0</v>
      </c>
      <c r="I76" s="635">
        <f t="shared" si="39"/>
        <v>0</v>
      </c>
      <c r="J76" s="635">
        <f t="shared" si="40"/>
        <v>0</v>
      </c>
      <c r="K76" s="635">
        <f t="shared" si="41"/>
        <v>0</v>
      </c>
      <c r="L76" s="636">
        <f t="shared" si="42"/>
        <v>0</v>
      </c>
      <c r="M76" s="636">
        <f t="shared" si="43"/>
        <v>0</v>
      </c>
      <c r="N76" s="648"/>
      <c r="O76" s="648"/>
      <c r="P76" s="695" t="str">
        <f t="shared" si="8"/>
        <v/>
      </c>
      <c r="Q76" s="450"/>
      <c r="R76" s="450" t="str">
        <f t="shared" si="44"/>
        <v/>
      </c>
      <c r="S76" s="450" t="str">
        <f t="shared" si="45"/>
        <v/>
      </c>
      <c r="T76" s="450" t="str">
        <f t="shared" si="46"/>
        <v/>
      </c>
      <c r="U76" s="450" t="str">
        <f t="shared" si="47"/>
        <v/>
      </c>
      <c r="V76" s="450" t="str">
        <f t="shared" si="48"/>
        <v/>
      </c>
      <c r="W76" s="450" t="str">
        <f t="shared" si="49"/>
        <v/>
      </c>
      <c r="X76" s="450" t="str">
        <f t="shared" si="50"/>
        <v/>
      </c>
      <c r="Y76" s="450" t="str">
        <f t="shared" si="51"/>
        <v/>
      </c>
      <c r="Z76" s="450" t="str">
        <f t="shared" si="52"/>
        <v/>
      </c>
      <c r="AA76" s="450" t="str">
        <f t="shared" si="53"/>
        <v/>
      </c>
      <c r="AB76" s="450" t="str">
        <f t="shared" si="54"/>
        <v/>
      </c>
      <c r="AC76" s="450" t="str">
        <f t="shared" si="55"/>
        <v/>
      </c>
      <c r="AD76" s="450" t="str">
        <f t="shared" si="56"/>
        <v/>
      </c>
      <c r="AE76" s="450" t="str">
        <f t="shared" si="57"/>
        <v/>
      </c>
      <c r="AF76" s="450" t="str">
        <f t="shared" si="58"/>
        <v/>
      </c>
      <c r="AG76" s="450" t="str">
        <f t="shared" si="59"/>
        <v/>
      </c>
      <c r="AH76" s="450" t="str">
        <f t="shared" si="60"/>
        <v/>
      </c>
      <c r="AI76" s="450" t="str">
        <f t="shared" si="61"/>
        <v/>
      </c>
      <c r="AJ76" s="450" t="str">
        <f t="shared" si="62"/>
        <v/>
      </c>
      <c r="AK76" s="450" t="str">
        <f t="shared" si="63"/>
        <v/>
      </c>
      <c r="AL76" s="450" t="str">
        <f t="shared" si="64"/>
        <v/>
      </c>
      <c r="AM76" s="450"/>
      <c r="AN76" s="450"/>
      <c r="AO76" s="450"/>
      <c r="AP76" s="450"/>
      <c r="AQ76" s="450"/>
      <c r="AR76" s="450"/>
      <c r="AS76" s="450"/>
      <c r="AT76" s="450"/>
      <c r="AU76" s="450"/>
      <c r="AV76" s="450"/>
      <c r="AW76" s="450"/>
      <c r="AX76" s="450"/>
      <c r="AY76" s="450"/>
      <c r="AZ76" s="450"/>
      <c r="BA76" s="450"/>
      <c r="BB76" s="450"/>
      <c r="BC76" s="450"/>
      <c r="BD76" s="450"/>
      <c r="BE76" s="450"/>
      <c r="BF76" s="450"/>
      <c r="BG76" s="450"/>
      <c r="BH76" s="450"/>
      <c r="BI76" s="450"/>
      <c r="BJ76" s="450"/>
      <c r="BK76" s="450"/>
      <c r="BL76" s="450"/>
      <c r="BM76" s="450"/>
    </row>
    <row r="77" spans="1:65" ht="37.35">
      <c r="A77" s="694" t="str">
        <f>Installations!F47</f>
        <v>Rue des Courots  71000 Varennes-lès-Mâcon</v>
      </c>
      <c r="B77" s="642" t="str">
        <f>Installations!D47</f>
        <v>550 Salle intergénérationnelle Varennes-lès-Mâcon</v>
      </c>
      <c r="C77" s="643"/>
      <c r="D77" s="644"/>
      <c r="E77" s="645">
        <f>IF(Installations!B47="oui",Installations!W47,0)</f>
        <v>0</v>
      </c>
      <c r="F77" s="646">
        <f>IF(Installations!B47="oui",Installations!AZ47,0)</f>
        <v>0</v>
      </c>
      <c r="G77" s="647">
        <f>IF(Installations!B47="oui",Installations!K47,0)</f>
        <v>0</v>
      </c>
      <c r="H77" s="652">
        <f t="shared" si="38"/>
        <v>0</v>
      </c>
      <c r="I77" s="635">
        <f t="shared" si="39"/>
        <v>0</v>
      </c>
      <c r="J77" s="635">
        <f t="shared" si="40"/>
        <v>0</v>
      </c>
      <c r="K77" s="635">
        <f t="shared" si="41"/>
        <v>0</v>
      </c>
      <c r="L77" s="636">
        <f t="shared" si="42"/>
        <v>0</v>
      </c>
      <c r="M77" s="636">
        <f t="shared" si="43"/>
        <v>0</v>
      </c>
      <c r="N77" s="648"/>
      <c r="O77" s="648"/>
      <c r="P77" s="695" t="str">
        <f t="shared" ref="P77:P99" si="65">IF(C77&gt;0,YEAR(C77),"")</f>
        <v/>
      </c>
      <c r="Q77" s="450"/>
      <c r="R77" s="450" t="str">
        <f t="shared" si="44"/>
        <v/>
      </c>
      <c r="S77" s="450" t="str">
        <f t="shared" si="45"/>
        <v/>
      </c>
      <c r="T77" s="450" t="str">
        <f t="shared" si="46"/>
        <v/>
      </c>
      <c r="U77" s="450" t="str">
        <f t="shared" si="47"/>
        <v/>
      </c>
      <c r="V77" s="450" t="str">
        <f t="shared" si="48"/>
        <v/>
      </c>
      <c r="W77" s="450" t="str">
        <f t="shared" si="49"/>
        <v/>
      </c>
      <c r="X77" s="450" t="str">
        <f t="shared" si="50"/>
        <v/>
      </c>
      <c r="Y77" s="450" t="str">
        <f t="shared" si="51"/>
        <v/>
      </c>
      <c r="Z77" s="450" t="str">
        <f t="shared" si="52"/>
        <v/>
      </c>
      <c r="AA77" s="450" t="str">
        <f t="shared" si="53"/>
        <v/>
      </c>
      <c r="AB77" s="450" t="str">
        <f t="shared" si="54"/>
        <v/>
      </c>
      <c r="AC77" s="450" t="str">
        <f t="shared" si="55"/>
        <v/>
      </c>
      <c r="AD77" s="450" t="str">
        <f t="shared" si="56"/>
        <v/>
      </c>
      <c r="AE77" s="450" t="str">
        <f t="shared" si="57"/>
        <v/>
      </c>
      <c r="AF77" s="450" t="str">
        <f t="shared" si="58"/>
        <v/>
      </c>
      <c r="AG77" s="450" t="str">
        <f t="shared" si="59"/>
        <v/>
      </c>
      <c r="AH77" s="450" t="str">
        <f t="shared" si="60"/>
        <v/>
      </c>
      <c r="AI77" s="450" t="str">
        <f t="shared" si="61"/>
        <v/>
      </c>
      <c r="AJ77" s="450" t="str">
        <f t="shared" si="62"/>
        <v/>
      </c>
      <c r="AK77" s="450" t="str">
        <f t="shared" si="63"/>
        <v/>
      </c>
      <c r="AL77" s="450" t="str">
        <f t="shared" si="64"/>
        <v/>
      </c>
      <c r="AM77" s="450"/>
      <c r="AN77" s="450"/>
      <c r="AO77" s="450"/>
      <c r="AP77" s="450"/>
      <c r="AQ77" s="450"/>
      <c r="AR77" s="450"/>
      <c r="AS77" s="450"/>
      <c r="AT77" s="450"/>
      <c r="AU77" s="450"/>
      <c r="AV77" s="450"/>
      <c r="AW77" s="450"/>
      <c r="AX77" s="450"/>
      <c r="AY77" s="450"/>
      <c r="AZ77" s="450"/>
      <c r="BA77" s="450"/>
      <c r="BB77" s="450"/>
      <c r="BC77" s="450"/>
      <c r="BD77" s="450"/>
      <c r="BE77" s="450"/>
      <c r="BF77" s="450"/>
      <c r="BG77" s="450"/>
      <c r="BH77" s="450"/>
      <c r="BI77" s="450"/>
      <c r="BJ77" s="450"/>
      <c r="BK77" s="450"/>
      <c r="BL77" s="450"/>
      <c r="BM77" s="450"/>
    </row>
    <row r="78" spans="1:65" ht="37.35">
      <c r="A78" s="694" t="str">
        <f>Installations!F48</f>
        <v>Rue des Courots  71000 Varennes-lès-Mâcon</v>
      </c>
      <c r="B78" s="642" t="str">
        <f>Installations!D48</f>
        <v>550 Salle intergénérationnelle Varennes-lès-Mâcon</v>
      </c>
      <c r="C78" s="643"/>
      <c r="D78" s="644"/>
      <c r="E78" s="645">
        <f>IF(Installations!B48="oui",Installations!W48,0)</f>
        <v>0</v>
      </c>
      <c r="F78" s="646">
        <f>IF(Installations!B48="oui",Installations!AZ48,0)</f>
        <v>0</v>
      </c>
      <c r="G78" s="647">
        <f>IF(Installations!B48="oui",Installations!K48,0)</f>
        <v>0</v>
      </c>
      <c r="H78" s="652">
        <f t="shared" si="38"/>
        <v>0</v>
      </c>
      <c r="I78" s="635">
        <f t="shared" si="39"/>
        <v>0</v>
      </c>
      <c r="J78" s="635">
        <f t="shared" si="40"/>
        <v>0</v>
      </c>
      <c r="K78" s="635">
        <f t="shared" si="41"/>
        <v>0</v>
      </c>
      <c r="L78" s="636">
        <f t="shared" si="42"/>
        <v>0</v>
      </c>
      <c r="M78" s="636">
        <f t="shared" si="43"/>
        <v>0</v>
      </c>
      <c r="N78" s="648"/>
      <c r="O78" s="648"/>
      <c r="P78" s="695" t="str">
        <f t="shared" si="65"/>
        <v/>
      </c>
      <c r="Q78" s="450"/>
      <c r="R78" s="450" t="str">
        <f t="shared" si="44"/>
        <v/>
      </c>
      <c r="S78" s="450" t="str">
        <f t="shared" si="45"/>
        <v/>
      </c>
      <c r="T78" s="450" t="str">
        <f t="shared" si="46"/>
        <v/>
      </c>
      <c r="U78" s="450" t="str">
        <f t="shared" si="47"/>
        <v/>
      </c>
      <c r="V78" s="450" t="str">
        <f t="shared" si="48"/>
        <v/>
      </c>
      <c r="W78" s="450" t="str">
        <f t="shared" si="49"/>
        <v/>
      </c>
      <c r="X78" s="450" t="str">
        <f t="shared" si="50"/>
        <v/>
      </c>
      <c r="Y78" s="450" t="str">
        <f t="shared" si="51"/>
        <v/>
      </c>
      <c r="Z78" s="450" t="str">
        <f t="shared" si="52"/>
        <v/>
      </c>
      <c r="AA78" s="450" t="str">
        <f t="shared" si="53"/>
        <v/>
      </c>
      <c r="AB78" s="450" t="str">
        <f t="shared" si="54"/>
        <v/>
      </c>
      <c r="AC78" s="450" t="str">
        <f t="shared" si="55"/>
        <v/>
      </c>
      <c r="AD78" s="450" t="str">
        <f t="shared" si="56"/>
        <v/>
      </c>
      <c r="AE78" s="450" t="str">
        <f t="shared" si="57"/>
        <v/>
      </c>
      <c r="AF78" s="450" t="str">
        <f t="shared" si="58"/>
        <v/>
      </c>
      <c r="AG78" s="450" t="str">
        <f t="shared" si="59"/>
        <v/>
      </c>
      <c r="AH78" s="450" t="str">
        <f t="shared" si="60"/>
        <v/>
      </c>
      <c r="AI78" s="450" t="str">
        <f t="shared" si="61"/>
        <v/>
      </c>
      <c r="AJ78" s="450" t="str">
        <f t="shared" si="62"/>
        <v/>
      </c>
      <c r="AK78" s="450" t="str">
        <f t="shared" si="63"/>
        <v/>
      </c>
      <c r="AL78" s="450" t="str">
        <f t="shared" si="64"/>
        <v/>
      </c>
      <c r="AM78" s="450"/>
      <c r="AN78" s="450"/>
      <c r="AO78" s="450"/>
      <c r="AP78" s="450"/>
      <c r="AQ78" s="450"/>
      <c r="AR78" s="450"/>
      <c r="AS78" s="450"/>
      <c r="AT78" s="450"/>
      <c r="AU78" s="450"/>
      <c r="AV78" s="450"/>
      <c r="AW78" s="450"/>
      <c r="AX78" s="450"/>
      <c r="AY78" s="450"/>
      <c r="AZ78" s="450"/>
      <c r="BA78" s="450"/>
      <c r="BB78" s="450"/>
      <c r="BC78" s="450"/>
      <c r="BD78" s="450"/>
      <c r="BE78" s="450"/>
      <c r="BF78" s="450"/>
      <c r="BG78" s="450"/>
      <c r="BH78" s="450"/>
      <c r="BI78" s="450"/>
      <c r="BJ78" s="450"/>
      <c r="BK78" s="450"/>
      <c r="BL78" s="450"/>
      <c r="BM78" s="450"/>
    </row>
    <row r="79" spans="1:65">
      <c r="A79" s="694" t="str">
        <f>Installations!F49</f>
        <v>27 rue des Griottons 71250 Cluny</v>
      </c>
      <c r="B79" s="642" t="str">
        <f>Installations!D49</f>
        <v>556 Laurent GAUTHIE Cluny</v>
      </c>
      <c r="C79" s="643"/>
      <c r="D79" s="644"/>
      <c r="E79" s="645">
        <f>IF(Installations!B49="oui",Installations!W49,0)</f>
        <v>0</v>
      </c>
      <c r="F79" s="646">
        <f>IF(Installations!B49="oui",Installations!AZ49,0)</f>
        <v>0</v>
      </c>
      <c r="G79" s="647">
        <f>IF(Installations!B49="oui",Installations!K49,0)</f>
        <v>0</v>
      </c>
      <c r="H79" s="652">
        <f t="shared" si="38"/>
        <v>0</v>
      </c>
      <c r="I79" s="635">
        <f t="shared" si="39"/>
        <v>0</v>
      </c>
      <c r="J79" s="635">
        <f t="shared" si="40"/>
        <v>0</v>
      </c>
      <c r="K79" s="635">
        <f t="shared" si="41"/>
        <v>0</v>
      </c>
      <c r="L79" s="636">
        <f t="shared" si="42"/>
        <v>0</v>
      </c>
      <c r="M79" s="636">
        <f t="shared" si="43"/>
        <v>0</v>
      </c>
      <c r="N79" s="648"/>
      <c r="O79" s="648"/>
      <c r="P79" s="695" t="str">
        <f t="shared" si="65"/>
        <v/>
      </c>
      <c r="Q79" s="450"/>
      <c r="R79" s="450" t="str">
        <f t="shared" si="44"/>
        <v/>
      </c>
      <c r="S79" s="450" t="str">
        <f t="shared" si="45"/>
        <v/>
      </c>
      <c r="T79" s="450" t="str">
        <f t="shared" si="46"/>
        <v/>
      </c>
      <c r="U79" s="450" t="str">
        <f t="shared" si="47"/>
        <v/>
      </c>
      <c r="V79" s="450" t="str">
        <f t="shared" si="48"/>
        <v/>
      </c>
      <c r="W79" s="450" t="str">
        <f t="shared" si="49"/>
        <v/>
      </c>
      <c r="X79" s="450" t="str">
        <f t="shared" si="50"/>
        <v/>
      </c>
      <c r="Y79" s="450" t="str">
        <f t="shared" si="51"/>
        <v/>
      </c>
      <c r="Z79" s="450" t="str">
        <f t="shared" si="52"/>
        <v/>
      </c>
      <c r="AA79" s="450" t="str">
        <f t="shared" si="53"/>
        <v/>
      </c>
      <c r="AB79" s="450" t="str">
        <f t="shared" si="54"/>
        <v/>
      </c>
      <c r="AC79" s="450" t="str">
        <f t="shared" si="55"/>
        <v/>
      </c>
      <c r="AD79" s="450" t="str">
        <f t="shared" si="56"/>
        <v/>
      </c>
      <c r="AE79" s="450" t="str">
        <f t="shared" si="57"/>
        <v/>
      </c>
      <c r="AF79" s="450" t="str">
        <f t="shared" si="58"/>
        <v/>
      </c>
      <c r="AG79" s="450" t="str">
        <f t="shared" si="59"/>
        <v/>
      </c>
      <c r="AH79" s="450" t="str">
        <f t="shared" si="60"/>
        <v/>
      </c>
      <c r="AI79" s="450" t="str">
        <f t="shared" si="61"/>
        <v/>
      </c>
      <c r="AJ79" s="450" t="str">
        <f t="shared" si="62"/>
        <v/>
      </c>
      <c r="AK79" s="450" t="str">
        <f t="shared" si="63"/>
        <v/>
      </c>
      <c r="AL79" s="450" t="str">
        <f t="shared" si="64"/>
        <v/>
      </c>
      <c r="AM79" s="450"/>
      <c r="AN79" s="450"/>
      <c r="AO79" s="450"/>
      <c r="AP79" s="450"/>
      <c r="AQ79" s="450"/>
      <c r="AR79" s="450"/>
      <c r="AS79" s="450"/>
      <c r="AT79" s="450"/>
      <c r="AU79" s="450"/>
      <c r="AV79" s="450"/>
      <c r="AW79" s="450"/>
      <c r="AX79" s="450"/>
      <c r="AY79" s="450"/>
      <c r="AZ79" s="450"/>
      <c r="BA79" s="450"/>
      <c r="BB79" s="450"/>
      <c r="BC79" s="450"/>
      <c r="BD79" s="450"/>
      <c r="BE79" s="450"/>
      <c r="BF79" s="450"/>
      <c r="BG79" s="450"/>
      <c r="BH79" s="450"/>
      <c r="BI79" s="450"/>
      <c r="BJ79" s="450"/>
      <c r="BK79" s="450"/>
      <c r="BL79" s="450"/>
      <c r="BM79" s="450"/>
    </row>
    <row r="80" spans="1:65" ht="24.9">
      <c r="A80" s="694" t="str">
        <f>Installations!F50</f>
        <v>505 chemin du gros mont 71960 Chevagny-les-Chevrières</v>
      </c>
      <c r="B80" s="642" t="str">
        <f>Installations!D50</f>
        <v>561 Centre équestre Chevagny-les-Chevrières</v>
      </c>
      <c r="C80" s="643"/>
      <c r="D80" s="644"/>
      <c r="E80" s="645">
        <f>IF(Installations!B50="oui",Installations!W50,0)</f>
        <v>0</v>
      </c>
      <c r="F80" s="646">
        <f>IF(Installations!B50="oui",Installations!AZ50,0)</f>
        <v>0</v>
      </c>
      <c r="G80" s="647">
        <f>IF(Installations!B50="oui",Installations!K50,0)</f>
        <v>0</v>
      </c>
      <c r="H80" s="652">
        <f t="shared" si="38"/>
        <v>0</v>
      </c>
      <c r="I80" s="635">
        <f t="shared" si="39"/>
        <v>0</v>
      </c>
      <c r="J80" s="635">
        <f t="shared" si="40"/>
        <v>0</v>
      </c>
      <c r="K80" s="635">
        <f t="shared" si="41"/>
        <v>0</v>
      </c>
      <c r="L80" s="636">
        <f t="shared" si="42"/>
        <v>0</v>
      </c>
      <c r="M80" s="636">
        <f t="shared" si="43"/>
        <v>0</v>
      </c>
      <c r="N80" s="648"/>
      <c r="O80" s="648"/>
      <c r="P80" s="695" t="str">
        <f t="shared" si="65"/>
        <v/>
      </c>
      <c r="Q80" s="450"/>
      <c r="R80" s="450" t="str">
        <f t="shared" si="44"/>
        <v/>
      </c>
      <c r="S80" s="450" t="str">
        <f t="shared" si="45"/>
        <v/>
      </c>
      <c r="T80" s="450" t="str">
        <f t="shared" si="46"/>
        <v/>
      </c>
      <c r="U80" s="450" t="str">
        <f t="shared" si="47"/>
        <v/>
      </c>
      <c r="V80" s="450" t="str">
        <f t="shared" si="48"/>
        <v/>
      </c>
      <c r="W80" s="450" t="str">
        <f t="shared" si="49"/>
        <v/>
      </c>
      <c r="X80" s="450" t="str">
        <f t="shared" si="50"/>
        <v/>
      </c>
      <c r="Y80" s="450" t="str">
        <f t="shared" si="51"/>
        <v/>
      </c>
      <c r="Z80" s="450" t="str">
        <f t="shared" si="52"/>
        <v/>
      </c>
      <c r="AA80" s="450" t="str">
        <f t="shared" si="53"/>
        <v/>
      </c>
      <c r="AB80" s="450" t="str">
        <f t="shared" si="54"/>
        <v/>
      </c>
      <c r="AC80" s="450" t="str">
        <f t="shared" si="55"/>
        <v/>
      </c>
      <c r="AD80" s="450" t="str">
        <f t="shared" si="56"/>
        <v/>
      </c>
      <c r="AE80" s="450" t="str">
        <f t="shared" si="57"/>
        <v/>
      </c>
      <c r="AF80" s="450" t="str">
        <f t="shared" si="58"/>
        <v/>
      </c>
      <c r="AG80" s="450" t="str">
        <f t="shared" si="59"/>
        <v/>
      </c>
      <c r="AH80" s="450" t="str">
        <f t="shared" si="60"/>
        <v/>
      </c>
      <c r="AI80" s="450" t="str">
        <f t="shared" si="61"/>
        <v/>
      </c>
      <c r="AJ80" s="450" t="str">
        <f t="shared" si="62"/>
        <v/>
      </c>
      <c r="AK80" s="450" t="str">
        <f t="shared" si="63"/>
        <v/>
      </c>
      <c r="AL80" s="450" t="str">
        <f t="shared" si="64"/>
        <v/>
      </c>
      <c r="AM80" s="450"/>
      <c r="AN80" s="450"/>
      <c r="AO80" s="450"/>
      <c r="AP80" s="450"/>
      <c r="AQ80" s="450"/>
      <c r="AR80" s="450"/>
      <c r="AS80" s="450"/>
      <c r="AT80" s="450"/>
      <c r="AU80" s="450"/>
      <c r="AV80" s="450"/>
      <c r="AW80" s="450"/>
      <c r="AX80" s="450"/>
      <c r="AY80" s="450"/>
      <c r="AZ80" s="450"/>
      <c r="BA80" s="450"/>
      <c r="BB80" s="450"/>
      <c r="BC80" s="450"/>
      <c r="BD80" s="450"/>
      <c r="BE80" s="450"/>
      <c r="BF80" s="450"/>
      <c r="BG80" s="450"/>
      <c r="BH80" s="450"/>
      <c r="BI80" s="450"/>
      <c r="BJ80" s="450"/>
      <c r="BK80" s="450"/>
      <c r="BL80" s="450"/>
      <c r="BM80" s="450"/>
    </row>
    <row r="81" spans="1:65" ht="24.9">
      <c r="A81" s="694" t="str">
        <f>Installations!F51</f>
        <v>505 chemin du gros mont 71960 Chevagny-les-Chevrières</v>
      </c>
      <c r="B81" s="642" t="str">
        <f>Installations!D51</f>
        <v>561 Centre équestre Chevagny-les-Chevrières</v>
      </c>
      <c r="C81" s="643"/>
      <c r="D81" s="644"/>
      <c r="E81" s="645">
        <f>IF(Installations!B51="oui",Installations!W51,0)</f>
        <v>0</v>
      </c>
      <c r="F81" s="646">
        <f>IF(Installations!B51="oui",Installations!AZ51,0)</f>
        <v>0</v>
      </c>
      <c r="G81" s="647">
        <f>IF(Installations!B51="oui",Installations!K51,0)</f>
        <v>0</v>
      </c>
      <c r="H81" s="652">
        <f t="shared" si="38"/>
        <v>0</v>
      </c>
      <c r="I81" s="635">
        <f t="shared" si="39"/>
        <v>0</v>
      </c>
      <c r="J81" s="635">
        <f t="shared" si="40"/>
        <v>0</v>
      </c>
      <c r="K81" s="635">
        <f t="shared" si="41"/>
        <v>0</v>
      </c>
      <c r="L81" s="636">
        <f t="shared" si="42"/>
        <v>0</v>
      </c>
      <c r="M81" s="636">
        <f t="shared" si="43"/>
        <v>0</v>
      </c>
      <c r="N81" s="648"/>
      <c r="O81" s="648"/>
      <c r="P81" s="695" t="str">
        <f t="shared" si="65"/>
        <v/>
      </c>
      <c r="Q81" s="450"/>
      <c r="R81" s="450" t="str">
        <f t="shared" si="44"/>
        <v/>
      </c>
      <c r="S81" s="450" t="str">
        <f t="shared" si="45"/>
        <v/>
      </c>
      <c r="T81" s="450" t="str">
        <f t="shared" si="46"/>
        <v/>
      </c>
      <c r="U81" s="450" t="str">
        <f t="shared" si="47"/>
        <v/>
      </c>
      <c r="V81" s="450" t="str">
        <f t="shared" si="48"/>
        <v/>
      </c>
      <c r="W81" s="450" t="str">
        <f t="shared" si="49"/>
        <v/>
      </c>
      <c r="X81" s="450" t="str">
        <f t="shared" si="50"/>
        <v/>
      </c>
      <c r="Y81" s="450" t="str">
        <f t="shared" si="51"/>
        <v/>
      </c>
      <c r="Z81" s="450" t="str">
        <f t="shared" si="52"/>
        <v/>
      </c>
      <c r="AA81" s="450" t="str">
        <f t="shared" si="53"/>
        <v/>
      </c>
      <c r="AB81" s="450" t="str">
        <f t="shared" si="54"/>
        <v/>
      </c>
      <c r="AC81" s="450" t="str">
        <f t="shared" si="55"/>
        <v/>
      </c>
      <c r="AD81" s="450" t="str">
        <f t="shared" si="56"/>
        <v/>
      </c>
      <c r="AE81" s="450" t="str">
        <f t="shared" si="57"/>
        <v/>
      </c>
      <c r="AF81" s="450" t="str">
        <f t="shared" si="58"/>
        <v/>
      </c>
      <c r="AG81" s="450" t="str">
        <f t="shared" si="59"/>
        <v/>
      </c>
      <c r="AH81" s="450" t="str">
        <f t="shared" si="60"/>
        <v/>
      </c>
      <c r="AI81" s="450" t="str">
        <f t="shared" si="61"/>
        <v/>
      </c>
      <c r="AJ81" s="450" t="str">
        <f t="shared" si="62"/>
        <v/>
      </c>
      <c r="AK81" s="450" t="str">
        <f t="shared" si="63"/>
        <v/>
      </c>
      <c r="AL81" s="450" t="str">
        <f t="shared" si="64"/>
        <v/>
      </c>
      <c r="AM81" s="450"/>
      <c r="AN81" s="450"/>
      <c r="AO81" s="450"/>
      <c r="AP81" s="450"/>
      <c r="AQ81" s="450"/>
      <c r="AR81" s="450"/>
      <c r="AS81" s="450"/>
      <c r="AT81" s="450"/>
      <c r="AU81" s="450"/>
      <c r="AV81" s="450"/>
      <c r="AW81" s="450"/>
      <c r="AX81" s="450"/>
      <c r="AY81" s="450"/>
      <c r="AZ81" s="450"/>
      <c r="BA81" s="450"/>
      <c r="BB81" s="450"/>
      <c r="BC81" s="450"/>
      <c r="BD81" s="450"/>
      <c r="BE81" s="450"/>
      <c r="BF81" s="450"/>
      <c r="BG81" s="450"/>
      <c r="BH81" s="450"/>
      <c r="BI81" s="450"/>
      <c r="BJ81" s="450"/>
      <c r="BK81" s="450"/>
      <c r="BL81" s="450"/>
      <c r="BM81" s="450"/>
    </row>
    <row r="82" spans="1:65" ht="24.9">
      <c r="A82" s="694" t="str">
        <f>Installations!F52</f>
        <v>256 avenue du maréchal Juin 71000 Mâcon</v>
      </c>
      <c r="B82" s="642" t="str">
        <f>Installations!D52</f>
        <v>562 Garages 256 av mal Juin Mâcon</v>
      </c>
      <c r="C82" s="643"/>
      <c r="D82" s="644"/>
      <c r="E82" s="645">
        <f>IF(Installations!B52="oui",Installations!W52,0)</f>
        <v>0</v>
      </c>
      <c r="F82" s="646">
        <f>IF(Installations!B52="oui",Installations!AZ52,0)</f>
        <v>0</v>
      </c>
      <c r="G82" s="647">
        <f>IF(Installations!B52="oui",Installations!K52,0)</f>
        <v>0</v>
      </c>
      <c r="H82" s="652">
        <f t="shared" si="38"/>
        <v>0</v>
      </c>
      <c r="I82" s="635">
        <f t="shared" si="39"/>
        <v>0</v>
      </c>
      <c r="J82" s="635">
        <f t="shared" si="40"/>
        <v>0</v>
      </c>
      <c r="K82" s="635">
        <f t="shared" si="41"/>
        <v>0</v>
      </c>
      <c r="L82" s="636">
        <f t="shared" si="42"/>
        <v>0</v>
      </c>
      <c r="M82" s="636">
        <f t="shared" si="43"/>
        <v>0</v>
      </c>
      <c r="N82" s="648"/>
      <c r="O82" s="648"/>
      <c r="P82" s="695" t="str">
        <f t="shared" si="65"/>
        <v/>
      </c>
      <c r="Q82" s="450"/>
      <c r="R82" s="450" t="str">
        <f t="shared" si="44"/>
        <v/>
      </c>
      <c r="S82" s="450" t="str">
        <f t="shared" si="45"/>
        <v/>
      </c>
      <c r="T82" s="450" t="str">
        <f t="shared" si="46"/>
        <v/>
      </c>
      <c r="U82" s="450" t="str">
        <f t="shared" si="47"/>
        <v/>
      </c>
      <c r="V82" s="450" t="str">
        <f t="shared" si="48"/>
        <v/>
      </c>
      <c r="W82" s="450" t="str">
        <f t="shared" si="49"/>
        <v/>
      </c>
      <c r="X82" s="450" t="str">
        <f t="shared" si="50"/>
        <v/>
      </c>
      <c r="Y82" s="450" t="str">
        <f t="shared" si="51"/>
        <v/>
      </c>
      <c r="Z82" s="450" t="str">
        <f t="shared" si="52"/>
        <v/>
      </c>
      <c r="AA82" s="450" t="str">
        <f t="shared" si="53"/>
        <v/>
      </c>
      <c r="AB82" s="450" t="str">
        <f t="shared" si="54"/>
        <v/>
      </c>
      <c r="AC82" s="450" t="str">
        <f t="shared" si="55"/>
        <v/>
      </c>
      <c r="AD82" s="450" t="str">
        <f t="shared" si="56"/>
        <v/>
      </c>
      <c r="AE82" s="450" t="str">
        <f t="shared" si="57"/>
        <v/>
      </c>
      <c r="AF82" s="450" t="str">
        <f t="shared" si="58"/>
        <v/>
      </c>
      <c r="AG82" s="450" t="str">
        <f t="shared" si="59"/>
        <v/>
      </c>
      <c r="AH82" s="450" t="str">
        <f t="shared" si="60"/>
        <v/>
      </c>
      <c r="AI82" s="450" t="str">
        <f t="shared" si="61"/>
        <v/>
      </c>
      <c r="AJ82" s="450" t="str">
        <f t="shared" si="62"/>
        <v/>
      </c>
      <c r="AK82" s="450" t="str">
        <f t="shared" si="63"/>
        <v/>
      </c>
      <c r="AL82" s="450" t="str">
        <f t="shared" si="64"/>
        <v/>
      </c>
      <c r="AM82" s="450"/>
      <c r="AN82" s="450"/>
      <c r="AO82" s="450"/>
      <c r="AP82" s="450"/>
      <c r="AQ82" s="450"/>
      <c r="AR82" s="450"/>
      <c r="AS82" s="450"/>
      <c r="AT82" s="450"/>
      <c r="AU82" s="450"/>
      <c r="AV82" s="450"/>
      <c r="AW82" s="450"/>
      <c r="AX82" s="450"/>
      <c r="AY82" s="450"/>
      <c r="AZ82" s="450"/>
      <c r="BA82" s="450"/>
      <c r="BB82" s="450"/>
      <c r="BC82" s="450"/>
      <c r="BD82" s="450"/>
      <c r="BE82" s="450"/>
      <c r="BF82" s="450"/>
      <c r="BG82" s="450"/>
      <c r="BH82" s="450"/>
      <c r="BI82" s="450"/>
      <c r="BJ82" s="450"/>
      <c r="BK82" s="450"/>
      <c r="BL82" s="450"/>
      <c r="BM82" s="450"/>
    </row>
    <row r="83" spans="1:65" ht="24.9">
      <c r="A83" s="694" t="str">
        <f>Installations!F53</f>
        <v>14 route de la Roseraie  71250 Cluny</v>
      </c>
      <c r="B83" s="642" t="str">
        <f>Installations!D53</f>
        <v>563 Ateliers municipaux Cluny</v>
      </c>
      <c r="C83" s="643"/>
      <c r="D83" s="644"/>
      <c r="E83" s="645">
        <f>IF(Installations!B53="oui",Installations!W53,0)</f>
        <v>0</v>
      </c>
      <c r="F83" s="646">
        <f>IF(Installations!B53="oui",Installations!AZ53,0)</f>
        <v>0</v>
      </c>
      <c r="G83" s="647">
        <f>IF(Installations!B53="oui",Installations!K53,0)</f>
        <v>0</v>
      </c>
      <c r="H83" s="652">
        <f t="shared" si="38"/>
        <v>0</v>
      </c>
      <c r="I83" s="635">
        <f t="shared" si="39"/>
        <v>0</v>
      </c>
      <c r="J83" s="635">
        <f t="shared" si="40"/>
        <v>0</v>
      </c>
      <c r="K83" s="635">
        <f t="shared" si="41"/>
        <v>0</v>
      </c>
      <c r="L83" s="636">
        <f t="shared" si="42"/>
        <v>0</v>
      </c>
      <c r="M83" s="636">
        <f t="shared" si="43"/>
        <v>0</v>
      </c>
      <c r="N83" s="648"/>
      <c r="O83" s="648"/>
      <c r="P83" s="695" t="str">
        <f t="shared" si="65"/>
        <v/>
      </c>
      <c r="Q83" s="450"/>
      <c r="R83" s="450" t="str">
        <f t="shared" si="44"/>
        <v/>
      </c>
      <c r="S83" s="450" t="str">
        <f t="shared" si="45"/>
        <v/>
      </c>
      <c r="T83" s="450" t="str">
        <f t="shared" si="46"/>
        <v/>
      </c>
      <c r="U83" s="450" t="str">
        <f t="shared" si="47"/>
        <v/>
      </c>
      <c r="V83" s="450" t="str">
        <f t="shared" si="48"/>
        <v/>
      </c>
      <c r="W83" s="450" t="str">
        <f t="shared" si="49"/>
        <v/>
      </c>
      <c r="X83" s="450" t="str">
        <f t="shared" si="50"/>
        <v/>
      </c>
      <c r="Y83" s="450" t="str">
        <f t="shared" si="51"/>
        <v/>
      </c>
      <c r="Z83" s="450" t="str">
        <f t="shared" si="52"/>
        <v/>
      </c>
      <c r="AA83" s="450" t="str">
        <f t="shared" si="53"/>
        <v/>
      </c>
      <c r="AB83" s="450" t="str">
        <f t="shared" si="54"/>
        <v/>
      </c>
      <c r="AC83" s="450" t="str">
        <f t="shared" si="55"/>
        <v/>
      </c>
      <c r="AD83" s="450" t="str">
        <f t="shared" si="56"/>
        <v/>
      </c>
      <c r="AE83" s="450" t="str">
        <f t="shared" si="57"/>
        <v/>
      </c>
      <c r="AF83" s="450" t="str">
        <f t="shared" si="58"/>
        <v/>
      </c>
      <c r="AG83" s="450" t="str">
        <f t="shared" si="59"/>
        <v/>
      </c>
      <c r="AH83" s="450" t="str">
        <f t="shared" si="60"/>
        <v/>
      </c>
      <c r="AI83" s="450" t="str">
        <f t="shared" si="61"/>
        <v/>
      </c>
      <c r="AJ83" s="450" t="str">
        <f t="shared" si="62"/>
        <v/>
      </c>
      <c r="AK83" s="450" t="str">
        <f t="shared" si="63"/>
        <v/>
      </c>
      <c r="AL83" s="450" t="str">
        <f t="shared" si="64"/>
        <v/>
      </c>
      <c r="AM83" s="450"/>
      <c r="AN83" s="450"/>
      <c r="AO83" s="450"/>
      <c r="AP83" s="450"/>
      <c r="AQ83" s="450"/>
      <c r="AR83" s="450"/>
      <c r="AS83" s="450"/>
      <c r="AT83" s="450"/>
      <c r="AU83" s="450"/>
      <c r="AV83" s="450"/>
      <c r="AW83" s="450"/>
      <c r="AX83" s="450"/>
      <c r="AY83" s="450"/>
      <c r="AZ83" s="450"/>
      <c r="BA83" s="450"/>
      <c r="BB83" s="450"/>
      <c r="BC83" s="450"/>
      <c r="BD83" s="450"/>
      <c r="BE83" s="450"/>
      <c r="BF83" s="450"/>
      <c r="BG83" s="450"/>
      <c r="BH83" s="450"/>
      <c r="BI83" s="450"/>
      <c r="BJ83" s="450"/>
      <c r="BK83" s="450"/>
      <c r="BL83" s="450"/>
      <c r="BM83" s="450"/>
    </row>
    <row r="84" spans="1:65">
      <c r="A84" s="694" t="str">
        <f>Installations!F54</f>
        <v>29 rue des Griottons 71250 Cluny</v>
      </c>
      <c r="B84" s="642" t="str">
        <f>Installations!D54</f>
        <v>567 Boulodrome Cluny</v>
      </c>
      <c r="C84" s="643"/>
      <c r="D84" s="644"/>
      <c r="E84" s="645">
        <f>IF(Installations!B54="oui",Installations!W54,0)</f>
        <v>0</v>
      </c>
      <c r="F84" s="646">
        <f>IF(Installations!B54="oui",Installations!AZ54,0)</f>
        <v>0</v>
      </c>
      <c r="G84" s="647">
        <f>IF(Installations!B54="oui",Installations!K54,0)</f>
        <v>0</v>
      </c>
      <c r="H84" s="652">
        <f t="shared" si="38"/>
        <v>0</v>
      </c>
      <c r="I84" s="635">
        <f t="shared" si="39"/>
        <v>0</v>
      </c>
      <c r="J84" s="635">
        <f t="shared" si="40"/>
        <v>0</v>
      </c>
      <c r="K84" s="635">
        <f t="shared" si="41"/>
        <v>0</v>
      </c>
      <c r="L84" s="636">
        <f t="shared" si="42"/>
        <v>0</v>
      </c>
      <c r="M84" s="636">
        <f t="shared" si="43"/>
        <v>0</v>
      </c>
      <c r="N84" s="648"/>
      <c r="O84" s="648"/>
      <c r="P84" s="695" t="str">
        <f t="shared" si="65"/>
        <v/>
      </c>
      <c r="Q84" s="450"/>
      <c r="R84" s="450" t="str">
        <f t="shared" si="44"/>
        <v/>
      </c>
      <c r="S84" s="450" t="str">
        <f t="shared" si="45"/>
        <v/>
      </c>
      <c r="T84" s="450" t="str">
        <f t="shared" si="46"/>
        <v/>
      </c>
      <c r="U84" s="450" t="str">
        <f t="shared" si="47"/>
        <v/>
      </c>
      <c r="V84" s="450" t="str">
        <f t="shared" si="48"/>
        <v/>
      </c>
      <c r="W84" s="450" t="str">
        <f t="shared" si="49"/>
        <v/>
      </c>
      <c r="X84" s="450" t="str">
        <f t="shared" si="50"/>
        <v/>
      </c>
      <c r="Y84" s="450" t="str">
        <f t="shared" si="51"/>
        <v/>
      </c>
      <c r="Z84" s="450" t="str">
        <f t="shared" si="52"/>
        <v/>
      </c>
      <c r="AA84" s="450" t="str">
        <f t="shared" si="53"/>
        <v/>
      </c>
      <c r="AB84" s="450" t="str">
        <f t="shared" si="54"/>
        <v/>
      </c>
      <c r="AC84" s="450" t="str">
        <f t="shared" si="55"/>
        <v/>
      </c>
      <c r="AD84" s="450" t="str">
        <f t="shared" si="56"/>
        <v/>
      </c>
      <c r="AE84" s="450" t="str">
        <f t="shared" si="57"/>
        <v/>
      </c>
      <c r="AF84" s="450" t="str">
        <f t="shared" si="58"/>
        <v/>
      </c>
      <c r="AG84" s="450" t="str">
        <f t="shared" si="59"/>
        <v/>
      </c>
      <c r="AH84" s="450" t="str">
        <f t="shared" si="60"/>
        <v/>
      </c>
      <c r="AI84" s="450" t="str">
        <f t="shared" si="61"/>
        <v/>
      </c>
      <c r="AJ84" s="450" t="str">
        <f t="shared" si="62"/>
        <v/>
      </c>
      <c r="AK84" s="450" t="str">
        <f t="shared" si="63"/>
        <v/>
      </c>
      <c r="AL84" s="450" t="str">
        <f t="shared" si="64"/>
        <v/>
      </c>
      <c r="AM84" s="450"/>
      <c r="AN84" s="450"/>
      <c r="AO84" s="450"/>
      <c r="AP84" s="450"/>
      <c r="AQ84" s="450"/>
      <c r="AR84" s="450"/>
      <c r="AS84" s="450"/>
      <c r="AT84" s="450"/>
      <c r="AU84" s="450"/>
      <c r="AV84" s="450"/>
      <c r="AW84" s="450"/>
      <c r="AX84" s="450"/>
      <c r="AY84" s="450"/>
      <c r="AZ84" s="450"/>
      <c r="BA84" s="450"/>
      <c r="BB84" s="450"/>
      <c r="BC84" s="450"/>
      <c r="BD84" s="450"/>
      <c r="BE84" s="450"/>
      <c r="BF84" s="450"/>
      <c r="BG84" s="450"/>
      <c r="BH84" s="450"/>
      <c r="BI84" s="450"/>
      <c r="BJ84" s="450"/>
      <c r="BK84" s="450"/>
      <c r="BL84" s="450"/>
      <c r="BM84" s="450"/>
    </row>
    <row r="85" spans="1:65">
      <c r="A85" s="694" t="str">
        <f>Installations!F55</f>
        <v>Chemin rural de Boursier à Cluny</v>
      </c>
      <c r="B85" s="642" t="str">
        <f>Installations!D55</f>
        <v>569 COMETE Cluny</v>
      </c>
      <c r="C85" s="643"/>
      <c r="D85" s="644"/>
      <c r="E85" s="645">
        <f>IF(Installations!B55="oui",Installations!W55,0)</f>
        <v>0</v>
      </c>
      <c r="F85" s="646">
        <f>IF(Installations!B55="oui",Installations!AZ55,0)</f>
        <v>0</v>
      </c>
      <c r="G85" s="647">
        <f>IF(Installations!B55="oui",Installations!K55,0)</f>
        <v>0</v>
      </c>
      <c r="H85" s="652">
        <f t="shared" si="38"/>
        <v>0</v>
      </c>
      <c r="I85" s="635">
        <f t="shared" si="39"/>
        <v>0</v>
      </c>
      <c r="J85" s="635">
        <f t="shared" si="40"/>
        <v>0</v>
      </c>
      <c r="K85" s="635">
        <f t="shared" si="41"/>
        <v>0</v>
      </c>
      <c r="L85" s="636">
        <f t="shared" si="42"/>
        <v>0</v>
      </c>
      <c r="M85" s="636">
        <f t="shared" si="43"/>
        <v>0</v>
      </c>
      <c r="N85" s="648"/>
      <c r="O85" s="648"/>
      <c r="P85" s="695" t="str">
        <f t="shared" si="65"/>
        <v/>
      </c>
      <c r="Q85" s="450"/>
      <c r="R85" s="450" t="str">
        <f t="shared" si="44"/>
        <v/>
      </c>
      <c r="S85" s="450" t="str">
        <f t="shared" si="45"/>
        <v/>
      </c>
      <c r="T85" s="450" t="str">
        <f t="shared" si="46"/>
        <v/>
      </c>
      <c r="U85" s="450" t="str">
        <f t="shared" si="47"/>
        <v/>
      </c>
      <c r="V85" s="450" t="str">
        <f t="shared" si="48"/>
        <v/>
      </c>
      <c r="W85" s="450" t="str">
        <f t="shared" si="49"/>
        <v/>
      </c>
      <c r="X85" s="450" t="str">
        <f t="shared" si="50"/>
        <v/>
      </c>
      <c r="Y85" s="450" t="str">
        <f t="shared" si="51"/>
        <v/>
      </c>
      <c r="Z85" s="450" t="str">
        <f t="shared" si="52"/>
        <v/>
      </c>
      <c r="AA85" s="450" t="str">
        <f t="shared" si="53"/>
        <v/>
      </c>
      <c r="AB85" s="450" t="str">
        <f t="shared" si="54"/>
        <v/>
      </c>
      <c r="AC85" s="450" t="str">
        <f t="shared" si="55"/>
        <v/>
      </c>
      <c r="AD85" s="450" t="str">
        <f t="shared" si="56"/>
        <v/>
      </c>
      <c r="AE85" s="450" t="str">
        <f t="shared" si="57"/>
        <v/>
      </c>
      <c r="AF85" s="450" t="str">
        <f t="shared" si="58"/>
        <v/>
      </c>
      <c r="AG85" s="450" t="str">
        <f t="shared" si="59"/>
        <v/>
      </c>
      <c r="AH85" s="450" t="str">
        <f t="shared" si="60"/>
        <v/>
      </c>
      <c r="AI85" s="450" t="str">
        <f t="shared" si="61"/>
        <v/>
      </c>
      <c r="AJ85" s="450" t="str">
        <f t="shared" si="62"/>
        <v/>
      </c>
      <c r="AK85" s="450" t="str">
        <f t="shared" si="63"/>
        <v/>
      </c>
      <c r="AL85" s="450" t="str">
        <f t="shared" si="64"/>
        <v/>
      </c>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50"/>
      <c r="BI85" s="450"/>
      <c r="BJ85" s="450"/>
      <c r="BK85" s="450"/>
      <c r="BL85" s="450"/>
      <c r="BM85" s="450"/>
    </row>
    <row r="86" spans="1:65">
      <c r="A86" s="694" t="str">
        <f>Installations!F56</f>
        <v>71250 Cluny</v>
      </c>
      <c r="B86" s="642" t="str">
        <f>Installations!D56</f>
        <v>570 Quai de la gare Cluny</v>
      </c>
      <c r="C86" s="643"/>
      <c r="D86" s="644"/>
      <c r="E86" s="645">
        <f>IF(Installations!B56="oui",Installations!W56,0)</f>
        <v>0</v>
      </c>
      <c r="F86" s="646">
        <f>IF(Installations!B56="oui",Installations!AZ56,0)</f>
        <v>0</v>
      </c>
      <c r="G86" s="647">
        <f>IF(Installations!B56="oui",Installations!K56,0)</f>
        <v>0</v>
      </c>
      <c r="H86" s="652">
        <f t="shared" si="38"/>
        <v>0</v>
      </c>
      <c r="I86" s="635">
        <f t="shared" si="39"/>
        <v>0</v>
      </c>
      <c r="J86" s="635">
        <f t="shared" si="40"/>
        <v>0</v>
      </c>
      <c r="K86" s="635">
        <f t="shared" si="41"/>
        <v>0</v>
      </c>
      <c r="L86" s="636">
        <f t="shared" si="42"/>
        <v>0</v>
      </c>
      <c r="M86" s="636">
        <f t="shared" si="43"/>
        <v>0</v>
      </c>
      <c r="N86" s="648"/>
      <c r="O86" s="648"/>
      <c r="P86" s="695" t="str">
        <f t="shared" si="65"/>
        <v/>
      </c>
      <c r="Q86" s="673"/>
      <c r="R86" s="450" t="str">
        <f t="shared" si="44"/>
        <v/>
      </c>
      <c r="S86" s="450" t="str">
        <f t="shared" si="45"/>
        <v/>
      </c>
      <c r="T86" s="450" t="str">
        <f t="shared" si="46"/>
        <v/>
      </c>
      <c r="U86" s="450" t="str">
        <f t="shared" si="47"/>
        <v/>
      </c>
      <c r="V86" s="450" t="str">
        <f t="shared" si="48"/>
        <v/>
      </c>
      <c r="W86" s="450" t="str">
        <f t="shared" si="49"/>
        <v/>
      </c>
      <c r="X86" s="450" t="str">
        <f t="shared" si="50"/>
        <v/>
      </c>
      <c r="Y86" s="450" t="str">
        <f t="shared" si="51"/>
        <v/>
      </c>
      <c r="Z86" s="450" t="str">
        <f t="shared" si="52"/>
        <v/>
      </c>
      <c r="AA86" s="450" t="str">
        <f t="shared" si="53"/>
        <v/>
      </c>
      <c r="AB86" s="450" t="str">
        <f t="shared" si="54"/>
        <v/>
      </c>
      <c r="AC86" s="450" t="str">
        <f t="shared" si="55"/>
        <v/>
      </c>
      <c r="AD86" s="450" t="str">
        <f t="shared" si="56"/>
        <v/>
      </c>
      <c r="AE86" s="450" t="str">
        <f t="shared" si="57"/>
        <v/>
      </c>
      <c r="AF86" s="450" t="str">
        <f t="shared" si="58"/>
        <v/>
      </c>
      <c r="AG86" s="450" t="str">
        <f t="shared" si="59"/>
        <v/>
      </c>
      <c r="AH86" s="450" t="str">
        <f t="shared" si="60"/>
        <v/>
      </c>
      <c r="AI86" s="450" t="str">
        <f t="shared" si="61"/>
        <v/>
      </c>
      <c r="AJ86" s="450" t="str">
        <f t="shared" si="62"/>
        <v/>
      </c>
      <c r="AK86" s="450" t="str">
        <f t="shared" si="63"/>
        <v/>
      </c>
      <c r="AL86" s="450" t="str">
        <f t="shared" si="64"/>
        <v/>
      </c>
      <c r="AM86" s="450"/>
      <c r="AN86" s="450"/>
      <c r="AO86" s="450"/>
      <c r="AP86" s="450"/>
      <c r="AQ86" s="450"/>
      <c r="AR86" s="450"/>
      <c r="AS86" s="450"/>
      <c r="AT86" s="450"/>
      <c r="AU86" s="450"/>
      <c r="AV86" s="450"/>
      <c r="AW86" s="450"/>
      <c r="AX86" s="450"/>
      <c r="AY86" s="450"/>
      <c r="AZ86" s="450"/>
      <c r="BA86" s="450"/>
      <c r="BB86" s="450"/>
      <c r="BC86" s="450"/>
      <c r="BD86" s="450"/>
      <c r="BE86" s="450"/>
      <c r="BF86" s="450"/>
      <c r="BG86" s="450"/>
      <c r="BH86" s="450"/>
      <c r="BI86" s="450"/>
      <c r="BJ86" s="450"/>
      <c r="BK86" s="450"/>
      <c r="BL86" s="450"/>
      <c r="BM86" s="450"/>
    </row>
    <row r="87" spans="1:65">
      <c r="A87" s="694" t="str">
        <f>Installations!F57</f>
        <v>71250 Cluny</v>
      </c>
      <c r="B87" s="642" t="str">
        <f>Installations!D57</f>
        <v>570 Quai de la gare Cluny</v>
      </c>
      <c r="C87" s="643"/>
      <c r="D87" s="644"/>
      <c r="E87" s="645">
        <f>IF(Installations!B57="oui",Installations!W57,0)</f>
        <v>0</v>
      </c>
      <c r="F87" s="646">
        <f>IF(Installations!B57="oui",Installations!AZ57,0)</f>
        <v>0</v>
      </c>
      <c r="G87" s="647">
        <f>IF(Installations!B57="oui",Installations!K57,0)</f>
        <v>0</v>
      </c>
      <c r="H87" s="652">
        <f t="shared" si="38"/>
        <v>0</v>
      </c>
      <c r="I87" s="635">
        <f t="shared" si="39"/>
        <v>0</v>
      </c>
      <c r="J87" s="635">
        <f t="shared" si="40"/>
        <v>0</v>
      </c>
      <c r="K87" s="635">
        <f t="shared" si="41"/>
        <v>0</v>
      </c>
      <c r="L87" s="636">
        <f t="shared" si="42"/>
        <v>0</v>
      </c>
      <c r="M87" s="636">
        <f t="shared" si="43"/>
        <v>0</v>
      </c>
      <c r="N87" s="648"/>
      <c r="O87" s="648"/>
      <c r="P87" s="695" t="str">
        <f t="shared" si="65"/>
        <v/>
      </c>
      <c r="Q87" s="450"/>
      <c r="R87" s="450" t="str">
        <f t="shared" si="44"/>
        <v/>
      </c>
      <c r="S87" s="450" t="str">
        <f t="shared" si="45"/>
        <v/>
      </c>
      <c r="T87" s="450" t="str">
        <f t="shared" si="46"/>
        <v/>
      </c>
      <c r="U87" s="450" t="str">
        <f t="shared" si="47"/>
        <v/>
      </c>
      <c r="V87" s="450" t="str">
        <f t="shared" si="48"/>
        <v/>
      </c>
      <c r="W87" s="450" t="str">
        <f t="shared" si="49"/>
        <v/>
      </c>
      <c r="X87" s="450" t="str">
        <f t="shared" si="50"/>
        <v/>
      </c>
      <c r="Y87" s="450" t="str">
        <f t="shared" si="51"/>
        <v/>
      </c>
      <c r="Z87" s="450" t="str">
        <f t="shared" si="52"/>
        <v/>
      </c>
      <c r="AA87" s="450" t="str">
        <f t="shared" si="53"/>
        <v/>
      </c>
      <c r="AB87" s="450" t="str">
        <f t="shared" si="54"/>
        <v/>
      </c>
      <c r="AC87" s="450" t="str">
        <f t="shared" si="55"/>
        <v/>
      </c>
      <c r="AD87" s="450" t="str">
        <f t="shared" si="56"/>
        <v/>
      </c>
      <c r="AE87" s="450" t="str">
        <f t="shared" si="57"/>
        <v/>
      </c>
      <c r="AF87" s="450" t="str">
        <f t="shared" si="58"/>
        <v/>
      </c>
      <c r="AG87" s="450" t="str">
        <f t="shared" si="59"/>
        <v/>
      </c>
      <c r="AH87" s="450" t="str">
        <f t="shared" si="60"/>
        <v/>
      </c>
      <c r="AI87" s="450" t="str">
        <f t="shared" si="61"/>
        <v/>
      </c>
      <c r="AJ87" s="450" t="str">
        <f t="shared" si="62"/>
        <v/>
      </c>
      <c r="AK87" s="450" t="str">
        <f t="shared" si="63"/>
        <v/>
      </c>
      <c r="AL87" s="450" t="str">
        <f t="shared" si="64"/>
        <v/>
      </c>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50"/>
      <c r="BI87" s="450"/>
      <c r="BJ87" s="450"/>
      <c r="BK87" s="450"/>
      <c r="BL87" s="450"/>
      <c r="BM87" s="450"/>
    </row>
    <row r="88" spans="1:65">
      <c r="A88" s="694" t="str">
        <f>Installations!F58</f>
        <v>71250 Cluny</v>
      </c>
      <c r="B88" s="642" t="str">
        <f>Installations!D58</f>
        <v>570 Quai de la gare Cluny</v>
      </c>
      <c r="C88" s="643"/>
      <c r="D88" s="644"/>
      <c r="E88" s="645">
        <f>IF(Installations!B58="oui",Installations!W58,0)</f>
        <v>0</v>
      </c>
      <c r="F88" s="646">
        <f>IF(Installations!B58="oui",Installations!AZ58,0)</f>
        <v>0</v>
      </c>
      <c r="G88" s="647">
        <f>IF(Installations!B58="oui",Installations!K58,0)</f>
        <v>0</v>
      </c>
      <c r="H88" s="652">
        <f t="shared" si="38"/>
        <v>0</v>
      </c>
      <c r="I88" s="635">
        <f t="shared" si="39"/>
        <v>0</v>
      </c>
      <c r="J88" s="635">
        <f t="shared" si="40"/>
        <v>0</v>
      </c>
      <c r="K88" s="635">
        <f t="shared" si="41"/>
        <v>0</v>
      </c>
      <c r="L88" s="636">
        <f t="shared" si="42"/>
        <v>0</v>
      </c>
      <c r="M88" s="636">
        <f t="shared" si="43"/>
        <v>0</v>
      </c>
      <c r="N88" s="648"/>
      <c r="O88" s="648"/>
      <c r="P88" s="695" t="str">
        <f t="shared" si="65"/>
        <v/>
      </c>
      <c r="Q88" s="450"/>
      <c r="R88" s="450" t="str">
        <f t="shared" si="44"/>
        <v/>
      </c>
      <c r="S88" s="450" t="str">
        <f t="shared" si="45"/>
        <v/>
      </c>
      <c r="T88" s="450" t="str">
        <f t="shared" si="46"/>
        <v/>
      </c>
      <c r="U88" s="450" t="str">
        <f t="shared" si="47"/>
        <v/>
      </c>
      <c r="V88" s="450" t="str">
        <f t="shared" si="48"/>
        <v/>
      </c>
      <c r="W88" s="450" t="str">
        <f t="shared" si="49"/>
        <v/>
      </c>
      <c r="X88" s="450" t="str">
        <f t="shared" si="50"/>
        <v/>
      </c>
      <c r="Y88" s="450" t="str">
        <f t="shared" si="51"/>
        <v/>
      </c>
      <c r="Z88" s="450" t="str">
        <f t="shared" si="52"/>
        <v/>
      </c>
      <c r="AA88" s="450" t="str">
        <f t="shared" si="53"/>
        <v/>
      </c>
      <c r="AB88" s="450" t="str">
        <f t="shared" si="54"/>
        <v/>
      </c>
      <c r="AC88" s="450" t="str">
        <f t="shared" si="55"/>
        <v/>
      </c>
      <c r="AD88" s="450" t="str">
        <f t="shared" si="56"/>
        <v/>
      </c>
      <c r="AE88" s="450" t="str">
        <f t="shared" si="57"/>
        <v/>
      </c>
      <c r="AF88" s="450" t="str">
        <f t="shared" si="58"/>
        <v/>
      </c>
      <c r="AG88" s="450" t="str">
        <f t="shared" si="59"/>
        <v/>
      </c>
      <c r="AH88" s="450" t="str">
        <f t="shared" si="60"/>
        <v/>
      </c>
      <c r="AI88" s="450" t="str">
        <f t="shared" si="61"/>
        <v/>
      </c>
      <c r="AJ88" s="450" t="str">
        <f t="shared" si="62"/>
        <v/>
      </c>
      <c r="AK88" s="450" t="str">
        <f t="shared" si="63"/>
        <v/>
      </c>
      <c r="AL88" s="450" t="str">
        <f t="shared" si="64"/>
        <v/>
      </c>
      <c r="AM88" s="450"/>
      <c r="AN88" s="450"/>
      <c r="AO88" s="450"/>
      <c r="AP88" s="450"/>
      <c r="AQ88" s="450"/>
      <c r="AR88" s="450"/>
      <c r="AS88" s="450"/>
      <c r="AT88" s="450"/>
      <c r="AU88" s="450"/>
      <c r="AV88" s="450"/>
      <c r="AW88" s="450"/>
      <c r="AX88" s="450"/>
      <c r="AY88" s="450"/>
      <c r="AZ88" s="450"/>
      <c r="BA88" s="450"/>
      <c r="BB88" s="450"/>
      <c r="BC88" s="450"/>
      <c r="BD88" s="450"/>
      <c r="BE88" s="450"/>
      <c r="BF88" s="450"/>
      <c r="BG88" s="450"/>
      <c r="BH88" s="450"/>
      <c r="BI88" s="450"/>
      <c r="BJ88" s="450"/>
      <c r="BK88" s="450"/>
      <c r="BL88" s="450"/>
      <c r="BM88" s="450"/>
    </row>
    <row r="89" spans="1:65">
      <c r="A89" s="694" t="str">
        <f>Installations!F59</f>
        <v>71250 Cluny</v>
      </c>
      <c r="B89" s="642" t="str">
        <f>Installations!D59</f>
        <v>570 Quai de la gare Cluny</v>
      </c>
      <c r="C89" s="643"/>
      <c r="D89" s="644"/>
      <c r="E89" s="645">
        <f>IF(Installations!B59="oui",Installations!W59,0)</f>
        <v>0</v>
      </c>
      <c r="F89" s="646">
        <f>IF(Installations!B59="oui",Installations!AZ59,0)</f>
        <v>0</v>
      </c>
      <c r="G89" s="647">
        <f>IF(Installations!B59="oui",Installations!K59,0)</f>
        <v>0</v>
      </c>
      <c r="H89" s="652">
        <f t="shared" si="38"/>
        <v>0</v>
      </c>
      <c r="I89" s="635">
        <f t="shared" si="39"/>
        <v>0</v>
      </c>
      <c r="J89" s="635">
        <f t="shared" si="40"/>
        <v>0</v>
      </c>
      <c r="K89" s="635">
        <f t="shared" si="41"/>
        <v>0</v>
      </c>
      <c r="L89" s="636">
        <f t="shared" si="42"/>
        <v>0</v>
      </c>
      <c r="M89" s="636">
        <f t="shared" si="43"/>
        <v>0</v>
      </c>
      <c r="N89" s="648"/>
      <c r="O89" s="648"/>
      <c r="P89" s="695" t="str">
        <f t="shared" si="65"/>
        <v/>
      </c>
      <c r="Q89" s="450"/>
      <c r="R89" s="450" t="str">
        <f t="shared" si="44"/>
        <v/>
      </c>
      <c r="S89" s="450" t="str">
        <f t="shared" si="45"/>
        <v/>
      </c>
      <c r="T89" s="450" t="str">
        <f t="shared" si="46"/>
        <v/>
      </c>
      <c r="U89" s="450" t="str">
        <f t="shared" si="47"/>
        <v/>
      </c>
      <c r="V89" s="450" t="str">
        <f t="shared" si="48"/>
        <v/>
      </c>
      <c r="W89" s="450" t="str">
        <f t="shared" si="49"/>
        <v/>
      </c>
      <c r="X89" s="450" t="str">
        <f t="shared" si="50"/>
        <v/>
      </c>
      <c r="Y89" s="450" t="str">
        <f t="shared" si="51"/>
        <v/>
      </c>
      <c r="Z89" s="450" t="str">
        <f t="shared" si="52"/>
        <v/>
      </c>
      <c r="AA89" s="450" t="str">
        <f t="shared" si="53"/>
        <v/>
      </c>
      <c r="AB89" s="450" t="str">
        <f t="shared" si="54"/>
        <v/>
      </c>
      <c r="AC89" s="450" t="str">
        <f t="shared" si="55"/>
        <v/>
      </c>
      <c r="AD89" s="450" t="str">
        <f t="shared" si="56"/>
        <v/>
      </c>
      <c r="AE89" s="450" t="str">
        <f t="shared" si="57"/>
        <v/>
      </c>
      <c r="AF89" s="450" t="str">
        <f t="shared" si="58"/>
        <v/>
      </c>
      <c r="AG89" s="450" t="str">
        <f t="shared" si="59"/>
        <v/>
      </c>
      <c r="AH89" s="450" t="str">
        <f t="shared" si="60"/>
        <v/>
      </c>
      <c r="AI89" s="450" t="str">
        <f t="shared" si="61"/>
        <v/>
      </c>
      <c r="AJ89" s="450" t="str">
        <f t="shared" si="62"/>
        <v/>
      </c>
      <c r="AK89" s="450" t="str">
        <f t="shared" si="63"/>
        <v/>
      </c>
      <c r="AL89" s="450" t="str">
        <f t="shared" si="64"/>
        <v/>
      </c>
      <c r="AM89" s="450"/>
      <c r="AN89" s="450"/>
      <c r="AO89" s="450"/>
      <c r="AP89" s="450"/>
      <c r="AQ89" s="450"/>
      <c r="AR89" s="450"/>
      <c r="AS89" s="450"/>
      <c r="AT89" s="450"/>
      <c r="AU89" s="450"/>
      <c r="AV89" s="450"/>
      <c r="AW89" s="450"/>
      <c r="AX89" s="450"/>
      <c r="AY89" s="450"/>
      <c r="AZ89" s="450"/>
      <c r="BA89" s="450"/>
      <c r="BB89" s="450"/>
      <c r="BC89" s="450"/>
      <c r="BD89" s="450"/>
      <c r="BE89" s="450"/>
      <c r="BF89" s="450"/>
      <c r="BG89" s="450"/>
      <c r="BH89" s="450"/>
      <c r="BI89" s="450"/>
      <c r="BJ89" s="450"/>
      <c r="BK89" s="450"/>
      <c r="BL89" s="450"/>
      <c r="BM89" s="450"/>
    </row>
    <row r="90" spans="1:65">
      <c r="A90" s="694" t="str">
        <f>Installations!F60</f>
        <v>71250 Cluny</v>
      </c>
      <c r="B90" s="642" t="str">
        <f>Installations!D60</f>
        <v>570 Quai de la gare Cluny</v>
      </c>
      <c r="C90" s="643"/>
      <c r="D90" s="644"/>
      <c r="E90" s="645">
        <f>IF(Installations!B60="oui",Installations!W60,0)</f>
        <v>0</v>
      </c>
      <c r="F90" s="646">
        <f>IF(Installations!B60="oui",Installations!AZ60,0)</f>
        <v>0</v>
      </c>
      <c r="G90" s="647">
        <f>IF(Installations!B60="oui",Installations!K60,0)</f>
        <v>0</v>
      </c>
      <c r="H90" s="652">
        <f t="shared" si="38"/>
        <v>0</v>
      </c>
      <c r="I90" s="635">
        <f t="shared" si="39"/>
        <v>0</v>
      </c>
      <c r="J90" s="635">
        <f t="shared" si="40"/>
        <v>0</v>
      </c>
      <c r="K90" s="635">
        <f t="shared" si="41"/>
        <v>0</v>
      </c>
      <c r="L90" s="636">
        <f t="shared" si="42"/>
        <v>0</v>
      </c>
      <c r="M90" s="636">
        <f t="shared" si="43"/>
        <v>0</v>
      </c>
      <c r="N90" s="648"/>
      <c r="O90" s="648"/>
      <c r="P90" s="695" t="str">
        <f t="shared" si="65"/>
        <v/>
      </c>
      <c r="Q90" s="450"/>
      <c r="R90" s="450" t="str">
        <f t="shared" si="44"/>
        <v/>
      </c>
      <c r="S90" s="450" t="str">
        <f t="shared" si="45"/>
        <v/>
      </c>
      <c r="T90" s="450" t="str">
        <f t="shared" si="46"/>
        <v/>
      </c>
      <c r="U90" s="450" t="str">
        <f t="shared" si="47"/>
        <v/>
      </c>
      <c r="V90" s="450" t="str">
        <f t="shared" si="48"/>
        <v/>
      </c>
      <c r="W90" s="450" t="str">
        <f t="shared" si="49"/>
        <v/>
      </c>
      <c r="X90" s="450" t="str">
        <f t="shared" si="50"/>
        <v/>
      </c>
      <c r="Y90" s="450" t="str">
        <f t="shared" si="51"/>
        <v/>
      </c>
      <c r="Z90" s="450" t="str">
        <f t="shared" si="52"/>
        <v/>
      </c>
      <c r="AA90" s="450" t="str">
        <f t="shared" si="53"/>
        <v/>
      </c>
      <c r="AB90" s="450" t="str">
        <f t="shared" si="54"/>
        <v/>
      </c>
      <c r="AC90" s="450" t="str">
        <f t="shared" si="55"/>
        <v/>
      </c>
      <c r="AD90" s="450" t="str">
        <f t="shared" si="56"/>
        <v/>
      </c>
      <c r="AE90" s="450" t="str">
        <f t="shared" si="57"/>
        <v/>
      </c>
      <c r="AF90" s="450" t="str">
        <f t="shared" si="58"/>
        <v/>
      </c>
      <c r="AG90" s="450" t="str">
        <f t="shared" si="59"/>
        <v/>
      </c>
      <c r="AH90" s="450" t="str">
        <f t="shared" si="60"/>
        <v/>
      </c>
      <c r="AI90" s="450" t="str">
        <f t="shared" si="61"/>
        <v/>
      </c>
      <c r="AJ90" s="450" t="str">
        <f t="shared" si="62"/>
        <v/>
      </c>
      <c r="AK90" s="450" t="str">
        <f t="shared" si="63"/>
        <v/>
      </c>
      <c r="AL90" s="450" t="str">
        <f t="shared" si="64"/>
        <v/>
      </c>
      <c r="AM90" s="450"/>
      <c r="AN90" s="450"/>
      <c r="AO90" s="450"/>
      <c r="AP90" s="450"/>
      <c r="AQ90" s="450"/>
      <c r="AR90" s="450"/>
      <c r="AS90" s="450"/>
      <c r="AT90" s="450"/>
      <c r="AU90" s="450"/>
      <c r="AV90" s="450"/>
      <c r="AW90" s="450"/>
      <c r="AX90" s="450"/>
      <c r="AY90" s="450"/>
      <c r="AZ90" s="450"/>
      <c r="BA90" s="450"/>
      <c r="BB90" s="450"/>
      <c r="BC90" s="450"/>
      <c r="BD90" s="450"/>
      <c r="BE90" s="450"/>
      <c r="BF90" s="450"/>
      <c r="BG90" s="450"/>
      <c r="BH90" s="450"/>
      <c r="BI90" s="450"/>
      <c r="BJ90" s="450"/>
      <c r="BK90" s="450"/>
      <c r="BL90" s="450"/>
      <c r="BM90" s="450"/>
    </row>
    <row r="91" spans="1:65">
      <c r="A91" s="694" t="str">
        <f>Installations!F61</f>
        <v>71250 Cluny</v>
      </c>
      <c r="B91" s="642" t="str">
        <f>Installations!D61</f>
        <v>570 Quai de la gare Cluny</v>
      </c>
      <c r="C91" s="643"/>
      <c r="D91" s="644"/>
      <c r="E91" s="645">
        <f>IF(Installations!B61="oui",Installations!W61,0)</f>
        <v>0</v>
      </c>
      <c r="F91" s="646">
        <f>IF(Installations!B61="oui",Installations!AZ61,0)</f>
        <v>0</v>
      </c>
      <c r="G91" s="647">
        <f>IF(Installations!B61="oui",Installations!K61,0)</f>
        <v>0</v>
      </c>
      <c r="H91" s="652">
        <f t="shared" si="38"/>
        <v>0</v>
      </c>
      <c r="I91" s="635">
        <f t="shared" si="39"/>
        <v>0</v>
      </c>
      <c r="J91" s="635">
        <f t="shared" si="40"/>
        <v>0</v>
      </c>
      <c r="K91" s="635">
        <f t="shared" si="41"/>
        <v>0</v>
      </c>
      <c r="L91" s="636">
        <f t="shared" si="42"/>
        <v>0</v>
      </c>
      <c r="M91" s="636">
        <f t="shared" si="43"/>
        <v>0</v>
      </c>
      <c r="N91" s="648"/>
      <c r="O91" s="648"/>
      <c r="P91" s="695" t="str">
        <f t="shared" si="65"/>
        <v/>
      </c>
      <c r="Q91" s="450"/>
      <c r="R91" s="450" t="str">
        <f t="shared" si="44"/>
        <v/>
      </c>
      <c r="S91" s="450" t="str">
        <f t="shared" si="45"/>
        <v/>
      </c>
      <c r="T91" s="450" t="str">
        <f t="shared" si="46"/>
        <v/>
      </c>
      <c r="U91" s="450" t="str">
        <f t="shared" si="47"/>
        <v/>
      </c>
      <c r="V91" s="450" t="str">
        <f t="shared" si="48"/>
        <v/>
      </c>
      <c r="W91" s="450" t="str">
        <f t="shared" si="49"/>
        <v/>
      </c>
      <c r="X91" s="450" t="str">
        <f t="shared" si="50"/>
        <v/>
      </c>
      <c r="Y91" s="450" t="str">
        <f t="shared" si="51"/>
        <v/>
      </c>
      <c r="Z91" s="450" t="str">
        <f t="shared" si="52"/>
        <v/>
      </c>
      <c r="AA91" s="450" t="str">
        <f t="shared" si="53"/>
        <v/>
      </c>
      <c r="AB91" s="450" t="str">
        <f t="shared" si="54"/>
        <v/>
      </c>
      <c r="AC91" s="450" t="str">
        <f t="shared" si="55"/>
        <v/>
      </c>
      <c r="AD91" s="450" t="str">
        <f t="shared" si="56"/>
        <v/>
      </c>
      <c r="AE91" s="450" t="str">
        <f t="shared" si="57"/>
        <v/>
      </c>
      <c r="AF91" s="450" t="str">
        <f t="shared" si="58"/>
        <v/>
      </c>
      <c r="AG91" s="450" t="str">
        <f t="shared" si="59"/>
        <v/>
      </c>
      <c r="AH91" s="450" t="str">
        <f t="shared" si="60"/>
        <v/>
      </c>
      <c r="AI91" s="450" t="str">
        <f t="shared" si="61"/>
        <v/>
      </c>
      <c r="AJ91" s="450" t="str">
        <f t="shared" si="62"/>
        <v/>
      </c>
      <c r="AK91" s="450" t="str">
        <f t="shared" si="63"/>
        <v/>
      </c>
      <c r="AL91" s="450" t="str">
        <f t="shared" si="64"/>
        <v/>
      </c>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50"/>
      <c r="BI91" s="450"/>
      <c r="BJ91" s="450"/>
      <c r="BK91" s="450"/>
      <c r="BL91" s="450"/>
      <c r="BM91" s="450"/>
    </row>
    <row r="92" spans="1:65">
      <c r="A92" s="694" t="str">
        <f>Installations!F62</f>
        <v>71250 Cluny</v>
      </c>
      <c r="B92" s="642" t="str">
        <f>Installations!D62</f>
        <v>570 Quai de la gare Cluny</v>
      </c>
      <c r="C92" s="643"/>
      <c r="D92" s="644"/>
      <c r="E92" s="645">
        <f>IF(Installations!B62="oui",Installations!W62,0)</f>
        <v>0</v>
      </c>
      <c r="F92" s="646">
        <f>IF(Installations!B62="oui",Installations!AZ62,0)</f>
        <v>0</v>
      </c>
      <c r="G92" s="647">
        <f>IF(Installations!B62="oui",Installations!K62,0)</f>
        <v>0</v>
      </c>
      <c r="H92" s="652">
        <f t="shared" si="38"/>
        <v>0</v>
      </c>
      <c r="I92" s="635">
        <f t="shared" si="39"/>
        <v>0</v>
      </c>
      <c r="J92" s="635">
        <f t="shared" si="40"/>
        <v>0</v>
      </c>
      <c r="K92" s="635">
        <f t="shared" si="41"/>
        <v>0</v>
      </c>
      <c r="L92" s="636">
        <f t="shared" si="42"/>
        <v>0</v>
      </c>
      <c r="M92" s="636">
        <f t="shared" si="43"/>
        <v>0</v>
      </c>
      <c r="N92" s="648"/>
      <c r="O92" s="648"/>
      <c r="P92" s="695" t="str">
        <f t="shared" si="65"/>
        <v/>
      </c>
      <c r="Q92" s="450"/>
      <c r="R92" s="450" t="str">
        <f t="shared" si="44"/>
        <v/>
      </c>
      <c r="S92" s="450" t="str">
        <f t="shared" si="45"/>
        <v/>
      </c>
      <c r="T92" s="450" t="str">
        <f t="shared" si="46"/>
        <v/>
      </c>
      <c r="U92" s="450" t="str">
        <f t="shared" si="47"/>
        <v/>
      </c>
      <c r="V92" s="450" t="str">
        <f t="shared" si="48"/>
        <v/>
      </c>
      <c r="W92" s="450" t="str">
        <f t="shared" si="49"/>
        <v/>
      </c>
      <c r="X92" s="450" t="str">
        <f t="shared" si="50"/>
        <v/>
      </c>
      <c r="Y92" s="450" t="str">
        <f t="shared" si="51"/>
        <v/>
      </c>
      <c r="Z92" s="450" t="str">
        <f t="shared" si="52"/>
        <v/>
      </c>
      <c r="AA92" s="450" t="str">
        <f t="shared" si="53"/>
        <v/>
      </c>
      <c r="AB92" s="450" t="str">
        <f t="shared" si="54"/>
        <v/>
      </c>
      <c r="AC92" s="450" t="str">
        <f t="shared" si="55"/>
        <v/>
      </c>
      <c r="AD92" s="450" t="str">
        <f t="shared" si="56"/>
        <v/>
      </c>
      <c r="AE92" s="450" t="str">
        <f t="shared" si="57"/>
        <v/>
      </c>
      <c r="AF92" s="450" t="str">
        <f t="shared" si="58"/>
        <v/>
      </c>
      <c r="AG92" s="450" t="str">
        <f t="shared" si="59"/>
        <v/>
      </c>
      <c r="AH92" s="450" t="str">
        <f t="shared" si="60"/>
        <v/>
      </c>
      <c r="AI92" s="450" t="str">
        <f t="shared" si="61"/>
        <v/>
      </c>
      <c r="AJ92" s="450" t="str">
        <f t="shared" si="62"/>
        <v/>
      </c>
      <c r="AK92" s="450" t="str">
        <f t="shared" si="63"/>
        <v/>
      </c>
      <c r="AL92" s="450" t="str">
        <f t="shared" si="64"/>
        <v/>
      </c>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50"/>
      <c r="BI92" s="450"/>
      <c r="BJ92" s="450"/>
      <c r="BK92" s="450"/>
      <c r="BL92" s="450"/>
      <c r="BM92" s="450"/>
    </row>
    <row r="93" spans="1:65" ht="24.9">
      <c r="A93" s="694" t="str">
        <f>Installations!F63</f>
        <v>Le Bourg, 71520 Saint-Point</v>
      </c>
      <c r="B93" s="642" t="str">
        <f>Installations!D63</f>
        <v>599 Ateliers municipaux Saint-Point</v>
      </c>
      <c r="C93" s="643"/>
      <c r="D93" s="644"/>
      <c r="E93" s="645">
        <f>IF(Installations!B63="oui",Installations!W63,0)</f>
        <v>0</v>
      </c>
      <c r="F93" s="646">
        <f>IF(Installations!B63="oui",Installations!AZ63,0)</f>
        <v>0</v>
      </c>
      <c r="G93" s="647">
        <f>IF(Installations!B63="oui",Installations!K63,0)</f>
        <v>0</v>
      </c>
      <c r="H93" s="652">
        <f t="shared" si="38"/>
        <v>0</v>
      </c>
      <c r="I93" s="635">
        <f t="shared" si="39"/>
        <v>0</v>
      </c>
      <c r="J93" s="635">
        <f t="shared" si="40"/>
        <v>0</v>
      </c>
      <c r="K93" s="635">
        <f t="shared" si="41"/>
        <v>0</v>
      </c>
      <c r="L93" s="636">
        <f t="shared" si="42"/>
        <v>0</v>
      </c>
      <c r="M93" s="636">
        <f t="shared" si="43"/>
        <v>0</v>
      </c>
      <c r="N93" s="648"/>
      <c r="O93" s="648"/>
      <c r="P93" s="695" t="str">
        <f t="shared" si="65"/>
        <v/>
      </c>
      <c r="Q93" s="450"/>
      <c r="R93" s="450" t="str">
        <f t="shared" si="44"/>
        <v/>
      </c>
      <c r="S93" s="450" t="str">
        <f t="shared" si="45"/>
        <v/>
      </c>
      <c r="T93" s="450" t="str">
        <f t="shared" si="46"/>
        <v/>
      </c>
      <c r="U93" s="450" t="str">
        <f t="shared" si="47"/>
        <v/>
      </c>
      <c r="V93" s="450" t="str">
        <f t="shared" si="48"/>
        <v/>
      </c>
      <c r="W93" s="450" t="str">
        <f t="shared" si="49"/>
        <v/>
      </c>
      <c r="X93" s="450" t="str">
        <f t="shared" si="50"/>
        <v/>
      </c>
      <c r="Y93" s="450" t="str">
        <f t="shared" si="51"/>
        <v/>
      </c>
      <c r="Z93" s="450" t="str">
        <f t="shared" si="52"/>
        <v/>
      </c>
      <c r="AA93" s="450" t="str">
        <f t="shared" si="53"/>
        <v/>
      </c>
      <c r="AB93" s="450" t="str">
        <f t="shared" si="54"/>
        <v/>
      </c>
      <c r="AC93" s="450" t="str">
        <f t="shared" si="55"/>
        <v/>
      </c>
      <c r="AD93" s="450" t="str">
        <f t="shared" si="56"/>
        <v/>
      </c>
      <c r="AE93" s="450" t="str">
        <f t="shared" si="57"/>
        <v/>
      </c>
      <c r="AF93" s="450" t="str">
        <f t="shared" si="58"/>
        <v/>
      </c>
      <c r="AG93" s="450" t="str">
        <f t="shared" si="59"/>
        <v/>
      </c>
      <c r="AH93" s="450" t="str">
        <f t="shared" si="60"/>
        <v/>
      </c>
      <c r="AI93" s="450" t="str">
        <f t="shared" si="61"/>
        <v/>
      </c>
      <c r="AJ93" s="450" t="str">
        <f t="shared" si="62"/>
        <v/>
      </c>
      <c r="AK93" s="450" t="str">
        <f t="shared" si="63"/>
        <v/>
      </c>
      <c r="AL93" s="450" t="str">
        <f t="shared" si="64"/>
        <v/>
      </c>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50"/>
      <c r="BI93" s="450"/>
      <c r="BJ93" s="450"/>
      <c r="BK93" s="450"/>
      <c r="BL93" s="450"/>
      <c r="BM93" s="450"/>
    </row>
    <row r="94" spans="1:65" ht="24.9">
      <c r="A94" s="694" t="str">
        <f>Installations!F64</f>
        <v>Le Bourg, 71520 Saint-Point</v>
      </c>
      <c r="B94" s="642" t="str">
        <f>Installations!D64</f>
        <v>599 Ateliers municipaux Saint-Point</v>
      </c>
      <c r="C94" s="643"/>
      <c r="D94" s="644"/>
      <c r="E94" s="645">
        <f>IF(Installations!B64="oui",Installations!W64,0)</f>
        <v>0</v>
      </c>
      <c r="F94" s="646">
        <f>IF(Installations!B64="oui",Installations!AZ64,0)</f>
        <v>0</v>
      </c>
      <c r="G94" s="647">
        <f>IF(Installations!B64="oui",Installations!K64,0)</f>
        <v>0</v>
      </c>
      <c r="H94" s="652">
        <f t="shared" si="38"/>
        <v>0</v>
      </c>
      <c r="I94" s="635">
        <f t="shared" si="39"/>
        <v>0</v>
      </c>
      <c r="J94" s="635">
        <f t="shared" si="40"/>
        <v>0</v>
      </c>
      <c r="K94" s="635">
        <f t="shared" si="41"/>
        <v>0</v>
      </c>
      <c r="L94" s="636">
        <f t="shared" si="42"/>
        <v>0</v>
      </c>
      <c r="M94" s="636">
        <f t="shared" si="43"/>
        <v>0</v>
      </c>
      <c r="N94" s="648"/>
      <c r="O94" s="648"/>
      <c r="P94" s="695" t="str">
        <f t="shared" si="65"/>
        <v/>
      </c>
      <c r="Q94" s="450"/>
      <c r="R94" s="450" t="str">
        <f t="shared" si="44"/>
        <v/>
      </c>
      <c r="S94" s="450" t="str">
        <f t="shared" si="45"/>
        <v/>
      </c>
      <c r="T94" s="450" t="str">
        <f t="shared" si="46"/>
        <v/>
      </c>
      <c r="U94" s="450" t="str">
        <f t="shared" si="47"/>
        <v/>
      </c>
      <c r="V94" s="450" t="str">
        <f t="shared" si="48"/>
        <v/>
      </c>
      <c r="W94" s="450" t="str">
        <f t="shared" si="49"/>
        <v/>
      </c>
      <c r="X94" s="450" t="str">
        <f t="shared" si="50"/>
        <v/>
      </c>
      <c r="Y94" s="450" t="str">
        <f t="shared" si="51"/>
        <v/>
      </c>
      <c r="Z94" s="450" t="str">
        <f t="shared" si="52"/>
        <v/>
      </c>
      <c r="AA94" s="450" t="str">
        <f t="shared" si="53"/>
        <v/>
      </c>
      <c r="AB94" s="450" t="str">
        <f t="shared" si="54"/>
        <v/>
      </c>
      <c r="AC94" s="450" t="str">
        <f t="shared" si="55"/>
        <v/>
      </c>
      <c r="AD94" s="450" t="str">
        <f t="shared" si="56"/>
        <v/>
      </c>
      <c r="AE94" s="450" t="str">
        <f t="shared" si="57"/>
        <v/>
      </c>
      <c r="AF94" s="450" t="str">
        <f t="shared" si="58"/>
        <v/>
      </c>
      <c r="AG94" s="450" t="str">
        <f t="shared" si="59"/>
        <v/>
      </c>
      <c r="AH94" s="450" t="str">
        <f t="shared" si="60"/>
        <v/>
      </c>
      <c r="AI94" s="450" t="str">
        <f t="shared" si="61"/>
        <v/>
      </c>
      <c r="AJ94" s="450" t="str">
        <f t="shared" si="62"/>
        <v/>
      </c>
      <c r="AK94" s="450" t="str">
        <f t="shared" si="63"/>
        <v/>
      </c>
      <c r="AL94" s="450" t="str">
        <f t="shared" si="64"/>
        <v/>
      </c>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50"/>
      <c r="BI94" s="450"/>
      <c r="BJ94" s="450"/>
      <c r="BK94" s="450"/>
      <c r="BL94" s="450"/>
      <c r="BM94" s="450"/>
    </row>
    <row r="95" spans="1:65">
      <c r="A95" s="694" t="str">
        <f>Installations!F65</f>
        <v>71250 Bergesserin</v>
      </c>
      <c r="B95" s="642" t="str">
        <f>Installations!D65</f>
        <v>605 Hôpital Bergesserin</v>
      </c>
      <c r="C95" s="643"/>
      <c r="D95" s="644"/>
      <c r="E95" s="645">
        <f>IF(Installations!B65="oui",Installations!W65,0)</f>
        <v>0</v>
      </c>
      <c r="F95" s="646">
        <f>IF(Installations!B65="oui",Installations!AZ65,0)</f>
        <v>0</v>
      </c>
      <c r="G95" s="647">
        <f>IF(Installations!B65="oui",Installations!K65,0)</f>
        <v>0</v>
      </c>
      <c r="H95" s="652">
        <f t="shared" si="38"/>
        <v>0</v>
      </c>
      <c r="I95" s="635">
        <f t="shared" si="39"/>
        <v>0</v>
      </c>
      <c r="J95" s="635">
        <f t="shared" si="40"/>
        <v>0</v>
      </c>
      <c r="K95" s="635">
        <f t="shared" si="41"/>
        <v>0</v>
      </c>
      <c r="L95" s="636">
        <f t="shared" si="42"/>
        <v>0</v>
      </c>
      <c r="M95" s="636">
        <f t="shared" si="43"/>
        <v>0</v>
      </c>
      <c r="N95" s="648"/>
      <c r="O95" s="648"/>
      <c r="P95" s="695" t="str">
        <f t="shared" si="65"/>
        <v/>
      </c>
      <c r="Q95" s="450"/>
      <c r="R95" s="450" t="str">
        <f t="shared" si="44"/>
        <v/>
      </c>
      <c r="S95" s="450" t="str">
        <f t="shared" si="45"/>
        <v/>
      </c>
      <c r="T95" s="450" t="str">
        <f t="shared" si="46"/>
        <v/>
      </c>
      <c r="U95" s="450" t="str">
        <f t="shared" si="47"/>
        <v/>
      </c>
      <c r="V95" s="450" t="str">
        <f t="shared" si="48"/>
        <v/>
      </c>
      <c r="W95" s="450" t="str">
        <f t="shared" si="49"/>
        <v/>
      </c>
      <c r="X95" s="450" t="str">
        <f t="shared" si="50"/>
        <v/>
      </c>
      <c r="Y95" s="450" t="str">
        <f t="shared" si="51"/>
        <v/>
      </c>
      <c r="Z95" s="450" t="str">
        <f t="shared" si="52"/>
        <v/>
      </c>
      <c r="AA95" s="450" t="str">
        <f t="shared" si="53"/>
        <v/>
      </c>
      <c r="AB95" s="450" t="str">
        <f t="shared" si="54"/>
        <v/>
      </c>
      <c r="AC95" s="450" t="str">
        <f t="shared" si="55"/>
        <v/>
      </c>
      <c r="AD95" s="450" t="str">
        <f t="shared" si="56"/>
        <v/>
      </c>
      <c r="AE95" s="450" t="str">
        <f t="shared" si="57"/>
        <v/>
      </c>
      <c r="AF95" s="450" t="str">
        <f t="shared" si="58"/>
        <v/>
      </c>
      <c r="AG95" s="450" t="str">
        <f t="shared" si="59"/>
        <v/>
      </c>
      <c r="AH95" s="450" t="str">
        <f t="shared" si="60"/>
        <v/>
      </c>
      <c r="AI95" s="450" t="str">
        <f t="shared" si="61"/>
        <v/>
      </c>
      <c r="AJ95" s="450" t="str">
        <f t="shared" si="62"/>
        <v/>
      </c>
      <c r="AK95" s="450" t="str">
        <f t="shared" si="63"/>
        <v/>
      </c>
      <c r="AL95" s="450" t="str">
        <f t="shared" si="64"/>
        <v/>
      </c>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50"/>
      <c r="BI95" s="450"/>
      <c r="BJ95" s="450"/>
      <c r="BK95" s="450"/>
      <c r="BL95" s="450"/>
      <c r="BM95" s="450"/>
    </row>
    <row r="96" spans="1:65">
      <c r="A96" s="694">
        <f>Installations!F66</f>
        <v>0</v>
      </c>
      <c r="B96" s="642">
        <f>Installations!D66</f>
        <v>0</v>
      </c>
      <c r="C96" s="643"/>
      <c r="D96" s="644"/>
      <c r="E96" s="645">
        <f>IF(Installations!B66="oui",Installations!W66,0)</f>
        <v>0</v>
      </c>
      <c r="F96" s="646">
        <f>IF(Installations!B66="oui",Installations!AZ66,0)</f>
        <v>0</v>
      </c>
      <c r="G96" s="647">
        <f>IF(Installations!B66="oui",Installations!K66,0)</f>
        <v>0</v>
      </c>
      <c r="H96" s="652">
        <f t="shared" si="38"/>
        <v>0</v>
      </c>
      <c r="I96" s="635">
        <f t="shared" si="39"/>
        <v>0</v>
      </c>
      <c r="J96" s="635">
        <f t="shared" si="40"/>
        <v>0</v>
      </c>
      <c r="K96" s="635">
        <f t="shared" si="41"/>
        <v>0</v>
      </c>
      <c r="L96" s="636">
        <f t="shared" si="42"/>
        <v>0</v>
      </c>
      <c r="M96" s="636">
        <f t="shared" si="43"/>
        <v>0</v>
      </c>
      <c r="N96" s="648"/>
      <c r="O96" s="648"/>
      <c r="P96" s="695" t="str">
        <f t="shared" si="65"/>
        <v/>
      </c>
      <c r="Q96" s="450"/>
      <c r="R96" s="450" t="str">
        <f t="shared" si="44"/>
        <v/>
      </c>
      <c r="S96" s="450" t="str">
        <f t="shared" si="45"/>
        <v/>
      </c>
      <c r="T96" s="450" t="str">
        <f t="shared" si="46"/>
        <v/>
      </c>
      <c r="U96" s="450" t="str">
        <f t="shared" si="47"/>
        <v/>
      </c>
      <c r="V96" s="450" t="str">
        <f t="shared" si="48"/>
        <v/>
      </c>
      <c r="W96" s="450" t="str">
        <f t="shared" si="49"/>
        <v/>
      </c>
      <c r="X96" s="450" t="str">
        <f t="shared" si="50"/>
        <v/>
      </c>
      <c r="Y96" s="450" t="str">
        <f t="shared" si="51"/>
        <v/>
      </c>
      <c r="Z96" s="450" t="str">
        <f t="shared" si="52"/>
        <v/>
      </c>
      <c r="AA96" s="450" t="str">
        <f t="shared" si="53"/>
        <v/>
      </c>
      <c r="AB96" s="450" t="str">
        <f t="shared" si="54"/>
        <v/>
      </c>
      <c r="AC96" s="450" t="str">
        <f t="shared" si="55"/>
        <v/>
      </c>
      <c r="AD96" s="450" t="str">
        <f t="shared" si="56"/>
        <v/>
      </c>
      <c r="AE96" s="450" t="str">
        <f t="shared" si="57"/>
        <v/>
      </c>
      <c r="AF96" s="450" t="str">
        <f t="shared" si="58"/>
        <v/>
      </c>
      <c r="AG96" s="450" t="str">
        <f t="shared" si="59"/>
        <v/>
      </c>
      <c r="AH96" s="450" t="str">
        <f t="shared" si="60"/>
        <v/>
      </c>
      <c r="AI96" s="450" t="str">
        <f t="shared" si="61"/>
        <v/>
      </c>
      <c r="AJ96" s="450" t="str">
        <f t="shared" si="62"/>
        <v/>
      </c>
      <c r="AK96" s="450" t="str">
        <f t="shared" si="63"/>
        <v/>
      </c>
      <c r="AL96" s="450" t="str">
        <f t="shared" si="64"/>
        <v/>
      </c>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c r="BL96" s="450"/>
      <c r="BM96" s="450"/>
    </row>
    <row r="97" spans="1:65">
      <c r="A97" s="694">
        <f>Installations!F67</f>
        <v>0</v>
      </c>
      <c r="B97" s="642">
        <f>Installations!D67</f>
        <v>0</v>
      </c>
      <c r="C97" s="643"/>
      <c r="D97" s="644"/>
      <c r="E97" s="645">
        <f>IF(Installations!B67="oui",Installations!W67,0)</f>
        <v>0</v>
      </c>
      <c r="F97" s="646">
        <f>IF(Installations!B67="oui",Installations!AZ67,0)</f>
        <v>0</v>
      </c>
      <c r="G97" s="647">
        <f>IF(Installations!B67="oui",Installations!K67,0)</f>
        <v>0</v>
      </c>
      <c r="H97" s="652">
        <f t="shared" si="38"/>
        <v>0</v>
      </c>
      <c r="I97" s="635">
        <f t="shared" si="39"/>
        <v>0</v>
      </c>
      <c r="J97" s="635">
        <f t="shared" si="40"/>
        <v>0</v>
      </c>
      <c r="K97" s="635">
        <f t="shared" si="41"/>
        <v>0</v>
      </c>
      <c r="L97" s="636">
        <f t="shared" si="42"/>
        <v>0</v>
      </c>
      <c r="M97" s="636">
        <f t="shared" si="43"/>
        <v>0</v>
      </c>
      <c r="N97" s="648"/>
      <c r="O97" s="648"/>
      <c r="P97" s="695" t="str">
        <f t="shared" si="65"/>
        <v/>
      </c>
      <c r="Q97" s="450"/>
      <c r="R97" s="450" t="str">
        <f t="shared" si="44"/>
        <v/>
      </c>
      <c r="S97" s="450" t="str">
        <f t="shared" si="45"/>
        <v/>
      </c>
      <c r="T97" s="450" t="str">
        <f t="shared" si="46"/>
        <v/>
      </c>
      <c r="U97" s="450" t="str">
        <f t="shared" si="47"/>
        <v/>
      </c>
      <c r="V97" s="450" t="str">
        <f t="shared" si="48"/>
        <v/>
      </c>
      <c r="W97" s="450" t="str">
        <f t="shared" si="49"/>
        <v/>
      </c>
      <c r="X97" s="450" t="str">
        <f t="shared" si="50"/>
        <v/>
      </c>
      <c r="Y97" s="450" t="str">
        <f t="shared" si="51"/>
        <v/>
      </c>
      <c r="Z97" s="450" t="str">
        <f t="shared" si="52"/>
        <v/>
      </c>
      <c r="AA97" s="450" t="str">
        <f t="shared" si="53"/>
        <v/>
      </c>
      <c r="AB97" s="450" t="str">
        <f t="shared" si="54"/>
        <v/>
      </c>
      <c r="AC97" s="450" t="str">
        <f t="shared" si="55"/>
        <v/>
      </c>
      <c r="AD97" s="450" t="str">
        <f t="shared" si="56"/>
        <v/>
      </c>
      <c r="AE97" s="450" t="str">
        <f t="shared" si="57"/>
        <v/>
      </c>
      <c r="AF97" s="450" t="str">
        <f t="shared" si="58"/>
        <v/>
      </c>
      <c r="AG97" s="450" t="str">
        <f t="shared" si="59"/>
        <v/>
      </c>
      <c r="AH97" s="450" t="str">
        <f t="shared" si="60"/>
        <v/>
      </c>
      <c r="AI97" s="450" t="str">
        <f t="shared" si="61"/>
        <v/>
      </c>
      <c r="AJ97" s="450" t="str">
        <f t="shared" si="62"/>
        <v/>
      </c>
      <c r="AK97" s="450" t="str">
        <f t="shared" si="63"/>
        <v/>
      </c>
      <c r="AL97" s="450" t="str">
        <f t="shared" si="64"/>
        <v/>
      </c>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50"/>
      <c r="BI97" s="450"/>
      <c r="BJ97" s="450"/>
      <c r="BK97" s="450"/>
      <c r="BL97" s="450"/>
      <c r="BM97" s="450"/>
    </row>
    <row r="98" spans="1:65">
      <c r="A98" s="694">
        <f>Installations!F68</f>
        <v>0</v>
      </c>
      <c r="B98" s="642">
        <f>Installations!D68</f>
        <v>0</v>
      </c>
      <c r="C98" s="643"/>
      <c r="D98" s="644"/>
      <c r="E98" s="645">
        <f>IF(Installations!B68="oui",Installations!W68,0)</f>
        <v>0</v>
      </c>
      <c r="F98" s="646">
        <f>IF(Installations!B68="oui",Installations!AZ68,0)</f>
        <v>0</v>
      </c>
      <c r="G98" s="647">
        <f>IF(Installations!B68="oui",Installations!K68,0)</f>
        <v>0</v>
      </c>
      <c r="H98" s="652">
        <f t="shared" si="38"/>
        <v>0</v>
      </c>
      <c r="I98" s="635">
        <f t="shared" si="39"/>
        <v>0</v>
      </c>
      <c r="J98" s="635">
        <f t="shared" si="40"/>
        <v>0</v>
      </c>
      <c r="K98" s="635">
        <f t="shared" si="41"/>
        <v>0</v>
      </c>
      <c r="L98" s="636">
        <f t="shared" si="42"/>
        <v>0</v>
      </c>
      <c r="M98" s="636">
        <f t="shared" si="43"/>
        <v>0</v>
      </c>
      <c r="N98" s="648"/>
      <c r="O98" s="648"/>
      <c r="P98" s="695" t="str">
        <f t="shared" si="65"/>
        <v/>
      </c>
      <c r="Q98" s="450"/>
      <c r="R98" s="450" t="str">
        <f t="shared" si="44"/>
        <v/>
      </c>
      <c r="S98" s="450" t="str">
        <f t="shared" si="45"/>
        <v/>
      </c>
      <c r="T98" s="450" t="str">
        <f t="shared" si="46"/>
        <v/>
      </c>
      <c r="U98" s="450" t="str">
        <f t="shared" si="47"/>
        <v/>
      </c>
      <c r="V98" s="450" t="str">
        <f t="shared" si="48"/>
        <v/>
      </c>
      <c r="W98" s="450" t="str">
        <f t="shared" si="49"/>
        <v/>
      </c>
      <c r="X98" s="450" t="str">
        <f t="shared" si="50"/>
        <v/>
      </c>
      <c r="Y98" s="450" t="str">
        <f t="shared" si="51"/>
        <v/>
      </c>
      <c r="Z98" s="450" t="str">
        <f t="shared" si="52"/>
        <v/>
      </c>
      <c r="AA98" s="450" t="str">
        <f t="shared" si="53"/>
        <v/>
      </c>
      <c r="AB98" s="450" t="str">
        <f t="shared" si="54"/>
        <v/>
      </c>
      <c r="AC98" s="450" t="str">
        <f t="shared" si="55"/>
        <v/>
      </c>
      <c r="AD98" s="450" t="str">
        <f t="shared" si="56"/>
        <v/>
      </c>
      <c r="AE98" s="450" t="str">
        <f t="shared" si="57"/>
        <v/>
      </c>
      <c r="AF98" s="450" t="str">
        <f t="shared" si="58"/>
        <v/>
      </c>
      <c r="AG98" s="450" t="str">
        <f t="shared" si="59"/>
        <v/>
      </c>
      <c r="AH98" s="450" t="str">
        <f t="shared" si="60"/>
        <v/>
      </c>
      <c r="AI98" s="450" t="str">
        <f t="shared" si="61"/>
        <v/>
      </c>
      <c r="AJ98" s="450" t="str">
        <f t="shared" si="62"/>
        <v/>
      </c>
      <c r="AK98" s="450" t="str">
        <f t="shared" si="63"/>
        <v/>
      </c>
      <c r="AL98" s="450" t="str">
        <f t="shared" si="64"/>
        <v/>
      </c>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50"/>
      <c r="BI98" s="450"/>
      <c r="BJ98" s="450"/>
      <c r="BK98" s="450"/>
      <c r="BL98" s="450"/>
      <c r="BM98" s="450"/>
    </row>
    <row r="99" spans="1:65">
      <c r="A99" s="694">
        <f>Installations!F69</f>
        <v>0</v>
      </c>
      <c r="B99" s="642">
        <f>Installations!D69</f>
        <v>0</v>
      </c>
      <c r="C99" s="643"/>
      <c r="D99" s="644"/>
      <c r="E99" s="645">
        <f>IF(Installations!B69="oui",Installations!W69,0)</f>
        <v>0</v>
      </c>
      <c r="F99" s="646">
        <f>IF(Installations!B69="oui",Installations!AZ69,0)</f>
        <v>0</v>
      </c>
      <c r="G99" s="647">
        <f>IF(Installations!B69="oui",Installations!K69,0)</f>
        <v>0</v>
      </c>
      <c r="H99" s="652">
        <f t="shared" si="38"/>
        <v>0</v>
      </c>
      <c r="I99" s="635">
        <f t="shared" si="39"/>
        <v>0</v>
      </c>
      <c r="J99" s="635">
        <f t="shared" si="40"/>
        <v>0</v>
      </c>
      <c r="K99" s="635">
        <f t="shared" si="41"/>
        <v>0</v>
      </c>
      <c r="L99" s="636">
        <f t="shared" si="42"/>
        <v>0</v>
      </c>
      <c r="M99" s="636">
        <f t="shared" si="43"/>
        <v>0</v>
      </c>
      <c r="N99" s="648"/>
      <c r="O99" s="648"/>
      <c r="P99" s="695" t="str">
        <f t="shared" si="65"/>
        <v/>
      </c>
      <c r="Q99" s="450"/>
      <c r="R99" s="450" t="str">
        <f t="shared" si="44"/>
        <v/>
      </c>
      <c r="S99" s="450" t="str">
        <f t="shared" si="45"/>
        <v/>
      </c>
      <c r="T99" s="450" t="str">
        <f t="shared" si="46"/>
        <v/>
      </c>
      <c r="U99" s="450" t="str">
        <f t="shared" si="47"/>
        <v/>
      </c>
      <c r="V99" s="450" t="str">
        <f t="shared" si="48"/>
        <v/>
      </c>
      <c r="W99" s="450" t="str">
        <f t="shared" si="49"/>
        <v/>
      </c>
      <c r="X99" s="450" t="str">
        <f t="shared" si="50"/>
        <v/>
      </c>
      <c r="Y99" s="450" t="str">
        <f t="shared" si="51"/>
        <v/>
      </c>
      <c r="Z99" s="450" t="str">
        <f t="shared" si="52"/>
        <v/>
      </c>
      <c r="AA99" s="450" t="str">
        <f t="shared" si="53"/>
        <v/>
      </c>
      <c r="AB99" s="450" t="str">
        <f t="shared" si="54"/>
        <v/>
      </c>
      <c r="AC99" s="450" t="str">
        <f t="shared" si="55"/>
        <v/>
      </c>
      <c r="AD99" s="450" t="str">
        <f t="shared" si="56"/>
        <v/>
      </c>
      <c r="AE99" s="450" t="str">
        <f t="shared" si="57"/>
        <v/>
      </c>
      <c r="AF99" s="450" t="str">
        <f t="shared" si="58"/>
        <v/>
      </c>
      <c r="AG99" s="450" t="str">
        <f t="shared" si="59"/>
        <v/>
      </c>
      <c r="AH99" s="450" t="str">
        <f t="shared" si="60"/>
        <v/>
      </c>
      <c r="AI99" s="450" t="str">
        <f t="shared" si="61"/>
        <v/>
      </c>
      <c r="AJ99" s="450" t="str">
        <f t="shared" si="62"/>
        <v/>
      </c>
      <c r="AK99" s="450" t="str">
        <f t="shared" si="63"/>
        <v/>
      </c>
      <c r="AL99" s="450" t="str">
        <f t="shared" si="64"/>
        <v/>
      </c>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50"/>
      <c r="BI99" s="450"/>
      <c r="BJ99" s="450"/>
      <c r="BK99" s="450"/>
      <c r="BL99" s="450"/>
      <c r="BM99" s="450"/>
    </row>
    <row r="100" spans="1:65">
      <c r="A100" s="694">
        <f>Installations!F70</f>
        <v>0</v>
      </c>
      <c r="B100" s="642">
        <f>Installations!D70</f>
        <v>0</v>
      </c>
      <c r="C100" s="643"/>
      <c r="D100" s="644"/>
      <c r="E100" s="645">
        <f>IF(Installations!B70="oui",Installations!W70,0)</f>
        <v>0</v>
      </c>
      <c r="F100" s="646">
        <f>IF(Installations!B70="oui",Installations!AZ70,0)</f>
        <v>0</v>
      </c>
      <c r="G100" s="647">
        <f>IF(Installations!B70="oui",Installations!K70,0)</f>
        <v>0</v>
      </c>
      <c r="H100" s="652">
        <f>IF(AND(F100*15/1000&lt;30,F100&lt;&gt;0),30,F100*15/1000)</f>
        <v>0</v>
      </c>
      <c r="I100" s="635">
        <f>(H100*9/100)+H100</f>
        <v>0</v>
      </c>
      <c r="J100" s="635">
        <f>E100*$O$31/1000</f>
        <v>0</v>
      </c>
      <c r="K100" s="635">
        <f>E100*$P$31/1000</f>
        <v>0</v>
      </c>
      <c r="L100" s="636">
        <f>F100*4.14/1000</f>
        <v>0</v>
      </c>
      <c r="M100" s="636">
        <f>F100*4.65/1000</f>
        <v>0</v>
      </c>
      <c r="N100" s="648"/>
      <c r="O100" s="648"/>
      <c r="P100" s="695" t="str">
        <f>IF(C100&gt;0,YEAR(C100),"")</f>
        <v/>
      </c>
      <c r="Q100" s="450"/>
      <c r="R100" s="450" t="str">
        <f t="shared" ref="R100:AL100" si="66">IF($P100=R$13,$E100,"")</f>
        <v/>
      </c>
      <c r="S100" s="450" t="str">
        <f t="shared" si="66"/>
        <v/>
      </c>
      <c r="T100" s="450" t="str">
        <f t="shared" si="66"/>
        <v/>
      </c>
      <c r="U100" s="450" t="str">
        <f t="shared" si="66"/>
        <v/>
      </c>
      <c r="V100" s="450" t="str">
        <f t="shared" si="66"/>
        <v/>
      </c>
      <c r="W100" s="450" t="str">
        <f t="shared" si="66"/>
        <v/>
      </c>
      <c r="X100" s="450" t="str">
        <f t="shared" si="66"/>
        <v/>
      </c>
      <c r="Y100" s="450" t="str">
        <f t="shared" si="66"/>
        <v/>
      </c>
      <c r="Z100" s="450" t="str">
        <f t="shared" si="66"/>
        <v/>
      </c>
      <c r="AA100" s="450" t="str">
        <f t="shared" si="66"/>
        <v/>
      </c>
      <c r="AB100" s="450" t="str">
        <f t="shared" si="66"/>
        <v/>
      </c>
      <c r="AC100" s="450" t="str">
        <f t="shared" si="66"/>
        <v/>
      </c>
      <c r="AD100" s="450" t="str">
        <f t="shared" si="66"/>
        <v/>
      </c>
      <c r="AE100" s="450" t="str">
        <f t="shared" si="66"/>
        <v/>
      </c>
      <c r="AF100" s="450" t="str">
        <f t="shared" si="66"/>
        <v/>
      </c>
      <c r="AG100" s="450" t="str">
        <f t="shared" si="66"/>
        <v/>
      </c>
      <c r="AH100" s="450" t="str">
        <f t="shared" si="66"/>
        <v/>
      </c>
      <c r="AI100" s="450" t="str">
        <f t="shared" si="66"/>
        <v/>
      </c>
      <c r="AJ100" s="450" t="str">
        <f t="shared" si="66"/>
        <v/>
      </c>
      <c r="AK100" s="450" t="str">
        <f t="shared" si="66"/>
        <v/>
      </c>
      <c r="AL100" s="450" t="str">
        <f t="shared" si="66"/>
        <v/>
      </c>
      <c r="AM100" s="450"/>
      <c r="AN100" s="450"/>
      <c r="AO100" s="450"/>
      <c r="AP100" s="450"/>
      <c r="AQ100" s="450"/>
      <c r="AR100" s="450"/>
      <c r="AS100" s="450"/>
      <c r="AT100" s="450"/>
      <c r="AU100" s="450"/>
      <c r="AV100" s="450"/>
      <c r="AW100" s="450"/>
      <c r="AX100" s="450"/>
      <c r="AY100" s="450"/>
      <c r="AZ100" s="450"/>
      <c r="BA100" s="450"/>
      <c r="BB100" s="450"/>
      <c r="BC100" s="450"/>
      <c r="BD100" s="450"/>
      <c r="BE100" s="450"/>
      <c r="BF100" s="450"/>
      <c r="BG100" s="450"/>
      <c r="BH100" s="450"/>
      <c r="BI100" s="450"/>
      <c r="BJ100" s="450"/>
      <c r="BK100" s="450"/>
      <c r="BL100" s="450"/>
      <c r="BM100" s="450"/>
    </row>
    <row r="101" spans="1:65">
      <c r="A101" s="696"/>
      <c r="B101" s="697"/>
      <c r="C101" s="698"/>
      <c r="D101" s="699"/>
      <c r="E101" s="700"/>
      <c r="F101" s="701"/>
      <c r="G101" s="701"/>
      <c r="H101" s="702"/>
      <c r="I101" s="702"/>
      <c r="J101" s="702"/>
      <c r="K101" s="702"/>
      <c r="L101" s="703"/>
      <c r="M101" s="703"/>
      <c r="N101" s="704"/>
      <c r="O101" s="705"/>
      <c r="P101" s="706"/>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50"/>
      <c r="BI101" s="450"/>
      <c r="BJ101" s="450"/>
      <c r="BK101" s="450"/>
      <c r="BL101" s="450"/>
      <c r="BM101" s="450"/>
    </row>
    <row r="102" spans="1:65" ht="11.15">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row>
    <row r="103" spans="1:65" ht="11.15">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row>
    <row r="104" spans="1:65" ht="11.15">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row>
    <row r="105" spans="1:65" ht="11.15">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row>
    <row r="106" spans="1:65" ht="11.15">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row>
    <row r="107" spans="1:65" ht="11.15">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c r="BF107" s="450"/>
      <c r="BG107" s="450"/>
      <c r="BH107" s="450"/>
      <c r="BI107" s="450"/>
      <c r="BJ107" s="450"/>
      <c r="BK107" s="450"/>
      <c r="BL107" s="450"/>
      <c r="BM107" s="450"/>
    </row>
    <row r="108" spans="1:65" ht="11.15">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c r="BF108" s="450"/>
      <c r="BG108" s="450"/>
      <c r="BH108" s="450"/>
      <c r="BI108" s="450"/>
      <c r="BJ108" s="450"/>
      <c r="BK108" s="450"/>
      <c r="BL108" s="450"/>
      <c r="BM108" s="450"/>
    </row>
    <row r="109" spans="1:65" ht="11.15">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row>
    <row r="110" spans="1:65" ht="11.15">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c r="BF110" s="450"/>
      <c r="BG110" s="450"/>
      <c r="BH110" s="450"/>
      <c r="BI110" s="450"/>
      <c r="BJ110" s="450"/>
      <c r="BK110" s="450"/>
      <c r="BL110" s="450"/>
      <c r="BM110" s="450"/>
    </row>
    <row r="111" spans="1:65" ht="11.15">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row>
    <row r="112" spans="1:65" ht="11.15">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c r="BB112" s="450"/>
      <c r="BC112" s="450"/>
      <c r="BD112" s="450"/>
      <c r="BE112" s="450"/>
      <c r="BF112" s="450"/>
      <c r="BG112" s="450"/>
      <c r="BH112" s="450"/>
      <c r="BI112" s="450"/>
      <c r="BJ112" s="450"/>
      <c r="BK112" s="450"/>
      <c r="BL112" s="450"/>
      <c r="BM112" s="450"/>
    </row>
    <row r="113" spans="1:65" ht="11.15">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c r="BF113" s="450"/>
      <c r="BG113" s="450"/>
      <c r="BH113" s="450"/>
      <c r="BI113" s="450"/>
      <c r="BJ113" s="450"/>
      <c r="BK113" s="450"/>
      <c r="BL113" s="450"/>
      <c r="BM113" s="450"/>
    </row>
    <row r="114" spans="1:65" ht="11.15">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c r="BF114" s="450"/>
      <c r="BG114" s="450"/>
      <c r="BH114" s="450"/>
      <c r="BI114" s="450"/>
      <c r="BJ114" s="450"/>
      <c r="BK114" s="450"/>
      <c r="BL114" s="450"/>
      <c r="BM114" s="450"/>
    </row>
    <row r="115" spans="1:65" ht="11.15">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c r="BF115" s="450"/>
      <c r="BG115" s="450"/>
      <c r="BH115" s="450"/>
      <c r="BI115" s="450"/>
      <c r="BJ115" s="450"/>
      <c r="BK115" s="450"/>
      <c r="BL115" s="450"/>
      <c r="BM115" s="450"/>
    </row>
    <row r="116" spans="1:65" ht="11.15">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c r="BB116" s="450"/>
      <c r="BC116" s="450"/>
      <c r="BD116" s="450"/>
      <c r="BE116" s="450"/>
      <c r="BF116" s="450"/>
      <c r="BG116" s="450"/>
      <c r="BH116" s="450"/>
      <c r="BI116" s="450"/>
      <c r="BJ116" s="450"/>
      <c r="BK116" s="450"/>
      <c r="BL116" s="450"/>
      <c r="BM116" s="450"/>
    </row>
    <row r="117" spans="1:65" ht="11.15">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c r="BF117" s="450"/>
      <c r="BG117" s="450"/>
      <c r="BH117" s="450"/>
      <c r="BI117" s="450"/>
      <c r="BJ117" s="450"/>
      <c r="BK117" s="450"/>
      <c r="BL117" s="450"/>
      <c r="BM117" s="450"/>
    </row>
    <row r="118" spans="1:65" ht="11.15">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c r="BF118" s="450"/>
      <c r="BG118" s="450"/>
      <c r="BH118" s="450"/>
      <c r="BI118" s="450"/>
      <c r="BJ118" s="450"/>
      <c r="BK118" s="450"/>
      <c r="BL118" s="450"/>
      <c r="BM118" s="450"/>
    </row>
    <row r="119" spans="1:65" ht="11.15">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c r="BB119" s="450"/>
      <c r="BC119" s="450"/>
      <c r="BD119" s="450"/>
      <c r="BE119" s="450"/>
      <c r="BF119" s="450"/>
      <c r="BG119" s="450"/>
      <c r="BH119" s="450"/>
      <c r="BI119" s="450"/>
      <c r="BJ119" s="450"/>
      <c r="BK119" s="450"/>
      <c r="BL119" s="450"/>
      <c r="BM119" s="450"/>
    </row>
    <row r="120" spans="1:65" ht="11.15">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c r="BB120" s="450"/>
      <c r="BC120" s="450"/>
      <c r="BD120" s="450"/>
      <c r="BE120" s="450"/>
      <c r="BF120" s="450"/>
      <c r="BG120" s="450"/>
      <c r="BH120" s="450"/>
      <c r="BI120" s="450"/>
      <c r="BJ120" s="450"/>
      <c r="BK120" s="450"/>
      <c r="BL120" s="450"/>
      <c r="BM120" s="450"/>
    </row>
    <row r="121" spans="1:65" ht="11.15">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c r="BB121" s="450"/>
      <c r="BC121" s="450"/>
      <c r="BD121" s="450"/>
      <c r="BE121" s="450"/>
      <c r="BF121" s="450"/>
      <c r="BG121" s="450"/>
      <c r="BH121" s="450"/>
      <c r="BI121" s="450"/>
      <c r="BJ121" s="450"/>
      <c r="BK121" s="450"/>
      <c r="BL121" s="450"/>
      <c r="BM121" s="450"/>
    </row>
    <row r="122" spans="1:65" ht="11.15">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c r="BF122" s="450"/>
      <c r="BG122" s="450"/>
      <c r="BH122" s="450"/>
      <c r="BI122" s="450"/>
      <c r="BJ122" s="450"/>
      <c r="BK122" s="450"/>
      <c r="BL122" s="450"/>
      <c r="BM122" s="450"/>
    </row>
    <row r="123" spans="1:65" ht="11.15">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c r="BB123" s="450"/>
      <c r="BC123" s="450"/>
      <c r="BD123" s="450"/>
      <c r="BE123" s="450"/>
      <c r="BF123" s="450"/>
      <c r="BG123" s="450"/>
      <c r="BH123" s="450"/>
      <c r="BI123" s="450"/>
      <c r="BJ123" s="450"/>
      <c r="BK123" s="450"/>
      <c r="BL123" s="450"/>
      <c r="BM123" s="450"/>
    </row>
    <row r="124" spans="1:65" ht="11.15">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0"/>
      <c r="BL124" s="450"/>
      <c r="BM124" s="450"/>
    </row>
    <row r="125" spans="1:65" ht="11.15">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row>
    <row r="126" spans="1:65" ht="11.15">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0"/>
      <c r="BL126" s="450"/>
      <c r="BM126" s="450"/>
    </row>
    <row r="127" spans="1:65" ht="11.15">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c r="BF127" s="450"/>
      <c r="BG127" s="450"/>
      <c r="BH127" s="450"/>
      <c r="BI127" s="450"/>
      <c r="BJ127" s="450"/>
      <c r="BK127" s="450"/>
      <c r="BL127" s="450"/>
      <c r="BM127" s="450"/>
    </row>
    <row r="128" spans="1:65" ht="11.15">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450"/>
      <c r="BH128" s="450"/>
      <c r="BI128" s="450"/>
      <c r="BJ128" s="450"/>
      <c r="BK128" s="450"/>
      <c r="BL128" s="450"/>
      <c r="BM128" s="450"/>
    </row>
    <row r="129" spans="1:65" ht="11.15">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450"/>
      <c r="BH129" s="450"/>
      <c r="BI129" s="450"/>
      <c r="BJ129" s="450"/>
      <c r="BK129" s="450"/>
      <c r="BL129" s="450"/>
      <c r="BM129" s="450"/>
    </row>
    <row r="130" spans="1:65" ht="11.15">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row>
    <row r="131" spans="1:65" ht="11.15">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row>
    <row r="132" spans="1:65" ht="11.15">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row>
    <row r="133" spans="1:65" ht="11.15">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c r="BF133" s="450"/>
      <c r="BG133" s="450"/>
      <c r="BH133" s="450"/>
      <c r="BI133" s="450"/>
      <c r="BJ133" s="450"/>
      <c r="BK133" s="450"/>
      <c r="BL133" s="450"/>
      <c r="BM133" s="450"/>
    </row>
    <row r="134" spans="1:65" ht="11.15">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row>
    <row r="135" spans="1:65" ht="11.15">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c r="BF135" s="450"/>
      <c r="BG135" s="450"/>
      <c r="BH135" s="450"/>
      <c r="BI135" s="450"/>
      <c r="BJ135" s="450"/>
      <c r="BK135" s="450"/>
      <c r="BL135" s="450"/>
      <c r="BM135" s="450"/>
    </row>
    <row r="136" spans="1:65" ht="11.15">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row>
    <row r="137" spans="1:65" ht="11.15">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50"/>
      <c r="BH137" s="450"/>
      <c r="BI137" s="450"/>
      <c r="BJ137" s="450"/>
      <c r="BK137" s="450"/>
      <c r="BL137" s="450"/>
      <c r="BM137" s="450"/>
    </row>
    <row r="138" spans="1:65" ht="11.15">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0"/>
      <c r="BL138" s="450"/>
      <c r="BM138" s="450"/>
    </row>
    <row r="139" spans="1:65" ht="11.15">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450"/>
      <c r="BI139" s="450"/>
      <c r="BJ139" s="450"/>
      <c r="BK139" s="450"/>
      <c r="BL139" s="450"/>
      <c r="BM139" s="450"/>
    </row>
    <row r="140" spans="1:65" ht="11.15">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0"/>
      <c r="BL140" s="450"/>
      <c r="BM140" s="450"/>
    </row>
    <row r="141" spans="1:65" ht="11.15">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450"/>
      <c r="BF141" s="450"/>
      <c r="BG141" s="450"/>
      <c r="BH141" s="450"/>
      <c r="BI141" s="450"/>
      <c r="BJ141" s="450"/>
      <c r="BK141" s="450"/>
      <c r="BL141" s="450"/>
      <c r="BM141" s="450"/>
    </row>
    <row r="142" spans="1:65" ht="11.15">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450"/>
      <c r="BF142" s="450"/>
      <c r="BG142" s="450"/>
      <c r="BH142" s="450"/>
      <c r="BI142" s="450"/>
      <c r="BJ142" s="450"/>
      <c r="BK142" s="450"/>
      <c r="BL142" s="450"/>
      <c r="BM142" s="450"/>
    </row>
    <row r="143" spans="1:65" ht="11.15">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450"/>
      <c r="BF143" s="450"/>
      <c r="BG143" s="450"/>
      <c r="BH143" s="450"/>
      <c r="BI143" s="450"/>
      <c r="BJ143" s="450"/>
      <c r="BK143" s="450"/>
      <c r="BL143" s="450"/>
      <c r="BM143" s="450"/>
    </row>
    <row r="144" spans="1:65" ht="11.15">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row>
    <row r="145" spans="1:65" ht="11.15">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c r="AJ145" s="450"/>
      <c r="AK145" s="450"/>
      <c r="AL145" s="450"/>
      <c r="AM145" s="450"/>
      <c r="AN145" s="450"/>
      <c r="AO145" s="450"/>
      <c r="AP145" s="450"/>
      <c r="AQ145" s="450"/>
      <c r="AR145" s="450"/>
      <c r="AS145" s="450"/>
      <c r="AT145" s="450"/>
      <c r="AU145" s="450"/>
      <c r="AV145" s="450"/>
      <c r="AW145" s="450"/>
      <c r="AX145" s="450"/>
      <c r="AY145" s="450"/>
      <c r="AZ145" s="450"/>
      <c r="BA145" s="450"/>
      <c r="BB145" s="450"/>
      <c r="BC145" s="450"/>
      <c r="BD145" s="450"/>
      <c r="BE145" s="450"/>
      <c r="BF145" s="450"/>
      <c r="BG145" s="450"/>
      <c r="BH145" s="450"/>
      <c r="BI145" s="450"/>
      <c r="BJ145" s="450"/>
      <c r="BK145" s="450"/>
      <c r="BL145" s="450"/>
      <c r="BM145" s="450"/>
    </row>
    <row r="146" spans="1:65" ht="11.15">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Q146" s="450"/>
      <c r="AR146" s="450"/>
      <c r="AS146" s="450"/>
      <c r="AT146" s="450"/>
      <c r="AU146" s="450"/>
      <c r="AV146" s="450"/>
      <c r="AW146" s="450"/>
      <c r="AX146" s="450"/>
      <c r="AY146" s="450"/>
      <c r="AZ146" s="450"/>
      <c r="BA146" s="450"/>
      <c r="BB146" s="450"/>
      <c r="BC146" s="450"/>
      <c r="BD146" s="450"/>
      <c r="BE146" s="450"/>
      <c r="BF146" s="450"/>
      <c r="BG146" s="450"/>
      <c r="BH146" s="450"/>
      <c r="BI146" s="450"/>
      <c r="BJ146" s="450"/>
      <c r="BK146" s="450"/>
      <c r="BL146" s="450"/>
      <c r="BM146" s="450"/>
    </row>
    <row r="147" spans="1:65" ht="11.15">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c r="AJ147" s="450"/>
      <c r="AK147" s="450"/>
      <c r="AL147" s="450"/>
      <c r="AM147" s="450"/>
      <c r="AN147" s="450"/>
      <c r="AO147" s="450"/>
      <c r="AP147" s="450"/>
      <c r="AQ147" s="450"/>
      <c r="AR147" s="450"/>
      <c r="AS147" s="450"/>
      <c r="AT147" s="450"/>
      <c r="AU147" s="450"/>
      <c r="AV147" s="450"/>
      <c r="AW147" s="450"/>
      <c r="AX147" s="450"/>
      <c r="AY147" s="450"/>
      <c r="AZ147" s="450"/>
      <c r="BA147" s="450"/>
      <c r="BB147" s="450"/>
      <c r="BC147" s="450"/>
      <c r="BD147" s="450"/>
      <c r="BE147" s="450"/>
      <c r="BF147" s="450"/>
      <c r="BG147" s="450"/>
      <c r="BH147" s="450"/>
      <c r="BI147" s="450"/>
      <c r="BJ147" s="450"/>
      <c r="BK147" s="450"/>
      <c r="BL147" s="450"/>
      <c r="BM147" s="450"/>
    </row>
    <row r="148" spans="1:65" ht="11.15">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c r="AN148" s="450"/>
      <c r="AO148" s="450"/>
      <c r="AP148" s="450"/>
      <c r="AQ148" s="450"/>
      <c r="AR148" s="450"/>
      <c r="AS148" s="450"/>
      <c r="AT148" s="450"/>
      <c r="AU148" s="450"/>
      <c r="AV148" s="450"/>
      <c r="AW148" s="450"/>
      <c r="AX148" s="450"/>
      <c r="AY148" s="450"/>
      <c r="AZ148" s="450"/>
      <c r="BA148" s="450"/>
      <c r="BB148" s="450"/>
      <c r="BC148" s="450"/>
      <c r="BD148" s="450"/>
      <c r="BE148" s="450"/>
      <c r="BF148" s="450"/>
      <c r="BG148" s="450"/>
      <c r="BH148" s="450"/>
      <c r="BI148" s="450"/>
      <c r="BJ148" s="450"/>
      <c r="BK148" s="450"/>
      <c r="BL148" s="450"/>
      <c r="BM148" s="450"/>
    </row>
    <row r="149" spans="1:65" ht="11.15">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0"/>
      <c r="AU149" s="450"/>
      <c r="AV149" s="450"/>
      <c r="AW149" s="450"/>
      <c r="AX149" s="450"/>
      <c r="AY149" s="450"/>
      <c r="AZ149" s="450"/>
      <c r="BA149" s="450"/>
      <c r="BB149" s="450"/>
      <c r="BC149" s="450"/>
      <c r="BD149" s="450"/>
      <c r="BE149" s="450"/>
      <c r="BF149" s="450"/>
      <c r="BG149" s="450"/>
      <c r="BH149" s="450"/>
      <c r="BI149" s="450"/>
      <c r="BJ149" s="450"/>
      <c r="BK149" s="450"/>
      <c r="BL149" s="450"/>
      <c r="BM149" s="450"/>
    </row>
    <row r="150" spans="1:65" ht="11.15">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c r="BL150" s="450"/>
      <c r="BM150" s="450"/>
    </row>
    <row r="151" spans="1:65" ht="11.15">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c r="AJ151" s="450"/>
      <c r="AK151" s="450"/>
      <c r="AL151" s="450"/>
      <c r="AM151" s="450"/>
      <c r="AN151" s="450"/>
      <c r="AO151" s="450"/>
      <c r="AP151" s="450"/>
      <c r="AQ151" s="450"/>
      <c r="AR151" s="450"/>
      <c r="AS151" s="450"/>
      <c r="AT151" s="450"/>
      <c r="AU151" s="450"/>
      <c r="AV151" s="450"/>
      <c r="AW151" s="450"/>
      <c r="AX151" s="450"/>
      <c r="AY151" s="450"/>
      <c r="AZ151" s="450"/>
      <c r="BA151" s="450"/>
      <c r="BB151" s="450"/>
      <c r="BC151" s="450"/>
      <c r="BD151" s="450"/>
      <c r="BE151" s="450"/>
      <c r="BF151" s="450"/>
      <c r="BG151" s="450"/>
      <c r="BH151" s="450"/>
      <c r="BI151" s="450"/>
      <c r="BJ151" s="450"/>
      <c r="BK151" s="450"/>
      <c r="BL151" s="450"/>
      <c r="BM151" s="450"/>
    </row>
    <row r="152" spans="1:65" ht="11.15">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c r="BB152" s="450"/>
      <c r="BC152" s="450"/>
      <c r="BD152" s="450"/>
      <c r="BE152" s="450"/>
      <c r="BF152" s="450"/>
      <c r="BG152" s="450"/>
      <c r="BH152" s="450"/>
      <c r="BI152" s="450"/>
      <c r="BJ152" s="450"/>
      <c r="BK152" s="450"/>
      <c r="BL152" s="450"/>
      <c r="BM152" s="450"/>
    </row>
    <row r="153" spans="1:65" ht="11.15">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row>
    <row r="154" spans="1:65" ht="11.15">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c r="BB154" s="450"/>
      <c r="BC154" s="450"/>
      <c r="BD154" s="450"/>
      <c r="BE154" s="450"/>
      <c r="BF154" s="450"/>
      <c r="BG154" s="450"/>
      <c r="BH154" s="450"/>
      <c r="BI154" s="450"/>
      <c r="BJ154" s="450"/>
      <c r="BK154" s="450"/>
      <c r="BL154" s="450"/>
      <c r="BM154" s="450"/>
    </row>
    <row r="155" spans="1:65" ht="11.15">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c r="BB155" s="450"/>
      <c r="BC155" s="450"/>
      <c r="BD155" s="450"/>
      <c r="BE155" s="450"/>
      <c r="BF155" s="450"/>
      <c r="BG155" s="450"/>
      <c r="BH155" s="450"/>
      <c r="BI155" s="450"/>
      <c r="BJ155" s="450"/>
      <c r="BK155" s="450"/>
      <c r="BL155" s="450"/>
      <c r="BM155" s="450"/>
    </row>
    <row r="156" spans="1:65" ht="11.15">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0"/>
      <c r="AM156" s="450"/>
      <c r="AN156" s="450"/>
      <c r="AO156" s="450"/>
      <c r="AP156" s="450"/>
      <c r="AQ156" s="450"/>
      <c r="AR156" s="450"/>
      <c r="AS156" s="450"/>
      <c r="AT156" s="450"/>
      <c r="AU156" s="450"/>
      <c r="AV156" s="450"/>
      <c r="AW156" s="450"/>
      <c r="AX156" s="450"/>
      <c r="AY156" s="450"/>
      <c r="AZ156" s="450"/>
      <c r="BA156" s="450"/>
      <c r="BB156" s="450"/>
      <c r="BC156" s="450"/>
      <c r="BD156" s="450"/>
      <c r="BE156" s="450"/>
      <c r="BF156" s="450"/>
      <c r="BG156" s="450"/>
      <c r="BH156" s="450"/>
      <c r="BI156" s="450"/>
      <c r="BJ156" s="450"/>
      <c r="BK156" s="450"/>
      <c r="BL156" s="450"/>
      <c r="BM156" s="450"/>
    </row>
    <row r="157" spans="1:65" ht="11.15">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row>
    <row r="158" spans="1:65" ht="11.15">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row>
    <row r="159" spans="1:65" ht="11.15">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row>
    <row r="160" spans="1:65" ht="11.15">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row>
    <row r="161" spans="1:65" ht="11.15">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row>
    <row r="162" spans="1:65" ht="11.15">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row>
    <row r="163" spans="1:65" ht="11.15">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row>
    <row r="164" spans="1:65" ht="11.15">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row>
    <row r="165" spans="1:65" ht="11.15">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c r="BB165" s="450"/>
      <c r="BC165" s="450"/>
      <c r="BD165" s="450"/>
      <c r="BE165" s="450"/>
      <c r="BF165" s="450"/>
      <c r="BG165" s="450"/>
      <c r="BH165" s="450"/>
      <c r="BI165" s="450"/>
      <c r="BJ165" s="450"/>
      <c r="BK165" s="450"/>
      <c r="BL165" s="450"/>
      <c r="BM165" s="450"/>
    </row>
    <row r="166" spans="1:65" ht="11.15">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c r="BB166" s="450"/>
      <c r="BC166" s="450"/>
      <c r="BD166" s="450"/>
      <c r="BE166" s="450"/>
      <c r="BF166" s="450"/>
      <c r="BG166" s="450"/>
      <c r="BH166" s="450"/>
      <c r="BI166" s="450"/>
      <c r="BJ166" s="450"/>
      <c r="BK166" s="450"/>
      <c r="BL166" s="450"/>
      <c r="BM166" s="450"/>
    </row>
    <row r="167" spans="1:65" ht="11.15">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row>
    <row r="168" spans="1:65" ht="11.15">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c r="BF168" s="450"/>
      <c r="BG168" s="450"/>
      <c r="BH168" s="450"/>
      <c r="BI168" s="450"/>
      <c r="BJ168" s="450"/>
      <c r="BK168" s="450"/>
      <c r="BL168" s="450"/>
      <c r="BM168" s="450"/>
    </row>
    <row r="169" spans="1:65" ht="11.15">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row>
    <row r="170" spans="1:65" ht="11.15">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row>
    <row r="171" spans="1:65" ht="11.15">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c r="BB171" s="450"/>
      <c r="BC171" s="450"/>
      <c r="BD171" s="450"/>
      <c r="BE171" s="450"/>
      <c r="BF171" s="450"/>
      <c r="BG171" s="450"/>
      <c r="BH171" s="450"/>
      <c r="BI171" s="450"/>
      <c r="BJ171" s="450"/>
      <c r="BK171" s="450"/>
      <c r="BL171" s="450"/>
      <c r="BM171" s="450"/>
    </row>
    <row r="172" spans="1:65" ht="11.15">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c r="BB172" s="450"/>
      <c r="BC172" s="450"/>
      <c r="BD172" s="450"/>
      <c r="BE172" s="450"/>
      <c r="BF172" s="450"/>
      <c r="BG172" s="450"/>
      <c r="BH172" s="450"/>
      <c r="BI172" s="450"/>
      <c r="BJ172" s="450"/>
      <c r="BK172" s="450"/>
      <c r="BL172" s="450"/>
      <c r="BM172" s="450"/>
    </row>
    <row r="173" spans="1:65" ht="11.15">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c r="BE173" s="450"/>
      <c r="BF173" s="450"/>
      <c r="BG173" s="450"/>
      <c r="BH173" s="450"/>
      <c r="BI173" s="450"/>
      <c r="BJ173" s="450"/>
      <c r="BK173" s="450"/>
      <c r="BL173" s="450"/>
      <c r="BM173" s="450"/>
    </row>
    <row r="174" spans="1:65" ht="11.15">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c r="BE174" s="450"/>
      <c r="BF174" s="450"/>
      <c r="BG174" s="450"/>
      <c r="BH174" s="450"/>
      <c r="BI174" s="450"/>
      <c r="BJ174" s="450"/>
      <c r="BK174" s="450"/>
      <c r="BL174" s="450"/>
      <c r="BM174" s="450"/>
    </row>
    <row r="175" spans="1:65" ht="11.15">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c r="BE175" s="450"/>
      <c r="BF175" s="450"/>
      <c r="BG175" s="450"/>
      <c r="BH175" s="450"/>
      <c r="BI175" s="450"/>
      <c r="BJ175" s="450"/>
      <c r="BK175" s="450"/>
      <c r="BL175" s="450"/>
      <c r="BM175" s="450"/>
    </row>
    <row r="176" spans="1:65" ht="11.15">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c r="BB176" s="450"/>
      <c r="BC176" s="450"/>
      <c r="BD176" s="450"/>
      <c r="BE176" s="450"/>
      <c r="BF176" s="450"/>
      <c r="BG176" s="450"/>
      <c r="BH176" s="450"/>
      <c r="BI176" s="450"/>
      <c r="BJ176" s="450"/>
      <c r="BK176" s="450"/>
      <c r="BL176" s="450"/>
      <c r="BM176" s="450"/>
    </row>
    <row r="177" spans="1:65" ht="11.15">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c r="BB177" s="450"/>
      <c r="BC177" s="450"/>
      <c r="BD177" s="450"/>
      <c r="BE177" s="450"/>
      <c r="BF177" s="450"/>
      <c r="BG177" s="450"/>
      <c r="BH177" s="450"/>
      <c r="BI177" s="450"/>
      <c r="BJ177" s="450"/>
      <c r="BK177" s="450"/>
      <c r="BL177" s="450"/>
      <c r="BM177" s="450"/>
    </row>
    <row r="178" spans="1:65" ht="11.15">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c r="BB178" s="450"/>
      <c r="BC178" s="450"/>
      <c r="BD178" s="450"/>
      <c r="BE178" s="450"/>
      <c r="BF178" s="450"/>
      <c r="BG178" s="450"/>
      <c r="BH178" s="450"/>
      <c r="BI178" s="450"/>
      <c r="BJ178" s="450"/>
      <c r="BK178" s="450"/>
      <c r="BL178" s="450"/>
      <c r="BM178" s="450"/>
    </row>
    <row r="179" spans="1:65" ht="11.15">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c r="AF179" s="450"/>
      <c r="AG179" s="450"/>
      <c r="AH179" s="450"/>
      <c r="AI179" s="450"/>
      <c r="AJ179" s="450"/>
      <c r="AK179" s="450"/>
      <c r="AL179" s="450"/>
      <c r="AM179" s="450"/>
      <c r="AN179" s="450"/>
      <c r="AO179" s="450"/>
      <c r="AP179" s="450"/>
      <c r="AQ179" s="450"/>
      <c r="AR179" s="450"/>
      <c r="AS179" s="450"/>
      <c r="AT179" s="450"/>
      <c r="AU179" s="450"/>
      <c r="AV179" s="450"/>
      <c r="AW179" s="450"/>
      <c r="AX179" s="450"/>
      <c r="AY179" s="450"/>
      <c r="AZ179" s="450"/>
      <c r="BA179" s="450"/>
      <c r="BB179" s="450"/>
      <c r="BC179" s="450"/>
      <c r="BD179" s="450"/>
      <c r="BE179" s="450"/>
      <c r="BF179" s="450"/>
      <c r="BG179" s="450"/>
      <c r="BH179" s="450"/>
      <c r="BI179" s="450"/>
      <c r="BJ179" s="450"/>
      <c r="BK179" s="450"/>
      <c r="BL179" s="450"/>
      <c r="BM179" s="450"/>
    </row>
    <row r="180" spans="1:65" ht="11.15">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450"/>
      <c r="AF180" s="450"/>
      <c r="AG180" s="450"/>
      <c r="AH180" s="450"/>
      <c r="AI180" s="450"/>
      <c r="AJ180" s="450"/>
      <c r="AK180" s="450"/>
      <c r="AL180" s="450"/>
      <c r="AM180" s="450"/>
      <c r="AN180" s="450"/>
      <c r="AO180" s="450"/>
      <c r="AP180" s="450"/>
      <c r="AQ180" s="450"/>
      <c r="AR180" s="450"/>
      <c r="AS180" s="450"/>
      <c r="AT180" s="450"/>
      <c r="AU180" s="450"/>
      <c r="AV180" s="450"/>
      <c r="AW180" s="450"/>
      <c r="AX180" s="450"/>
      <c r="AY180" s="450"/>
      <c r="AZ180" s="450"/>
      <c r="BA180" s="450"/>
      <c r="BB180" s="450"/>
      <c r="BC180" s="450"/>
      <c r="BD180" s="450"/>
      <c r="BE180" s="450"/>
      <c r="BF180" s="450"/>
      <c r="BG180" s="450"/>
      <c r="BH180" s="450"/>
      <c r="BI180" s="450"/>
      <c r="BJ180" s="450"/>
      <c r="BK180" s="450"/>
      <c r="BL180" s="450"/>
      <c r="BM180" s="450"/>
    </row>
    <row r="181" spans="1:65" ht="11.15">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c r="AD181" s="450"/>
      <c r="AE181" s="450"/>
      <c r="AF181" s="450"/>
      <c r="AG181" s="450"/>
      <c r="AH181" s="450"/>
      <c r="AI181" s="450"/>
      <c r="AJ181" s="450"/>
      <c r="AK181" s="450"/>
      <c r="AL181" s="450"/>
      <c r="AM181" s="450"/>
      <c r="AN181" s="450"/>
      <c r="AO181" s="450"/>
      <c r="AP181" s="450"/>
      <c r="AQ181" s="450"/>
      <c r="AR181" s="450"/>
      <c r="AS181" s="450"/>
      <c r="AT181" s="450"/>
      <c r="AU181" s="450"/>
      <c r="AV181" s="450"/>
      <c r="AW181" s="450"/>
      <c r="AX181" s="450"/>
      <c r="AY181" s="450"/>
      <c r="AZ181" s="450"/>
      <c r="BA181" s="450"/>
      <c r="BB181" s="450"/>
      <c r="BC181" s="450"/>
      <c r="BD181" s="450"/>
      <c r="BE181" s="450"/>
      <c r="BF181" s="450"/>
      <c r="BG181" s="450"/>
      <c r="BH181" s="450"/>
      <c r="BI181" s="450"/>
      <c r="BJ181" s="450"/>
      <c r="BK181" s="450"/>
      <c r="BL181" s="450"/>
      <c r="BM181" s="450"/>
    </row>
    <row r="182" spans="1:65" ht="11.15">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c r="AD182" s="450"/>
      <c r="AE182" s="450"/>
      <c r="AF182" s="450"/>
      <c r="AG182" s="450"/>
      <c r="AH182" s="450"/>
      <c r="AI182" s="450"/>
      <c r="AJ182" s="450"/>
      <c r="AK182" s="450"/>
      <c r="AL182" s="450"/>
      <c r="AM182" s="450"/>
      <c r="AN182" s="450"/>
      <c r="AO182" s="450"/>
      <c r="AP182" s="450"/>
      <c r="AQ182" s="450"/>
      <c r="AR182" s="450"/>
      <c r="AS182" s="450"/>
      <c r="AT182" s="450"/>
      <c r="AU182" s="450"/>
      <c r="AV182" s="450"/>
      <c r="AW182" s="450"/>
      <c r="AX182" s="450"/>
      <c r="AY182" s="450"/>
      <c r="AZ182" s="450"/>
      <c r="BA182" s="450"/>
      <c r="BB182" s="450"/>
      <c r="BC182" s="450"/>
      <c r="BD182" s="450"/>
      <c r="BE182" s="450"/>
      <c r="BF182" s="450"/>
      <c r="BG182" s="450"/>
      <c r="BH182" s="450"/>
      <c r="BI182" s="450"/>
      <c r="BJ182" s="450"/>
      <c r="BK182" s="450"/>
      <c r="BL182" s="450"/>
      <c r="BM182" s="450"/>
    </row>
    <row r="183" spans="1:65" ht="11.15">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c r="AF183" s="450"/>
      <c r="AG183" s="450"/>
      <c r="AH183" s="450"/>
      <c r="AI183" s="450"/>
      <c r="AJ183" s="450"/>
      <c r="AK183" s="450"/>
      <c r="AL183" s="450"/>
      <c r="AM183" s="450"/>
      <c r="AN183" s="450"/>
      <c r="AO183" s="450"/>
      <c r="AP183" s="450"/>
      <c r="AQ183" s="450"/>
      <c r="AR183" s="450"/>
      <c r="AS183" s="450"/>
      <c r="AT183" s="450"/>
      <c r="AU183" s="450"/>
      <c r="AV183" s="450"/>
      <c r="AW183" s="450"/>
      <c r="AX183" s="450"/>
      <c r="AY183" s="450"/>
      <c r="AZ183" s="450"/>
      <c r="BA183" s="450"/>
      <c r="BB183" s="450"/>
      <c r="BC183" s="450"/>
      <c r="BD183" s="450"/>
      <c r="BE183" s="450"/>
      <c r="BF183" s="450"/>
      <c r="BG183" s="450"/>
      <c r="BH183" s="450"/>
      <c r="BI183" s="450"/>
      <c r="BJ183" s="450"/>
      <c r="BK183" s="450"/>
      <c r="BL183" s="450"/>
      <c r="BM183" s="450"/>
    </row>
    <row r="184" spans="1:65" ht="11.15">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c r="AA184" s="450"/>
      <c r="AB184" s="450"/>
      <c r="AC184" s="450"/>
      <c r="AD184" s="450"/>
      <c r="AE184" s="450"/>
      <c r="AF184" s="450"/>
      <c r="AG184" s="450"/>
      <c r="AH184" s="450"/>
      <c r="AI184" s="450"/>
      <c r="AJ184" s="450"/>
      <c r="AK184" s="450"/>
      <c r="AL184" s="450"/>
      <c r="AM184" s="450"/>
      <c r="AN184" s="450"/>
      <c r="AO184" s="450"/>
      <c r="AP184" s="450"/>
      <c r="AQ184" s="450"/>
      <c r="AR184" s="450"/>
      <c r="AS184" s="450"/>
      <c r="AT184" s="450"/>
      <c r="AU184" s="450"/>
      <c r="AV184" s="450"/>
      <c r="AW184" s="450"/>
      <c r="AX184" s="450"/>
      <c r="AY184" s="450"/>
      <c r="AZ184" s="450"/>
      <c r="BA184" s="450"/>
      <c r="BB184" s="450"/>
      <c r="BC184" s="450"/>
      <c r="BD184" s="450"/>
      <c r="BE184" s="450"/>
      <c r="BF184" s="450"/>
      <c r="BG184" s="450"/>
      <c r="BH184" s="450"/>
      <c r="BI184" s="450"/>
      <c r="BJ184" s="450"/>
      <c r="BK184" s="450"/>
      <c r="BL184" s="450"/>
      <c r="BM184" s="450"/>
    </row>
    <row r="185" spans="1:65" ht="11.15">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c r="AJ185" s="450"/>
      <c r="AK185" s="450"/>
      <c r="AL185" s="450"/>
      <c r="AM185" s="450"/>
      <c r="AN185" s="450"/>
      <c r="AO185" s="450"/>
      <c r="AP185" s="450"/>
      <c r="AQ185" s="450"/>
      <c r="AR185" s="450"/>
      <c r="AS185" s="450"/>
      <c r="AT185" s="450"/>
      <c r="AU185" s="450"/>
      <c r="AV185" s="450"/>
      <c r="AW185" s="450"/>
      <c r="AX185" s="450"/>
      <c r="AY185" s="450"/>
      <c r="AZ185" s="450"/>
      <c r="BA185" s="450"/>
      <c r="BB185" s="450"/>
      <c r="BC185" s="450"/>
      <c r="BD185" s="450"/>
      <c r="BE185" s="450"/>
      <c r="BF185" s="450"/>
      <c r="BG185" s="450"/>
      <c r="BH185" s="450"/>
      <c r="BI185" s="450"/>
      <c r="BJ185" s="450"/>
      <c r="BK185" s="450"/>
      <c r="BL185" s="450"/>
      <c r="BM185" s="450"/>
    </row>
    <row r="186" spans="1:65" ht="11.15">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c r="AT186" s="450"/>
      <c r="AU186" s="450"/>
      <c r="AV186" s="450"/>
      <c r="AW186" s="450"/>
      <c r="AX186" s="450"/>
      <c r="AY186" s="450"/>
      <c r="AZ186" s="450"/>
      <c r="BA186" s="450"/>
      <c r="BB186" s="450"/>
      <c r="BC186" s="450"/>
      <c r="BD186" s="450"/>
      <c r="BE186" s="450"/>
      <c r="BF186" s="450"/>
      <c r="BG186" s="450"/>
      <c r="BH186" s="450"/>
      <c r="BI186" s="450"/>
      <c r="BJ186" s="450"/>
      <c r="BK186" s="450"/>
      <c r="BL186" s="450"/>
      <c r="BM186" s="450"/>
    </row>
    <row r="187" spans="1:65" ht="11.15">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c r="AA187" s="450"/>
      <c r="AB187" s="450"/>
      <c r="AC187" s="450"/>
      <c r="AD187" s="450"/>
      <c r="AE187" s="450"/>
      <c r="AF187" s="450"/>
      <c r="AG187" s="450"/>
      <c r="AH187" s="450"/>
      <c r="AI187" s="450"/>
      <c r="AJ187" s="450"/>
      <c r="AK187" s="450"/>
      <c r="AL187" s="450"/>
      <c r="AM187" s="450"/>
      <c r="AN187" s="450"/>
      <c r="AO187" s="450"/>
      <c r="AP187" s="450"/>
      <c r="AQ187" s="450"/>
      <c r="AR187" s="450"/>
      <c r="AS187" s="450"/>
      <c r="AT187" s="450"/>
      <c r="AU187" s="450"/>
      <c r="AV187" s="450"/>
      <c r="AW187" s="450"/>
      <c r="AX187" s="450"/>
      <c r="AY187" s="450"/>
      <c r="AZ187" s="450"/>
      <c r="BA187" s="450"/>
      <c r="BB187" s="450"/>
      <c r="BC187" s="450"/>
      <c r="BD187" s="450"/>
      <c r="BE187" s="450"/>
      <c r="BF187" s="450"/>
      <c r="BG187" s="450"/>
      <c r="BH187" s="450"/>
      <c r="BI187" s="450"/>
      <c r="BJ187" s="450"/>
      <c r="BK187" s="450"/>
      <c r="BL187" s="450"/>
      <c r="BM187" s="450"/>
    </row>
    <row r="188" spans="1:65" ht="11.15">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450"/>
      <c r="AF188" s="450"/>
      <c r="AG188" s="450"/>
      <c r="AH188" s="450"/>
      <c r="AI188" s="450"/>
      <c r="AJ188" s="450"/>
      <c r="AK188" s="450"/>
      <c r="AL188" s="450"/>
      <c r="AM188" s="450"/>
      <c r="AN188" s="450"/>
      <c r="AO188" s="450"/>
      <c r="AP188" s="450"/>
      <c r="AQ188" s="450"/>
      <c r="AR188" s="450"/>
      <c r="AS188" s="450"/>
      <c r="AT188" s="450"/>
      <c r="AU188" s="450"/>
      <c r="AV188" s="450"/>
      <c r="AW188" s="450"/>
      <c r="AX188" s="450"/>
      <c r="AY188" s="450"/>
      <c r="AZ188" s="450"/>
      <c r="BA188" s="450"/>
      <c r="BB188" s="450"/>
      <c r="BC188" s="450"/>
      <c r="BD188" s="450"/>
      <c r="BE188" s="450"/>
      <c r="BF188" s="450"/>
      <c r="BG188" s="450"/>
      <c r="BH188" s="450"/>
      <c r="BI188" s="450"/>
      <c r="BJ188" s="450"/>
      <c r="BK188" s="450"/>
      <c r="BL188" s="450"/>
      <c r="BM188" s="450"/>
    </row>
    <row r="189" spans="1:65" ht="11.15">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0"/>
      <c r="AT189" s="450"/>
      <c r="AU189" s="450"/>
      <c r="AV189" s="450"/>
      <c r="AW189" s="450"/>
      <c r="AX189" s="450"/>
      <c r="AY189" s="450"/>
      <c r="AZ189" s="450"/>
      <c r="BA189" s="450"/>
      <c r="BB189" s="450"/>
      <c r="BC189" s="450"/>
      <c r="BD189" s="450"/>
      <c r="BE189" s="450"/>
      <c r="BF189" s="450"/>
      <c r="BG189" s="450"/>
      <c r="BH189" s="450"/>
      <c r="BI189" s="450"/>
      <c r="BJ189" s="450"/>
      <c r="BK189" s="450"/>
      <c r="BL189" s="450"/>
      <c r="BM189" s="450"/>
    </row>
    <row r="190" spans="1:65" ht="11.15">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c r="AJ190" s="450"/>
      <c r="AK190" s="450"/>
      <c r="AL190" s="450"/>
      <c r="AM190" s="450"/>
      <c r="AN190" s="450"/>
      <c r="AO190" s="450"/>
      <c r="AP190" s="450"/>
      <c r="AQ190" s="450"/>
      <c r="AR190" s="450"/>
      <c r="AS190" s="450"/>
      <c r="AT190" s="450"/>
      <c r="AU190" s="450"/>
      <c r="AV190" s="450"/>
      <c r="AW190" s="450"/>
      <c r="AX190" s="450"/>
      <c r="AY190" s="450"/>
      <c r="AZ190" s="450"/>
      <c r="BA190" s="450"/>
      <c r="BB190" s="450"/>
      <c r="BC190" s="450"/>
      <c r="BD190" s="450"/>
      <c r="BE190" s="450"/>
      <c r="BF190" s="450"/>
      <c r="BG190" s="450"/>
      <c r="BH190" s="450"/>
      <c r="BI190" s="450"/>
      <c r="BJ190" s="450"/>
      <c r="BK190" s="450"/>
      <c r="BL190" s="450"/>
      <c r="BM190" s="450"/>
    </row>
    <row r="191" spans="1:65" ht="11.15">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c r="AT191" s="450"/>
      <c r="AU191" s="450"/>
      <c r="AV191" s="450"/>
      <c r="AW191" s="450"/>
      <c r="AX191" s="450"/>
      <c r="AY191" s="450"/>
      <c r="AZ191" s="450"/>
      <c r="BA191" s="450"/>
      <c r="BB191" s="450"/>
      <c r="BC191" s="450"/>
      <c r="BD191" s="450"/>
      <c r="BE191" s="450"/>
      <c r="BF191" s="450"/>
      <c r="BG191" s="450"/>
      <c r="BH191" s="450"/>
      <c r="BI191" s="450"/>
      <c r="BJ191" s="450"/>
      <c r="BK191" s="450"/>
      <c r="BL191" s="450"/>
      <c r="BM191" s="450"/>
    </row>
    <row r="192" spans="1:65" ht="11.15">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450"/>
      <c r="AF192" s="450"/>
      <c r="AG192" s="450"/>
      <c r="AH192" s="450"/>
      <c r="AI192" s="450"/>
      <c r="AJ192" s="450"/>
      <c r="AK192" s="450"/>
      <c r="AL192" s="450"/>
      <c r="AM192" s="450"/>
      <c r="AN192" s="450"/>
      <c r="AO192" s="450"/>
      <c r="AP192" s="450"/>
      <c r="AQ192" s="450"/>
      <c r="AR192" s="450"/>
      <c r="AS192" s="450"/>
      <c r="AT192" s="450"/>
      <c r="AU192" s="450"/>
      <c r="AV192" s="450"/>
      <c r="AW192" s="450"/>
      <c r="AX192" s="450"/>
      <c r="AY192" s="450"/>
      <c r="AZ192" s="450"/>
      <c r="BA192" s="450"/>
      <c r="BB192" s="450"/>
      <c r="BC192" s="450"/>
      <c r="BD192" s="450"/>
      <c r="BE192" s="450"/>
      <c r="BF192" s="450"/>
      <c r="BG192" s="450"/>
      <c r="BH192" s="450"/>
      <c r="BI192" s="450"/>
      <c r="BJ192" s="450"/>
      <c r="BK192" s="450"/>
      <c r="BL192" s="450"/>
      <c r="BM192" s="450"/>
    </row>
    <row r="193" spans="1:65" ht="11.15">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c r="AA193" s="450"/>
      <c r="AB193" s="450"/>
      <c r="AC193" s="450"/>
      <c r="AD193" s="450"/>
      <c r="AE193" s="450"/>
      <c r="AF193" s="450"/>
      <c r="AG193" s="450"/>
      <c r="AH193" s="450"/>
      <c r="AI193" s="450"/>
      <c r="AJ193" s="450"/>
      <c r="AK193" s="450"/>
      <c r="AL193" s="450"/>
      <c r="AM193" s="450"/>
      <c r="AN193" s="450"/>
      <c r="AO193" s="450"/>
      <c r="AP193" s="450"/>
      <c r="AQ193" s="450"/>
      <c r="AR193" s="450"/>
      <c r="AS193" s="450"/>
      <c r="AT193" s="450"/>
      <c r="AU193" s="450"/>
      <c r="AV193" s="450"/>
      <c r="AW193" s="450"/>
      <c r="AX193" s="450"/>
      <c r="AY193" s="450"/>
      <c r="AZ193" s="450"/>
      <c r="BA193" s="450"/>
      <c r="BB193" s="450"/>
      <c r="BC193" s="450"/>
      <c r="BD193" s="450"/>
      <c r="BE193" s="450"/>
      <c r="BF193" s="450"/>
      <c r="BG193" s="450"/>
      <c r="BH193" s="450"/>
      <c r="BI193" s="450"/>
      <c r="BJ193" s="450"/>
      <c r="BK193" s="450"/>
      <c r="BL193" s="450"/>
      <c r="BM193" s="450"/>
    </row>
    <row r="194" spans="1:65" ht="11.15">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450"/>
      <c r="AF194" s="450"/>
      <c r="AG194" s="450"/>
      <c r="AH194" s="450"/>
      <c r="AI194" s="450"/>
      <c r="AJ194" s="450"/>
      <c r="AK194" s="450"/>
      <c r="AL194" s="450"/>
      <c r="AM194" s="450"/>
      <c r="AN194" s="450"/>
      <c r="AO194" s="450"/>
      <c r="AP194" s="450"/>
      <c r="AQ194" s="450"/>
      <c r="AR194" s="450"/>
      <c r="AS194" s="450"/>
      <c r="AT194" s="450"/>
      <c r="AU194" s="450"/>
      <c r="AV194" s="450"/>
      <c r="AW194" s="450"/>
      <c r="AX194" s="450"/>
      <c r="AY194" s="450"/>
      <c r="AZ194" s="450"/>
      <c r="BA194" s="450"/>
      <c r="BB194" s="450"/>
      <c r="BC194" s="450"/>
      <c r="BD194" s="450"/>
      <c r="BE194" s="450"/>
      <c r="BF194" s="450"/>
      <c r="BG194" s="450"/>
      <c r="BH194" s="450"/>
      <c r="BI194" s="450"/>
      <c r="BJ194" s="450"/>
      <c r="BK194" s="450"/>
      <c r="BL194" s="450"/>
      <c r="BM194" s="450"/>
    </row>
    <row r="195" spans="1:65" ht="11.15">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c r="AA195" s="450"/>
      <c r="AB195" s="450"/>
      <c r="AC195" s="450"/>
      <c r="AD195" s="450"/>
      <c r="AE195" s="450"/>
      <c r="AF195" s="450"/>
      <c r="AG195" s="450"/>
      <c r="AH195" s="450"/>
      <c r="AI195" s="450"/>
      <c r="AJ195" s="450"/>
      <c r="AK195" s="450"/>
      <c r="AL195" s="450"/>
      <c r="AM195" s="450"/>
      <c r="AN195" s="450"/>
      <c r="AO195" s="450"/>
      <c r="AP195" s="450"/>
      <c r="AQ195" s="450"/>
      <c r="AR195" s="450"/>
      <c r="AS195" s="450"/>
      <c r="AT195" s="450"/>
      <c r="AU195" s="450"/>
      <c r="AV195" s="450"/>
      <c r="AW195" s="450"/>
      <c r="AX195" s="450"/>
      <c r="AY195" s="450"/>
      <c r="AZ195" s="450"/>
      <c r="BA195" s="450"/>
      <c r="BB195" s="450"/>
      <c r="BC195" s="450"/>
      <c r="BD195" s="450"/>
      <c r="BE195" s="450"/>
      <c r="BF195" s="450"/>
      <c r="BG195" s="450"/>
      <c r="BH195" s="450"/>
      <c r="BI195" s="450"/>
      <c r="BJ195" s="450"/>
      <c r="BK195" s="450"/>
      <c r="BL195" s="450"/>
      <c r="BM195" s="450"/>
    </row>
    <row r="196" spans="1:65" ht="11.15">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450"/>
      <c r="AF196" s="450"/>
      <c r="AG196" s="450"/>
      <c r="AH196" s="450"/>
      <c r="AI196" s="450"/>
      <c r="AJ196" s="450"/>
      <c r="AK196" s="450"/>
      <c r="AL196" s="450"/>
      <c r="AM196" s="450"/>
      <c r="AN196" s="450"/>
      <c r="AO196" s="450"/>
      <c r="AP196" s="450"/>
      <c r="AQ196" s="450"/>
      <c r="AR196" s="450"/>
      <c r="AS196" s="450"/>
      <c r="AT196" s="450"/>
      <c r="AU196" s="450"/>
      <c r="AV196" s="450"/>
      <c r="AW196" s="450"/>
      <c r="AX196" s="450"/>
      <c r="AY196" s="450"/>
      <c r="AZ196" s="450"/>
      <c r="BA196" s="450"/>
      <c r="BB196" s="450"/>
      <c r="BC196" s="450"/>
      <c r="BD196" s="450"/>
      <c r="BE196" s="450"/>
      <c r="BF196" s="450"/>
      <c r="BG196" s="450"/>
      <c r="BH196" s="450"/>
      <c r="BI196" s="450"/>
      <c r="BJ196" s="450"/>
      <c r="BK196" s="450"/>
      <c r="BL196" s="450"/>
      <c r="BM196" s="450"/>
    </row>
    <row r="197" spans="1:65" ht="11.15">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c r="AJ197" s="450"/>
      <c r="AK197" s="450"/>
      <c r="AL197" s="450"/>
      <c r="AM197" s="450"/>
      <c r="AN197" s="450"/>
      <c r="AO197" s="450"/>
      <c r="AP197" s="450"/>
      <c r="AQ197" s="450"/>
      <c r="AR197" s="450"/>
      <c r="AS197" s="450"/>
      <c r="AT197" s="450"/>
      <c r="AU197" s="450"/>
      <c r="AV197" s="450"/>
      <c r="AW197" s="450"/>
      <c r="AX197" s="450"/>
      <c r="AY197" s="450"/>
      <c r="AZ197" s="450"/>
      <c r="BA197" s="450"/>
      <c r="BB197" s="450"/>
      <c r="BC197" s="450"/>
      <c r="BD197" s="450"/>
      <c r="BE197" s="450"/>
      <c r="BF197" s="450"/>
      <c r="BG197" s="450"/>
      <c r="BH197" s="450"/>
      <c r="BI197" s="450"/>
      <c r="BJ197" s="450"/>
      <c r="BK197" s="450"/>
      <c r="BL197" s="450"/>
      <c r="BM197" s="450"/>
    </row>
    <row r="198" spans="1:65" ht="11.15">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c r="AJ198" s="450"/>
      <c r="AK198" s="450"/>
      <c r="AL198" s="450"/>
      <c r="AM198" s="450"/>
      <c r="AN198" s="450"/>
      <c r="AO198" s="450"/>
      <c r="AP198" s="450"/>
      <c r="AQ198" s="450"/>
      <c r="AR198" s="450"/>
      <c r="AS198" s="450"/>
      <c r="AT198" s="450"/>
      <c r="AU198" s="450"/>
      <c r="AV198" s="450"/>
      <c r="AW198" s="450"/>
      <c r="AX198" s="450"/>
      <c r="AY198" s="450"/>
      <c r="AZ198" s="450"/>
      <c r="BA198" s="450"/>
      <c r="BB198" s="450"/>
      <c r="BC198" s="450"/>
      <c r="BD198" s="450"/>
      <c r="BE198" s="450"/>
      <c r="BF198" s="450"/>
      <c r="BG198" s="450"/>
      <c r="BH198" s="450"/>
      <c r="BI198" s="450"/>
      <c r="BJ198" s="450"/>
      <c r="BK198" s="450"/>
      <c r="BL198" s="450"/>
      <c r="BM198" s="450"/>
    </row>
    <row r="199" spans="1:65" ht="11.15">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c r="AA199" s="450"/>
      <c r="AB199" s="450"/>
      <c r="AC199" s="450"/>
      <c r="AD199" s="450"/>
      <c r="AE199" s="450"/>
      <c r="AF199" s="450"/>
      <c r="AG199" s="450"/>
      <c r="AH199" s="450"/>
      <c r="AI199" s="450"/>
      <c r="AJ199" s="450"/>
      <c r="AK199" s="450"/>
      <c r="AL199" s="450"/>
      <c r="AM199" s="450"/>
      <c r="AN199" s="450"/>
      <c r="AO199" s="450"/>
      <c r="AP199" s="450"/>
      <c r="AQ199" s="450"/>
      <c r="AR199" s="450"/>
      <c r="AS199" s="450"/>
      <c r="AT199" s="450"/>
      <c r="AU199" s="450"/>
      <c r="AV199" s="450"/>
      <c r="AW199" s="450"/>
      <c r="AX199" s="450"/>
      <c r="AY199" s="450"/>
      <c r="AZ199" s="450"/>
      <c r="BA199" s="450"/>
      <c r="BB199" s="450"/>
      <c r="BC199" s="450"/>
      <c r="BD199" s="450"/>
      <c r="BE199" s="450"/>
      <c r="BF199" s="450"/>
      <c r="BG199" s="450"/>
      <c r="BH199" s="450"/>
      <c r="BI199" s="450"/>
      <c r="BJ199" s="450"/>
      <c r="BK199" s="450"/>
      <c r="BL199" s="450"/>
      <c r="BM199" s="450"/>
    </row>
    <row r="200" spans="1:65" ht="11.15">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450"/>
      <c r="AF200" s="450"/>
      <c r="AG200" s="450"/>
      <c r="AH200" s="450"/>
      <c r="AI200" s="450"/>
      <c r="AJ200" s="450"/>
      <c r="AK200" s="450"/>
      <c r="AL200" s="450"/>
      <c r="AM200" s="450"/>
      <c r="AN200" s="450"/>
      <c r="AO200" s="450"/>
      <c r="AP200" s="450"/>
      <c r="AQ200" s="450"/>
      <c r="AR200" s="450"/>
      <c r="AS200" s="450"/>
      <c r="AT200" s="450"/>
      <c r="AU200" s="450"/>
      <c r="AV200" s="450"/>
      <c r="AW200" s="450"/>
      <c r="AX200" s="450"/>
      <c r="AY200" s="450"/>
      <c r="AZ200" s="450"/>
      <c r="BA200" s="450"/>
      <c r="BB200" s="450"/>
      <c r="BC200" s="450"/>
      <c r="BD200" s="450"/>
      <c r="BE200" s="450"/>
      <c r="BF200" s="450"/>
      <c r="BG200" s="450"/>
      <c r="BH200" s="450"/>
      <c r="BI200" s="450"/>
      <c r="BJ200" s="450"/>
      <c r="BK200" s="450"/>
      <c r="BL200" s="450"/>
      <c r="BM200" s="450"/>
    </row>
    <row r="201" spans="1:65" ht="11.15">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c r="AA201" s="450"/>
      <c r="AB201" s="450"/>
      <c r="AC201" s="450"/>
      <c r="AD201" s="450"/>
      <c r="AE201" s="450"/>
      <c r="AF201" s="450"/>
      <c r="AG201" s="450"/>
      <c r="AH201" s="450"/>
      <c r="AI201" s="450"/>
      <c r="AJ201" s="450"/>
      <c r="AK201" s="450"/>
      <c r="AL201" s="450"/>
      <c r="AM201" s="450"/>
      <c r="AN201" s="450"/>
      <c r="AO201" s="450"/>
      <c r="AP201" s="450"/>
      <c r="AQ201" s="450"/>
      <c r="AR201" s="450"/>
      <c r="AS201" s="450"/>
      <c r="AT201" s="450"/>
      <c r="AU201" s="450"/>
      <c r="AV201" s="450"/>
      <c r="AW201" s="450"/>
      <c r="AX201" s="450"/>
      <c r="AY201" s="450"/>
      <c r="AZ201" s="450"/>
      <c r="BA201" s="450"/>
      <c r="BB201" s="450"/>
      <c r="BC201" s="450"/>
      <c r="BD201" s="450"/>
      <c r="BE201" s="450"/>
      <c r="BF201" s="450"/>
      <c r="BG201" s="450"/>
      <c r="BH201" s="450"/>
      <c r="BI201" s="450"/>
      <c r="BJ201" s="450"/>
      <c r="BK201" s="450"/>
      <c r="BL201" s="450"/>
      <c r="BM201" s="450"/>
    </row>
    <row r="202" spans="1:65" ht="11.15">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c r="BB202" s="450"/>
      <c r="BC202" s="450"/>
      <c r="BD202" s="450"/>
      <c r="BE202" s="450"/>
      <c r="BF202" s="450"/>
      <c r="BG202" s="450"/>
      <c r="BH202" s="450"/>
      <c r="BI202" s="450"/>
      <c r="BJ202" s="450"/>
      <c r="BK202" s="450"/>
      <c r="BL202" s="450"/>
      <c r="BM202" s="450"/>
    </row>
    <row r="203" spans="1:65" ht="11.15">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c r="AA203" s="450"/>
      <c r="AB203" s="450"/>
      <c r="AC203" s="450"/>
      <c r="AD203" s="450"/>
      <c r="AE203" s="450"/>
      <c r="AF203" s="450"/>
      <c r="AG203" s="450"/>
      <c r="AH203" s="450"/>
      <c r="AI203" s="450"/>
      <c r="AJ203" s="450"/>
      <c r="AK203" s="450"/>
      <c r="AL203" s="450"/>
      <c r="AM203" s="450"/>
      <c r="AN203" s="450"/>
      <c r="AO203" s="450"/>
      <c r="AP203" s="450"/>
      <c r="AQ203" s="450"/>
      <c r="AR203" s="450"/>
      <c r="AS203" s="450"/>
      <c r="AT203" s="450"/>
      <c r="AU203" s="450"/>
      <c r="AV203" s="450"/>
      <c r="AW203" s="450"/>
      <c r="AX203" s="450"/>
      <c r="AY203" s="450"/>
      <c r="AZ203" s="450"/>
      <c r="BA203" s="450"/>
      <c r="BB203" s="450"/>
      <c r="BC203" s="450"/>
      <c r="BD203" s="450"/>
      <c r="BE203" s="450"/>
      <c r="BF203" s="450"/>
      <c r="BG203" s="450"/>
      <c r="BH203" s="450"/>
      <c r="BI203" s="450"/>
      <c r="BJ203" s="450"/>
      <c r="BK203" s="450"/>
      <c r="BL203" s="450"/>
      <c r="BM203" s="450"/>
    </row>
    <row r="204" spans="1:65" ht="11.15">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450"/>
      <c r="AF204" s="450"/>
      <c r="AG204" s="450"/>
      <c r="AH204" s="450"/>
      <c r="AI204" s="450"/>
      <c r="AJ204" s="450"/>
      <c r="AK204" s="450"/>
      <c r="AL204" s="450"/>
      <c r="AM204" s="450"/>
      <c r="AN204" s="450"/>
      <c r="AO204" s="450"/>
      <c r="AP204" s="450"/>
      <c r="AQ204" s="450"/>
      <c r="AR204" s="450"/>
      <c r="AS204" s="450"/>
      <c r="AT204" s="450"/>
      <c r="AU204" s="450"/>
      <c r="AV204" s="450"/>
      <c r="AW204" s="450"/>
      <c r="AX204" s="450"/>
      <c r="AY204" s="450"/>
      <c r="AZ204" s="450"/>
      <c r="BA204" s="450"/>
      <c r="BB204" s="450"/>
      <c r="BC204" s="450"/>
      <c r="BD204" s="450"/>
      <c r="BE204" s="450"/>
      <c r="BF204" s="450"/>
      <c r="BG204" s="450"/>
      <c r="BH204" s="450"/>
      <c r="BI204" s="450"/>
      <c r="BJ204" s="450"/>
      <c r="BK204" s="450"/>
      <c r="BL204" s="450"/>
      <c r="BM204" s="450"/>
    </row>
    <row r="205" spans="1:65" ht="11.15">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c r="AA205" s="450"/>
      <c r="AB205" s="450"/>
      <c r="AC205" s="450"/>
      <c r="AD205" s="450"/>
      <c r="AE205" s="450"/>
      <c r="AF205" s="450"/>
      <c r="AG205" s="450"/>
      <c r="AH205" s="450"/>
      <c r="AI205" s="450"/>
      <c r="AJ205" s="450"/>
      <c r="AK205" s="450"/>
      <c r="AL205" s="450"/>
      <c r="AM205" s="450"/>
      <c r="AN205" s="450"/>
      <c r="AO205" s="450"/>
      <c r="AP205" s="450"/>
      <c r="AQ205" s="450"/>
      <c r="AR205" s="450"/>
      <c r="AS205" s="450"/>
      <c r="AT205" s="450"/>
      <c r="AU205" s="450"/>
      <c r="AV205" s="450"/>
      <c r="AW205" s="450"/>
      <c r="AX205" s="450"/>
      <c r="AY205" s="450"/>
      <c r="AZ205" s="450"/>
      <c r="BA205" s="450"/>
      <c r="BB205" s="450"/>
      <c r="BC205" s="450"/>
      <c r="BD205" s="450"/>
      <c r="BE205" s="450"/>
      <c r="BF205" s="450"/>
      <c r="BG205" s="450"/>
      <c r="BH205" s="450"/>
      <c r="BI205" s="450"/>
      <c r="BJ205" s="450"/>
      <c r="BK205" s="450"/>
      <c r="BL205" s="450"/>
      <c r="BM205" s="450"/>
    </row>
    <row r="206" spans="1:65" ht="11.15">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450"/>
      <c r="AF206" s="450"/>
      <c r="AG206" s="450"/>
      <c r="AH206" s="450"/>
      <c r="AI206" s="450"/>
      <c r="AJ206" s="450"/>
      <c r="AK206" s="450"/>
      <c r="AL206" s="450"/>
      <c r="AM206" s="450"/>
      <c r="AN206" s="450"/>
      <c r="AO206" s="450"/>
      <c r="AP206" s="450"/>
      <c r="AQ206" s="450"/>
      <c r="AR206" s="450"/>
      <c r="AS206" s="450"/>
      <c r="AT206" s="450"/>
      <c r="AU206" s="450"/>
      <c r="AV206" s="450"/>
      <c r="AW206" s="450"/>
      <c r="AX206" s="450"/>
      <c r="AY206" s="450"/>
      <c r="AZ206" s="450"/>
      <c r="BA206" s="450"/>
      <c r="BB206" s="450"/>
      <c r="BC206" s="450"/>
      <c r="BD206" s="450"/>
      <c r="BE206" s="450"/>
      <c r="BF206" s="450"/>
      <c r="BG206" s="450"/>
      <c r="BH206" s="450"/>
      <c r="BI206" s="450"/>
      <c r="BJ206" s="450"/>
      <c r="BK206" s="450"/>
      <c r="BL206" s="450"/>
      <c r="BM206" s="450"/>
    </row>
    <row r="207" spans="1:65" ht="11.15">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c r="BB207" s="450"/>
      <c r="BC207" s="450"/>
      <c r="BD207" s="450"/>
      <c r="BE207" s="450"/>
      <c r="BF207" s="450"/>
      <c r="BG207" s="450"/>
      <c r="BH207" s="450"/>
      <c r="BI207" s="450"/>
      <c r="BJ207" s="450"/>
      <c r="BK207" s="450"/>
      <c r="BL207" s="450"/>
      <c r="BM207" s="450"/>
    </row>
    <row r="208" spans="1:65" ht="11.15">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c r="BB208" s="450"/>
      <c r="BC208" s="450"/>
      <c r="BD208" s="450"/>
      <c r="BE208" s="450"/>
      <c r="BF208" s="450"/>
      <c r="BG208" s="450"/>
      <c r="BH208" s="450"/>
      <c r="BI208" s="450"/>
      <c r="BJ208" s="450"/>
      <c r="BK208" s="450"/>
      <c r="BL208" s="450"/>
      <c r="BM208" s="450"/>
    </row>
    <row r="209" spans="1:65" ht="11.15">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c r="BF209" s="450"/>
      <c r="BG209" s="450"/>
      <c r="BH209" s="450"/>
      <c r="BI209" s="450"/>
      <c r="BJ209" s="450"/>
      <c r="BK209" s="450"/>
      <c r="BL209" s="450"/>
      <c r="BM209" s="450"/>
    </row>
    <row r="210" spans="1:65" ht="11.15">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c r="BB210" s="450"/>
      <c r="BC210" s="450"/>
      <c r="BD210" s="450"/>
      <c r="BE210" s="450"/>
      <c r="BF210" s="450"/>
      <c r="BG210" s="450"/>
      <c r="BH210" s="450"/>
      <c r="BI210" s="450"/>
      <c r="BJ210" s="450"/>
      <c r="BK210" s="450"/>
      <c r="BL210" s="450"/>
      <c r="BM210" s="450"/>
    </row>
    <row r="211" spans="1:65" ht="11.15">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c r="AA211" s="450"/>
      <c r="AB211" s="450"/>
      <c r="AC211" s="450"/>
      <c r="AD211" s="450"/>
      <c r="AE211" s="450"/>
      <c r="AF211" s="450"/>
      <c r="AG211" s="450"/>
      <c r="AH211" s="450"/>
      <c r="AI211" s="450"/>
      <c r="AJ211" s="450"/>
      <c r="AK211" s="450"/>
      <c r="AL211" s="450"/>
      <c r="AM211" s="450"/>
      <c r="AN211" s="450"/>
      <c r="AO211" s="450"/>
      <c r="AP211" s="450"/>
      <c r="AQ211" s="450"/>
      <c r="AR211" s="450"/>
      <c r="AS211" s="450"/>
      <c r="AT211" s="450"/>
      <c r="AU211" s="450"/>
      <c r="AV211" s="450"/>
      <c r="AW211" s="450"/>
      <c r="AX211" s="450"/>
      <c r="AY211" s="450"/>
      <c r="AZ211" s="450"/>
      <c r="BA211" s="450"/>
      <c r="BB211" s="450"/>
      <c r="BC211" s="450"/>
      <c r="BD211" s="450"/>
      <c r="BE211" s="450"/>
      <c r="BF211" s="450"/>
      <c r="BG211" s="450"/>
      <c r="BH211" s="450"/>
      <c r="BI211" s="450"/>
      <c r="BJ211" s="450"/>
      <c r="BK211" s="450"/>
      <c r="BL211" s="450"/>
      <c r="BM211" s="450"/>
    </row>
    <row r="212" spans="1:65" ht="11.15">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row>
    <row r="213" spans="1:65" ht="11.15">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row>
    <row r="214" spans="1:65" ht="11.15">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c r="AJ214" s="450"/>
      <c r="AK214" s="450"/>
      <c r="AL214" s="450"/>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row>
    <row r="215" spans="1:65" ht="11.15">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c r="AA215" s="450"/>
      <c r="AB215" s="450"/>
      <c r="AC215" s="450"/>
      <c r="AD215" s="450"/>
      <c r="AE215" s="450"/>
      <c r="AF215" s="450"/>
      <c r="AG215" s="450"/>
      <c r="AH215" s="450"/>
      <c r="AI215" s="450"/>
      <c r="AJ215" s="450"/>
      <c r="AK215" s="450"/>
      <c r="AL215" s="450"/>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row>
    <row r="216" spans="1:65" ht="11.15">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row>
    <row r="217" spans="1:65" ht="11.15">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row>
    <row r="218" spans="1:65" ht="11.15">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c r="AF218" s="450"/>
      <c r="AG218" s="450"/>
      <c r="AH218" s="450"/>
      <c r="AI218" s="450"/>
      <c r="AJ218" s="450"/>
      <c r="AK218" s="450"/>
      <c r="AL218" s="450"/>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row>
    <row r="219" spans="1:65" ht="11.15">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row>
    <row r="220" spans="1:65" ht="11.15">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row>
    <row r="221" spans="1:65" ht="11.15">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450"/>
      <c r="AF221" s="450"/>
      <c r="AG221" s="450"/>
      <c r="AH221" s="450"/>
      <c r="AI221" s="450"/>
      <c r="AJ221" s="450"/>
      <c r="AK221" s="450"/>
      <c r="AL221" s="450"/>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row>
    <row r="222" spans="1:65" ht="11.15">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c r="AA222" s="450"/>
      <c r="AB222" s="450"/>
      <c r="AC222" s="450"/>
      <c r="AD222" s="450"/>
      <c r="AE222" s="450"/>
      <c r="AF222" s="450"/>
      <c r="AG222" s="450"/>
      <c r="AH222" s="450"/>
      <c r="AI222" s="450"/>
      <c r="AJ222" s="450"/>
      <c r="AK222" s="450"/>
      <c r="AL222" s="450"/>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row>
    <row r="223" spans="1:65" ht="11.15">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450"/>
      <c r="AF223" s="450"/>
      <c r="AG223" s="450"/>
      <c r="AH223" s="450"/>
      <c r="AI223" s="450"/>
      <c r="AJ223" s="450"/>
      <c r="AK223" s="450"/>
      <c r="AL223" s="450"/>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row>
    <row r="224" spans="1:65" ht="11.15">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c r="AA224" s="450"/>
      <c r="AB224" s="450"/>
      <c r="AC224" s="450"/>
      <c r="AD224" s="450"/>
      <c r="AE224" s="450"/>
      <c r="AF224" s="450"/>
      <c r="AG224" s="450"/>
      <c r="AH224" s="450"/>
      <c r="AI224" s="450"/>
      <c r="AJ224" s="450"/>
      <c r="AK224" s="450"/>
      <c r="AL224" s="450"/>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row>
    <row r="225" spans="1:65" ht="11.15">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c r="AA225" s="450"/>
      <c r="AB225" s="450"/>
      <c r="AC225" s="450"/>
      <c r="AD225" s="450"/>
      <c r="AE225" s="450"/>
      <c r="AF225" s="450"/>
      <c r="AG225" s="450"/>
      <c r="AH225" s="450"/>
      <c r="AI225" s="450"/>
      <c r="AJ225" s="450"/>
      <c r="AK225" s="450"/>
      <c r="AL225" s="450"/>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row>
    <row r="226" spans="1:65" ht="11.15">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c r="AA226" s="450"/>
      <c r="AB226" s="450"/>
      <c r="AC226" s="450"/>
      <c r="AD226" s="450"/>
      <c r="AE226" s="450"/>
      <c r="AF226" s="450"/>
      <c r="AG226" s="450"/>
      <c r="AH226" s="450"/>
      <c r="AI226" s="450"/>
      <c r="AJ226" s="450"/>
      <c r="AK226" s="450"/>
      <c r="AL226" s="450"/>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row>
    <row r="227" spans="1:65" ht="11.15">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row>
    <row r="228" spans="1:65" ht="11.15">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row>
    <row r="229" spans="1:65" ht="11.15">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row>
    <row r="230" spans="1:65" ht="11.15">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row>
    <row r="231" spans="1:65" ht="11.15">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row>
    <row r="232" spans="1:65" ht="11.15">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row>
    <row r="233" spans="1:65" ht="11.15">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row>
    <row r="234" spans="1:65" ht="11.15">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row>
    <row r="235" spans="1:65" ht="11.15">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row>
    <row r="236" spans="1:65" ht="11.15">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row>
    <row r="237" spans="1:65" ht="11.15">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row>
    <row r="238" spans="1:65" ht="11.15">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row>
    <row r="239" spans="1:65" ht="11.15">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row>
    <row r="240" spans="1:65" ht="11.15">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row>
    <row r="241" spans="1:65" ht="11.15">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row>
    <row r="242" spans="1:65" ht="11.15">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row>
    <row r="243" spans="1:65" ht="11.15">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row>
    <row r="244" spans="1:65" ht="11.15">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row>
    <row r="245" spans="1:65" ht="11.15">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row>
    <row r="246" spans="1:65" ht="11.15">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row>
    <row r="247" spans="1:65" ht="11.15">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c r="AA247" s="450"/>
      <c r="AB247" s="450"/>
      <c r="AC247" s="450"/>
      <c r="AD247" s="450"/>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450"/>
      <c r="AZ247" s="450"/>
      <c r="BA247" s="450"/>
      <c r="BB247" s="450"/>
      <c r="BC247" s="450"/>
      <c r="BD247" s="450"/>
      <c r="BE247" s="450"/>
      <c r="BF247" s="450"/>
      <c r="BG247" s="450"/>
      <c r="BH247" s="450"/>
      <c r="BI247" s="450"/>
      <c r="BJ247" s="450"/>
      <c r="BK247" s="450"/>
      <c r="BL247" s="450"/>
      <c r="BM247" s="450"/>
    </row>
    <row r="248" spans="1:65" ht="11.15">
      <c r="A248" s="450"/>
      <c r="B248" s="450"/>
      <c r="C248" s="450"/>
      <c r="D248" s="450"/>
      <c r="E248" s="450"/>
      <c r="F248" s="450"/>
      <c r="G248" s="450"/>
      <c r="H248" s="450"/>
      <c r="I248" s="450"/>
      <c r="J248" s="450"/>
      <c r="K248" s="450"/>
      <c r="L248" s="450"/>
      <c r="M248" s="450"/>
      <c r="N248" s="450"/>
      <c r="O248" s="450"/>
      <c r="P248" s="450"/>
      <c r="Q248" s="450"/>
      <c r="R248" s="450"/>
      <c r="S248" s="450"/>
      <c r="T248" s="450"/>
      <c r="U248" s="450"/>
      <c r="V248" s="450"/>
      <c r="W248" s="450"/>
      <c r="X248" s="450"/>
      <c r="Y248" s="450"/>
      <c r="Z248" s="450"/>
      <c r="AA248" s="450"/>
      <c r="AB248" s="450"/>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50"/>
      <c r="BI248" s="450"/>
      <c r="BJ248" s="450"/>
      <c r="BK248" s="450"/>
      <c r="BL248" s="450"/>
      <c r="BM248" s="450"/>
    </row>
    <row r="249" spans="1:65" ht="11.15">
      <c r="A249" s="450"/>
      <c r="B249" s="450"/>
      <c r="C249" s="450"/>
      <c r="D249" s="450"/>
      <c r="E249" s="450"/>
      <c r="F249" s="450"/>
      <c r="G249" s="450"/>
      <c r="H249" s="450"/>
      <c r="I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c r="BF249" s="450"/>
      <c r="BG249" s="450"/>
      <c r="BH249" s="450"/>
      <c r="BI249" s="450"/>
      <c r="BJ249" s="450"/>
      <c r="BK249" s="450"/>
      <c r="BL249" s="450"/>
      <c r="BM249" s="450"/>
    </row>
    <row r="250" spans="1:65" ht="11.15">
      <c r="A250" s="450"/>
      <c r="B250" s="450"/>
      <c r="C250" s="450"/>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c r="BF250" s="450"/>
      <c r="BG250" s="450"/>
      <c r="BH250" s="450"/>
      <c r="BI250" s="450"/>
      <c r="BJ250" s="450"/>
      <c r="BK250" s="450"/>
      <c r="BL250" s="450"/>
      <c r="BM250" s="450"/>
    </row>
    <row r="251" spans="1:65" ht="11.15">
      <c r="A251" s="450"/>
      <c r="B251" s="450"/>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c r="BF251" s="450"/>
      <c r="BG251" s="450"/>
      <c r="BH251" s="450"/>
      <c r="BI251" s="450"/>
      <c r="BJ251" s="450"/>
      <c r="BK251" s="450"/>
      <c r="BL251" s="450"/>
      <c r="BM251" s="450"/>
    </row>
    <row r="252" spans="1:65" ht="11.15">
      <c r="A252" s="450"/>
      <c r="B252" s="450"/>
      <c r="C252" s="450"/>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c r="BF252" s="450"/>
      <c r="BG252" s="450"/>
      <c r="BH252" s="450"/>
      <c r="BI252" s="450"/>
      <c r="BJ252" s="450"/>
      <c r="BK252" s="450"/>
      <c r="BL252" s="450"/>
      <c r="BM252" s="450"/>
    </row>
    <row r="253" spans="1:65" ht="11.15">
      <c r="A253" s="450"/>
      <c r="B253" s="450"/>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row>
    <row r="254" spans="1:65" ht="11.15">
      <c r="A254" s="450"/>
      <c r="B254" s="450"/>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row>
    <row r="255" spans="1:65" ht="11.15">
      <c r="A255" s="450"/>
      <c r="B255" s="450"/>
      <c r="C255" s="450"/>
      <c r="D255" s="450"/>
      <c r="E255" s="450"/>
      <c r="F255" s="450"/>
      <c r="G255" s="450"/>
      <c r="H255" s="450"/>
      <c r="I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row>
    <row r="256" spans="1:65" ht="11.15">
      <c r="A256" s="450"/>
      <c r="B256" s="450"/>
      <c r="C256" s="450"/>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row>
    <row r="257" spans="1:65" ht="11.15">
      <c r="A257" s="450"/>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row>
    <row r="258" spans="1:65" ht="11.15">
      <c r="A258" s="450"/>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row>
    <row r="259" spans="1:65" ht="11.15">
      <c r="A259" s="450"/>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row>
    <row r="260" spans="1:65" ht="11.15">
      <c r="A260" s="450"/>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c r="BB260" s="450"/>
      <c r="BC260" s="450"/>
      <c r="BD260" s="450"/>
      <c r="BE260" s="450"/>
      <c r="BF260" s="450"/>
      <c r="BG260" s="450"/>
      <c r="BH260" s="450"/>
      <c r="BI260" s="450"/>
      <c r="BJ260" s="450"/>
      <c r="BK260" s="450"/>
      <c r="BL260" s="450"/>
      <c r="BM260" s="450"/>
    </row>
    <row r="261" spans="1:65" ht="11.15">
      <c r="A261" s="450"/>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450"/>
      <c r="BE261" s="450"/>
      <c r="BF261" s="450"/>
      <c r="BG261" s="450"/>
      <c r="BH261" s="450"/>
      <c r="BI261" s="450"/>
      <c r="BJ261" s="450"/>
      <c r="BK261" s="450"/>
      <c r="BL261" s="450"/>
      <c r="BM261" s="450"/>
    </row>
    <row r="262" spans="1:65" ht="11.15">
      <c r="A262" s="450"/>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c r="BB262" s="450"/>
      <c r="BC262" s="450"/>
      <c r="BD262" s="450"/>
      <c r="BE262" s="450"/>
      <c r="BF262" s="450"/>
      <c r="BG262" s="450"/>
      <c r="BH262" s="450"/>
      <c r="BI262" s="450"/>
      <c r="BJ262" s="450"/>
      <c r="BK262" s="450"/>
      <c r="BL262" s="450"/>
      <c r="BM262" s="450"/>
    </row>
    <row r="263" spans="1:65" ht="11.15">
      <c r="A263" s="450"/>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c r="BB263" s="450"/>
      <c r="BC263" s="450"/>
      <c r="BD263" s="450"/>
      <c r="BE263" s="450"/>
      <c r="BF263" s="450"/>
      <c r="BG263" s="450"/>
      <c r="BH263" s="450"/>
      <c r="BI263" s="450"/>
      <c r="BJ263" s="450"/>
      <c r="BK263" s="450"/>
      <c r="BL263" s="450"/>
      <c r="BM263" s="450"/>
    </row>
    <row r="264" spans="1:65" ht="11.15">
      <c r="A264" s="450"/>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row>
    <row r="265" spans="1:65" ht="11.15">
      <c r="A265" s="450"/>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row>
    <row r="266" spans="1:65" ht="11.15">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row>
    <row r="267" spans="1:65" ht="11.15">
      <c r="A267" s="450"/>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row>
    <row r="268" spans="1:65" ht="11.15">
      <c r="A268" s="450"/>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row>
    <row r="269" spans="1:65" ht="11.15">
      <c r="A269" s="450"/>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450"/>
      <c r="AZ269" s="450"/>
      <c r="BA269" s="450"/>
      <c r="BB269" s="450"/>
      <c r="BC269" s="450"/>
      <c r="BD269" s="450"/>
      <c r="BE269" s="450"/>
      <c r="BF269" s="450"/>
      <c r="BG269" s="450"/>
      <c r="BH269" s="450"/>
      <c r="BI269" s="450"/>
      <c r="BJ269" s="450"/>
      <c r="BK269" s="450"/>
      <c r="BL269" s="450"/>
      <c r="BM269" s="450"/>
    </row>
    <row r="270" spans="1:65" ht="11.15">
      <c r="A270" s="450"/>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c r="AF270" s="450"/>
      <c r="AG270" s="450"/>
      <c r="AH270" s="450"/>
      <c r="AI270" s="450"/>
      <c r="AJ270" s="450"/>
      <c r="AK270" s="450"/>
      <c r="AL270" s="450"/>
      <c r="AM270" s="450"/>
      <c r="AN270" s="450"/>
      <c r="AO270" s="450"/>
      <c r="AP270" s="450"/>
      <c r="AQ270" s="450"/>
      <c r="AR270" s="450"/>
      <c r="AS270" s="450"/>
      <c r="AT270" s="450"/>
      <c r="AU270" s="450"/>
      <c r="AV270" s="450"/>
      <c r="AW270" s="450"/>
      <c r="AX270" s="450"/>
      <c r="AY270" s="450"/>
      <c r="AZ270" s="450"/>
      <c r="BA270" s="450"/>
      <c r="BB270" s="450"/>
      <c r="BC270" s="450"/>
      <c r="BD270" s="450"/>
      <c r="BE270" s="450"/>
      <c r="BF270" s="450"/>
      <c r="BG270" s="450"/>
      <c r="BH270" s="450"/>
      <c r="BI270" s="450"/>
      <c r="BJ270" s="450"/>
      <c r="BK270" s="450"/>
      <c r="BL270" s="450"/>
      <c r="BM270" s="450"/>
    </row>
    <row r="271" spans="1:65" ht="11.15">
      <c r="A271" s="450"/>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c r="AF271" s="450"/>
      <c r="AG271" s="450"/>
      <c r="AH271" s="450"/>
      <c r="AI271" s="450"/>
      <c r="AJ271" s="450"/>
      <c r="AK271" s="450"/>
      <c r="AL271" s="450"/>
      <c r="AM271" s="450"/>
      <c r="AN271" s="450"/>
      <c r="AO271" s="450"/>
      <c r="AP271" s="450"/>
      <c r="AQ271" s="450"/>
      <c r="AR271" s="450"/>
      <c r="AS271" s="450"/>
      <c r="AT271" s="450"/>
      <c r="AU271" s="450"/>
      <c r="AV271" s="450"/>
      <c r="AW271" s="450"/>
      <c r="AX271" s="450"/>
      <c r="AY271" s="450"/>
      <c r="AZ271" s="450"/>
      <c r="BA271" s="450"/>
      <c r="BB271" s="450"/>
      <c r="BC271" s="450"/>
      <c r="BD271" s="450"/>
      <c r="BE271" s="450"/>
      <c r="BF271" s="450"/>
      <c r="BG271" s="450"/>
      <c r="BH271" s="450"/>
      <c r="BI271" s="450"/>
      <c r="BJ271" s="450"/>
      <c r="BK271" s="450"/>
      <c r="BL271" s="450"/>
      <c r="BM271" s="450"/>
    </row>
    <row r="272" spans="1:65" ht="11.15">
      <c r="A272" s="450"/>
      <c r="B272" s="450"/>
      <c r="C272" s="450"/>
      <c r="D272" s="450"/>
      <c r="E272" s="450"/>
      <c r="F272" s="450"/>
      <c r="G272" s="450"/>
      <c r="H272" s="450"/>
      <c r="I272" s="450"/>
      <c r="J272" s="450"/>
      <c r="K272" s="450"/>
      <c r="L272" s="450"/>
      <c r="M272" s="450"/>
      <c r="N272" s="450"/>
      <c r="O272" s="450"/>
      <c r="P272" s="450"/>
      <c r="Q272" s="450"/>
      <c r="R272" s="450"/>
      <c r="S272" s="450"/>
      <c r="T272" s="450"/>
      <c r="U272" s="450"/>
      <c r="V272" s="450"/>
      <c r="W272" s="450"/>
      <c r="X272" s="450"/>
      <c r="Y272" s="450"/>
      <c r="Z272" s="450"/>
      <c r="AA272" s="450"/>
      <c r="AB272" s="450"/>
      <c r="AC272" s="450"/>
      <c r="AD272" s="450"/>
      <c r="AE272" s="450"/>
      <c r="AF272" s="450"/>
      <c r="AG272" s="450"/>
      <c r="AH272" s="450"/>
      <c r="AI272" s="450"/>
      <c r="AJ272" s="450"/>
      <c r="AK272" s="450"/>
      <c r="AL272" s="450"/>
      <c r="AM272" s="450"/>
      <c r="AN272" s="450"/>
      <c r="AO272" s="450"/>
      <c r="AP272" s="450"/>
      <c r="AQ272" s="450"/>
      <c r="AR272" s="450"/>
      <c r="AS272" s="450"/>
      <c r="AT272" s="450"/>
      <c r="AU272" s="450"/>
      <c r="AV272" s="450"/>
      <c r="AW272" s="450"/>
      <c r="AX272" s="450"/>
      <c r="AY272" s="450"/>
      <c r="AZ272" s="450"/>
      <c r="BA272" s="450"/>
      <c r="BB272" s="450"/>
      <c r="BC272" s="450"/>
      <c r="BD272" s="450"/>
      <c r="BE272" s="450"/>
      <c r="BF272" s="450"/>
      <c r="BG272" s="450"/>
      <c r="BH272" s="450"/>
      <c r="BI272" s="450"/>
      <c r="BJ272" s="450"/>
      <c r="BK272" s="450"/>
      <c r="BL272" s="450"/>
      <c r="BM272" s="450"/>
    </row>
    <row r="273" spans="1:65" ht="11.15">
      <c r="A273" s="450"/>
      <c r="B273" s="450"/>
      <c r="C273" s="450"/>
      <c r="D273" s="450"/>
      <c r="E273" s="450"/>
      <c r="F273" s="450"/>
      <c r="G273" s="450"/>
      <c r="H273" s="450"/>
      <c r="I273" s="450"/>
      <c r="J273" s="450"/>
      <c r="K273" s="450"/>
      <c r="L273" s="450"/>
      <c r="M273" s="450"/>
      <c r="N273" s="450"/>
      <c r="O273" s="450"/>
      <c r="P273" s="450"/>
      <c r="Q273" s="450"/>
      <c r="R273" s="450"/>
      <c r="S273" s="450"/>
      <c r="T273" s="450"/>
      <c r="U273" s="450"/>
      <c r="V273" s="450"/>
      <c r="W273" s="450"/>
      <c r="X273" s="450"/>
      <c r="Y273" s="450"/>
      <c r="Z273" s="450"/>
      <c r="AA273" s="450"/>
      <c r="AB273" s="450"/>
      <c r="AC273" s="450"/>
      <c r="AD273" s="450"/>
      <c r="AE273" s="450"/>
      <c r="AF273" s="450"/>
      <c r="AG273" s="450"/>
      <c r="AH273" s="450"/>
      <c r="AI273" s="450"/>
      <c r="AJ273" s="450"/>
      <c r="AK273" s="450"/>
      <c r="AL273" s="450"/>
      <c r="AM273" s="450"/>
      <c r="AN273" s="450"/>
      <c r="AO273" s="450"/>
      <c r="AP273" s="450"/>
      <c r="AQ273" s="450"/>
      <c r="AR273" s="450"/>
      <c r="AS273" s="450"/>
      <c r="AT273" s="450"/>
      <c r="AU273" s="450"/>
      <c r="AV273" s="450"/>
      <c r="AW273" s="450"/>
      <c r="AX273" s="450"/>
      <c r="AY273" s="450"/>
      <c r="AZ273" s="450"/>
      <c r="BA273" s="450"/>
      <c r="BB273" s="450"/>
      <c r="BC273" s="450"/>
      <c r="BD273" s="450"/>
      <c r="BE273" s="450"/>
      <c r="BF273" s="450"/>
      <c r="BG273" s="450"/>
      <c r="BH273" s="450"/>
      <c r="BI273" s="450"/>
      <c r="BJ273" s="450"/>
      <c r="BK273" s="450"/>
      <c r="BL273" s="450"/>
      <c r="BM273" s="450"/>
    </row>
    <row r="274" spans="1:65" ht="11.15">
      <c r="A274" s="450"/>
      <c r="B274" s="450"/>
      <c r="C274" s="450"/>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c r="AK274" s="450"/>
      <c r="AL274" s="450"/>
      <c r="AM274" s="450"/>
      <c r="AN274" s="450"/>
      <c r="AO274" s="450"/>
      <c r="AP274" s="450"/>
      <c r="AQ274" s="450"/>
      <c r="AR274" s="450"/>
      <c r="AS274" s="450"/>
      <c r="AT274" s="450"/>
      <c r="AU274" s="450"/>
      <c r="AV274" s="450"/>
      <c r="AW274" s="450"/>
      <c r="AX274" s="450"/>
      <c r="AY274" s="450"/>
      <c r="AZ274" s="450"/>
      <c r="BA274" s="450"/>
      <c r="BB274" s="450"/>
      <c r="BC274" s="450"/>
      <c r="BD274" s="450"/>
      <c r="BE274" s="450"/>
      <c r="BF274" s="450"/>
      <c r="BG274" s="450"/>
      <c r="BH274" s="450"/>
      <c r="BI274" s="450"/>
      <c r="BJ274" s="450"/>
      <c r="BK274" s="450"/>
      <c r="BL274" s="450"/>
      <c r="BM274" s="450"/>
    </row>
    <row r="275" spans="1:65" ht="11.15">
      <c r="A275" s="450"/>
      <c r="B275" s="450"/>
      <c r="C275" s="450"/>
      <c r="D275" s="450"/>
      <c r="E275" s="450"/>
      <c r="F275" s="450"/>
      <c r="G275" s="450"/>
      <c r="H275" s="450"/>
      <c r="I275" s="450"/>
      <c r="J275" s="450"/>
      <c r="K275" s="450"/>
      <c r="L275" s="450"/>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c r="AK275" s="450"/>
      <c r="AL275" s="450"/>
      <c r="AM275" s="450"/>
      <c r="AN275" s="450"/>
      <c r="AO275" s="450"/>
      <c r="AP275" s="450"/>
      <c r="AQ275" s="450"/>
      <c r="AR275" s="450"/>
      <c r="AS275" s="450"/>
      <c r="AT275" s="450"/>
      <c r="AU275" s="450"/>
      <c r="AV275" s="450"/>
      <c r="AW275" s="450"/>
      <c r="AX275" s="450"/>
      <c r="AY275" s="450"/>
      <c r="AZ275" s="450"/>
      <c r="BA275" s="450"/>
      <c r="BB275" s="450"/>
      <c r="BC275" s="450"/>
      <c r="BD275" s="450"/>
      <c r="BE275" s="450"/>
      <c r="BF275" s="450"/>
      <c r="BG275" s="450"/>
      <c r="BH275" s="450"/>
      <c r="BI275" s="450"/>
      <c r="BJ275" s="450"/>
      <c r="BK275" s="450"/>
      <c r="BL275" s="450"/>
      <c r="BM275" s="450"/>
    </row>
    <row r="276" spans="1:65" ht="11.15">
      <c r="A276" s="450"/>
      <c r="B276" s="450"/>
      <c r="C276" s="450"/>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row>
    <row r="277" spans="1:65" ht="11.15">
      <c r="A277" s="450"/>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row>
    <row r="278" spans="1:65" ht="11.15">
      <c r="A278" s="450"/>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row>
    <row r="279" spans="1:65" ht="11.15">
      <c r="A279" s="450"/>
      <c r="B279" s="450"/>
      <c r="C279" s="450"/>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row>
    <row r="280" spans="1:65" ht="11.15">
      <c r="A280" s="450"/>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row>
    <row r="281" spans="1:65" ht="11.15">
      <c r="A281" s="450"/>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c r="AF281" s="450"/>
      <c r="AG281" s="450"/>
      <c r="AH281" s="450"/>
      <c r="AI281" s="450"/>
      <c r="AJ281" s="450"/>
      <c r="AK281" s="450"/>
      <c r="AL281" s="450"/>
      <c r="AM281" s="450"/>
      <c r="AN281" s="450"/>
      <c r="AO281" s="450"/>
      <c r="AP281" s="450"/>
      <c r="AQ281" s="450"/>
      <c r="AR281" s="450"/>
      <c r="AS281" s="450"/>
      <c r="AT281" s="450"/>
      <c r="AU281" s="450"/>
      <c r="AV281" s="450"/>
      <c r="AW281" s="450"/>
      <c r="AX281" s="450"/>
      <c r="AY281" s="450"/>
      <c r="AZ281" s="450"/>
      <c r="BA281" s="450"/>
      <c r="BB281" s="450"/>
      <c r="BC281" s="450"/>
      <c r="BD281" s="450"/>
      <c r="BE281" s="450"/>
      <c r="BF281" s="450"/>
      <c r="BG281" s="450"/>
      <c r="BH281" s="450"/>
      <c r="BI281" s="450"/>
      <c r="BJ281" s="450"/>
      <c r="BK281" s="450"/>
      <c r="BL281" s="450"/>
      <c r="BM281" s="450"/>
    </row>
    <row r="282" spans="1:65" ht="11.15">
      <c r="A282" s="450"/>
      <c r="B282" s="450"/>
      <c r="C282" s="450"/>
      <c r="D282" s="450"/>
      <c r="E282" s="450"/>
      <c r="F282" s="450"/>
      <c r="G282" s="450"/>
      <c r="H282" s="450"/>
      <c r="I282" s="450"/>
      <c r="J282" s="450"/>
      <c r="K282" s="450"/>
      <c r="L282" s="450"/>
      <c r="M282" s="450"/>
      <c r="N282" s="450"/>
      <c r="O282" s="450"/>
      <c r="P282" s="450"/>
      <c r="Q282" s="450"/>
      <c r="R282" s="450"/>
      <c r="S282" s="450"/>
      <c r="T282" s="450"/>
      <c r="U282" s="450"/>
      <c r="V282" s="450"/>
      <c r="W282" s="450"/>
      <c r="X282" s="450"/>
      <c r="Y282" s="450"/>
      <c r="Z282" s="450"/>
      <c r="AA282" s="450"/>
      <c r="AB282" s="450"/>
      <c r="AC282" s="450"/>
      <c r="AD282" s="450"/>
      <c r="AE282" s="450"/>
      <c r="AF282" s="450"/>
      <c r="AG282" s="450"/>
      <c r="AH282" s="450"/>
      <c r="AI282" s="450"/>
      <c r="AJ282" s="450"/>
      <c r="AK282" s="450"/>
      <c r="AL282" s="450"/>
      <c r="AM282" s="450"/>
      <c r="AN282" s="450"/>
      <c r="AO282" s="450"/>
      <c r="AP282" s="450"/>
      <c r="AQ282" s="450"/>
      <c r="AR282" s="450"/>
      <c r="AS282" s="450"/>
      <c r="AT282" s="450"/>
      <c r="AU282" s="450"/>
      <c r="AV282" s="450"/>
      <c r="AW282" s="450"/>
      <c r="AX282" s="450"/>
      <c r="AY282" s="450"/>
      <c r="AZ282" s="450"/>
      <c r="BA282" s="450"/>
      <c r="BB282" s="450"/>
      <c r="BC282" s="450"/>
      <c r="BD282" s="450"/>
      <c r="BE282" s="450"/>
      <c r="BF282" s="450"/>
      <c r="BG282" s="450"/>
      <c r="BH282" s="450"/>
      <c r="BI282" s="450"/>
      <c r="BJ282" s="450"/>
      <c r="BK282" s="450"/>
      <c r="BL282" s="450"/>
      <c r="BM282" s="450"/>
    </row>
    <row r="283" spans="1:65" ht="11.15">
      <c r="A283" s="450"/>
      <c r="B283" s="450"/>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c r="AF283" s="450"/>
      <c r="AG283" s="450"/>
      <c r="AH283" s="450"/>
      <c r="AI283" s="450"/>
      <c r="AJ283" s="450"/>
      <c r="AK283" s="450"/>
      <c r="AL283" s="450"/>
      <c r="AM283" s="450"/>
      <c r="AN283" s="450"/>
      <c r="AO283" s="450"/>
      <c r="AP283" s="450"/>
      <c r="AQ283" s="450"/>
      <c r="AR283" s="450"/>
      <c r="AS283" s="450"/>
      <c r="AT283" s="450"/>
      <c r="AU283" s="450"/>
      <c r="AV283" s="450"/>
      <c r="AW283" s="450"/>
      <c r="AX283" s="450"/>
      <c r="AY283" s="450"/>
      <c r="AZ283" s="450"/>
      <c r="BA283" s="450"/>
      <c r="BB283" s="450"/>
      <c r="BC283" s="450"/>
      <c r="BD283" s="450"/>
      <c r="BE283" s="450"/>
      <c r="BF283" s="450"/>
      <c r="BG283" s="450"/>
      <c r="BH283" s="450"/>
      <c r="BI283" s="450"/>
      <c r="BJ283" s="450"/>
      <c r="BK283" s="450"/>
      <c r="BL283" s="450"/>
      <c r="BM283" s="450"/>
    </row>
    <row r="284" spans="1:65" ht="11.15">
      <c r="A284" s="450"/>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c r="BF284" s="450"/>
      <c r="BG284" s="450"/>
      <c r="BH284" s="450"/>
      <c r="BI284" s="450"/>
      <c r="BJ284" s="450"/>
      <c r="BK284" s="450"/>
      <c r="BL284" s="450"/>
      <c r="BM284" s="450"/>
    </row>
    <row r="285" spans="1:65" ht="11.15">
      <c r="A285" s="450"/>
      <c r="B285" s="450"/>
      <c r="C285" s="450"/>
      <c r="D285" s="450"/>
      <c r="E285" s="450"/>
      <c r="F285" s="450"/>
      <c r="G285" s="450"/>
      <c r="H285" s="450"/>
      <c r="I285" s="450"/>
      <c r="J285" s="450"/>
      <c r="K285" s="450"/>
      <c r="L285" s="450"/>
      <c r="M285" s="450"/>
      <c r="N285" s="450"/>
      <c r="O285" s="450"/>
      <c r="P285" s="450"/>
      <c r="Q285" s="450"/>
      <c r="R285" s="450"/>
      <c r="S285" s="450"/>
      <c r="T285" s="450"/>
      <c r="U285" s="450"/>
      <c r="V285" s="450"/>
      <c r="W285" s="450"/>
      <c r="X285" s="450"/>
      <c r="Y285" s="450"/>
      <c r="Z285" s="450"/>
      <c r="AA285" s="450"/>
      <c r="AB285" s="450"/>
      <c r="AC285" s="450"/>
      <c r="AD285" s="450"/>
      <c r="AE285" s="450"/>
      <c r="AF285" s="450"/>
      <c r="AG285" s="450"/>
      <c r="AH285" s="450"/>
      <c r="AI285" s="450"/>
      <c r="AJ285" s="450"/>
      <c r="AK285" s="450"/>
      <c r="AL285" s="450"/>
      <c r="AM285" s="450"/>
      <c r="AN285" s="450"/>
      <c r="AO285" s="450"/>
      <c r="AP285" s="450"/>
      <c r="AQ285" s="450"/>
      <c r="AR285" s="450"/>
      <c r="AS285" s="450"/>
      <c r="AT285" s="450"/>
      <c r="AU285" s="450"/>
      <c r="AV285" s="450"/>
      <c r="AW285" s="450"/>
      <c r="AX285" s="450"/>
      <c r="AY285" s="450"/>
      <c r="AZ285" s="450"/>
      <c r="BA285" s="450"/>
      <c r="BB285" s="450"/>
      <c r="BC285" s="450"/>
      <c r="BD285" s="450"/>
      <c r="BE285" s="450"/>
      <c r="BF285" s="450"/>
      <c r="BG285" s="450"/>
      <c r="BH285" s="450"/>
      <c r="BI285" s="450"/>
      <c r="BJ285" s="450"/>
      <c r="BK285" s="450"/>
      <c r="BL285" s="450"/>
      <c r="BM285" s="450"/>
    </row>
    <row r="286" spans="1:65" ht="11.15">
      <c r="A286" s="450"/>
      <c r="B286" s="450"/>
      <c r="C286" s="450"/>
      <c r="D286" s="450"/>
      <c r="E286" s="450"/>
      <c r="F286" s="450"/>
      <c r="G286" s="450"/>
      <c r="H286" s="450"/>
      <c r="I286" s="450"/>
      <c r="J286" s="450"/>
      <c r="K286" s="450"/>
      <c r="L286" s="450"/>
      <c r="M286" s="450"/>
      <c r="N286" s="450"/>
      <c r="O286" s="450"/>
      <c r="P286" s="450"/>
      <c r="Q286" s="450"/>
      <c r="R286" s="450"/>
      <c r="S286" s="450"/>
      <c r="T286" s="450"/>
      <c r="U286" s="450"/>
      <c r="V286" s="450"/>
      <c r="W286" s="450"/>
      <c r="X286" s="450"/>
      <c r="Y286" s="450"/>
      <c r="Z286" s="450"/>
      <c r="AA286" s="450"/>
      <c r="AB286" s="450"/>
      <c r="AC286" s="450"/>
      <c r="AD286" s="450"/>
      <c r="AE286" s="450"/>
      <c r="AF286" s="450"/>
      <c r="AG286" s="450"/>
      <c r="AH286" s="450"/>
      <c r="AI286" s="450"/>
      <c r="AJ286" s="450"/>
      <c r="AK286" s="450"/>
      <c r="AL286" s="450"/>
      <c r="AM286" s="450"/>
      <c r="AN286" s="450"/>
      <c r="AO286" s="450"/>
      <c r="AP286" s="450"/>
      <c r="AQ286" s="450"/>
      <c r="AR286" s="450"/>
      <c r="AS286" s="450"/>
      <c r="AT286" s="450"/>
      <c r="AU286" s="450"/>
      <c r="AV286" s="450"/>
      <c r="AW286" s="450"/>
      <c r="AX286" s="450"/>
      <c r="AY286" s="450"/>
      <c r="AZ286" s="450"/>
      <c r="BA286" s="450"/>
      <c r="BB286" s="450"/>
      <c r="BC286" s="450"/>
      <c r="BD286" s="450"/>
      <c r="BE286" s="450"/>
      <c r="BF286" s="450"/>
      <c r="BG286" s="450"/>
      <c r="BH286" s="450"/>
      <c r="BI286" s="450"/>
      <c r="BJ286" s="450"/>
      <c r="BK286" s="450"/>
      <c r="BL286" s="450"/>
      <c r="BM286" s="450"/>
    </row>
    <row r="287" spans="1:65" ht="11.15">
      <c r="A287" s="450"/>
      <c r="B287" s="450"/>
      <c r="C287" s="450"/>
      <c r="D287" s="450"/>
      <c r="E287" s="450"/>
      <c r="F287" s="450"/>
      <c r="G287" s="450"/>
      <c r="H287" s="450"/>
      <c r="I287" s="450"/>
      <c r="J287" s="450"/>
      <c r="K287" s="450"/>
      <c r="L287" s="450"/>
      <c r="M287" s="450"/>
      <c r="N287" s="450"/>
      <c r="O287" s="450"/>
      <c r="P287" s="450"/>
      <c r="Q287" s="450"/>
      <c r="R287" s="450"/>
      <c r="S287" s="450"/>
      <c r="T287" s="450"/>
      <c r="U287" s="450"/>
      <c r="V287" s="450"/>
      <c r="W287" s="450"/>
      <c r="X287" s="450"/>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0"/>
      <c r="AT287" s="450"/>
      <c r="AU287" s="450"/>
      <c r="AV287" s="450"/>
      <c r="AW287" s="450"/>
      <c r="AX287" s="450"/>
      <c r="AY287" s="450"/>
      <c r="AZ287" s="450"/>
      <c r="BA287" s="450"/>
      <c r="BB287" s="450"/>
      <c r="BC287" s="450"/>
      <c r="BD287" s="450"/>
      <c r="BE287" s="450"/>
      <c r="BF287" s="450"/>
      <c r="BG287" s="450"/>
      <c r="BH287" s="450"/>
      <c r="BI287" s="450"/>
      <c r="BJ287" s="450"/>
      <c r="BK287" s="450"/>
      <c r="BL287" s="450"/>
      <c r="BM287" s="450"/>
    </row>
    <row r="288" spans="1:65" ht="11.15">
      <c r="A288" s="450"/>
      <c r="B288" s="450"/>
      <c r="C288" s="450"/>
      <c r="D288" s="450"/>
      <c r="E288" s="450"/>
      <c r="F288" s="450"/>
      <c r="G288" s="450"/>
      <c r="H288" s="450"/>
      <c r="I288" s="450"/>
      <c r="J288" s="450"/>
      <c r="K288" s="450"/>
      <c r="L288" s="450"/>
      <c r="M288" s="450"/>
      <c r="N288" s="450"/>
      <c r="O288" s="450"/>
      <c r="P288" s="450"/>
      <c r="Q288" s="450"/>
      <c r="R288" s="450"/>
      <c r="S288" s="450"/>
      <c r="T288" s="450"/>
      <c r="U288" s="450"/>
      <c r="V288" s="450"/>
      <c r="W288" s="450"/>
      <c r="X288" s="450"/>
      <c r="Y288" s="450"/>
      <c r="Z288" s="450"/>
      <c r="AA288" s="450"/>
      <c r="AB288" s="450"/>
      <c r="AC288" s="450"/>
      <c r="AD288" s="450"/>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c r="BB288" s="450"/>
      <c r="BC288" s="450"/>
      <c r="BD288" s="450"/>
      <c r="BE288" s="450"/>
      <c r="BF288" s="450"/>
      <c r="BG288" s="450"/>
      <c r="BH288" s="450"/>
      <c r="BI288" s="450"/>
      <c r="BJ288" s="450"/>
      <c r="BK288" s="450"/>
      <c r="BL288" s="450"/>
      <c r="BM288" s="450"/>
    </row>
    <row r="289" spans="1:65" ht="11.15">
      <c r="A289" s="450"/>
      <c r="B289" s="450"/>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c r="AF289" s="450"/>
      <c r="AG289" s="450"/>
      <c r="AH289" s="450"/>
      <c r="AI289" s="450"/>
      <c r="AJ289" s="450"/>
      <c r="AK289" s="450"/>
      <c r="AL289" s="450"/>
      <c r="AM289" s="450"/>
      <c r="AN289" s="450"/>
      <c r="AO289" s="450"/>
      <c r="AP289" s="450"/>
      <c r="AQ289" s="450"/>
      <c r="AR289" s="450"/>
      <c r="AS289" s="450"/>
      <c r="AT289" s="450"/>
      <c r="AU289" s="450"/>
      <c r="AV289" s="450"/>
      <c r="AW289" s="450"/>
      <c r="AX289" s="450"/>
      <c r="AY289" s="450"/>
      <c r="AZ289" s="450"/>
      <c r="BA289" s="450"/>
      <c r="BB289" s="450"/>
      <c r="BC289" s="450"/>
      <c r="BD289" s="450"/>
      <c r="BE289" s="450"/>
      <c r="BF289" s="450"/>
      <c r="BG289" s="450"/>
      <c r="BH289" s="450"/>
      <c r="BI289" s="450"/>
      <c r="BJ289" s="450"/>
      <c r="BK289" s="450"/>
      <c r="BL289" s="450"/>
      <c r="BM289" s="450"/>
    </row>
    <row r="290" spans="1:65" ht="11.15">
      <c r="A290" s="450"/>
      <c r="B290" s="450"/>
      <c r="C290" s="450"/>
      <c r="D290" s="450"/>
      <c r="E290" s="450"/>
      <c r="F290" s="450"/>
      <c r="G290" s="450"/>
      <c r="H290" s="450"/>
      <c r="I290" s="450"/>
      <c r="J290" s="450"/>
      <c r="K290" s="450"/>
      <c r="L290" s="450"/>
      <c r="M290" s="450"/>
      <c r="N290" s="450"/>
      <c r="O290" s="450"/>
      <c r="P290" s="450"/>
      <c r="Q290" s="450"/>
      <c r="R290" s="450"/>
      <c r="S290" s="450"/>
      <c r="T290" s="450"/>
      <c r="U290" s="450"/>
      <c r="V290" s="450"/>
      <c r="W290" s="450"/>
      <c r="X290" s="450"/>
      <c r="Y290" s="450"/>
      <c r="Z290" s="450"/>
      <c r="AA290" s="450"/>
      <c r="AB290" s="450"/>
      <c r="AC290" s="450"/>
      <c r="AD290" s="450"/>
      <c r="AE290" s="450"/>
      <c r="AF290" s="450"/>
      <c r="AG290" s="450"/>
      <c r="AH290" s="450"/>
      <c r="AI290" s="450"/>
      <c r="AJ290" s="450"/>
      <c r="AK290" s="450"/>
      <c r="AL290" s="450"/>
      <c r="AM290" s="450"/>
      <c r="AN290" s="450"/>
      <c r="AO290" s="450"/>
      <c r="AP290" s="450"/>
      <c r="AQ290" s="450"/>
      <c r="AR290" s="450"/>
      <c r="AS290" s="450"/>
      <c r="AT290" s="450"/>
      <c r="AU290" s="450"/>
      <c r="AV290" s="450"/>
      <c r="AW290" s="450"/>
      <c r="AX290" s="450"/>
      <c r="AY290" s="450"/>
      <c r="AZ290" s="450"/>
      <c r="BA290" s="450"/>
      <c r="BB290" s="450"/>
      <c r="BC290" s="450"/>
      <c r="BD290" s="450"/>
      <c r="BE290" s="450"/>
      <c r="BF290" s="450"/>
      <c r="BG290" s="450"/>
      <c r="BH290" s="450"/>
      <c r="BI290" s="450"/>
      <c r="BJ290" s="450"/>
      <c r="BK290" s="450"/>
      <c r="BL290" s="450"/>
      <c r="BM290" s="450"/>
    </row>
    <row r="291" spans="1:65" ht="11.15">
      <c r="A291" s="450"/>
      <c r="B291" s="450"/>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450"/>
      <c r="BF291" s="450"/>
      <c r="BG291" s="450"/>
      <c r="BH291" s="450"/>
      <c r="BI291" s="450"/>
      <c r="BJ291" s="450"/>
      <c r="BK291" s="450"/>
      <c r="BL291" s="450"/>
      <c r="BM291" s="450"/>
    </row>
    <row r="292" spans="1:65" ht="11.15">
      <c r="A292" s="450"/>
      <c r="B292" s="450"/>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c r="AF292" s="450"/>
      <c r="AG292" s="450"/>
      <c r="AH292" s="450"/>
      <c r="AI292" s="450"/>
      <c r="AJ292" s="450"/>
      <c r="AK292" s="450"/>
      <c r="AL292" s="450"/>
      <c r="AM292" s="450"/>
      <c r="AN292" s="450"/>
      <c r="AO292" s="450"/>
      <c r="AP292" s="450"/>
      <c r="AQ292" s="450"/>
      <c r="AR292" s="450"/>
      <c r="AS292" s="450"/>
      <c r="AT292" s="450"/>
      <c r="AU292" s="450"/>
      <c r="AV292" s="450"/>
      <c r="AW292" s="450"/>
      <c r="AX292" s="450"/>
      <c r="AY292" s="450"/>
      <c r="AZ292" s="450"/>
      <c r="BA292" s="450"/>
      <c r="BB292" s="450"/>
      <c r="BC292" s="450"/>
      <c r="BD292" s="450"/>
      <c r="BE292" s="450"/>
      <c r="BF292" s="450"/>
      <c r="BG292" s="450"/>
      <c r="BH292" s="450"/>
      <c r="BI292" s="450"/>
      <c r="BJ292" s="450"/>
      <c r="BK292" s="450"/>
      <c r="BL292" s="450"/>
      <c r="BM292" s="450"/>
    </row>
    <row r="293" spans="1:65" ht="11.15">
      <c r="A293" s="450"/>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c r="AF293" s="450"/>
      <c r="AG293" s="450"/>
      <c r="AH293" s="450"/>
      <c r="AI293" s="450"/>
      <c r="AJ293" s="450"/>
      <c r="AK293" s="450"/>
      <c r="AL293" s="450"/>
      <c r="AM293" s="450"/>
      <c r="AN293" s="450"/>
      <c r="AO293" s="450"/>
      <c r="AP293" s="450"/>
      <c r="AQ293" s="450"/>
      <c r="AR293" s="450"/>
      <c r="AS293" s="450"/>
      <c r="AT293" s="450"/>
      <c r="AU293" s="450"/>
      <c r="AV293" s="450"/>
      <c r="AW293" s="450"/>
      <c r="AX293" s="450"/>
      <c r="AY293" s="450"/>
      <c r="AZ293" s="450"/>
      <c r="BA293" s="450"/>
      <c r="BB293" s="450"/>
      <c r="BC293" s="450"/>
      <c r="BD293" s="450"/>
      <c r="BE293" s="450"/>
      <c r="BF293" s="450"/>
      <c r="BG293" s="450"/>
      <c r="BH293" s="450"/>
      <c r="BI293" s="450"/>
      <c r="BJ293" s="450"/>
      <c r="BK293" s="450"/>
      <c r="BL293" s="450"/>
      <c r="BM293" s="450"/>
    </row>
    <row r="294" spans="1:65" ht="11.15">
      <c r="A294" s="450"/>
      <c r="B294" s="450"/>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450"/>
      <c r="BF294" s="450"/>
      <c r="BG294" s="450"/>
      <c r="BH294" s="450"/>
      <c r="BI294" s="450"/>
      <c r="BJ294" s="450"/>
      <c r="BK294" s="450"/>
      <c r="BL294" s="450"/>
      <c r="BM294" s="450"/>
    </row>
    <row r="295" spans="1:65" ht="11.15">
      <c r="A295" s="450"/>
      <c r="B295" s="450"/>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c r="AF295" s="450"/>
      <c r="AG295" s="450"/>
      <c r="AH295" s="450"/>
      <c r="AI295" s="450"/>
      <c r="AJ295" s="450"/>
      <c r="AK295" s="450"/>
      <c r="AL295" s="450"/>
      <c r="AM295" s="450"/>
      <c r="AN295" s="450"/>
      <c r="AO295" s="450"/>
      <c r="AP295" s="450"/>
      <c r="AQ295" s="450"/>
      <c r="AR295" s="450"/>
      <c r="AS295" s="450"/>
      <c r="AT295" s="450"/>
      <c r="AU295" s="450"/>
      <c r="AV295" s="450"/>
      <c r="AW295" s="450"/>
      <c r="AX295" s="450"/>
      <c r="AY295" s="450"/>
      <c r="AZ295" s="450"/>
      <c r="BA295" s="450"/>
      <c r="BB295" s="450"/>
      <c r="BC295" s="450"/>
      <c r="BD295" s="450"/>
      <c r="BE295" s="450"/>
      <c r="BF295" s="450"/>
      <c r="BG295" s="450"/>
      <c r="BH295" s="450"/>
      <c r="BI295" s="450"/>
      <c r="BJ295" s="450"/>
      <c r="BK295" s="450"/>
      <c r="BL295" s="450"/>
      <c r="BM295" s="450"/>
    </row>
    <row r="296" spans="1:65" ht="11.15">
      <c r="A296" s="450"/>
      <c r="B296" s="450"/>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c r="BB296" s="450"/>
      <c r="BC296" s="450"/>
      <c r="BD296" s="450"/>
      <c r="BE296" s="450"/>
      <c r="BF296" s="450"/>
      <c r="BG296" s="450"/>
      <c r="BH296" s="450"/>
      <c r="BI296" s="450"/>
      <c r="BJ296" s="450"/>
      <c r="BK296" s="450"/>
      <c r="BL296" s="450"/>
      <c r="BM296" s="450"/>
    </row>
    <row r="297" spans="1:65" ht="11.15">
      <c r="A297" s="450"/>
      <c r="B297" s="450"/>
      <c r="C297" s="450"/>
      <c r="D297" s="450"/>
      <c r="E297" s="450"/>
      <c r="F297" s="450"/>
      <c r="G297" s="450"/>
      <c r="H297" s="450"/>
      <c r="I297" s="450"/>
      <c r="J297" s="450"/>
      <c r="K297" s="450"/>
      <c r="L297" s="450"/>
      <c r="M297" s="450"/>
      <c r="N297" s="450"/>
      <c r="O297" s="450"/>
      <c r="P297" s="450"/>
      <c r="Q297" s="450"/>
      <c r="R297" s="450"/>
      <c r="S297" s="450"/>
      <c r="T297" s="450"/>
      <c r="U297" s="450"/>
      <c r="V297" s="450"/>
      <c r="W297" s="450"/>
      <c r="X297" s="450"/>
      <c r="Y297" s="450"/>
      <c r="Z297" s="450"/>
      <c r="AA297" s="450"/>
      <c r="AB297" s="450"/>
      <c r="AC297" s="450"/>
      <c r="AD297" s="450"/>
      <c r="AE297" s="450"/>
      <c r="AF297" s="450"/>
      <c r="AG297" s="450"/>
      <c r="AH297" s="450"/>
      <c r="AI297" s="450"/>
      <c r="AJ297" s="450"/>
      <c r="AK297" s="450"/>
      <c r="AL297" s="450"/>
      <c r="AM297" s="450"/>
      <c r="AN297" s="450"/>
      <c r="AO297" s="450"/>
      <c r="AP297" s="450"/>
      <c r="AQ297" s="450"/>
      <c r="AR297" s="450"/>
      <c r="AS297" s="450"/>
      <c r="AT297" s="450"/>
      <c r="AU297" s="450"/>
      <c r="AV297" s="450"/>
      <c r="AW297" s="450"/>
      <c r="AX297" s="450"/>
      <c r="AY297" s="450"/>
      <c r="AZ297" s="450"/>
      <c r="BA297" s="450"/>
      <c r="BB297" s="450"/>
      <c r="BC297" s="450"/>
      <c r="BD297" s="450"/>
      <c r="BE297" s="450"/>
      <c r="BF297" s="450"/>
      <c r="BG297" s="450"/>
      <c r="BH297" s="450"/>
      <c r="BI297" s="450"/>
      <c r="BJ297" s="450"/>
      <c r="BK297" s="450"/>
      <c r="BL297" s="450"/>
      <c r="BM297" s="450"/>
    </row>
    <row r="298" spans="1:65" ht="11.15">
      <c r="A298" s="450"/>
      <c r="B298" s="450"/>
      <c r="C298" s="450"/>
      <c r="D298" s="450"/>
      <c r="E298" s="450"/>
      <c r="F298" s="450"/>
      <c r="G298" s="450"/>
      <c r="H298" s="450"/>
      <c r="I298" s="450"/>
      <c r="J298" s="450"/>
      <c r="K298" s="450"/>
      <c r="L298" s="450"/>
      <c r="M298" s="450"/>
      <c r="N298" s="450"/>
      <c r="O298" s="450"/>
      <c r="P298" s="450"/>
      <c r="Q298" s="450"/>
      <c r="R298" s="450"/>
      <c r="S298" s="450"/>
      <c r="T298" s="450"/>
      <c r="U298" s="450"/>
      <c r="V298" s="450"/>
      <c r="W298" s="450"/>
      <c r="X298" s="450"/>
      <c r="Y298" s="450"/>
      <c r="Z298" s="450"/>
      <c r="AA298" s="450"/>
      <c r="AB298" s="450"/>
      <c r="AC298" s="450"/>
      <c r="AD298" s="450"/>
      <c r="AE298" s="450"/>
      <c r="AF298" s="450"/>
      <c r="AG298" s="450"/>
      <c r="AH298" s="450"/>
      <c r="AI298" s="450"/>
      <c r="AJ298" s="450"/>
      <c r="AK298" s="450"/>
      <c r="AL298" s="450"/>
      <c r="AM298" s="450"/>
      <c r="AN298" s="450"/>
      <c r="AO298" s="450"/>
      <c r="AP298" s="450"/>
      <c r="AQ298" s="450"/>
      <c r="AR298" s="450"/>
      <c r="AS298" s="450"/>
      <c r="AT298" s="450"/>
      <c r="AU298" s="450"/>
      <c r="AV298" s="450"/>
      <c r="AW298" s="450"/>
      <c r="AX298" s="450"/>
      <c r="AY298" s="450"/>
      <c r="AZ298" s="450"/>
      <c r="BA298" s="450"/>
      <c r="BB298" s="450"/>
      <c r="BC298" s="450"/>
      <c r="BD298" s="450"/>
      <c r="BE298" s="450"/>
      <c r="BF298" s="450"/>
      <c r="BG298" s="450"/>
      <c r="BH298" s="450"/>
      <c r="BI298" s="450"/>
      <c r="BJ298" s="450"/>
      <c r="BK298" s="450"/>
      <c r="BL298" s="450"/>
      <c r="BM298" s="450"/>
    </row>
    <row r="299" spans="1:65" ht="11.15">
      <c r="A299" s="450"/>
      <c r="B299" s="450"/>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c r="AF299" s="450"/>
      <c r="AG299" s="450"/>
      <c r="AH299" s="450"/>
      <c r="AI299" s="450"/>
      <c r="AJ299" s="450"/>
      <c r="AK299" s="450"/>
      <c r="AL299" s="450"/>
      <c r="AM299" s="450"/>
      <c r="AN299" s="450"/>
      <c r="AO299" s="450"/>
      <c r="AP299" s="450"/>
      <c r="AQ299" s="450"/>
      <c r="AR299" s="450"/>
      <c r="AS299" s="450"/>
      <c r="AT299" s="450"/>
      <c r="AU299" s="450"/>
      <c r="AV299" s="450"/>
      <c r="AW299" s="450"/>
      <c r="AX299" s="450"/>
      <c r="AY299" s="450"/>
      <c r="AZ299" s="450"/>
      <c r="BA299" s="450"/>
      <c r="BB299" s="450"/>
      <c r="BC299" s="450"/>
      <c r="BD299" s="450"/>
      <c r="BE299" s="450"/>
      <c r="BF299" s="450"/>
      <c r="BG299" s="450"/>
      <c r="BH299" s="450"/>
      <c r="BI299" s="450"/>
      <c r="BJ299" s="450"/>
      <c r="BK299" s="450"/>
      <c r="BL299" s="450"/>
      <c r="BM299" s="450"/>
    </row>
    <row r="300" spans="1:65" ht="11.15">
      <c r="A300" s="450"/>
      <c r="B300" s="450"/>
      <c r="C300" s="450"/>
      <c r="D300" s="450"/>
      <c r="E300" s="450"/>
      <c r="F300" s="450"/>
      <c r="G300" s="450"/>
      <c r="H300" s="450"/>
      <c r="I300" s="450"/>
      <c r="J300" s="450"/>
      <c r="K300" s="450"/>
      <c r="L300" s="450"/>
      <c r="M300" s="450"/>
      <c r="N300" s="450"/>
      <c r="O300" s="450"/>
      <c r="P300" s="450"/>
      <c r="Q300" s="450"/>
      <c r="R300" s="450"/>
      <c r="S300" s="450"/>
      <c r="T300" s="450"/>
      <c r="U300" s="450"/>
      <c r="V300" s="450"/>
      <c r="W300" s="450"/>
      <c r="X300" s="450"/>
      <c r="Y300" s="450"/>
      <c r="Z300" s="450"/>
      <c r="AA300" s="450"/>
      <c r="AB300" s="450"/>
      <c r="AC300" s="450"/>
      <c r="AD300" s="450"/>
      <c r="AE300" s="450"/>
      <c r="AF300" s="450"/>
      <c r="AG300" s="450"/>
      <c r="AH300" s="450"/>
      <c r="AI300" s="450"/>
      <c r="AJ300" s="450"/>
      <c r="AK300" s="450"/>
      <c r="AL300" s="450"/>
      <c r="AM300" s="450"/>
      <c r="AN300" s="450"/>
      <c r="AO300" s="450"/>
      <c r="AP300" s="450"/>
      <c r="AQ300" s="450"/>
      <c r="AR300" s="450"/>
      <c r="AS300" s="450"/>
      <c r="AT300" s="450"/>
      <c r="AU300" s="450"/>
      <c r="AV300" s="450"/>
      <c r="AW300" s="450"/>
      <c r="AX300" s="450"/>
      <c r="AY300" s="450"/>
      <c r="AZ300" s="450"/>
      <c r="BA300" s="450"/>
      <c r="BB300" s="450"/>
      <c r="BC300" s="450"/>
      <c r="BD300" s="450"/>
      <c r="BE300" s="450"/>
      <c r="BF300" s="450"/>
      <c r="BG300" s="450"/>
      <c r="BH300" s="450"/>
      <c r="BI300" s="450"/>
      <c r="BJ300" s="450"/>
      <c r="BK300" s="450"/>
      <c r="BL300" s="450"/>
      <c r="BM300" s="450"/>
    </row>
    <row r="301" spans="1:65" ht="11.15">
      <c r="A301" s="450"/>
      <c r="B301" s="450"/>
      <c r="C301" s="450"/>
      <c r="D301" s="450"/>
      <c r="E301" s="450"/>
      <c r="F301" s="450"/>
      <c r="G301" s="450"/>
      <c r="H301" s="450"/>
      <c r="I301" s="450"/>
      <c r="J301" s="450"/>
      <c r="K301" s="450"/>
      <c r="L301" s="450"/>
      <c r="M301" s="450"/>
      <c r="N301" s="450"/>
      <c r="O301" s="450"/>
      <c r="P301" s="450"/>
      <c r="Q301" s="450"/>
      <c r="R301" s="450"/>
      <c r="S301" s="450"/>
      <c r="T301" s="450"/>
      <c r="U301" s="450"/>
      <c r="V301" s="450"/>
      <c r="W301" s="450"/>
      <c r="X301" s="450"/>
      <c r="Y301" s="450"/>
      <c r="Z301" s="450"/>
      <c r="AA301" s="450"/>
      <c r="AB301" s="450"/>
      <c r="AC301" s="450"/>
      <c r="AD301" s="450"/>
      <c r="AE301" s="450"/>
      <c r="AF301" s="450"/>
      <c r="AG301" s="450"/>
      <c r="AH301" s="450"/>
      <c r="AI301" s="450"/>
      <c r="AJ301" s="450"/>
      <c r="AK301" s="450"/>
      <c r="AL301" s="450"/>
      <c r="AM301" s="450"/>
      <c r="AN301" s="450"/>
      <c r="AO301" s="450"/>
      <c r="AP301" s="450"/>
      <c r="AQ301" s="450"/>
      <c r="AR301" s="450"/>
      <c r="AS301" s="450"/>
      <c r="AT301" s="450"/>
      <c r="AU301" s="450"/>
      <c r="AV301" s="450"/>
      <c r="AW301" s="450"/>
      <c r="AX301" s="450"/>
      <c r="AY301" s="450"/>
      <c r="AZ301" s="450"/>
      <c r="BA301" s="450"/>
      <c r="BB301" s="450"/>
      <c r="BC301" s="450"/>
      <c r="BD301" s="450"/>
      <c r="BE301" s="450"/>
      <c r="BF301" s="450"/>
      <c r="BG301" s="450"/>
      <c r="BH301" s="450"/>
      <c r="BI301" s="450"/>
      <c r="BJ301" s="450"/>
      <c r="BK301" s="450"/>
      <c r="BL301" s="450"/>
      <c r="BM301" s="450"/>
    </row>
    <row r="302" spans="1:65" ht="11.15">
      <c r="A302" s="450"/>
      <c r="B302" s="450"/>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0"/>
      <c r="Y302" s="450"/>
      <c r="Z302" s="450"/>
      <c r="AA302" s="450"/>
      <c r="AB302" s="450"/>
      <c r="AC302" s="450"/>
      <c r="AD302" s="450"/>
      <c r="AE302" s="450"/>
      <c r="AF302" s="450"/>
      <c r="AG302" s="450"/>
      <c r="AH302" s="450"/>
      <c r="AI302" s="450"/>
      <c r="AJ302" s="450"/>
      <c r="AK302" s="450"/>
      <c r="AL302" s="450"/>
      <c r="AM302" s="450"/>
      <c r="AN302" s="450"/>
      <c r="AO302" s="450"/>
      <c r="AP302" s="450"/>
      <c r="AQ302" s="450"/>
      <c r="AR302" s="450"/>
      <c r="AS302" s="450"/>
      <c r="AT302" s="450"/>
      <c r="AU302" s="450"/>
      <c r="AV302" s="450"/>
      <c r="AW302" s="450"/>
      <c r="AX302" s="450"/>
      <c r="AY302" s="450"/>
      <c r="AZ302" s="450"/>
      <c r="BA302" s="450"/>
      <c r="BB302" s="450"/>
      <c r="BC302" s="450"/>
      <c r="BD302" s="450"/>
      <c r="BE302" s="450"/>
      <c r="BF302" s="450"/>
      <c r="BG302" s="450"/>
      <c r="BH302" s="450"/>
      <c r="BI302" s="450"/>
      <c r="BJ302" s="450"/>
      <c r="BK302" s="450"/>
      <c r="BL302" s="450"/>
      <c r="BM302" s="450"/>
    </row>
    <row r="303" spans="1:65" ht="11.15">
      <c r="A303" s="450"/>
      <c r="B303" s="450"/>
      <c r="C303" s="450"/>
      <c r="D303" s="450"/>
      <c r="E303" s="450"/>
      <c r="F303" s="450"/>
      <c r="G303" s="450"/>
      <c r="H303" s="450"/>
      <c r="I303" s="450"/>
      <c r="J303" s="450"/>
      <c r="K303" s="450"/>
      <c r="L303" s="450"/>
      <c r="M303" s="450"/>
      <c r="N303" s="450"/>
      <c r="O303" s="450"/>
      <c r="P303" s="450"/>
      <c r="Q303" s="450"/>
      <c r="R303" s="450"/>
      <c r="S303" s="450"/>
      <c r="T303" s="450"/>
      <c r="U303" s="450"/>
      <c r="V303" s="450"/>
      <c r="W303" s="450"/>
      <c r="X303" s="450"/>
      <c r="Y303" s="450"/>
      <c r="Z303" s="450"/>
      <c r="AA303" s="450"/>
      <c r="AB303" s="450"/>
      <c r="AC303" s="450"/>
      <c r="AD303" s="450"/>
      <c r="AE303" s="450"/>
      <c r="AF303" s="450"/>
      <c r="AG303" s="450"/>
      <c r="AH303" s="450"/>
      <c r="AI303" s="450"/>
      <c r="AJ303" s="450"/>
      <c r="AK303" s="450"/>
      <c r="AL303" s="450"/>
      <c r="AM303" s="450"/>
      <c r="AN303" s="450"/>
      <c r="AO303" s="450"/>
      <c r="AP303" s="450"/>
      <c r="AQ303" s="450"/>
      <c r="AR303" s="450"/>
      <c r="AS303" s="450"/>
      <c r="AT303" s="450"/>
      <c r="AU303" s="450"/>
      <c r="AV303" s="450"/>
      <c r="AW303" s="450"/>
      <c r="AX303" s="450"/>
      <c r="AY303" s="450"/>
      <c r="AZ303" s="450"/>
      <c r="BA303" s="450"/>
      <c r="BB303" s="450"/>
      <c r="BC303" s="450"/>
      <c r="BD303" s="450"/>
      <c r="BE303" s="450"/>
      <c r="BF303" s="450"/>
      <c r="BG303" s="450"/>
      <c r="BH303" s="450"/>
      <c r="BI303" s="450"/>
      <c r="BJ303" s="450"/>
      <c r="BK303" s="450"/>
      <c r="BL303" s="450"/>
      <c r="BM303" s="450"/>
    </row>
    <row r="304" spans="1:65" ht="11.15">
      <c r="A304" s="450"/>
      <c r="B304" s="450"/>
      <c r="C304" s="450"/>
      <c r="D304" s="450"/>
      <c r="E304" s="450"/>
      <c r="F304" s="450"/>
      <c r="G304" s="450"/>
      <c r="H304" s="450"/>
      <c r="I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0"/>
      <c r="AJ304" s="450"/>
      <c r="AK304" s="450"/>
      <c r="AL304" s="450"/>
      <c r="AM304" s="450"/>
      <c r="AN304" s="450"/>
      <c r="AO304" s="450"/>
      <c r="AP304" s="450"/>
      <c r="AQ304" s="450"/>
      <c r="AR304" s="450"/>
      <c r="AS304" s="450"/>
      <c r="AT304" s="450"/>
      <c r="AU304" s="450"/>
      <c r="AV304" s="450"/>
      <c r="AW304" s="450"/>
      <c r="AX304" s="450"/>
      <c r="AY304" s="450"/>
      <c r="AZ304" s="450"/>
      <c r="BA304" s="450"/>
      <c r="BB304" s="450"/>
      <c r="BC304" s="450"/>
      <c r="BD304" s="450"/>
      <c r="BE304" s="450"/>
      <c r="BF304" s="450"/>
      <c r="BG304" s="450"/>
      <c r="BH304" s="450"/>
      <c r="BI304" s="450"/>
      <c r="BJ304" s="450"/>
      <c r="BK304" s="450"/>
      <c r="BL304" s="450"/>
      <c r="BM304" s="450"/>
    </row>
    <row r="305" spans="1:65" ht="11.15">
      <c r="A305" s="450"/>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0"/>
      <c r="BC305" s="450"/>
      <c r="BD305" s="450"/>
      <c r="BE305" s="450"/>
      <c r="BF305" s="450"/>
      <c r="BG305" s="450"/>
      <c r="BH305" s="450"/>
      <c r="BI305" s="450"/>
      <c r="BJ305" s="450"/>
      <c r="BK305" s="450"/>
      <c r="BL305" s="450"/>
      <c r="BM305" s="450"/>
    </row>
    <row r="306" spans="1:65" ht="11.15">
      <c r="A306" s="450"/>
      <c r="B306" s="450"/>
      <c r="C306" s="450"/>
      <c r="D306" s="450"/>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0"/>
      <c r="BC306" s="450"/>
      <c r="BD306" s="450"/>
      <c r="BE306" s="450"/>
      <c r="BF306" s="450"/>
      <c r="BG306" s="450"/>
      <c r="BH306" s="450"/>
      <c r="BI306" s="450"/>
      <c r="BJ306" s="450"/>
      <c r="BK306" s="450"/>
      <c r="BL306" s="450"/>
      <c r="BM306" s="450"/>
    </row>
    <row r="307" spans="1:65" ht="11.15">
      <c r="A307" s="450"/>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50"/>
      <c r="AK307" s="450"/>
      <c r="AL307" s="450"/>
      <c r="AM307" s="450"/>
      <c r="AN307" s="450"/>
      <c r="AO307" s="450"/>
      <c r="AP307" s="450"/>
      <c r="AQ307" s="450"/>
      <c r="AR307" s="450"/>
      <c r="AS307" s="450"/>
      <c r="AT307" s="450"/>
      <c r="AU307" s="450"/>
      <c r="AV307" s="450"/>
      <c r="AW307" s="450"/>
      <c r="AX307" s="450"/>
      <c r="AY307" s="450"/>
      <c r="AZ307" s="450"/>
      <c r="BA307" s="450"/>
      <c r="BB307" s="450"/>
      <c r="BC307" s="450"/>
      <c r="BD307" s="450"/>
      <c r="BE307" s="450"/>
      <c r="BF307" s="450"/>
      <c r="BG307" s="450"/>
      <c r="BH307" s="450"/>
      <c r="BI307" s="450"/>
      <c r="BJ307" s="450"/>
      <c r="BK307" s="450"/>
      <c r="BL307" s="450"/>
      <c r="BM307" s="450"/>
    </row>
    <row r="308" spans="1:65" ht="11.15">
      <c r="A308" s="450"/>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50"/>
      <c r="AK308" s="450"/>
      <c r="AL308" s="450"/>
      <c r="AM308" s="450"/>
      <c r="AN308" s="450"/>
      <c r="AO308" s="450"/>
      <c r="AP308" s="450"/>
      <c r="AQ308" s="450"/>
      <c r="AR308" s="450"/>
      <c r="AS308" s="450"/>
      <c r="AT308" s="450"/>
      <c r="AU308" s="450"/>
      <c r="AV308" s="450"/>
      <c r="AW308" s="450"/>
      <c r="AX308" s="450"/>
      <c r="AY308" s="450"/>
      <c r="AZ308" s="450"/>
      <c r="BA308" s="450"/>
      <c r="BB308" s="450"/>
      <c r="BC308" s="450"/>
      <c r="BD308" s="450"/>
      <c r="BE308" s="450"/>
      <c r="BF308" s="450"/>
      <c r="BG308" s="450"/>
      <c r="BH308" s="450"/>
      <c r="BI308" s="450"/>
      <c r="BJ308" s="450"/>
      <c r="BK308" s="450"/>
      <c r="BL308" s="450"/>
      <c r="BM308" s="450"/>
    </row>
    <row r="309" spans="1:65" ht="11.15">
      <c r="A309" s="450"/>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50"/>
      <c r="AK309" s="450"/>
      <c r="AL309" s="450"/>
      <c r="AM309" s="450"/>
      <c r="AN309" s="450"/>
      <c r="AO309" s="450"/>
      <c r="AP309" s="450"/>
      <c r="AQ309" s="450"/>
      <c r="AR309" s="450"/>
      <c r="AS309" s="450"/>
      <c r="AT309" s="450"/>
      <c r="AU309" s="450"/>
      <c r="AV309" s="450"/>
      <c r="AW309" s="450"/>
      <c r="AX309" s="450"/>
      <c r="AY309" s="450"/>
      <c r="AZ309" s="450"/>
      <c r="BA309" s="450"/>
      <c r="BB309" s="450"/>
      <c r="BC309" s="450"/>
      <c r="BD309" s="450"/>
      <c r="BE309" s="450"/>
      <c r="BF309" s="450"/>
      <c r="BG309" s="450"/>
      <c r="BH309" s="450"/>
      <c r="BI309" s="450"/>
      <c r="BJ309" s="450"/>
      <c r="BK309" s="450"/>
      <c r="BL309" s="450"/>
      <c r="BM309" s="450"/>
    </row>
    <row r="310" spans="1:65" ht="11.15">
      <c r="A310" s="450"/>
      <c r="B310" s="450"/>
      <c r="C310" s="450"/>
      <c r="D310" s="450"/>
      <c r="E310" s="450"/>
      <c r="F310" s="450"/>
      <c r="G310" s="450"/>
      <c r="H310" s="450"/>
      <c r="I310" s="450"/>
      <c r="J310" s="450"/>
      <c r="K310" s="450"/>
      <c r="L310" s="450"/>
      <c r="M310" s="450"/>
      <c r="N310" s="450"/>
      <c r="O310" s="450"/>
      <c r="P310" s="450"/>
      <c r="Q310" s="450"/>
      <c r="R310" s="450"/>
      <c r="S310" s="450"/>
      <c r="T310" s="450"/>
      <c r="U310" s="450"/>
      <c r="V310" s="450"/>
      <c r="W310" s="450"/>
      <c r="X310" s="450"/>
      <c r="Y310" s="450"/>
      <c r="Z310" s="450"/>
      <c r="AA310" s="450"/>
      <c r="AB310" s="450"/>
      <c r="AC310" s="450"/>
      <c r="AD310" s="450"/>
      <c r="AE310" s="450"/>
      <c r="AF310" s="450"/>
      <c r="AG310" s="450"/>
      <c r="AH310" s="450"/>
      <c r="AI310" s="450"/>
      <c r="AJ310" s="450"/>
      <c r="AK310" s="450"/>
      <c r="AL310" s="450"/>
      <c r="AM310" s="450"/>
      <c r="AN310" s="450"/>
      <c r="AO310" s="450"/>
      <c r="AP310" s="450"/>
      <c r="AQ310" s="450"/>
      <c r="AR310" s="450"/>
      <c r="AS310" s="450"/>
      <c r="AT310" s="450"/>
      <c r="AU310" s="450"/>
      <c r="AV310" s="450"/>
      <c r="AW310" s="450"/>
      <c r="AX310" s="450"/>
      <c r="AY310" s="450"/>
      <c r="AZ310" s="450"/>
      <c r="BA310" s="450"/>
      <c r="BB310" s="450"/>
      <c r="BC310" s="450"/>
      <c r="BD310" s="450"/>
      <c r="BE310" s="450"/>
      <c r="BF310" s="450"/>
      <c r="BG310" s="450"/>
      <c r="BH310" s="450"/>
      <c r="BI310" s="450"/>
      <c r="BJ310" s="450"/>
      <c r="BK310" s="450"/>
      <c r="BL310" s="450"/>
      <c r="BM310" s="450"/>
    </row>
    <row r="311" spans="1:65" ht="11.15">
      <c r="A311" s="450"/>
      <c r="B311" s="450"/>
      <c r="C311" s="450"/>
      <c r="D311" s="450"/>
      <c r="E311" s="450"/>
      <c r="F311" s="450"/>
      <c r="G311" s="450"/>
      <c r="H311" s="450"/>
      <c r="I311" s="450"/>
      <c r="J311" s="450"/>
      <c r="K311" s="450"/>
      <c r="L311" s="450"/>
      <c r="M311" s="450"/>
      <c r="N311" s="450"/>
      <c r="O311" s="450"/>
      <c r="P311" s="450"/>
      <c r="Q311" s="450"/>
      <c r="R311" s="450"/>
      <c r="S311" s="450"/>
      <c r="T311" s="450"/>
      <c r="U311" s="450"/>
      <c r="V311" s="450"/>
      <c r="W311" s="450"/>
      <c r="X311" s="450"/>
      <c r="Y311" s="450"/>
      <c r="Z311" s="450"/>
      <c r="AA311" s="450"/>
      <c r="AB311" s="450"/>
      <c r="AC311" s="450"/>
      <c r="AD311" s="450"/>
      <c r="AE311" s="450"/>
      <c r="AF311" s="450"/>
      <c r="AG311" s="450"/>
      <c r="AH311" s="450"/>
      <c r="AI311" s="450"/>
      <c r="AJ311" s="450"/>
      <c r="AK311" s="450"/>
      <c r="AL311" s="450"/>
      <c r="AM311" s="450"/>
      <c r="AN311" s="450"/>
      <c r="AO311" s="450"/>
      <c r="AP311" s="450"/>
      <c r="AQ311" s="450"/>
      <c r="AR311" s="450"/>
      <c r="AS311" s="450"/>
      <c r="AT311" s="450"/>
      <c r="AU311" s="450"/>
      <c r="AV311" s="450"/>
      <c r="AW311" s="450"/>
      <c r="AX311" s="450"/>
      <c r="AY311" s="450"/>
      <c r="AZ311" s="450"/>
      <c r="BA311" s="450"/>
      <c r="BB311" s="450"/>
      <c r="BC311" s="450"/>
      <c r="BD311" s="450"/>
      <c r="BE311" s="450"/>
      <c r="BF311" s="450"/>
      <c r="BG311" s="450"/>
      <c r="BH311" s="450"/>
      <c r="BI311" s="450"/>
      <c r="BJ311" s="450"/>
      <c r="BK311" s="450"/>
      <c r="BL311" s="450"/>
      <c r="BM311" s="450"/>
    </row>
    <row r="312" spans="1:65" ht="11.15">
      <c r="A312" s="450"/>
      <c r="B312" s="450"/>
      <c r="C312" s="450"/>
      <c r="D312" s="450"/>
      <c r="E312" s="450"/>
      <c r="F312" s="450"/>
      <c r="G312" s="450"/>
      <c r="H312" s="450"/>
      <c r="I312" s="450"/>
      <c r="J312" s="450"/>
      <c r="K312" s="450"/>
      <c r="L312" s="450"/>
      <c r="M312" s="450"/>
      <c r="N312" s="450"/>
      <c r="O312" s="450"/>
      <c r="P312" s="450"/>
      <c r="Q312" s="450"/>
      <c r="R312" s="450"/>
      <c r="S312" s="450"/>
      <c r="T312" s="450"/>
      <c r="U312" s="450"/>
      <c r="V312" s="450"/>
      <c r="W312" s="450"/>
      <c r="X312" s="450"/>
      <c r="Y312" s="450"/>
      <c r="Z312" s="450"/>
      <c r="AA312" s="450"/>
      <c r="AB312" s="450"/>
      <c r="AC312" s="450"/>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c r="BB312" s="450"/>
      <c r="BC312" s="450"/>
      <c r="BD312" s="450"/>
      <c r="BE312" s="450"/>
      <c r="BF312" s="450"/>
      <c r="BG312" s="450"/>
      <c r="BH312" s="450"/>
      <c r="BI312" s="450"/>
      <c r="BJ312" s="450"/>
      <c r="BK312" s="450"/>
      <c r="BL312" s="450"/>
      <c r="BM312" s="450"/>
    </row>
    <row r="313" spans="1:65" ht="11.15">
      <c r="A313" s="450"/>
      <c r="B313" s="450"/>
      <c r="C313" s="450"/>
      <c r="D313" s="450"/>
      <c r="E313" s="450"/>
      <c r="F313" s="450"/>
      <c r="G313" s="450"/>
      <c r="H313" s="450"/>
      <c r="I313" s="450"/>
      <c r="J313" s="450"/>
      <c r="K313" s="450"/>
      <c r="L313" s="450"/>
      <c r="M313" s="450"/>
      <c r="N313" s="450"/>
      <c r="O313" s="450"/>
      <c r="P313" s="450"/>
      <c r="Q313" s="450"/>
      <c r="R313" s="450"/>
      <c r="S313" s="450"/>
      <c r="T313" s="450"/>
      <c r="U313" s="450"/>
      <c r="V313" s="450"/>
      <c r="W313" s="450"/>
      <c r="X313" s="450"/>
      <c r="Y313" s="450"/>
      <c r="Z313" s="450"/>
      <c r="AA313" s="450"/>
      <c r="AB313" s="450"/>
      <c r="AC313" s="450"/>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c r="BB313" s="450"/>
      <c r="BC313" s="450"/>
      <c r="BD313" s="450"/>
      <c r="BE313" s="450"/>
      <c r="BF313" s="450"/>
      <c r="BG313" s="450"/>
      <c r="BH313" s="450"/>
      <c r="BI313" s="450"/>
      <c r="BJ313" s="450"/>
      <c r="BK313" s="450"/>
      <c r="BL313" s="450"/>
      <c r="BM313" s="450"/>
    </row>
    <row r="314" spans="1:65" ht="11.15">
      <c r="A314" s="450"/>
      <c r="B314" s="450"/>
      <c r="C314" s="450"/>
      <c r="D314" s="450"/>
      <c r="E314" s="450"/>
      <c r="F314" s="450"/>
      <c r="G314" s="450"/>
      <c r="H314" s="450"/>
      <c r="I314" s="450"/>
      <c r="J314" s="450"/>
      <c r="K314" s="450"/>
      <c r="L314" s="450"/>
      <c r="M314" s="450"/>
      <c r="N314" s="450"/>
      <c r="O314" s="450"/>
      <c r="P314" s="450"/>
      <c r="Q314" s="450"/>
      <c r="R314" s="450"/>
      <c r="S314" s="450"/>
      <c r="T314" s="450"/>
      <c r="U314" s="450"/>
      <c r="V314" s="450"/>
      <c r="W314" s="450"/>
      <c r="X314" s="450"/>
      <c r="Y314" s="450"/>
      <c r="Z314" s="450"/>
      <c r="AA314" s="450"/>
      <c r="AB314" s="450"/>
      <c r="AC314" s="450"/>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c r="BB314" s="450"/>
      <c r="BC314" s="450"/>
      <c r="BD314" s="450"/>
      <c r="BE314" s="450"/>
      <c r="BF314" s="450"/>
      <c r="BG314" s="450"/>
      <c r="BH314" s="450"/>
      <c r="BI314" s="450"/>
      <c r="BJ314" s="450"/>
      <c r="BK314" s="450"/>
      <c r="BL314" s="450"/>
      <c r="BM314" s="450"/>
    </row>
    <row r="315" spans="1:65" ht="11.15">
      <c r="A315" s="450"/>
      <c r="B315" s="450"/>
      <c r="C315" s="450"/>
      <c r="D315" s="450"/>
      <c r="E315" s="450"/>
      <c r="F315" s="450"/>
      <c r="G315" s="450"/>
      <c r="H315" s="450"/>
      <c r="I315" s="450"/>
      <c r="J315" s="450"/>
      <c r="K315" s="450"/>
      <c r="L315" s="450"/>
      <c r="M315" s="450"/>
      <c r="N315" s="450"/>
      <c r="O315" s="450"/>
      <c r="P315" s="450"/>
      <c r="Q315" s="450"/>
      <c r="R315" s="450"/>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c r="BF315" s="450"/>
      <c r="BG315" s="450"/>
      <c r="BH315" s="450"/>
      <c r="BI315" s="450"/>
      <c r="BJ315" s="450"/>
      <c r="BK315" s="450"/>
      <c r="BL315" s="450"/>
      <c r="BM315" s="450"/>
    </row>
    <row r="316" spans="1:65" ht="11.15">
      <c r="A316" s="450"/>
      <c r="B316" s="450"/>
      <c r="C316" s="450"/>
      <c r="D316" s="450"/>
      <c r="E316" s="450"/>
      <c r="F316" s="450"/>
      <c r="G316" s="450"/>
      <c r="H316" s="450"/>
      <c r="I316" s="450"/>
      <c r="J316" s="450"/>
      <c r="K316" s="450"/>
      <c r="L316" s="450"/>
      <c r="M316" s="450"/>
      <c r="N316" s="450"/>
      <c r="O316" s="450"/>
      <c r="P316" s="450"/>
      <c r="Q316" s="450"/>
      <c r="R316" s="450"/>
      <c r="S316" s="450"/>
      <c r="T316" s="450"/>
      <c r="U316" s="450"/>
      <c r="V316" s="450"/>
      <c r="W316" s="450"/>
      <c r="X316" s="450"/>
      <c r="Y316" s="450"/>
      <c r="Z316" s="450"/>
      <c r="AA316" s="450"/>
      <c r="AB316" s="450"/>
      <c r="AC316" s="450"/>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c r="BB316" s="450"/>
      <c r="BC316" s="450"/>
      <c r="BD316" s="450"/>
      <c r="BE316" s="450"/>
      <c r="BF316" s="450"/>
      <c r="BG316" s="450"/>
      <c r="BH316" s="450"/>
      <c r="BI316" s="450"/>
      <c r="BJ316" s="450"/>
      <c r="BK316" s="450"/>
      <c r="BL316" s="450"/>
      <c r="BM316" s="450"/>
    </row>
    <row r="317" spans="1:65" ht="11.15">
      <c r="A317" s="450"/>
      <c r="B317" s="450"/>
      <c r="C317" s="450"/>
      <c r="D317" s="450"/>
      <c r="E317" s="450"/>
      <c r="F317" s="450"/>
      <c r="G317" s="450"/>
      <c r="H317" s="450"/>
      <c r="I317" s="450"/>
      <c r="J317" s="450"/>
      <c r="K317" s="450"/>
      <c r="L317" s="450"/>
      <c r="M317" s="450"/>
      <c r="N317" s="450"/>
      <c r="O317" s="450"/>
      <c r="P317" s="450"/>
      <c r="Q317" s="450"/>
      <c r="R317" s="450"/>
      <c r="S317" s="450"/>
      <c r="T317" s="450"/>
      <c r="U317" s="450"/>
      <c r="V317" s="450"/>
      <c r="W317" s="450"/>
      <c r="X317" s="450"/>
      <c r="Y317" s="450"/>
      <c r="Z317" s="450"/>
      <c r="AA317" s="450"/>
      <c r="AB317" s="450"/>
      <c r="AC317" s="450"/>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c r="BB317" s="450"/>
      <c r="BC317" s="450"/>
      <c r="BD317" s="450"/>
      <c r="BE317" s="450"/>
      <c r="BF317" s="450"/>
      <c r="BG317" s="450"/>
      <c r="BH317" s="450"/>
      <c r="BI317" s="450"/>
      <c r="BJ317" s="450"/>
      <c r="BK317" s="450"/>
      <c r="BL317" s="450"/>
      <c r="BM317" s="450"/>
    </row>
    <row r="318" spans="1:65" ht="11.15">
      <c r="A318" s="450"/>
      <c r="B318" s="450"/>
      <c r="C318" s="450"/>
      <c r="D318" s="450"/>
      <c r="E318" s="450"/>
      <c r="F318" s="450"/>
      <c r="G318" s="450"/>
      <c r="H318" s="450"/>
      <c r="I318" s="450"/>
      <c r="J318" s="450"/>
      <c r="K318" s="450"/>
      <c r="L318" s="450"/>
      <c r="M318" s="450"/>
      <c r="N318" s="450"/>
      <c r="O318" s="450"/>
      <c r="P318" s="450"/>
      <c r="Q318" s="450"/>
      <c r="R318" s="450"/>
      <c r="S318" s="450"/>
      <c r="T318" s="450"/>
      <c r="U318" s="450"/>
      <c r="V318" s="450"/>
      <c r="W318" s="450"/>
      <c r="X318" s="450"/>
      <c r="Y318" s="450"/>
      <c r="Z318" s="450"/>
      <c r="AA318" s="450"/>
      <c r="AB318" s="450"/>
      <c r="AC318" s="450"/>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c r="BB318" s="450"/>
      <c r="BC318" s="450"/>
      <c r="BD318" s="450"/>
      <c r="BE318" s="450"/>
      <c r="BF318" s="450"/>
      <c r="BG318" s="450"/>
      <c r="BH318" s="450"/>
      <c r="BI318" s="450"/>
      <c r="BJ318" s="450"/>
      <c r="BK318" s="450"/>
      <c r="BL318" s="450"/>
      <c r="BM318" s="450"/>
    </row>
    <row r="319" spans="1:65" ht="11.15">
      <c r="A319" s="450"/>
      <c r="B319" s="450"/>
      <c r="C319" s="450"/>
      <c r="D319" s="450"/>
      <c r="E319" s="450"/>
      <c r="F319" s="450"/>
      <c r="G319" s="450"/>
      <c r="H319" s="450"/>
      <c r="I319" s="450"/>
      <c r="J319" s="450"/>
      <c r="K319" s="450"/>
      <c r="L319" s="450"/>
      <c r="M319" s="450"/>
      <c r="N319" s="450"/>
      <c r="O319" s="450"/>
      <c r="P319" s="450"/>
      <c r="Q319" s="450"/>
      <c r="R319" s="450"/>
      <c r="S319" s="450"/>
      <c r="T319" s="450"/>
      <c r="U319" s="450"/>
      <c r="V319" s="450"/>
      <c r="W319" s="450"/>
      <c r="X319" s="450"/>
      <c r="Y319" s="450"/>
      <c r="Z319" s="450"/>
      <c r="AA319" s="450"/>
      <c r="AB319" s="450"/>
      <c r="AC319" s="450"/>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c r="BB319" s="450"/>
      <c r="BC319" s="450"/>
      <c r="BD319" s="450"/>
      <c r="BE319" s="450"/>
      <c r="BF319" s="450"/>
      <c r="BG319" s="450"/>
      <c r="BH319" s="450"/>
      <c r="BI319" s="450"/>
      <c r="BJ319" s="450"/>
      <c r="BK319" s="450"/>
      <c r="BL319" s="450"/>
      <c r="BM319" s="450"/>
    </row>
    <row r="320" spans="1:65" ht="11.15">
      <c r="A320" s="450"/>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c r="BB320" s="450"/>
      <c r="BC320" s="450"/>
      <c r="BD320" s="450"/>
      <c r="BE320" s="450"/>
      <c r="BF320" s="450"/>
      <c r="BG320" s="450"/>
      <c r="BH320" s="450"/>
      <c r="BI320" s="450"/>
      <c r="BJ320" s="450"/>
      <c r="BK320" s="450"/>
      <c r="BL320" s="450"/>
      <c r="BM320" s="450"/>
    </row>
    <row r="321" spans="1:65" ht="11.15">
      <c r="A321" s="450"/>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c r="BB321" s="450"/>
      <c r="BC321" s="450"/>
      <c r="BD321" s="450"/>
      <c r="BE321" s="450"/>
      <c r="BF321" s="450"/>
      <c r="BG321" s="450"/>
      <c r="BH321" s="450"/>
      <c r="BI321" s="450"/>
      <c r="BJ321" s="450"/>
      <c r="BK321" s="450"/>
      <c r="BL321" s="450"/>
      <c r="BM321" s="450"/>
    </row>
    <row r="322" spans="1:65" ht="11.15">
      <c r="A322" s="450"/>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c r="BB322" s="450"/>
      <c r="BC322" s="450"/>
      <c r="BD322" s="450"/>
      <c r="BE322" s="450"/>
      <c r="BF322" s="450"/>
      <c r="BG322" s="450"/>
      <c r="BH322" s="450"/>
      <c r="BI322" s="450"/>
      <c r="BJ322" s="450"/>
      <c r="BK322" s="450"/>
      <c r="BL322" s="450"/>
      <c r="BM322" s="450"/>
    </row>
    <row r="323" spans="1:65" ht="11.15">
      <c r="A323" s="450"/>
      <c r="B323" s="450"/>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c r="BB323" s="450"/>
      <c r="BC323" s="450"/>
      <c r="BD323" s="450"/>
      <c r="BE323" s="450"/>
      <c r="BF323" s="450"/>
      <c r="BG323" s="450"/>
      <c r="BH323" s="450"/>
      <c r="BI323" s="450"/>
      <c r="BJ323" s="450"/>
      <c r="BK323" s="450"/>
      <c r="BL323" s="450"/>
      <c r="BM323" s="450"/>
    </row>
    <row r="324" spans="1:65" ht="11.15">
      <c r="A324" s="450"/>
      <c r="B324" s="450"/>
      <c r="C324" s="450"/>
      <c r="D324" s="450"/>
      <c r="E324" s="450"/>
      <c r="F324" s="450"/>
      <c r="G324" s="450"/>
      <c r="H324" s="450"/>
      <c r="I324" s="450"/>
      <c r="J324" s="450"/>
      <c r="K324" s="450"/>
      <c r="L324" s="450"/>
      <c r="M324" s="450"/>
      <c r="N324" s="450"/>
      <c r="O324" s="450"/>
      <c r="P324" s="450"/>
      <c r="Q324" s="450"/>
      <c r="R324" s="450"/>
      <c r="S324" s="450"/>
      <c r="T324" s="450"/>
      <c r="U324" s="450"/>
      <c r="V324" s="450"/>
      <c r="W324" s="450"/>
      <c r="X324" s="450"/>
      <c r="Y324" s="450"/>
      <c r="Z324" s="450"/>
      <c r="AA324" s="450"/>
      <c r="AB324" s="450"/>
      <c r="AC324" s="450"/>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c r="BB324" s="450"/>
      <c r="BC324" s="450"/>
      <c r="BD324" s="450"/>
      <c r="BE324" s="450"/>
      <c r="BF324" s="450"/>
      <c r="BG324" s="450"/>
      <c r="BH324" s="450"/>
      <c r="BI324" s="450"/>
      <c r="BJ324" s="450"/>
      <c r="BK324" s="450"/>
      <c r="BL324" s="450"/>
      <c r="BM324" s="450"/>
    </row>
    <row r="325" spans="1:65" ht="11.15">
      <c r="A325" s="450"/>
      <c r="B325" s="450"/>
      <c r="C325" s="450"/>
      <c r="D325" s="450"/>
      <c r="E325" s="450"/>
      <c r="F325" s="450"/>
      <c r="G325" s="450"/>
      <c r="H325" s="450"/>
      <c r="I325" s="450"/>
      <c r="J325" s="450"/>
      <c r="K325" s="450"/>
      <c r="L325" s="450"/>
      <c r="M325" s="450"/>
      <c r="N325" s="450"/>
      <c r="O325" s="450"/>
      <c r="P325" s="450"/>
      <c r="Q325" s="450"/>
      <c r="R325" s="450"/>
      <c r="S325" s="450"/>
      <c r="T325" s="450"/>
      <c r="U325" s="450"/>
      <c r="V325" s="450"/>
      <c r="W325" s="450"/>
      <c r="X325" s="450"/>
      <c r="Y325" s="450"/>
      <c r="Z325" s="450"/>
      <c r="AA325" s="450"/>
      <c r="AB325" s="450"/>
      <c r="AC325" s="450"/>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c r="BB325" s="450"/>
      <c r="BC325" s="450"/>
      <c r="BD325" s="450"/>
      <c r="BE325" s="450"/>
      <c r="BF325" s="450"/>
      <c r="BG325" s="450"/>
      <c r="BH325" s="450"/>
      <c r="BI325" s="450"/>
      <c r="BJ325" s="450"/>
      <c r="BK325" s="450"/>
      <c r="BL325" s="450"/>
      <c r="BM325" s="450"/>
    </row>
    <row r="326" spans="1:65" ht="11.15">
      <c r="A326" s="450"/>
      <c r="B326" s="450"/>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c r="BB326" s="450"/>
      <c r="BC326" s="450"/>
      <c r="BD326" s="450"/>
      <c r="BE326" s="450"/>
      <c r="BF326" s="450"/>
      <c r="BG326" s="450"/>
      <c r="BH326" s="450"/>
      <c r="BI326" s="450"/>
      <c r="BJ326" s="450"/>
      <c r="BK326" s="450"/>
      <c r="BL326" s="450"/>
      <c r="BM326" s="450"/>
    </row>
    <row r="327" spans="1:65" ht="11.15">
      <c r="A327" s="450"/>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s="450"/>
      <c r="AG327" s="450"/>
      <c r="AH327" s="450"/>
      <c r="AI327" s="450"/>
      <c r="AJ327" s="450"/>
      <c r="AK327" s="450"/>
      <c r="AL327" s="450"/>
      <c r="AM327" s="450"/>
      <c r="AN327" s="450"/>
      <c r="AO327" s="450"/>
      <c r="AP327" s="450"/>
      <c r="AQ327" s="450"/>
      <c r="AR327" s="450"/>
      <c r="AS327" s="450"/>
      <c r="AT327" s="450"/>
      <c r="AU327" s="450"/>
      <c r="AV327" s="450"/>
      <c r="AW327" s="450"/>
      <c r="AX327" s="450"/>
      <c r="AY327" s="450"/>
      <c r="AZ327" s="450"/>
      <c r="BA327" s="450"/>
      <c r="BB327" s="450"/>
      <c r="BC327" s="450"/>
      <c r="BD327" s="450"/>
      <c r="BE327" s="450"/>
      <c r="BF327" s="450"/>
      <c r="BG327" s="450"/>
      <c r="BH327" s="450"/>
      <c r="BI327" s="450"/>
      <c r="BJ327" s="450"/>
      <c r="BK327" s="450"/>
      <c r="BL327" s="450"/>
      <c r="BM327" s="450"/>
    </row>
    <row r="328" spans="1:65" ht="11.15">
      <c r="A328" s="450"/>
      <c r="B328" s="450"/>
      <c r="C328" s="450"/>
      <c r="D328" s="450"/>
      <c r="E328" s="450"/>
      <c r="F328" s="450"/>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450"/>
      <c r="AE328" s="450"/>
      <c r="AF328" s="450"/>
      <c r="AG328" s="450"/>
      <c r="AH328" s="450"/>
      <c r="AI328" s="450"/>
      <c r="AJ328" s="450"/>
      <c r="AK328" s="450"/>
      <c r="AL328" s="450"/>
      <c r="AM328" s="450"/>
      <c r="AN328" s="450"/>
      <c r="AO328" s="450"/>
      <c r="AP328" s="450"/>
      <c r="AQ328" s="450"/>
      <c r="AR328" s="450"/>
      <c r="AS328" s="450"/>
      <c r="AT328" s="450"/>
      <c r="AU328" s="450"/>
      <c r="AV328" s="450"/>
      <c r="AW328" s="450"/>
      <c r="AX328" s="450"/>
      <c r="AY328" s="450"/>
      <c r="AZ328" s="450"/>
      <c r="BA328" s="450"/>
      <c r="BB328" s="450"/>
      <c r="BC328" s="450"/>
      <c r="BD328" s="450"/>
      <c r="BE328" s="450"/>
      <c r="BF328" s="450"/>
      <c r="BG328" s="450"/>
      <c r="BH328" s="450"/>
      <c r="BI328" s="450"/>
      <c r="BJ328" s="450"/>
      <c r="BK328" s="450"/>
      <c r="BL328" s="450"/>
      <c r="BM328" s="450"/>
    </row>
    <row r="329" spans="1:65" ht="11.15">
      <c r="A329" s="450"/>
      <c r="B329" s="450"/>
      <c r="C329" s="450"/>
      <c r="D329" s="450"/>
      <c r="E329" s="450"/>
      <c r="F329" s="450"/>
      <c r="G329" s="450"/>
      <c r="H329" s="450"/>
      <c r="I329" s="450"/>
      <c r="J329" s="450"/>
      <c r="K329" s="450"/>
      <c r="L329" s="450"/>
      <c r="M329" s="450"/>
      <c r="N329" s="450"/>
      <c r="O329" s="450"/>
      <c r="P329" s="450"/>
      <c r="Q329" s="450"/>
      <c r="R329" s="450"/>
      <c r="S329" s="450"/>
      <c r="T329" s="450"/>
      <c r="U329" s="450"/>
      <c r="V329" s="450"/>
      <c r="W329" s="450"/>
      <c r="X329" s="450"/>
      <c r="Y329" s="450"/>
      <c r="Z329" s="450"/>
      <c r="AA329" s="450"/>
      <c r="AB329" s="450"/>
      <c r="AC329" s="450"/>
      <c r="AD329" s="450"/>
      <c r="AE329" s="450"/>
      <c r="AF329" s="450"/>
      <c r="AG329" s="450"/>
      <c r="AH329" s="450"/>
      <c r="AI329" s="450"/>
      <c r="AJ329" s="450"/>
      <c r="AK329" s="450"/>
      <c r="AL329" s="450"/>
      <c r="AM329" s="450"/>
      <c r="AN329" s="450"/>
      <c r="AO329" s="450"/>
      <c r="AP329" s="450"/>
      <c r="AQ329" s="450"/>
      <c r="AR329" s="450"/>
      <c r="AS329" s="450"/>
      <c r="AT329" s="450"/>
      <c r="AU329" s="450"/>
      <c r="AV329" s="450"/>
      <c r="AW329" s="450"/>
      <c r="AX329" s="450"/>
      <c r="AY329" s="450"/>
      <c r="AZ329" s="450"/>
      <c r="BA329" s="450"/>
      <c r="BB329" s="450"/>
      <c r="BC329" s="450"/>
      <c r="BD329" s="450"/>
      <c r="BE329" s="450"/>
      <c r="BF329" s="450"/>
      <c r="BG329" s="450"/>
      <c r="BH329" s="450"/>
      <c r="BI329" s="450"/>
      <c r="BJ329" s="450"/>
      <c r="BK329" s="450"/>
      <c r="BL329" s="450"/>
      <c r="BM329" s="450"/>
    </row>
    <row r="330" spans="1:65" ht="11.15">
      <c r="A330" s="450"/>
      <c r="B330" s="450"/>
      <c r="C330" s="450"/>
      <c r="D330" s="450"/>
      <c r="E330" s="450"/>
      <c r="F330" s="450"/>
      <c r="G330" s="450"/>
      <c r="H330" s="450"/>
      <c r="I330" s="450"/>
      <c r="J330" s="450"/>
      <c r="K330" s="450"/>
      <c r="L330" s="450"/>
      <c r="M330" s="450"/>
      <c r="N330" s="450"/>
      <c r="O330" s="450"/>
      <c r="P330" s="450"/>
      <c r="Q330" s="450"/>
      <c r="R330" s="450"/>
      <c r="S330" s="450"/>
      <c r="T330" s="450"/>
      <c r="U330" s="450"/>
      <c r="V330" s="450"/>
      <c r="W330" s="450"/>
      <c r="X330" s="450"/>
      <c r="Y330" s="450"/>
      <c r="Z330" s="450"/>
      <c r="AA330" s="450"/>
      <c r="AB330" s="450"/>
      <c r="AC330" s="450"/>
      <c r="AD330" s="450"/>
      <c r="AE330" s="450"/>
      <c r="AF330" s="450"/>
      <c r="AG330" s="450"/>
      <c r="AH330" s="450"/>
      <c r="AI330" s="450"/>
      <c r="AJ330" s="450"/>
      <c r="AK330" s="450"/>
      <c r="AL330" s="450"/>
      <c r="AM330" s="450"/>
      <c r="AN330" s="450"/>
      <c r="AO330" s="450"/>
      <c r="AP330" s="450"/>
      <c r="AQ330" s="450"/>
      <c r="AR330" s="450"/>
      <c r="AS330" s="450"/>
      <c r="AT330" s="450"/>
      <c r="AU330" s="450"/>
      <c r="AV330" s="450"/>
      <c r="AW330" s="450"/>
      <c r="AX330" s="450"/>
      <c r="AY330" s="450"/>
      <c r="AZ330" s="450"/>
      <c r="BA330" s="450"/>
      <c r="BB330" s="450"/>
      <c r="BC330" s="450"/>
      <c r="BD330" s="450"/>
      <c r="BE330" s="450"/>
      <c r="BF330" s="450"/>
      <c r="BG330" s="450"/>
      <c r="BH330" s="450"/>
      <c r="BI330" s="450"/>
      <c r="BJ330" s="450"/>
      <c r="BK330" s="450"/>
      <c r="BL330" s="450"/>
      <c r="BM330" s="450"/>
    </row>
    <row r="331" spans="1:65" ht="11.15">
      <c r="A331" s="450"/>
      <c r="B331" s="450"/>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c r="AF331" s="450"/>
      <c r="AG331" s="450"/>
      <c r="AH331" s="450"/>
      <c r="AI331" s="450"/>
      <c r="AJ331" s="450"/>
      <c r="AK331" s="450"/>
      <c r="AL331" s="450"/>
      <c r="AM331" s="450"/>
      <c r="AN331" s="450"/>
      <c r="AO331" s="450"/>
      <c r="AP331" s="450"/>
      <c r="AQ331" s="450"/>
      <c r="AR331" s="450"/>
      <c r="AS331" s="450"/>
      <c r="AT331" s="450"/>
      <c r="AU331" s="450"/>
      <c r="AV331" s="450"/>
      <c r="AW331" s="450"/>
      <c r="AX331" s="450"/>
      <c r="AY331" s="450"/>
      <c r="AZ331" s="450"/>
      <c r="BA331" s="450"/>
      <c r="BB331" s="450"/>
      <c r="BC331" s="450"/>
      <c r="BD331" s="450"/>
      <c r="BE331" s="450"/>
      <c r="BF331" s="450"/>
      <c r="BG331" s="450"/>
      <c r="BH331" s="450"/>
      <c r="BI331" s="450"/>
      <c r="BJ331" s="450"/>
      <c r="BK331" s="450"/>
      <c r="BL331" s="450"/>
      <c r="BM331" s="450"/>
    </row>
    <row r="332" spans="1:65" ht="11.15">
      <c r="A332" s="450"/>
      <c r="B332" s="450"/>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50"/>
      <c r="AK332" s="450"/>
      <c r="AL332" s="450"/>
      <c r="AM332" s="450"/>
      <c r="AN332" s="450"/>
      <c r="AO332" s="450"/>
      <c r="AP332" s="450"/>
      <c r="AQ332" s="450"/>
      <c r="AR332" s="450"/>
      <c r="AS332" s="450"/>
      <c r="AT332" s="450"/>
      <c r="AU332" s="450"/>
      <c r="AV332" s="450"/>
      <c r="AW332" s="450"/>
      <c r="AX332" s="450"/>
      <c r="AY332" s="450"/>
      <c r="AZ332" s="450"/>
      <c r="BA332" s="450"/>
      <c r="BB332" s="450"/>
      <c r="BC332" s="450"/>
      <c r="BD332" s="450"/>
      <c r="BE332" s="450"/>
      <c r="BF332" s="450"/>
      <c r="BG332" s="450"/>
      <c r="BH332" s="450"/>
      <c r="BI332" s="450"/>
      <c r="BJ332" s="450"/>
      <c r="BK332" s="450"/>
      <c r="BL332" s="450"/>
      <c r="BM332" s="450"/>
    </row>
    <row r="333" spans="1:65" ht="11.15">
      <c r="A333" s="450"/>
      <c r="B333" s="45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c r="BF333" s="450"/>
      <c r="BG333" s="450"/>
      <c r="BH333" s="450"/>
      <c r="BI333" s="450"/>
      <c r="BJ333" s="450"/>
      <c r="BK333" s="450"/>
      <c r="BL333" s="450"/>
      <c r="BM333" s="450"/>
    </row>
    <row r="334" spans="1:65" ht="11.15">
      <c r="A334" s="450"/>
      <c r="B334" s="45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c r="BF334" s="450"/>
      <c r="BG334" s="450"/>
      <c r="BH334" s="450"/>
      <c r="BI334" s="450"/>
      <c r="BJ334" s="450"/>
      <c r="BK334" s="450"/>
      <c r="BL334" s="450"/>
      <c r="BM334" s="450"/>
    </row>
    <row r="335" spans="1:65" ht="11.15">
      <c r="A335" s="450"/>
      <c r="B335" s="45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c r="BF335" s="450"/>
      <c r="BG335" s="450"/>
      <c r="BH335" s="450"/>
      <c r="BI335" s="450"/>
      <c r="BJ335" s="450"/>
      <c r="BK335" s="450"/>
      <c r="BL335" s="450"/>
      <c r="BM335" s="450"/>
    </row>
    <row r="336" spans="1:65" ht="11.15">
      <c r="A336" s="450"/>
      <c r="B336" s="45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c r="BF336" s="450"/>
      <c r="BG336" s="450"/>
      <c r="BH336" s="450"/>
      <c r="BI336" s="450"/>
      <c r="BJ336" s="450"/>
      <c r="BK336" s="450"/>
      <c r="BL336" s="450"/>
      <c r="BM336" s="450"/>
    </row>
    <row r="337" spans="1:65" ht="11.15">
      <c r="A337" s="450"/>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c r="BB337" s="450"/>
      <c r="BC337" s="450"/>
      <c r="BD337" s="450"/>
      <c r="BE337" s="450"/>
      <c r="BF337" s="450"/>
      <c r="BG337" s="450"/>
      <c r="BH337" s="450"/>
      <c r="BI337" s="450"/>
      <c r="BJ337" s="450"/>
      <c r="BK337" s="450"/>
      <c r="BL337" s="450"/>
      <c r="BM337" s="450"/>
    </row>
    <row r="338" spans="1:65" ht="11.15">
      <c r="A338" s="450"/>
      <c r="B338" s="45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c r="BB338" s="450"/>
      <c r="BC338" s="450"/>
      <c r="BD338" s="450"/>
      <c r="BE338" s="450"/>
      <c r="BF338" s="450"/>
      <c r="BG338" s="450"/>
      <c r="BH338" s="450"/>
      <c r="BI338" s="450"/>
      <c r="BJ338" s="450"/>
      <c r="BK338" s="450"/>
      <c r="BL338" s="450"/>
      <c r="BM338" s="450"/>
    </row>
    <row r="339" spans="1:65" ht="11.15">
      <c r="A339" s="450"/>
      <c r="B339" s="45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c r="BF339" s="450"/>
      <c r="BG339" s="450"/>
      <c r="BH339" s="450"/>
      <c r="BI339" s="450"/>
      <c r="BJ339" s="450"/>
      <c r="BK339" s="450"/>
      <c r="BL339" s="450"/>
      <c r="BM339" s="450"/>
    </row>
    <row r="340" spans="1:65" ht="11.15">
      <c r="A340" s="450"/>
      <c r="B340" s="450"/>
      <c r="C340" s="450"/>
      <c r="D340" s="450"/>
      <c r="E340" s="450"/>
      <c r="F340" s="450"/>
      <c r="G340" s="450"/>
      <c r="H340" s="450"/>
      <c r="I340" s="450"/>
      <c r="J340" s="450"/>
      <c r="K340" s="450"/>
      <c r="L340" s="450"/>
      <c r="M340" s="450"/>
      <c r="N340" s="450"/>
      <c r="O340" s="450"/>
      <c r="P340" s="450"/>
      <c r="Q340" s="450"/>
      <c r="R340" s="450"/>
      <c r="S340" s="450"/>
      <c r="T340" s="450"/>
      <c r="U340" s="450"/>
      <c r="V340" s="450"/>
      <c r="W340" s="450"/>
      <c r="X340" s="450"/>
      <c r="Y340" s="450"/>
      <c r="Z340" s="450"/>
      <c r="AA340" s="450"/>
      <c r="AB340" s="450"/>
      <c r="AC340" s="450"/>
      <c r="AD340" s="450"/>
      <c r="AE340" s="450"/>
      <c r="AF340" s="450"/>
      <c r="AG340" s="450"/>
      <c r="AH340" s="450"/>
      <c r="AI340" s="450"/>
      <c r="AJ340" s="450"/>
      <c r="AK340" s="450"/>
      <c r="AL340" s="450"/>
      <c r="AM340" s="450"/>
      <c r="AN340" s="450"/>
      <c r="AO340" s="450"/>
      <c r="AP340" s="450"/>
      <c r="AQ340" s="450"/>
      <c r="AR340" s="450"/>
      <c r="AS340" s="450"/>
      <c r="AT340" s="450"/>
      <c r="AU340" s="450"/>
      <c r="AV340" s="450"/>
      <c r="AW340" s="450"/>
      <c r="AX340" s="450"/>
      <c r="AY340" s="450"/>
      <c r="AZ340" s="450"/>
      <c r="BA340" s="450"/>
      <c r="BB340" s="450"/>
      <c r="BC340" s="450"/>
      <c r="BD340" s="450"/>
      <c r="BE340" s="450"/>
      <c r="BF340" s="450"/>
      <c r="BG340" s="450"/>
      <c r="BH340" s="450"/>
      <c r="BI340" s="450"/>
      <c r="BJ340" s="450"/>
      <c r="BK340" s="450"/>
      <c r="BL340" s="450"/>
      <c r="BM340" s="450"/>
    </row>
    <row r="341" spans="1:65" ht="11.15">
      <c r="A341" s="450"/>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450"/>
      <c r="AE341" s="450"/>
      <c r="AF341" s="450"/>
      <c r="AG341" s="450"/>
      <c r="AH341" s="450"/>
      <c r="AI341" s="450"/>
      <c r="AJ341" s="450"/>
      <c r="AK341" s="450"/>
      <c r="AL341" s="450"/>
      <c r="AM341" s="450"/>
      <c r="AN341" s="450"/>
      <c r="AO341" s="450"/>
      <c r="AP341" s="450"/>
      <c r="AQ341" s="450"/>
      <c r="AR341" s="450"/>
      <c r="AS341" s="450"/>
      <c r="AT341" s="450"/>
      <c r="AU341" s="450"/>
      <c r="AV341" s="450"/>
      <c r="AW341" s="450"/>
      <c r="AX341" s="450"/>
      <c r="AY341" s="450"/>
      <c r="AZ341" s="450"/>
      <c r="BA341" s="450"/>
      <c r="BB341" s="450"/>
      <c r="BC341" s="450"/>
      <c r="BD341" s="450"/>
      <c r="BE341" s="450"/>
      <c r="BF341" s="450"/>
      <c r="BG341" s="450"/>
      <c r="BH341" s="450"/>
      <c r="BI341" s="450"/>
      <c r="BJ341" s="450"/>
      <c r="BK341" s="450"/>
      <c r="BL341" s="450"/>
      <c r="BM341" s="450"/>
    </row>
    <row r="342" spans="1:65" ht="11.15">
      <c r="A342" s="450"/>
      <c r="B342" s="450"/>
      <c r="C342" s="450"/>
      <c r="D342" s="450"/>
      <c r="E342" s="450"/>
      <c r="F342" s="450"/>
      <c r="G342" s="450"/>
      <c r="H342" s="450"/>
      <c r="I342" s="450"/>
      <c r="J342" s="450"/>
      <c r="K342" s="450"/>
      <c r="L342" s="450"/>
      <c r="M342" s="450"/>
      <c r="N342" s="450"/>
      <c r="O342" s="450"/>
      <c r="P342" s="450"/>
      <c r="Q342" s="450"/>
      <c r="R342" s="450"/>
      <c r="S342" s="450"/>
      <c r="T342" s="450"/>
      <c r="U342" s="450"/>
      <c r="V342" s="450"/>
      <c r="W342" s="450"/>
      <c r="X342" s="450"/>
      <c r="Y342" s="450"/>
      <c r="Z342" s="450"/>
      <c r="AA342" s="450"/>
      <c r="AB342" s="450"/>
      <c r="AC342" s="450"/>
      <c r="AD342" s="450"/>
      <c r="AE342" s="450"/>
      <c r="AF342" s="450"/>
      <c r="AG342" s="450"/>
      <c r="AH342" s="450"/>
      <c r="AI342" s="450"/>
      <c r="AJ342" s="450"/>
      <c r="AK342" s="450"/>
      <c r="AL342" s="450"/>
      <c r="AM342" s="450"/>
      <c r="AN342" s="450"/>
      <c r="AO342" s="450"/>
      <c r="AP342" s="450"/>
      <c r="AQ342" s="450"/>
      <c r="AR342" s="450"/>
      <c r="AS342" s="450"/>
      <c r="AT342" s="450"/>
      <c r="AU342" s="450"/>
      <c r="AV342" s="450"/>
      <c r="AW342" s="450"/>
      <c r="AX342" s="450"/>
      <c r="AY342" s="450"/>
      <c r="AZ342" s="450"/>
      <c r="BA342" s="450"/>
      <c r="BB342" s="450"/>
      <c r="BC342" s="450"/>
      <c r="BD342" s="450"/>
      <c r="BE342" s="450"/>
      <c r="BF342" s="450"/>
      <c r="BG342" s="450"/>
      <c r="BH342" s="450"/>
      <c r="BI342" s="450"/>
      <c r="BJ342" s="450"/>
      <c r="BK342" s="450"/>
      <c r="BL342" s="450"/>
      <c r="BM342" s="450"/>
    </row>
    <row r="343" spans="1:65" ht="11.15">
      <c r="A343" s="450"/>
      <c r="B343" s="450"/>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c r="Z343" s="450"/>
      <c r="AA343" s="450"/>
      <c r="AB343" s="450"/>
      <c r="AC343" s="450"/>
      <c r="AD343" s="450"/>
      <c r="AE343" s="450"/>
      <c r="AF343" s="450"/>
      <c r="AG343" s="450"/>
      <c r="AH343" s="450"/>
      <c r="AI343" s="450"/>
      <c r="AJ343" s="450"/>
      <c r="AK343" s="450"/>
      <c r="AL343" s="450"/>
      <c r="AM343" s="450"/>
      <c r="AN343" s="450"/>
      <c r="AO343" s="450"/>
      <c r="AP343" s="450"/>
      <c r="AQ343" s="450"/>
      <c r="AR343" s="450"/>
      <c r="AS343" s="450"/>
      <c r="AT343" s="450"/>
      <c r="AU343" s="450"/>
      <c r="AV343" s="450"/>
      <c r="AW343" s="450"/>
      <c r="AX343" s="450"/>
      <c r="AY343" s="450"/>
      <c r="AZ343" s="450"/>
      <c r="BA343" s="450"/>
      <c r="BB343" s="450"/>
      <c r="BC343" s="450"/>
      <c r="BD343" s="450"/>
      <c r="BE343" s="450"/>
      <c r="BF343" s="450"/>
      <c r="BG343" s="450"/>
      <c r="BH343" s="450"/>
      <c r="BI343" s="450"/>
      <c r="BJ343" s="450"/>
      <c r="BK343" s="450"/>
      <c r="BL343" s="450"/>
      <c r="BM343" s="450"/>
    </row>
    <row r="344" spans="1:65" ht="11.15">
      <c r="A344" s="450"/>
      <c r="B344" s="450"/>
      <c r="C344" s="450"/>
      <c r="D344" s="450"/>
      <c r="E344" s="450"/>
      <c r="F344" s="450"/>
      <c r="G344" s="450"/>
      <c r="H344" s="450"/>
      <c r="I344" s="450"/>
      <c r="J344" s="450"/>
      <c r="K344" s="450"/>
      <c r="L344" s="450"/>
      <c r="M344" s="450"/>
      <c r="N344" s="450"/>
      <c r="O344" s="450"/>
      <c r="P344" s="450"/>
      <c r="Q344" s="450"/>
      <c r="R344" s="450"/>
      <c r="S344" s="450"/>
      <c r="T344" s="450"/>
      <c r="U344" s="450"/>
      <c r="V344" s="450"/>
      <c r="W344" s="450"/>
      <c r="X344" s="450"/>
      <c r="Y344" s="450"/>
      <c r="Z344" s="450"/>
      <c r="AA344" s="450"/>
      <c r="AB344" s="450"/>
      <c r="AC344" s="450"/>
      <c r="AD344" s="450"/>
      <c r="AE344" s="450"/>
      <c r="AF344" s="450"/>
      <c r="AG344" s="450"/>
      <c r="AH344" s="450"/>
      <c r="AI344" s="450"/>
      <c r="AJ344" s="450"/>
      <c r="AK344" s="450"/>
      <c r="AL344" s="450"/>
      <c r="AM344" s="450"/>
      <c r="AN344" s="450"/>
      <c r="AO344" s="450"/>
      <c r="AP344" s="450"/>
      <c r="AQ344" s="450"/>
      <c r="AR344" s="450"/>
      <c r="AS344" s="450"/>
      <c r="AT344" s="450"/>
      <c r="AU344" s="450"/>
      <c r="AV344" s="450"/>
      <c r="AW344" s="450"/>
      <c r="AX344" s="450"/>
      <c r="AY344" s="450"/>
      <c r="AZ344" s="450"/>
      <c r="BA344" s="450"/>
      <c r="BB344" s="450"/>
      <c r="BC344" s="450"/>
      <c r="BD344" s="450"/>
      <c r="BE344" s="450"/>
      <c r="BF344" s="450"/>
      <c r="BG344" s="450"/>
      <c r="BH344" s="450"/>
      <c r="BI344" s="450"/>
      <c r="BJ344" s="450"/>
      <c r="BK344" s="450"/>
      <c r="BL344" s="450"/>
      <c r="BM344" s="450"/>
    </row>
    <row r="345" spans="1:65" ht="11.15">
      <c r="A345" s="450"/>
      <c r="B345" s="450"/>
      <c r="C345" s="450"/>
      <c r="D345" s="450"/>
      <c r="E345" s="450"/>
      <c r="F345" s="450"/>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50"/>
      <c r="AK345" s="450"/>
      <c r="AL345" s="450"/>
      <c r="AM345" s="450"/>
      <c r="AN345" s="450"/>
      <c r="AO345" s="450"/>
      <c r="AP345" s="450"/>
      <c r="AQ345" s="450"/>
      <c r="AR345" s="450"/>
      <c r="AS345" s="450"/>
      <c r="AT345" s="450"/>
      <c r="AU345" s="450"/>
      <c r="AV345" s="450"/>
      <c r="AW345" s="450"/>
      <c r="AX345" s="450"/>
      <c r="AY345" s="450"/>
      <c r="AZ345" s="450"/>
      <c r="BA345" s="450"/>
      <c r="BB345" s="450"/>
      <c r="BC345" s="450"/>
      <c r="BD345" s="450"/>
      <c r="BE345" s="450"/>
      <c r="BF345" s="450"/>
      <c r="BG345" s="450"/>
      <c r="BH345" s="450"/>
      <c r="BI345" s="450"/>
      <c r="BJ345" s="450"/>
      <c r="BK345" s="450"/>
      <c r="BL345" s="450"/>
      <c r="BM345" s="450"/>
    </row>
    <row r="346" spans="1:65" ht="11.15">
      <c r="A346" s="450"/>
      <c r="B346" s="450"/>
      <c r="C346" s="450"/>
      <c r="D346" s="450"/>
      <c r="E346" s="450"/>
      <c r="F346" s="450"/>
      <c r="G346" s="450"/>
      <c r="H346" s="450"/>
      <c r="I346" s="450"/>
      <c r="J346" s="450"/>
      <c r="K346" s="450"/>
      <c r="L346" s="450"/>
      <c r="M346" s="450"/>
      <c r="N346" s="450"/>
      <c r="O346" s="450"/>
      <c r="P346" s="450"/>
      <c r="Q346" s="450"/>
      <c r="R346" s="450"/>
      <c r="S346" s="450"/>
      <c r="T346" s="450"/>
      <c r="U346" s="450"/>
      <c r="V346" s="450"/>
      <c r="W346" s="450"/>
      <c r="X346" s="450"/>
      <c r="Y346" s="450"/>
      <c r="Z346" s="450"/>
      <c r="AA346" s="450"/>
      <c r="AB346" s="450"/>
      <c r="AC346" s="450"/>
      <c r="AD346" s="450"/>
      <c r="AE346" s="450"/>
      <c r="AF346" s="450"/>
      <c r="AG346" s="450"/>
      <c r="AH346" s="450"/>
      <c r="AI346" s="450"/>
      <c r="AJ346" s="450"/>
      <c r="AK346" s="450"/>
      <c r="AL346" s="450"/>
      <c r="AM346" s="450"/>
      <c r="AN346" s="450"/>
      <c r="AO346" s="450"/>
      <c r="AP346" s="450"/>
      <c r="AQ346" s="450"/>
      <c r="AR346" s="450"/>
      <c r="AS346" s="450"/>
      <c r="AT346" s="450"/>
      <c r="AU346" s="450"/>
      <c r="AV346" s="450"/>
      <c r="AW346" s="450"/>
      <c r="AX346" s="450"/>
      <c r="AY346" s="450"/>
      <c r="AZ346" s="450"/>
      <c r="BA346" s="450"/>
      <c r="BB346" s="450"/>
      <c r="BC346" s="450"/>
      <c r="BD346" s="450"/>
      <c r="BE346" s="450"/>
      <c r="BF346" s="450"/>
      <c r="BG346" s="450"/>
      <c r="BH346" s="450"/>
      <c r="BI346" s="450"/>
      <c r="BJ346" s="450"/>
      <c r="BK346" s="450"/>
      <c r="BL346" s="450"/>
      <c r="BM346" s="450"/>
    </row>
    <row r="347" spans="1:65" ht="11.15">
      <c r="A347" s="450"/>
      <c r="B347" s="450"/>
      <c r="C347" s="450"/>
      <c r="D347" s="450"/>
      <c r="E347" s="450"/>
      <c r="F347" s="450"/>
      <c r="G347" s="450"/>
      <c r="H347" s="450"/>
      <c r="I347" s="450"/>
      <c r="J347" s="450"/>
      <c r="K347" s="450"/>
      <c r="L347" s="450"/>
      <c r="M347" s="450"/>
      <c r="N347" s="450"/>
      <c r="O347" s="450"/>
      <c r="P347" s="450"/>
      <c r="Q347" s="450"/>
      <c r="R347" s="450"/>
      <c r="S347" s="450"/>
      <c r="T347" s="450"/>
      <c r="U347" s="450"/>
      <c r="V347" s="450"/>
      <c r="W347" s="450"/>
      <c r="X347" s="450"/>
      <c r="Y347" s="450"/>
      <c r="Z347" s="450"/>
      <c r="AA347" s="450"/>
      <c r="AB347" s="450"/>
      <c r="AC347" s="450"/>
      <c r="AD347" s="450"/>
      <c r="AE347" s="450"/>
      <c r="AF347" s="450"/>
      <c r="AG347" s="450"/>
      <c r="AH347" s="450"/>
      <c r="AI347" s="450"/>
      <c r="AJ347" s="450"/>
      <c r="AK347" s="450"/>
      <c r="AL347" s="450"/>
      <c r="AM347" s="450"/>
      <c r="AN347" s="450"/>
      <c r="AO347" s="450"/>
      <c r="AP347" s="450"/>
      <c r="AQ347" s="450"/>
      <c r="AR347" s="450"/>
      <c r="AS347" s="450"/>
      <c r="AT347" s="450"/>
      <c r="AU347" s="450"/>
      <c r="AV347" s="450"/>
      <c r="AW347" s="450"/>
      <c r="AX347" s="450"/>
      <c r="AY347" s="450"/>
      <c r="AZ347" s="450"/>
      <c r="BA347" s="450"/>
      <c r="BB347" s="450"/>
      <c r="BC347" s="450"/>
      <c r="BD347" s="450"/>
      <c r="BE347" s="450"/>
      <c r="BF347" s="450"/>
      <c r="BG347" s="450"/>
      <c r="BH347" s="450"/>
      <c r="BI347" s="450"/>
      <c r="BJ347" s="450"/>
      <c r="BK347" s="450"/>
      <c r="BL347" s="450"/>
      <c r="BM347" s="450"/>
    </row>
    <row r="348" spans="1:65" ht="11.15">
      <c r="A348" s="450"/>
      <c r="B348" s="450"/>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c r="Z348" s="450"/>
      <c r="AA348" s="450"/>
      <c r="AB348" s="450"/>
      <c r="AC348" s="450"/>
      <c r="AD348" s="450"/>
      <c r="AE348" s="450"/>
      <c r="AF348" s="450"/>
      <c r="AG348" s="450"/>
      <c r="AH348" s="450"/>
      <c r="AI348" s="450"/>
      <c r="AJ348" s="450"/>
      <c r="AK348" s="450"/>
      <c r="AL348" s="450"/>
      <c r="AM348" s="450"/>
      <c r="AN348" s="450"/>
      <c r="AO348" s="450"/>
      <c r="AP348" s="450"/>
      <c r="AQ348" s="450"/>
      <c r="AR348" s="450"/>
      <c r="AS348" s="450"/>
      <c r="AT348" s="450"/>
      <c r="AU348" s="450"/>
      <c r="AV348" s="450"/>
      <c r="AW348" s="450"/>
      <c r="AX348" s="450"/>
      <c r="AY348" s="450"/>
      <c r="AZ348" s="450"/>
      <c r="BA348" s="450"/>
      <c r="BB348" s="450"/>
      <c r="BC348" s="450"/>
      <c r="BD348" s="450"/>
      <c r="BE348" s="450"/>
      <c r="BF348" s="450"/>
      <c r="BG348" s="450"/>
      <c r="BH348" s="450"/>
      <c r="BI348" s="450"/>
      <c r="BJ348" s="450"/>
      <c r="BK348" s="450"/>
      <c r="BL348" s="450"/>
      <c r="BM348" s="450"/>
    </row>
    <row r="349" spans="1:65" ht="11.15">
      <c r="A349" s="450"/>
      <c r="B349" s="450"/>
      <c r="C349" s="450"/>
      <c r="D349" s="450"/>
      <c r="E349" s="450"/>
      <c r="F349" s="450"/>
      <c r="G349" s="450"/>
      <c r="H349" s="450"/>
      <c r="I349" s="450"/>
      <c r="J349" s="450"/>
      <c r="K349" s="450"/>
      <c r="L349" s="450"/>
      <c r="M349" s="450"/>
      <c r="N349" s="450"/>
      <c r="O349" s="450"/>
      <c r="P349" s="450"/>
      <c r="Q349" s="450"/>
      <c r="R349" s="450"/>
      <c r="S349" s="450"/>
      <c r="T349" s="450"/>
      <c r="U349" s="450"/>
      <c r="V349" s="450"/>
      <c r="W349" s="450"/>
      <c r="X349" s="450"/>
      <c r="Y349" s="450"/>
      <c r="Z349" s="450"/>
      <c r="AA349" s="450"/>
      <c r="AB349" s="450"/>
      <c r="AC349" s="450"/>
      <c r="AD349" s="450"/>
      <c r="AE349" s="450"/>
      <c r="AF349" s="450"/>
      <c r="AG349" s="450"/>
      <c r="AH349" s="450"/>
      <c r="AI349" s="450"/>
      <c r="AJ349" s="450"/>
      <c r="AK349" s="450"/>
      <c r="AL349" s="450"/>
      <c r="AM349" s="450"/>
      <c r="AN349" s="450"/>
      <c r="AO349" s="450"/>
      <c r="AP349" s="450"/>
      <c r="AQ349" s="450"/>
      <c r="AR349" s="450"/>
      <c r="AS349" s="450"/>
      <c r="AT349" s="450"/>
      <c r="AU349" s="450"/>
      <c r="AV349" s="450"/>
      <c r="AW349" s="450"/>
      <c r="AX349" s="450"/>
      <c r="AY349" s="450"/>
      <c r="AZ349" s="450"/>
      <c r="BA349" s="450"/>
      <c r="BB349" s="450"/>
      <c r="BC349" s="450"/>
      <c r="BD349" s="450"/>
      <c r="BE349" s="450"/>
      <c r="BF349" s="450"/>
      <c r="BG349" s="450"/>
      <c r="BH349" s="450"/>
      <c r="BI349" s="450"/>
      <c r="BJ349" s="450"/>
      <c r="BK349" s="450"/>
      <c r="BL349" s="450"/>
      <c r="BM349" s="450"/>
    </row>
    <row r="350" spans="1:65" ht="11.15">
      <c r="A350" s="450"/>
      <c r="B350" s="450"/>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c r="AA350" s="450"/>
      <c r="AB350" s="450"/>
      <c r="AC350" s="450"/>
      <c r="AD350" s="450"/>
      <c r="AE350" s="450"/>
      <c r="AF350" s="450"/>
      <c r="AG350" s="450"/>
      <c r="AH350" s="450"/>
      <c r="AI350" s="450"/>
      <c r="AJ350" s="450"/>
      <c r="AK350" s="450"/>
      <c r="AL350" s="450"/>
      <c r="AM350" s="450"/>
      <c r="AN350" s="450"/>
      <c r="AO350" s="450"/>
      <c r="AP350" s="450"/>
      <c r="AQ350" s="450"/>
      <c r="AR350" s="450"/>
      <c r="AS350" s="450"/>
      <c r="AT350" s="450"/>
      <c r="AU350" s="450"/>
      <c r="AV350" s="450"/>
      <c r="AW350" s="450"/>
      <c r="AX350" s="450"/>
      <c r="AY350" s="450"/>
      <c r="AZ350" s="450"/>
      <c r="BA350" s="450"/>
      <c r="BB350" s="450"/>
      <c r="BC350" s="450"/>
      <c r="BD350" s="450"/>
      <c r="BE350" s="450"/>
      <c r="BF350" s="450"/>
      <c r="BG350" s="450"/>
      <c r="BH350" s="450"/>
      <c r="BI350" s="450"/>
      <c r="BJ350" s="450"/>
      <c r="BK350" s="450"/>
      <c r="BL350" s="450"/>
      <c r="BM350" s="450"/>
    </row>
    <row r="351" spans="1:65" ht="11.15">
      <c r="A351" s="450"/>
      <c r="B351" s="450"/>
      <c r="C351" s="450"/>
      <c r="D351" s="450"/>
      <c r="E351" s="450"/>
      <c r="F351" s="450"/>
      <c r="G351" s="450"/>
      <c r="H351" s="450"/>
      <c r="I351" s="450"/>
      <c r="J351" s="450"/>
      <c r="K351" s="450"/>
      <c r="L351" s="450"/>
      <c r="M351" s="450"/>
      <c r="N351" s="450"/>
      <c r="O351" s="450"/>
      <c r="P351" s="450"/>
      <c r="Q351" s="450"/>
      <c r="R351" s="450"/>
      <c r="S351" s="450"/>
      <c r="T351" s="450"/>
      <c r="U351" s="450"/>
      <c r="V351" s="450"/>
      <c r="W351" s="450"/>
      <c r="X351" s="450"/>
      <c r="Y351" s="450"/>
      <c r="Z351" s="450"/>
      <c r="AA351" s="450"/>
      <c r="AB351" s="450"/>
      <c r="AC351" s="450"/>
      <c r="AD351" s="450"/>
      <c r="AE351" s="450"/>
      <c r="AF351" s="450"/>
      <c r="AG351" s="450"/>
      <c r="AH351" s="450"/>
      <c r="AI351" s="450"/>
      <c r="AJ351" s="450"/>
      <c r="AK351" s="450"/>
      <c r="AL351" s="450"/>
      <c r="AM351" s="450"/>
      <c r="AN351" s="450"/>
      <c r="AO351" s="450"/>
      <c r="AP351" s="450"/>
      <c r="AQ351" s="450"/>
      <c r="AR351" s="450"/>
      <c r="AS351" s="450"/>
      <c r="AT351" s="450"/>
      <c r="AU351" s="450"/>
      <c r="AV351" s="450"/>
      <c r="AW351" s="450"/>
      <c r="AX351" s="450"/>
      <c r="AY351" s="450"/>
      <c r="AZ351" s="450"/>
      <c r="BA351" s="450"/>
      <c r="BB351" s="450"/>
      <c r="BC351" s="450"/>
      <c r="BD351" s="450"/>
      <c r="BE351" s="450"/>
      <c r="BF351" s="450"/>
      <c r="BG351" s="450"/>
      <c r="BH351" s="450"/>
      <c r="BI351" s="450"/>
      <c r="BJ351" s="450"/>
      <c r="BK351" s="450"/>
      <c r="BL351" s="450"/>
      <c r="BM351" s="450"/>
    </row>
    <row r="352" spans="1:65" ht="11.15">
      <c r="A352" s="450"/>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c r="AA352" s="450"/>
      <c r="AB352" s="450"/>
      <c r="AC352" s="450"/>
      <c r="AD352" s="450"/>
      <c r="AE352" s="450"/>
      <c r="AF352" s="450"/>
      <c r="AG352" s="450"/>
      <c r="AH352" s="450"/>
      <c r="AI352" s="450"/>
      <c r="AJ352" s="450"/>
      <c r="AK352" s="450"/>
      <c r="AL352" s="450"/>
      <c r="AM352" s="450"/>
      <c r="AN352" s="450"/>
      <c r="AO352" s="450"/>
      <c r="AP352" s="450"/>
      <c r="AQ352" s="450"/>
      <c r="AR352" s="450"/>
      <c r="AS352" s="450"/>
      <c r="AT352" s="450"/>
      <c r="AU352" s="450"/>
      <c r="AV352" s="450"/>
      <c r="AW352" s="450"/>
      <c r="AX352" s="450"/>
      <c r="AY352" s="450"/>
      <c r="AZ352" s="450"/>
      <c r="BA352" s="450"/>
      <c r="BB352" s="450"/>
      <c r="BC352" s="450"/>
      <c r="BD352" s="450"/>
      <c r="BE352" s="450"/>
      <c r="BF352" s="450"/>
      <c r="BG352" s="450"/>
      <c r="BH352" s="450"/>
      <c r="BI352" s="450"/>
      <c r="BJ352" s="450"/>
      <c r="BK352" s="450"/>
      <c r="BL352" s="450"/>
      <c r="BM352" s="450"/>
    </row>
    <row r="353" spans="1:65" ht="11.15">
      <c r="A353" s="450"/>
      <c r="B353" s="450"/>
      <c r="C353" s="450"/>
      <c r="D353" s="450"/>
      <c r="E353" s="450"/>
      <c r="F353" s="450"/>
      <c r="G353" s="450"/>
      <c r="H353" s="450"/>
      <c r="I353" s="450"/>
      <c r="J353" s="450"/>
      <c r="K353" s="450"/>
      <c r="L353" s="450"/>
      <c r="M353" s="450"/>
      <c r="N353" s="450"/>
      <c r="O353" s="450"/>
      <c r="P353" s="450"/>
      <c r="Q353" s="450"/>
      <c r="R353" s="450"/>
      <c r="S353" s="450"/>
      <c r="T353" s="450"/>
      <c r="U353" s="450"/>
      <c r="V353" s="450"/>
      <c r="W353" s="450"/>
      <c r="X353" s="450"/>
      <c r="Y353" s="450"/>
      <c r="Z353" s="450"/>
      <c r="AA353" s="450"/>
      <c r="AB353" s="450"/>
      <c r="AC353" s="450"/>
      <c r="AD353" s="450"/>
      <c r="AE353" s="450"/>
      <c r="AF353" s="450"/>
      <c r="AG353" s="450"/>
      <c r="AH353" s="450"/>
      <c r="AI353" s="450"/>
      <c r="AJ353" s="450"/>
      <c r="AK353" s="450"/>
      <c r="AL353" s="450"/>
      <c r="AM353" s="450"/>
      <c r="AN353" s="450"/>
      <c r="AO353" s="450"/>
      <c r="AP353" s="450"/>
      <c r="AQ353" s="450"/>
      <c r="AR353" s="450"/>
      <c r="AS353" s="450"/>
      <c r="AT353" s="450"/>
      <c r="AU353" s="450"/>
      <c r="AV353" s="450"/>
      <c r="AW353" s="450"/>
      <c r="AX353" s="450"/>
      <c r="AY353" s="450"/>
      <c r="AZ353" s="450"/>
      <c r="BA353" s="450"/>
      <c r="BB353" s="450"/>
      <c r="BC353" s="450"/>
      <c r="BD353" s="450"/>
      <c r="BE353" s="450"/>
      <c r="BF353" s="450"/>
      <c r="BG353" s="450"/>
      <c r="BH353" s="450"/>
      <c r="BI353" s="450"/>
      <c r="BJ353" s="450"/>
      <c r="BK353" s="450"/>
      <c r="BL353" s="450"/>
      <c r="BM353" s="450"/>
    </row>
    <row r="354" spans="1:65" ht="11.15">
      <c r="A354" s="450"/>
      <c r="B354" s="450"/>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c r="Z354" s="450"/>
      <c r="AA354" s="450"/>
      <c r="AB354" s="450"/>
      <c r="AC354" s="450"/>
      <c r="AD354" s="450"/>
      <c r="AE354" s="450"/>
      <c r="AF354" s="450"/>
      <c r="AG354" s="450"/>
      <c r="AH354" s="450"/>
      <c r="AI354" s="450"/>
      <c r="AJ354" s="450"/>
      <c r="AK354" s="450"/>
      <c r="AL354" s="450"/>
      <c r="AM354" s="450"/>
      <c r="AN354" s="450"/>
      <c r="AO354" s="450"/>
      <c r="AP354" s="450"/>
      <c r="AQ354" s="450"/>
      <c r="AR354" s="450"/>
      <c r="AS354" s="450"/>
      <c r="AT354" s="450"/>
      <c r="AU354" s="450"/>
      <c r="AV354" s="450"/>
      <c r="AW354" s="450"/>
      <c r="AX354" s="450"/>
      <c r="AY354" s="450"/>
      <c r="AZ354" s="450"/>
      <c r="BA354" s="450"/>
      <c r="BB354" s="450"/>
      <c r="BC354" s="450"/>
      <c r="BD354" s="450"/>
      <c r="BE354" s="450"/>
      <c r="BF354" s="450"/>
      <c r="BG354" s="450"/>
      <c r="BH354" s="450"/>
      <c r="BI354" s="450"/>
      <c r="BJ354" s="450"/>
      <c r="BK354" s="450"/>
      <c r="BL354" s="450"/>
      <c r="BM354" s="450"/>
    </row>
    <row r="355" spans="1:65" ht="11.15">
      <c r="A355" s="450"/>
      <c r="B355" s="450"/>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c r="Z355" s="450"/>
      <c r="AA355" s="450"/>
      <c r="AB355" s="450"/>
      <c r="AC355" s="450"/>
      <c r="AD355" s="450"/>
      <c r="AE355" s="450"/>
      <c r="AF355" s="450"/>
      <c r="AG355" s="450"/>
      <c r="AH355" s="450"/>
      <c r="AI355" s="450"/>
      <c r="AJ355" s="450"/>
      <c r="AK355" s="450"/>
      <c r="AL355" s="450"/>
      <c r="AM355" s="450"/>
      <c r="AN355" s="450"/>
      <c r="AO355" s="450"/>
      <c r="AP355" s="450"/>
      <c r="AQ355" s="450"/>
      <c r="AR355" s="450"/>
      <c r="AS355" s="450"/>
      <c r="AT355" s="450"/>
      <c r="AU355" s="450"/>
      <c r="AV355" s="450"/>
      <c r="AW355" s="450"/>
      <c r="AX355" s="450"/>
      <c r="AY355" s="450"/>
      <c r="AZ355" s="450"/>
      <c r="BA355" s="450"/>
      <c r="BB355" s="450"/>
      <c r="BC355" s="450"/>
      <c r="BD355" s="450"/>
      <c r="BE355" s="450"/>
      <c r="BF355" s="450"/>
      <c r="BG355" s="450"/>
      <c r="BH355" s="450"/>
      <c r="BI355" s="450"/>
      <c r="BJ355" s="450"/>
      <c r="BK355" s="450"/>
      <c r="BL355" s="450"/>
      <c r="BM355" s="450"/>
    </row>
    <row r="356" spans="1:65" ht="11.15">
      <c r="A356" s="450"/>
      <c r="B356" s="450"/>
      <c r="C356" s="450"/>
      <c r="D356" s="450"/>
      <c r="E356" s="450"/>
      <c r="F356" s="450"/>
      <c r="G356" s="450"/>
      <c r="H356" s="450"/>
      <c r="I356" s="450"/>
      <c r="J356" s="450"/>
      <c r="K356" s="450"/>
      <c r="L356" s="450"/>
      <c r="M356" s="450"/>
      <c r="N356" s="450"/>
      <c r="O356" s="450"/>
      <c r="P356" s="450"/>
      <c r="Q356" s="450"/>
      <c r="R356" s="450"/>
      <c r="S356" s="450"/>
      <c r="T356" s="450"/>
      <c r="U356" s="450"/>
      <c r="V356" s="450"/>
      <c r="W356" s="450"/>
      <c r="X356" s="450"/>
      <c r="Y356" s="450"/>
      <c r="Z356" s="450"/>
      <c r="AA356" s="450"/>
      <c r="AB356" s="450"/>
      <c r="AC356" s="450"/>
      <c r="AD356" s="450"/>
      <c r="AE356" s="450"/>
      <c r="AF356" s="450"/>
      <c r="AG356" s="450"/>
      <c r="AH356" s="450"/>
      <c r="AI356" s="450"/>
      <c r="AJ356" s="450"/>
      <c r="AK356" s="450"/>
      <c r="AL356" s="450"/>
      <c r="AM356" s="450"/>
      <c r="AN356" s="450"/>
      <c r="AO356" s="450"/>
      <c r="AP356" s="450"/>
      <c r="AQ356" s="450"/>
      <c r="AR356" s="450"/>
      <c r="AS356" s="450"/>
      <c r="AT356" s="450"/>
      <c r="AU356" s="450"/>
      <c r="AV356" s="450"/>
      <c r="AW356" s="450"/>
      <c r="AX356" s="450"/>
      <c r="AY356" s="450"/>
      <c r="AZ356" s="450"/>
      <c r="BA356" s="450"/>
      <c r="BB356" s="450"/>
      <c r="BC356" s="450"/>
      <c r="BD356" s="450"/>
      <c r="BE356" s="450"/>
      <c r="BF356" s="450"/>
      <c r="BG356" s="450"/>
      <c r="BH356" s="450"/>
      <c r="BI356" s="450"/>
      <c r="BJ356" s="450"/>
      <c r="BK356" s="450"/>
      <c r="BL356" s="450"/>
      <c r="BM356" s="450"/>
    </row>
    <row r="357" spans="1:65" ht="11.15">
      <c r="A357" s="450"/>
      <c r="B357" s="450"/>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c r="Z357" s="450"/>
      <c r="AA357" s="450"/>
      <c r="AB357" s="450"/>
      <c r="AC357" s="450"/>
      <c r="AD357" s="450"/>
      <c r="AE357" s="450"/>
      <c r="AF357" s="450"/>
      <c r="AG357" s="450"/>
      <c r="AH357" s="450"/>
      <c r="AI357" s="450"/>
      <c r="AJ357" s="450"/>
      <c r="AK357" s="450"/>
      <c r="AL357" s="450"/>
      <c r="AM357" s="450"/>
      <c r="AN357" s="450"/>
      <c r="AO357" s="450"/>
      <c r="AP357" s="450"/>
      <c r="AQ357" s="450"/>
      <c r="AR357" s="450"/>
      <c r="AS357" s="450"/>
      <c r="AT357" s="450"/>
      <c r="AU357" s="450"/>
      <c r="AV357" s="450"/>
      <c r="AW357" s="450"/>
      <c r="AX357" s="450"/>
      <c r="AY357" s="450"/>
      <c r="AZ357" s="450"/>
      <c r="BA357" s="450"/>
      <c r="BB357" s="450"/>
      <c r="BC357" s="450"/>
      <c r="BD357" s="450"/>
      <c r="BE357" s="450"/>
      <c r="BF357" s="450"/>
      <c r="BG357" s="450"/>
      <c r="BH357" s="450"/>
      <c r="BI357" s="450"/>
      <c r="BJ357" s="450"/>
      <c r="BK357" s="450"/>
      <c r="BL357" s="450"/>
      <c r="BM357" s="450"/>
    </row>
    <row r="358" spans="1:65" ht="11.15">
      <c r="A358" s="450"/>
      <c r="B358" s="450"/>
      <c r="C358" s="450"/>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c r="Z358" s="450"/>
      <c r="AA358" s="450"/>
      <c r="AB358" s="450"/>
      <c r="AC358" s="450"/>
      <c r="AD358" s="450"/>
      <c r="AE358" s="450"/>
      <c r="AF358" s="450"/>
      <c r="AG358" s="450"/>
      <c r="AH358" s="450"/>
      <c r="AI358" s="450"/>
      <c r="AJ358" s="450"/>
      <c r="AK358" s="450"/>
      <c r="AL358" s="450"/>
      <c r="AM358" s="450"/>
      <c r="AN358" s="450"/>
      <c r="AO358" s="450"/>
      <c r="AP358" s="450"/>
      <c r="AQ358" s="450"/>
      <c r="AR358" s="450"/>
      <c r="AS358" s="450"/>
      <c r="AT358" s="450"/>
      <c r="AU358" s="450"/>
      <c r="AV358" s="450"/>
      <c r="AW358" s="450"/>
      <c r="AX358" s="450"/>
      <c r="AY358" s="450"/>
      <c r="AZ358" s="450"/>
      <c r="BA358" s="450"/>
      <c r="BB358" s="450"/>
      <c r="BC358" s="450"/>
      <c r="BD358" s="450"/>
      <c r="BE358" s="450"/>
      <c r="BF358" s="450"/>
      <c r="BG358" s="450"/>
      <c r="BH358" s="450"/>
      <c r="BI358" s="450"/>
      <c r="BJ358" s="450"/>
      <c r="BK358" s="450"/>
      <c r="BL358" s="450"/>
      <c r="BM358" s="450"/>
    </row>
    <row r="359" spans="1:65" ht="11.15">
      <c r="A359" s="450"/>
      <c r="B359" s="450"/>
      <c r="C359" s="450"/>
      <c r="D359" s="450"/>
      <c r="E359" s="450"/>
      <c r="F359" s="450"/>
      <c r="G359" s="450"/>
      <c r="H359" s="450"/>
      <c r="I359" s="450"/>
      <c r="J359" s="450"/>
      <c r="K359" s="450"/>
      <c r="L359" s="450"/>
      <c r="M359" s="450"/>
      <c r="N359" s="450"/>
      <c r="O359" s="450"/>
      <c r="P359" s="450"/>
      <c r="Q359" s="450"/>
      <c r="R359" s="450"/>
      <c r="S359" s="450"/>
      <c r="T359" s="450"/>
      <c r="U359" s="450"/>
      <c r="V359" s="450"/>
      <c r="W359" s="450"/>
      <c r="X359" s="450"/>
      <c r="Y359" s="450"/>
      <c r="Z359" s="450"/>
      <c r="AA359" s="450"/>
      <c r="AB359" s="450"/>
      <c r="AC359" s="450"/>
      <c r="AD359" s="450"/>
      <c r="AE359" s="450"/>
      <c r="AF359" s="450"/>
      <c r="AG359" s="450"/>
      <c r="AH359" s="450"/>
      <c r="AI359" s="450"/>
      <c r="AJ359" s="450"/>
      <c r="AK359" s="450"/>
      <c r="AL359" s="450"/>
      <c r="AM359" s="450"/>
      <c r="AN359" s="450"/>
      <c r="AO359" s="450"/>
      <c r="AP359" s="450"/>
      <c r="AQ359" s="450"/>
      <c r="AR359" s="450"/>
      <c r="AS359" s="450"/>
      <c r="AT359" s="450"/>
      <c r="AU359" s="450"/>
      <c r="AV359" s="450"/>
      <c r="AW359" s="450"/>
      <c r="AX359" s="450"/>
      <c r="AY359" s="450"/>
      <c r="AZ359" s="450"/>
      <c r="BA359" s="450"/>
      <c r="BB359" s="450"/>
      <c r="BC359" s="450"/>
      <c r="BD359" s="450"/>
      <c r="BE359" s="450"/>
      <c r="BF359" s="450"/>
      <c r="BG359" s="450"/>
      <c r="BH359" s="450"/>
      <c r="BI359" s="450"/>
      <c r="BJ359" s="450"/>
      <c r="BK359" s="450"/>
      <c r="BL359" s="450"/>
      <c r="BM359" s="450"/>
    </row>
    <row r="360" spans="1:65" ht="11.15">
      <c r="A360" s="450"/>
      <c r="B360" s="450"/>
      <c r="C360" s="450"/>
      <c r="D360" s="450"/>
      <c r="E360" s="450"/>
      <c r="F360" s="450"/>
      <c r="G360" s="450"/>
      <c r="H360" s="450"/>
      <c r="I360" s="450"/>
      <c r="J360" s="450"/>
      <c r="K360" s="450"/>
      <c r="L360" s="450"/>
      <c r="M360" s="450"/>
      <c r="N360" s="450"/>
      <c r="O360" s="450"/>
      <c r="P360" s="450"/>
      <c r="Q360" s="450"/>
      <c r="R360" s="450"/>
      <c r="S360" s="450"/>
      <c r="T360" s="450"/>
      <c r="U360" s="450"/>
      <c r="V360" s="450"/>
      <c r="W360" s="450"/>
      <c r="X360" s="450"/>
      <c r="Y360" s="450"/>
      <c r="Z360" s="450"/>
      <c r="AA360" s="450"/>
      <c r="AB360" s="450"/>
      <c r="AC360" s="450"/>
      <c r="AD360" s="450"/>
      <c r="AE360" s="450"/>
      <c r="AF360" s="450"/>
      <c r="AG360" s="450"/>
      <c r="AH360" s="450"/>
      <c r="AI360" s="450"/>
      <c r="AJ360" s="450"/>
      <c r="AK360" s="450"/>
      <c r="AL360" s="450"/>
      <c r="AM360" s="450"/>
      <c r="AN360" s="450"/>
      <c r="AO360" s="450"/>
      <c r="AP360" s="450"/>
      <c r="AQ360" s="450"/>
      <c r="AR360" s="450"/>
      <c r="AS360" s="450"/>
      <c r="AT360" s="450"/>
      <c r="AU360" s="450"/>
      <c r="AV360" s="450"/>
      <c r="AW360" s="450"/>
      <c r="AX360" s="450"/>
      <c r="AY360" s="450"/>
      <c r="AZ360" s="450"/>
      <c r="BA360" s="450"/>
      <c r="BB360" s="450"/>
      <c r="BC360" s="450"/>
      <c r="BD360" s="450"/>
      <c r="BE360" s="450"/>
      <c r="BF360" s="450"/>
      <c r="BG360" s="450"/>
      <c r="BH360" s="450"/>
      <c r="BI360" s="450"/>
      <c r="BJ360" s="450"/>
      <c r="BK360" s="450"/>
      <c r="BL360" s="450"/>
      <c r="BM360" s="450"/>
    </row>
    <row r="361" spans="1:65" ht="11.15">
      <c r="A361" s="450"/>
      <c r="B361" s="450"/>
      <c r="C361" s="450"/>
      <c r="D361" s="450"/>
      <c r="E361" s="450"/>
      <c r="F361" s="450"/>
      <c r="G361" s="450"/>
      <c r="H361" s="450"/>
      <c r="I361" s="450"/>
      <c r="J361" s="450"/>
      <c r="K361" s="450"/>
      <c r="L361" s="450"/>
      <c r="M361" s="450"/>
      <c r="N361" s="450"/>
      <c r="O361" s="450"/>
      <c r="P361" s="450"/>
      <c r="Q361" s="450"/>
      <c r="R361" s="450"/>
      <c r="S361" s="450"/>
      <c r="T361" s="450"/>
      <c r="U361" s="450"/>
      <c r="V361" s="450"/>
      <c r="W361" s="450"/>
      <c r="X361" s="450"/>
      <c r="Y361" s="450"/>
      <c r="Z361" s="450"/>
      <c r="AA361" s="450"/>
      <c r="AB361" s="450"/>
      <c r="AC361" s="450"/>
      <c r="AD361" s="450"/>
      <c r="AE361" s="450"/>
      <c r="AF361" s="450"/>
      <c r="AG361" s="450"/>
      <c r="AH361" s="450"/>
      <c r="AI361" s="450"/>
      <c r="AJ361" s="450"/>
      <c r="AK361" s="450"/>
      <c r="AL361" s="450"/>
      <c r="AM361" s="450"/>
      <c r="AN361" s="450"/>
      <c r="AO361" s="450"/>
      <c r="AP361" s="450"/>
      <c r="AQ361" s="450"/>
      <c r="AR361" s="450"/>
      <c r="AS361" s="450"/>
      <c r="AT361" s="450"/>
      <c r="AU361" s="450"/>
      <c r="AV361" s="450"/>
      <c r="AW361" s="450"/>
      <c r="AX361" s="450"/>
      <c r="AY361" s="450"/>
      <c r="AZ361" s="450"/>
      <c r="BA361" s="450"/>
      <c r="BB361" s="450"/>
      <c r="BC361" s="450"/>
      <c r="BD361" s="450"/>
      <c r="BE361" s="450"/>
      <c r="BF361" s="450"/>
      <c r="BG361" s="450"/>
      <c r="BH361" s="450"/>
      <c r="BI361" s="450"/>
      <c r="BJ361" s="450"/>
      <c r="BK361" s="450"/>
      <c r="BL361" s="450"/>
      <c r="BM361" s="450"/>
    </row>
    <row r="362" spans="1:65" ht="11.15">
      <c r="A362" s="450"/>
      <c r="B362" s="450"/>
      <c r="C362" s="450"/>
      <c r="D362" s="450"/>
      <c r="E362" s="450"/>
      <c r="F362" s="450"/>
      <c r="G362" s="450"/>
      <c r="H362" s="450"/>
      <c r="I362" s="450"/>
      <c r="J362" s="450"/>
      <c r="K362" s="450"/>
      <c r="L362" s="450"/>
      <c r="M362" s="450"/>
      <c r="N362" s="450"/>
      <c r="O362" s="450"/>
      <c r="P362" s="450"/>
      <c r="Q362" s="450"/>
      <c r="R362" s="450"/>
      <c r="S362" s="450"/>
      <c r="T362" s="450"/>
      <c r="U362" s="450"/>
      <c r="V362" s="450"/>
      <c r="W362" s="450"/>
      <c r="X362" s="450"/>
      <c r="Y362" s="450"/>
      <c r="Z362" s="450"/>
      <c r="AA362" s="450"/>
      <c r="AB362" s="450"/>
      <c r="AC362" s="450"/>
      <c r="AD362" s="450"/>
      <c r="AE362" s="450"/>
      <c r="AF362" s="450"/>
      <c r="AG362" s="450"/>
      <c r="AH362" s="450"/>
      <c r="AI362" s="450"/>
      <c r="AJ362" s="450"/>
      <c r="AK362" s="450"/>
      <c r="AL362" s="450"/>
      <c r="AM362" s="450"/>
      <c r="AN362" s="450"/>
      <c r="AO362" s="450"/>
      <c r="AP362" s="450"/>
      <c r="AQ362" s="450"/>
      <c r="AR362" s="450"/>
      <c r="AS362" s="450"/>
      <c r="AT362" s="450"/>
      <c r="AU362" s="450"/>
      <c r="AV362" s="450"/>
      <c r="AW362" s="450"/>
      <c r="AX362" s="450"/>
      <c r="AY362" s="450"/>
      <c r="AZ362" s="450"/>
      <c r="BA362" s="450"/>
      <c r="BB362" s="450"/>
      <c r="BC362" s="450"/>
      <c r="BD362" s="450"/>
      <c r="BE362" s="450"/>
      <c r="BF362" s="450"/>
      <c r="BG362" s="450"/>
      <c r="BH362" s="450"/>
      <c r="BI362" s="450"/>
      <c r="BJ362" s="450"/>
      <c r="BK362" s="450"/>
      <c r="BL362" s="450"/>
      <c r="BM362" s="450"/>
    </row>
    <row r="363" spans="1:65" ht="11.15">
      <c r="A363" s="450"/>
      <c r="B363" s="450"/>
      <c r="C363" s="450"/>
      <c r="D363" s="450"/>
      <c r="E363" s="450"/>
      <c r="F363" s="450"/>
      <c r="G363" s="450"/>
      <c r="H363" s="450"/>
      <c r="I363" s="450"/>
      <c r="J363" s="450"/>
      <c r="K363" s="450"/>
      <c r="L363" s="450"/>
      <c r="M363" s="450"/>
      <c r="N363" s="450"/>
      <c r="O363" s="450"/>
      <c r="P363" s="450"/>
      <c r="Q363" s="450"/>
      <c r="R363" s="450"/>
      <c r="S363" s="450"/>
      <c r="T363" s="450"/>
      <c r="U363" s="450"/>
      <c r="V363" s="450"/>
      <c r="W363" s="450"/>
      <c r="X363" s="450"/>
      <c r="Y363" s="450"/>
      <c r="Z363" s="450"/>
      <c r="AA363" s="450"/>
      <c r="AB363" s="450"/>
      <c r="AC363" s="450"/>
      <c r="AD363" s="450"/>
      <c r="AE363" s="450"/>
      <c r="AF363" s="450"/>
      <c r="AG363" s="450"/>
      <c r="AH363" s="450"/>
      <c r="AI363" s="450"/>
      <c r="AJ363" s="450"/>
      <c r="AK363" s="450"/>
      <c r="AL363" s="450"/>
      <c r="AM363" s="450"/>
      <c r="AN363" s="450"/>
      <c r="AO363" s="450"/>
      <c r="AP363" s="450"/>
      <c r="AQ363" s="450"/>
      <c r="AR363" s="450"/>
      <c r="AS363" s="450"/>
      <c r="AT363" s="450"/>
      <c r="AU363" s="450"/>
      <c r="AV363" s="450"/>
      <c r="AW363" s="450"/>
      <c r="AX363" s="450"/>
      <c r="AY363" s="450"/>
      <c r="AZ363" s="450"/>
      <c r="BA363" s="450"/>
      <c r="BB363" s="450"/>
      <c r="BC363" s="450"/>
      <c r="BD363" s="450"/>
      <c r="BE363" s="450"/>
      <c r="BF363" s="450"/>
      <c r="BG363" s="450"/>
      <c r="BH363" s="450"/>
      <c r="BI363" s="450"/>
      <c r="BJ363" s="450"/>
      <c r="BK363" s="450"/>
      <c r="BL363" s="450"/>
      <c r="BM363" s="450"/>
    </row>
    <row r="364" spans="1:65" ht="11.15">
      <c r="A364" s="450"/>
      <c r="B364" s="450"/>
      <c r="C364" s="450"/>
      <c r="D364" s="450"/>
      <c r="E364" s="450"/>
      <c r="F364" s="450"/>
      <c r="G364" s="450"/>
      <c r="H364" s="450"/>
      <c r="I364" s="450"/>
      <c r="J364" s="450"/>
      <c r="K364" s="450"/>
      <c r="L364" s="450"/>
      <c r="M364" s="450"/>
      <c r="N364" s="450"/>
      <c r="O364" s="450"/>
      <c r="P364" s="450"/>
      <c r="Q364" s="450"/>
      <c r="R364" s="450"/>
      <c r="S364" s="450"/>
      <c r="T364" s="450"/>
      <c r="U364" s="450"/>
      <c r="V364" s="450"/>
      <c r="W364" s="450"/>
      <c r="X364" s="450"/>
      <c r="Y364" s="450"/>
      <c r="Z364" s="450"/>
      <c r="AA364" s="450"/>
      <c r="AB364" s="450"/>
      <c r="AC364" s="450"/>
      <c r="AD364" s="450"/>
      <c r="AE364" s="450"/>
      <c r="AF364" s="450"/>
      <c r="AG364" s="450"/>
      <c r="AH364" s="450"/>
      <c r="AI364" s="450"/>
      <c r="AJ364" s="450"/>
      <c r="AK364" s="450"/>
      <c r="AL364" s="450"/>
      <c r="AM364" s="450"/>
      <c r="AN364" s="450"/>
      <c r="AO364" s="450"/>
      <c r="AP364" s="450"/>
      <c r="AQ364" s="450"/>
      <c r="AR364" s="450"/>
      <c r="AS364" s="450"/>
      <c r="AT364" s="450"/>
      <c r="AU364" s="450"/>
      <c r="AV364" s="450"/>
      <c r="AW364" s="450"/>
      <c r="AX364" s="450"/>
      <c r="AY364" s="450"/>
      <c r="AZ364" s="450"/>
      <c r="BA364" s="450"/>
      <c r="BB364" s="450"/>
      <c r="BC364" s="450"/>
      <c r="BD364" s="450"/>
      <c r="BE364" s="450"/>
      <c r="BF364" s="450"/>
      <c r="BG364" s="450"/>
      <c r="BH364" s="450"/>
      <c r="BI364" s="450"/>
      <c r="BJ364" s="450"/>
      <c r="BK364" s="450"/>
      <c r="BL364" s="450"/>
      <c r="BM364" s="450"/>
    </row>
    <row r="365" spans="1:65" ht="11.15">
      <c r="A365" s="450"/>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c r="Z365" s="450"/>
      <c r="AA365" s="450"/>
      <c r="AB365" s="450"/>
      <c r="AC365" s="450"/>
      <c r="AD365" s="450"/>
      <c r="AE365" s="450"/>
      <c r="AF365" s="450"/>
      <c r="AG365" s="450"/>
      <c r="AH365" s="450"/>
      <c r="AI365" s="450"/>
      <c r="AJ365" s="450"/>
      <c r="AK365" s="450"/>
      <c r="AL365" s="450"/>
      <c r="AM365" s="450"/>
      <c r="AN365" s="450"/>
      <c r="AO365" s="450"/>
      <c r="AP365" s="450"/>
      <c r="AQ365" s="450"/>
      <c r="AR365" s="450"/>
      <c r="AS365" s="450"/>
      <c r="AT365" s="450"/>
      <c r="AU365" s="450"/>
      <c r="AV365" s="450"/>
      <c r="AW365" s="450"/>
      <c r="AX365" s="450"/>
      <c r="AY365" s="450"/>
      <c r="AZ365" s="450"/>
      <c r="BA365" s="450"/>
      <c r="BB365" s="450"/>
      <c r="BC365" s="450"/>
      <c r="BD365" s="450"/>
      <c r="BE365" s="450"/>
      <c r="BF365" s="450"/>
      <c r="BG365" s="450"/>
      <c r="BH365" s="450"/>
      <c r="BI365" s="450"/>
      <c r="BJ365" s="450"/>
      <c r="BK365" s="450"/>
      <c r="BL365" s="450"/>
      <c r="BM365" s="450"/>
    </row>
    <row r="366" spans="1:65" ht="11.15">
      <c r="A366" s="450"/>
      <c r="B366" s="450"/>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c r="Z366" s="450"/>
      <c r="AA366" s="450"/>
      <c r="AB366" s="450"/>
      <c r="AC366" s="450"/>
      <c r="AD366" s="450"/>
      <c r="AE366" s="450"/>
      <c r="AF366" s="450"/>
      <c r="AG366" s="450"/>
      <c r="AH366" s="450"/>
      <c r="AI366" s="450"/>
      <c r="AJ366" s="450"/>
      <c r="AK366" s="450"/>
      <c r="AL366" s="450"/>
      <c r="AM366" s="450"/>
      <c r="AN366" s="450"/>
      <c r="AO366" s="450"/>
      <c r="AP366" s="450"/>
      <c r="AQ366" s="450"/>
      <c r="AR366" s="450"/>
      <c r="AS366" s="450"/>
      <c r="AT366" s="450"/>
      <c r="AU366" s="450"/>
      <c r="AV366" s="450"/>
      <c r="AW366" s="450"/>
      <c r="AX366" s="450"/>
      <c r="AY366" s="450"/>
      <c r="AZ366" s="450"/>
      <c r="BA366" s="450"/>
      <c r="BB366" s="450"/>
      <c r="BC366" s="450"/>
      <c r="BD366" s="450"/>
      <c r="BE366" s="450"/>
      <c r="BF366" s="450"/>
      <c r="BG366" s="450"/>
      <c r="BH366" s="450"/>
      <c r="BI366" s="450"/>
      <c r="BJ366" s="450"/>
      <c r="BK366" s="450"/>
      <c r="BL366" s="450"/>
      <c r="BM366" s="450"/>
    </row>
    <row r="367" spans="1:65" ht="11.15">
      <c r="A367" s="450"/>
      <c r="B367" s="450"/>
      <c r="C367" s="450"/>
      <c r="D367" s="450"/>
      <c r="E367" s="450"/>
      <c r="F367" s="450"/>
      <c r="G367" s="450"/>
      <c r="H367" s="450"/>
      <c r="I367" s="450"/>
      <c r="J367" s="450"/>
      <c r="K367" s="450"/>
      <c r="L367" s="450"/>
      <c r="M367" s="450"/>
      <c r="N367" s="450"/>
      <c r="O367" s="450"/>
      <c r="P367" s="450"/>
      <c r="Q367" s="450"/>
      <c r="R367" s="450"/>
      <c r="S367" s="450"/>
      <c r="T367" s="450"/>
      <c r="U367" s="450"/>
      <c r="V367" s="450"/>
      <c r="W367" s="450"/>
      <c r="X367" s="450"/>
      <c r="Y367" s="450"/>
      <c r="Z367" s="450"/>
      <c r="AA367" s="450"/>
      <c r="AB367" s="450"/>
      <c r="AC367" s="450"/>
      <c r="AD367" s="450"/>
      <c r="AE367" s="450"/>
      <c r="AF367" s="450"/>
      <c r="AG367" s="450"/>
      <c r="AH367" s="450"/>
      <c r="AI367" s="450"/>
      <c r="AJ367" s="450"/>
      <c r="AK367" s="450"/>
      <c r="AL367" s="450"/>
      <c r="AM367" s="450"/>
      <c r="AN367" s="450"/>
      <c r="AO367" s="450"/>
      <c r="AP367" s="450"/>
      <c r="AQ367" s="450"/>
      <c r="AR367" s="450"/>
      <c r="AS367" s="450"/>
      <c r="AT367" s="450"/>
      <c r="AU367" s="450"/>
      <c r="AV367" s="450"/>
      <c r="AW367" s="450"/>
      <c r="AX367" s="450"/>
      <c r="AY367" s="450"/>
      <c r="AZ367" s="450"/>
      <c r="BA367" s="450"/>
      <c r="BB367" s="450"/>
      <c r="BC367" s="450"/>
      <c r="BD367" s="450"/>
      <c r="BE367" s="450"/>
      <c r="BF367" s="450"/>
      <c r="BG367" s="450"/>
      <c r="BH367" s="450"/>
      <c r="BI367" s="450"/>
      <c r="BJ367" s="450"/>
      <c r="BK367" s="450"/>
      <c r="BL367" s="450"/>
      <c r="BM367" s="450"/>
    </row>
    <row r="368" spans="1:65" ht="11.15">
      <c r="A368" s="450"/>
      <c r="B368" s="450"/>
      <c r="C368" s="450"/>
      <c r="D368" s="450"/>
      <c r="E368" s="450"/>
      <c r="F368" s="450"/>
      <c r="G368" s="450"/>
      <c r="H368" s="450"/>
      <c r="I368" s="450"/>
      <c r="J368" s="450"/>
      <c r="K368" s="450"/>
      <c r="L368" s="450"/>
      <c r="M368" s="450"/>
      <c r="N368" s="450"/>
      <c r="O368" s="450"/>
      <c r="P368" s="450"/>
      <c r="Q368" s="450"/>
      <c r="R368" s="450"/>
      <c r="S368" s="450"/>
      <c r="T368" s="450"/>
      <c r="U368" s="450"/>
      <c r="V368" s="450"/>
      <c r="W368" s="450"/>
      <c r="X368" s="450"/>
      <c r="Y368" s="450"/>
      <c r="Z368" s="450"/>
      <c r="AA368" s="450"/>
      <c r="AB368" s="450"/>
      <c r="AC368" s="450"/>
      <c r="AD368" s="450"/>
      <c r="AE368" s="450"/>
      <c r="AF368" s="450"/>
      <c r="AG368" s="450"/>
      <c r="AH368" s="450"/>
      <c r="AI368" s="450"/>
      <c r="AJ368" s="450"/>
      <c r="AK368" s="450"/>
      <c r="AL368" s="450"/>
      <c r="AM368" s="450"/>
      <c r="AN368" s="450"/>
      <c r="AO368" s="450"/>
      <c r="AP368" s="450"/>
      <c r="AQ368" s="450"/>
      <c r="AR368" s="450"/>
      <c r="AS368" s="450"/>
      <c r="AT368" s="450"/>
      <c r="AU368" s="450"/>
      <c r="AV368" s="450"/>
      <c r="AW368" s="450"/>
      <c r="AX368" s="450"/>
      <c r="AY368" s="450"/>
      <c r="AZ368" s="450"/>
      <c r="BA368" s="450"/>
      <c r="BB368" s="450"/>
      <c r="BC368" s="450"/>
      <c r="BD368" s="450"/>
      <c r="BE368" s="450"/>
      <c r="BF368" s="450"/>
      <c r="BG368" s="450"/>
      <c r="BH368" s="450"/>
      <c r="BI368" s="450"/>
      <c r="BJ368" s="450"/>
      <c r="BK368" s="450"/>
      <c r="BL368" s="450"/>
      <c r="BM368" s="450"/>
    </row>
    <row r="369" spans="1:65" ht="11.15">
      <c r="A369" s="450"/>
      <c r="B369" s="450"/>
      <c r="C369" s="450"/>
      <c r="D369" s="450"/>
      <c r="E369" s="450"/>
      <c r="F369" s="450"/>
      <c r="G369" s="450"/>
      <c r="H369" s="450"/>
      <c r="I369" s="450"/>
      <c r="J369" s="450"/>
      <c r="K369" s="450"/>
      <c r="L369" s="450"/>
      <c r="M369" s="450"/>
      <c r="N369" s="450"/>
      <c r="O369" s="450"/>
      <c r="P369" s="450"/>
      <c r="Q369" s="450"/>
      <c r="R369" s="450"/>
      <c r="S369" s="450"/>
      <c r="T369" s="450"/>
      <c r="U369" s="450"/>
      <c r="V369" s="450"/>
      <c r="W369" s="450"/>
      <c r="X369" s="450"/>
      <c r="Y369" s="450"/>
      <c r="Z369" s="450"/>
      <c r="AA369" s="450"/>
      <c r="AB369" s="450"/>
      <c r="AC369" s="450"/>
      <c r="AD369" s="450"/>
      <c r="AE369" s="450"/>
      <c r="AF369" s="450"/>
      <c r="AG369" s="450"/>
      <c r="AH369" s="450"/>
      <c r="AI369" s="450"/>
      <c r="AJ369" s="450"/>
      <c r="AK369" s="450"/>
      <c r="AL369" s="450"/>
      <c r="AM369" s="450"/>
      <c r="AN369" s="450"/>
      <c r="AO369" s="450"/>
      <c r="AP369" s="450"/>
      <c r="AQ369" s="450"/>
      <c r="AR369" s="450"/>
      <c r="AS369" s="450"/>
      <c r="AT369" s="450"/>
      <c r="AU369" s="450"/>
      <c r="AV369" s="450"/>
      <c r="AW369" s="450"/>
      <c r="AX369" s="450"/>
      <c r="AY369" s="450"/>
      <c r="AZ369" s="450"/>
      <c r="BA369" s="450"/>
      <c r="BB369" s="450"/>
      <c r="BC369" s="450"/>
      <c r="BD369" s="450"/>
      <c r="BE369" s="450"/>
      <c r="BF369" s="450"/>
      <c r="BG369" s="450"/>
      <c r="BH369" s="450"/>
      <c r="BI369" s="450"/>
      <c r="BJ369" s="450"/>
      <c r="BK369" s="450"/>
      <c r="BL369" s="450"/>
      <c r="BM369" s="450"/>
    </row>
    <row r="370" spans="1:65" ht="11.15">
      <c r="A370" s="450"/>
      <c r="B370" s="450"/>
      <c r="C370" s="450"/>
      <c r="D370" s="450"/>
      <c r="E370" s="450"/>
      <c r="F370" s="450"/>
      <c r="G370" s="450"/>
      <c r="H370" s="450"/>
      <c r="I370" s="450"/>
      <c r="J370" s="450"/>
      <c r="K370" s="450"/>
      <c r="L370" s="450"/>
      <c r="M370" s="450"/>
      <c r="N370" s="450"/>
      <c r="O370" s="450"/>
      <c r="P370" s="450"/>
      <c r="Q370" s="450"/>
      <c r="R370" s="450"/>
      <c r="S370" s="450"/>
      <c r="T370" s="450"/>
      <c r="U370" s="450"/>
      <c r="V370" s="450"/>
      <c r="W370" s="450"/>
      <c r="X370" s="450"/>
      <c r="Y370" s="450"/>
      <c r="Z370" s="450"/>
      <c r="AA370" s="450"/>
      <c r="AB370" s="450"/>
      <c r="AC370" s="450"/>
      <c r="AD370" s="450"/>
      <c r="AE370" s="450"/>
      <c r="AF370" s="450"/>
      <c r="AG370" s="450"/>
      <c r="AH370" s="450"/>
      <c r="AI370" s="450"/>
      <c r="AJ370" s="450"/>
      <c r="AK370" s="450"/>
      <c r="AL370" s="450"/>
      <c r="AM370" s="450"/>
      <c r="AN370" s="450"/>
      <c r="AO370" s="450"/>
      <c r="AP370" s="450"/>
      <c r="AQ370" s="450"/>
      <c r="AR370" s="450"/>
      <c r="AS370" s="450"/>
      <c r="AT370" s="450"/>
      <c r="AU370" s="450"/>
      <c r="AV370" s="450"/>
      <c r="AW370" s="450"/>
      <c r="AX370" s="450"/>
      <c r="AY370" s="450"/>
      <c r="AZ370" s="450"/>
      <c r="BA370" s="450"/>
      <c r="BB370" s="450"/>
      <c r="BC370" s="450"/>
      <c r="BD370" s="450"/>
      <c r="BE370" s="450"/>
      <c r="BF370" s="450"/>
      <c r="BG370" s="450"/>
      <c r="BH370" s="450"/>
      <c r="BI370" s="450"/>
      <c r="BJ370" s="450"/>
      <c r="BK370" s="450"/>
      <c r="BL370" s="450"/>
      <c r="BM370" s="450"/>
    </row>
    <row r="371" spans="1:65" ht="11.15">
      <c r="A371" s="450"/>
      <c r="B371" s="450"/>
      <c r="C371" s="450"/>
      <c r="D371" s="450"/>
      <c r="E371" s="450"/>
      <c r="F371" s="450"/>
      <c r="G371" s="450"/>
      <c r="H371" s="450"/>
      <c r="I371" s="450"/>
      <c r="J371" s="450"/>
      <c r="K371" s="450"/>
      <c r="L371" s="450"/>
      <c r="M371" s="450"/>
      <c r="N371" s="450"/>
      <c r="O371" s="450"/>
      <c r="P371" s="450"/>
      <c r="Q371" s="450"/>
      <c r="R371" s="450"/>
      <c r="S371" s="450"/>
      <c r="T371" s="450"/>
      <c r="U371" s="450"/>
      <c r="V371" s="450"/>
      <c r="W371" s="450"/>
      <c r="X371" s="450"/>
      <c r="Y371" s="450"/>
      <c r="Z371" s="450"/>
      <c r="AA371" s="450"/>
      <c r="AB371" s="450"/>
      <c r="AC371" s="450"/>
      <c r="AD371" s="450"/>
      <c r="AE371" s="450"/>
      <c r="AF371" s="450"/>
      <c r="AG371" s="450"/>
      <c r="AH371" s="450"/>
      <c r="AI371" s="450"/>
      <c r="AJ371" s="450"/>
      <c r="AK371" s="450"/>
      <c r="AL371" s="450"/>
      <c r="AM371" s="450"/>
      <c r="AN371" s="450"/>
      <c r="AO371" s="450"/>
      <c r="AP371" s="450"/>
      <c r="AQ371" s="450"/>
      <c r="AR371" s="450"/>
      <c r="AS371" s="450"/>
      <c r="AT371" s="450"/>
      <c r="AU371" s="450"/>
      <c r="AV371" s="450"/>
      <c r="AW371" s="450"/>
      <c r="AX371" s="450"/>
      <c r="AY371" s="450"/>
      <c r="AZ371" s="450"/>
      <c r="BA371" s="450"/>
      <c r="BB371" s="450"/>
      <c r="BC371" s="450"/>
      <c r="BD371" s="450"/>
      <c r="BE371" s="450"/>
      <c r="BF371" s="450"/>
      <c r="BG371" s="450"/>
      <c r="BH371" s="450"/>
      <c r="BI371" s="450"/>
      <c r="BJ371" s="450"/>
      <c r="BK371" s="450"/>
      <c r="BL371" s="450"/>
      <c r="BM371" s="450"/>
    </row>
    <row r="372" spans="1:65" ht="11.15">
      <c r="A372" s="450"/>
      <c r="B372" s="450"/>
      <c r="C372" s="450"/>
      <c r="D372" s="450"/>
      <c r="E372" s="450"/>
      <c r="F372" s="450"/>
      <c r="G372" s="450"/>
      <c r="H372" s="450"/>
      <c r="I372" s="450"/>
      <c r="J372" s="450"/>
      <c r="K372" s="450"/>
      <c r="L372" s="450"/>
      <c r="M372" s="450"/>
      <c r="N372" s="450"/>
      <c r="O372" s="450"/>
      <c r="P372" s="450"/>
      <c r="Q372" s="450"/>
      <c r="R372" s="450"/>
      <c r="S372" s="450"/>
      <c r="T372" s="450"/>
      <c r="U372" s="450"/>
      <c r="V372" s="450"/>
      <c r="W372" s="450"/>
      <c r="X372" s="450"/>
      <c r="Y372" s="450"/>
      <c r="Z372" s="450"/>
      <c r="AA372" s="450"/>
      <c r="AB372" s="450"/>
      <c r="AC372" s="450"/>
      <c r="AD372" s="450"/>
      <c r="AE372" s="450"/>
      <c r="AF372" s="450"/>
      <c r="AG372" s="450"/>
      <c r="AH372" s="450"/>
      <c r="AI372" s="450"/>
      <c r="AJ372" s="450"/>
      <c r="AK372" s="450"/>
      <c r="AL372" s="450"/>
      <c r="AM372" s="450"/>
      <c r="AN372" s="450"/>
      <c r="AO372" s="450"/>
      <c r="AP372" s="450"/>
      <c r="AQ372" s="450"/>
      <c r="AR372" s="450"/>
      <c r="AS372" s="450"/>
      <c r="AT372" s="450"/>
      <c r="AU372" s="450"/>
      <c r="AV372" s="450"/>
      <c r="AW372" s="450"/>
      <c r="AX372" s="450"/>
      <c r="AY372" s="450"/>
      <c r="AZ372" s="450"/>
      <c r="BA372" s="450"/>
      <c r="BB372" s="450"/>
      <c r="BC372" s="450"/>
      <c r="BD372" s="450"/>
      <c r="BE372" s="450"/>
      <c r="BF372" s="450"/>
      <c r="BG372" s="450"/>
      <c r="BH372" s="450"/>
      <c r="BI372" s="450"/>
      <c r="BJ372" s="450"/>
      <c r="BK372" s="450"/>
      <c r="BL372" s="450"/>
      <c r="BM372" s="450"/>
    </row>
    <row r="373" spans="1:65" ht="11.15">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c r="Z373" s="450"/>
      <c r="AA373" s="450"/>
      <c r="AB373" s="450"/>
      <c r="AC373" s="450"/>
      <c r="AD373" s="450"/>
      <c r="AE373" s="450"/>
      <c r="AF373" s="450"/>
      <c r="AG373" s="450"/>
      <c r="AH373" s="450"/>
      <c r="AI373" s="450"/>
      <c r="AJ373" s="450"/>
      <c r="AK373" s="450"/>
      <c r="AL373" s="450"/>
      <c r="AM373" s="450"/>
      <c r="AN373" s="450"/>
      <c r="AO373" s="450"/>
      <c r="AP373" s="450"/>
      <c r="AQ373" s="450"/>
      <c r="AR373" s="450"/>
      <c r="AS373" s="450"/>
      <c r="AT373" s="450"/>
      <c r="AU373" s="450"/>
      <c r="AV373" s="450"/>
      <c r="AW373" s="450"/>
      <c r="AX373" s="450"/>
      <c r="AY373" s="450"/>
      <c r="AZ373" s="450"/>
      <c r="BA373" s="450"/>
      <c r="BB373" s="450"/>
      <c r="BC373" s="450"/>
      <c r="BD373" s="450"/>
      <c r="BE373" s="450"/>
      <c r="BF373" s="450"/>
      <c r="BG373" s="450"/>
      <c r="BH373" s="450"/>
      <c r="BI373" s="450"/>
      <c r="BJ373" s="450"/>
      <c r="BK373" s="450"/>
      <c r="BL373" s="450"/>
      <c r="BM373" s="450"/>
    </row>
    <row r="374" spans="1:65" ht="11.15">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c r="Z374" s="450"/>
      <c r="AA374" s="450"/>
      <c r="AB374" s="450"/>
      <c r="AC374" s="450"/>
      <c r="AD374" s="450"/>
      <c r="AE374" s="450"/>
      <c r="AF374" s="450"/>
      <c r="AG374" s="450"/>
      <c r="AH374" s="450"/>
      <c r="AI374" s="450"/>
      <c r="AJ374" s="450"/>
      <c r="AK374" s="450"/>
      <c r="AL374" s="450"/>
      <c r="AM374" s="450"/>
      <c r="AN374" s="450"/>
      <c r="AO374" s="450"/>
      <c r="AP374" s="450"/>
      <c r="AQ374" s="450"/>
      <c r="AR374" s="450"/>
      <c r="AS374" s="450"/>
      <c r="AT374" s="450"/>
      <c r="AU374" s="450"/>
      <c r="AV374" s="450"/>
      <c r="AW374" s="450"/>
      <c r="AX374" s="450"/>
      <c r="AY374" s="450"/>
      <c r="AZ374" s="450"/>
      <c r="BA374" s="450"/>
      <c r="BB374" s="450"/>
      <c r="BC374" s="450"/>
      <c r="BD374" s="450"/>
      <c r="BE374" s="450"/>
      <c r="BF374" s="450"/>
      <c r="BG374" s="450"/>
      <c r="BH374" s="450"/>
      <c r="BI374" s="450"/>
      <c r="BJ374" s="450"/>
      <c r="BK374" s="450"/>
      <c r="BL374" s="450"/>
      <c r="BM374" s="450"/>
    </row>
    <row r="375" spans="1:65" ht="11.15">
      <c r="A375" s="450"/>
      <c r="B375" s="450"/>
      <c r="C375" s="450"/>
      <c r="D375" s="450"/>
      <c r="E375" s="450"/>
      <c r="F375" s="450"/>
      <c r="G375" s="450"/>
      <c r="H375" s="450"/>
      <c r="I375" s="450"/>
      <c r="J375" s="450"/>
      <c r="K375" s="450"/>
      <c r="L375" s="450"/>
      <c r="M375" s="450"/>
      <c r="N375" s="450"/>
      <c r="O375" s="450"/>
      <c r="P375" s="450"/>
      <c r="Q375" s="450"/>
      <c r="R375" s="450"/>
      <c r="S375" s="450"/>
      <c r="T375" s="450"/>
      <c r="U375" s="450"/>
      <c r="V375" s="450"/>
      <c r="W375" s="450"/>
      <c r="X375" s="450"/>
      <c r="Y375" s="450"/>
      <c r="Z375" s="450"/>
      <c r="AA375" s="450"/>
      <c r="AB375" s="450"/>
      <c r="AC375" s="450"/>
      <c r="AD375" s="450"/>
      <c r="AE375" s="450"/>
      <c r="AF375" s="450"/>
      <c r="AG375" s="450"/>
      <c r="AH375" s="450"/>
      <c r="AI375" s="450"/>
      <c r="AJ375" s="450"/>
      <c r="AK375" s="450"/>
      <c r="AL375" s="450"/>
      <c r="AM375" s="450"/>
      <c r="AN375" s="450"/>
      <c r="AO375" s="450"/>
      <c r="AP375" s="450"/>
      <c r="AQ375" s="450"/>
      <c r="AR375" s="450"/>
      <c r="AS375" s="450"/>
      <c r="AT375" s="450"/>
      <c r="AU375" s="450"/>
      <c r="AV375" s="450"/>
      <c r="AW375" s="450"/>
      <c r="AX375" s="450"/>
      <c r="AY375" s="450"/>
      <c r="AZ375" s="450"/>
      <c r="BA375" s="450"/>
      <c r="BB375" s="450"/>
      <c r="BC375" s="450"/>
      <c r="BD375" s="450"/>
      <c r="BE375" s="450"/>
      <c r="BF375" s="450"/>
      <c r="BG375" s="450"/>
      <c r="BH375" s="450"/>
      <c r="BI375" s="450"/>
      <c r="BJ375" s="450"/>
      <c r="BK375" s="450"/>
      <c r="BL375" s="450"/>
      <c r="BM375" s="450"/>
    </row>
    <row r="376" spans="1:65" ht="11.15">
      <c r="A376" s="450"/>
      <c r="B376" s="450"/>
      <c r="C376" s="450"/>
      <c r="D376" s="450"/>
      <c r="E376" s="450"/>
      <c r="F376" s="450"/>
      <c r="G376" s="450"/>
      <c r="H376" s="450"/>
      <c r="I376" s="450"/>
      <c r="J376" s="450"/>
      <c r="K376" s="450"/>
      <c r="L376" s="450"/>
      <c r="M376" s="450"/>
      <c r="N376" s="450"/>
      <c r="O376" s="450"/>
      <c r="P376" s="450"/>
      <c r="Q376" s="450"/>
      <c r="R376" s="450"/>
      <c r="S376" s="450"/>
      <c r="T376" s="450"/>
      <c r="U376" s="450"/>
      <c r="V376" s="450"/>
      <c r="W376" s="450"/>
      <c r="X376" s="450"/>
      <c r="Y376" s="450"/>
      <c r="Z376" s="450"/>
      <c r="AA376" s="450"/>
      <c r="AB376" s="450"/>
      <c r="AC376" s="450"/>
      <c r="AD376" s="450"/>
      <c r="AE376" s="450"/>
      <c r="AF376" s="450"/>
      <c r="AG376" s="450"/>
      <c r="AH376" s="450"/>
      <c r="AI376" s="450"/>
      <c r="AJ376" s="450"/>
      <c r="AK376" s="450"/>
      <c r="AL376" s="450"/>
      <c r="AM376" s="450"/>
      <c r="AN376" s="450"/>
      <c r="AO376" s="450"/>
      <c r="AP376" s="450"/>
      <c r="AQ376" s="450"/>
      <c r="AR376" s="450"/>
      <c r="AS376" s="450"/>
      <c r="AT376" s="450"/>
      <c r="AU376" s="450"/>
      <c r="AV376" s="450"/>
      <c r="AW376" s="450"/>
      <c r="AX376" s="450"/>
      <c r="AY376" s="450"/>
      <c r="AZ376" s="450"/>
      <c r="BA376" s="450"/>
      <c r="BB376" s="450"/>
      <c r="BC376" s="450"/>
      <c r="BD376" s="450"/>
      <c r="BE376" s="450"/>
      <c r="BF376" s="450"/>
      <c r="BG376" s="450"/>
      <c r="BH376" s="450"/>
      <c r="BI376" s="450"/>
      <c r="BJ376" s="450"/>
      <c r="BK376" s="450"/>
      <c r="BL376" s="450"/>
      <c r="BM376" s="450"/>
    </row>
    <row r="377" spans="1:65" ht="11.15">
      <c r="A377" s="450"/>
      <c r="B377" s="450"/>
      <c r="C377" s="450"/>
      <c r="D377" s="450"/>
      <c r="E377" s="450"/>
      <c r="F377" s="450"/>
      <c r="G377" s="450"/>
      <c r="H377" s="450"/>
      <c r="I377" s="450"/>
      <c r="J377" s="450"/>
      <c r="K377" s="450"/>
      <c r="L377" s="450"/>
      <c r="M377" s="450"/>
      <c r="N377" s="450"/>
      <c r="O377" s="450"/>
      <c r="P377" s="450"/>
      <c r="Q377" s="450"/>
      <c r="R377" s="450"/>
      <c r="S377" s="450"/>
      <c r="T377" s="450"/>
      <c r="U377" s="450"/>
      <c r="V377" s="450"/>
      <c r="W377" s="450"/>
      <c r="X377" s="450"/>
      <c r="Y377" s="450"/>
      <c r="Z377" s="450"/>
      <c r="AA377" s="450"/>
      <c r="AB377" s="450"/>
      <c r="AC377" s="450"/>
      <c r="AD377" s="450"/>
      <c r="AE377" s="450"/>
      <c r="AF377" s="450"/>
      <c r="AG377" s="450"/>
      <c r="AH377" s="450"/>
      <c r="AI377" s="450"/>
      <c r="AJ377" s="450"/>
      <c r="AK377" s="450"/>
      <c r="AL377" s="450"/>
      <c r="AM377" s="450"/>
      <c r="AN377" s="450"/>
      <c r="AO377" s="450"/>
      <c r="AP377" s="450"/>
      <c r="AQ377" s="450"/>
      <c r="AR377" s="450"/>
      <c r="AS377" s="450"/>
      <c r="AT377" s="450"/>
      <c r="AU377" s="450"/>
      <c r="AV377" s="450"/>
      <c r="AW377" s="450"/>
      <c r="AX377" s="450"/>
      <c r="AY377" s="450"/>
      <c r="AZ377" s="450"/>
      <c r="BA377" s="450"/>
      <c r="BB377" s="450"/>
      <c r="BC377" s="450"/>
      <c r="BD377" s="450"/>
      <c r="BE377" s="450"/>
      <c r="BF377" s="450"/>
      <c r="BG377" s="450"/>
      <c r="BH377" s="450"/>
      <c r="BI377" s="450"/>
      <c r="BJ377" s="450"/>
      <c r="BK377" s="450"/>
      <c r="BL377" s="450"/>
      <c r="BM377" s="450"/>
    </row>
    <row r="378" spans="1:65" ht="11.15">
      <c r="A378" s="450"/>
      <c r="B378" s="450"/>
      <c r="C378" s="450"/>
      <c r="D378" s="450"/>
      <c r="E378" s="450"/>
      <c r="F378" s="450"/>
      <c r="G378" s="450"/>
      <c r="H378" s="450"/>
      <c r="I378" s="450"/>
      <c r="J378" s="450"/>
      <c r="K378" s="450"/>
      <c r="L378" s="450"/>
      <c r="M378" s="450"/>
      <c r="N378" s="450"/>
      <c r="O378" s="450"/>
      <c r="P378" s="450"/>
      <c r="Q378" s="450"/>
      <c r="R378" s="450"/>
      <c r="S378" s="450"/>
      <c r="T378" s="450"/>
      <c r="U378" s="450"/>
      <c r="V378" s="450"/>
      <c r="W378" s="450"/>
      <c r="X378" s="450"/>
      <c r="Y378" s="450"/>
      <c r="Z378" s="450"/>
      <c r="AA378" s="450"/>
      <c r="AB378" s="450"/>
      <c r="AC378" s="450"/>
      <c r="AD378" s="450"/>
      <c r="AE378" s="450"/>
      <c r="AF378" s="450"/>
      <c r="AG378" s="450"/>
      <c r="AH378" s="450"/>
      <c r="AI378" s="450"/>
      <c r="AJ378" s="450"/>
      <c r="AK378" s="450"/>
      <c r="AL378" s="450"/>
      <c r="AM378" s="450"/>
      <c r="AN378" s="450"/>
      <c r="AO378" s="450"/>
      <c r="AP378" s="450"/>
      <c r="AQ378" s="450"/>
      <c r="AR378" s="450"/>
      <c r="AS378" s="450"/>
      <c r="AT378" s="450"/>
      <c r="AU378" s="450"/>
      <c r="AV378" s="450"/>
      <c r="AW378" s="450"/>
      <c r="AX378" s="450"/>
      <c r="AY378" s="450"/>
      <c r="AZ378" s="450"/>
      <c r="BA378" s="450"/>
      <c r="BB378" s="450"/>
      <c r="BC378" s="450"/>
      <c r="BD378" s="450"/>
      <c r="BE378" s="450"/>
      <c r="BF378" s="450"/>
      <c r="BG378" s="450"/>
      <c r="BH378" s="450"/>
      <c r="BI378" s="450"/>
      <c r="BJ378" s="450"/>
      <c r="BK378" s="450"/>
      <c r="BL378" s="450"/>
      <c r="BM378" s="450"/>
    </row>
    <row r="379" spans="1:65" ht="11.15">
      <c r="A379" s="450"/>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c r="Z379" s="450"/>
      <c r="AA379" s="450"/>
      <c r="AB379" s="450"/>
      <c r="AC379" s="450"/>
      <c r="AD379" s="450"/>
      <c r="AE379" s="450"/>
      <c r="AF379" s="450"/>
      <c r="AG379" s="450"/>
      <c r="AH379" s="450"/>
      <c r="AI379" s="450"/>
      <c r="AJ379" s="450"/>
      <c r="AK379" s="450"/>
      <c r="AL379" s="450"/>
      <c r="AM379" s="450"/>
      <c r="AN379" s="450"/>
      <c r="AO379" s="450"/>
      <c r="AP379" s="450"/>
      <c r="AQ379" s="450"/>
      <c r="AR379" s="450"/>
      <c r="AS379" s="450"/>
      <c r="AT379" s="450"/>
      <c r="AU379" s="450"/>
      <c r="AV379" s="450"/>
      <c r="AW379" s="450"/>
      <c r="AX379" s="450"/>
      <c r="AY379" s="450"/>
      <c r="AZ379" s="450"/>
      <c r="BA379" s="450"/>
      <c r="BB379" s="450"/>
      <c r="BC379" s="450"/>
      <c r="BD379" s="450"/>
      <c r="BE379" s="450"/>
      <c r="BF379" s="450"/>
      <c r="BG379" s="450"/>
      <c r="BH379" s="450"/>
      <c r="BI379" s="450"/>
      <c r="BJ379" s="450"/>
      <c r="BK379" s="450"/>
      <c r="BL379" s="450"/>
      <c r="BM379" s="450"/>
    </row>
    <row r="380" spans="1:65" ht="11.15">
      <c r="A380" s="450"/>
      <c r="B380" s="450"/>
      <c r="C380" s="450"/>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c r="Z380" s="450"/>
      <c r="AA380" s="450"/>
      <c r="AB380" s="450"/>
      <c r="AC380" s="450"/>
      <c r="AD380" s="450"/>
      <c r="AE380" s="450"/>
      <c r="AF380" s="450"/>
      <c r="AG380" s="450"/>
      <c r="AH380" s="450"/>
      <c r="AI380" s="450"/>
      <c r="AJ380" s="450"/>
      <c r="AK380" s="450"/>
      <c r="AL380" s="450"/>
      <c r="AM380" s="450"/>
      <c r="AN380" s="450"/>
      <c r="AO380" s="450"/>
      <c r="AP380" s="450"/>
      <c r="AQ380" s="450"/>
      <c r="AR380" s="450"/>
      <c r="AS380" s="450"/>
      <c r="AT380" s="450"/>
      <c r="AU380" s="450"/>
      <c r="AV380" s="450"/>
      <c r="AW380" s="450"/>
      <c r="AX380" s="450"/>
      <c r="AY380" s="450"/>
      <c r="AZ380" s="450"/>
      <c r="BA380" s="450"/>
      <c r="BB380" s="450"/>
      <c r="BC380" s="450"/>
      <c r="BD380" s="450"/>
      <c r="BE380" s="450"/>
      <c r="BF380" s="450"/>
      <c r="BG380" s="450"/>
      <c r="BH380" s="450"/>
      <c r="BI380" s="450"/>
      <c r="BJ380" s="450"/>
      <c r="BK380" s="450"/>
      <c r="BL380" s="450"/>
      <c r="BM380" s="450"/>
    </row>
    <row r="381" spans="1:65" ht="11.15">
      <c r="A381" s="450"/>
      <c r="B381" s="450"/>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c r="Z381" s="450"/>
      <c r="AA381" s="450"/>
      <c r="AB381" s="450"/>
      <c r="AC381" s="450"/>
      <c r="AD381" s="450"/>
      <c r="AE381" s="450"/>
      <c r="AF381" s="450"/>
      <c r="AG381" s="450"/>
      <c r="AH381" s="450"/>
      <c r="AI381" s="450"/>
      <c r="AJ381" s="450"/>
      <c r="AK381" s="450"/>
      <c r="AL381" s="450"/>
      <c r="AM381" s="450"/>
      <c r="AN381" s="450"/>
      <c r="AO381" s="450"/>
      <c r="AP381" s="450"/>
      <c r="AQ381" s="450"/>
      <c r="AR381" s="450"/>
      <c r="AS381" s="450"/>
      <c r="AT381" s="450"/>
      <c r="AU381" s="450"/>
      <c r="AV381" s="450"/>
      <c r="AW381" s="450"/>
      <c r="AX381" s="450"/>
      <c r="AY381" s="450"/>
      <c r="AZ381" s="450"/>
      <c r="BA381" s="450"/>
      <c r="BB381" s="450"/>
      <c r="BC381" s="450"/>
      <c r="BD381" s="450"/>
      <c r="BE381" s="450"/>
      <c r="BF381" s="450"/>
      <c r="BG381" s="450"/>
      <c r="BH381" s="450"/>
      <c r="BI381" s="450"/>
      <c r="BJ381" s="450"/>
      <c r="BK381" s="450"/>
      <c r="BL381" s="450"/>
      <c r="BM381" s="450"/>
    </row>
    <row r="382" spans="1:65" ht="11.15">
      <c r="A382" s="450"/>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c r="AA382" s="450"/>
      <c r="AB382" s="450"/>
      <c r="AC382" s="450"/>
      <c r="AD382" s="450"/>
      <c r="AE382" s="450"/>
      <c r="AF382" s="450"/>
      <c r="AG382" s="450"/>
      <c r="AH382" s="450"/>
      <c r="AI382" s="450"/>
      <c r="AJ382" s="450"/>
      <c r="AK382" s="450"/>
      <c r="AL382" s="450"/>
      <c r="AM382" s="450"/>
      <c r="AN382" s="450"/>
      <c r="AO382" s="450"/>
      <c r="AP382" s="450"/>
      <c r="AQ382" s="450"/>
      <c r="AR382" s="450"/>
      <c r="AS382" s="450"/>
      <c r="AT382" s="450"/>
      <c r="AU382" s="450"/>
      <c r="AV382" s="450"/>
      <c r="AW382" s="450"/>
      <c r="AX382" s="450"/>
      <c r="AY382" s="450"/>
      <c r="AZ382" s="450"/>
      <c r="BA382" s="450"/>
      <c r="BB382" s="450"/>
      <c r="BC382" s="450"/>
      <c r="BD382" s="450"/>
      <c r="BE382" s="450"/>
      <c r="BF382" s="450"/>
      <c r="BG382" s="450"/>
      <c r="BH382" s="450"/>
      <c r="BI382" s="450"/>
      <c r="BJ382" s="450"/>
      <c r="BK382" s="450"/>
      <c r="BL382" s="450"/>
      <c r="BM382" s="450"/>
    </row>
    <row r="383" spans="1:65" ht="11.15">
      <c r="A383" s="450"/>
      <c r="B383" s="450"/>
      <c r="C383" s="450"/>
      <c r="D383" s="450"/>
      <c r="E383" s="450"/>
      <c r="F383" s="450"/>
      <c r="G383" s="450"/>
      <c r="H383" s="450"/>
      <c r="I383" s="450"/>
      <c r="J383" s="450"/>
      <c r="K383" s="450"/>
      <c r="L383" s="450"/>
      <c r="M383" s="450"/>
      <c r="N383" s="450"/>
      <c r="O383" s="450"/>
      <c r="P383" s="450"/>
      <c r="Q383" s="450"/>
      <c r="R383" s="450"/>
      <c r="S383" s="450"/>
      <c r="T383" s="450"/>
      <c r="U383" s="450"/>
      <c r="V383" s="450"/>
      <c r="W383" s="450"/>
      <c r="X383" s="450"/>
      <c r="Y383" s="450"/>
      <c r="Z383" s="450"/>
      <c r="AA383" s="450"/>
      <c r="AB383" s="450"/>
      <c r="AC383" s="450"/>
      <c r="AD383" s="450"/>
      <c r="AE383" s="450"/>
      <c r="AF383" s="450"/>
      <c r="AG383" s="450"/>
      <c r="AH383" s="450"/>
      <c r="AI383" s="450"/>
      <c r="AJ383" s="450"/>
      <c r="AK383" s="450"/>
      <c r="AL383" s="450"/>
      <c r="AM383" s="450"/>
      <c r="AN383" s="450"/>
      <c r="AO383" s="450"/>
      <c r="AP383" s="450"/>
      <c r="AQ383" s="450"/>
      <c r="AR383" s="450"/>
      <c r="AS383" s="450"/>
      <c r="AT383" s="450"/>
      <c r="AU383" s="450"/>
      <c r="AV383" s="450"/>
      <c r="AW383" s="450"/>
      <c r="AX383" s="450"/>
      <c r="AY383" s="450"/>
      <c r="AZ383" s="450"/>
      <c r="BA383" s="450"/>
      <c r="BB383" s="450"/>
      <c r="BC383" s="450"/>
      <c r="BD383" s="450"/>
      <c r="BE383" s="450"/>
      <c r="BF383" s="450"/>
      <c r="BG383" s="450"/>
      <c r="BH383" s="450"/>
      <c r="BI383" s="450"/>
      <c r="BJ383" s="450"/>
      <c r="BK383" s="450"/>
      <c r="BL383" s="450"/>
      <c r="BM383" s="450"/>
    </row>
    <row r="384" spans="1:65" ht="11.15">
      <c r="A384" s="450"/>
      <c r="B384" s="450"/>
      <c r="C384" s="450"/>
      <c r="D384" s="450"/>
      <c r="E384" s="450"/>
      <c r="F384" s="450"/>
      <c r="G384" s="450"/>
      <c r="H384" s="450"/>
      <c r="I384" s="450"/>
      <c r="J384" s="450"/>
      <c r="K384" s="450"/>
      <c r="L384" s="450"/>
      <c r="M384" s="450"/>
      <c r="N384" s="450"/>
      <c r="O384" s="450"/>
      <c r="P384" s="450"/>
      <c r="Q384" s="450"/>
      <c r="R384" s="450"/>
      <c r="S384" s="450"/>
      <c r="T384" s="450"/>
      <c r="U384" s="450"/>
      <c r="V384" s="450"/>
      <c r="W384" s="450"/>
      <c r="X384" s="450"/>
      <c r="Y384" s="450"/>
      <c r="Z384" s="450"/>
      <c r="AA384" s="450"/>
      <c r="AB384" s="450"/>
      <c r="AC384" s="450"/>
      <c r="AD384" s="450"/>
      <c r="AE384" s="450"/>
      <c r="AF384" s="450"/>
      <c r="AG384" s="450"/>
      <c r="AH384" s="450"/>
      <c r="AI384" s="450"/>
      <c r="AJ384" s="450"/>
      <c r="AK384" s="450"/>
      <c r="AL384" s="450"/>
      <c r="AM384" s="450"/>
      <c r="AN384" s="450"/>
      <c r="AO384" s="450"/>
      <c r="AP384" s="450"/>
      <c r="AQ384" s="450"/>
      <c r="AR384" s="450"/>
      <c r="AS384" s="450"/>
      <c r="AT384" s="450"/>
      <c r="AU384" s="450"/>
      <c r="AV384" s="450"/>
      <c r="AW384" s="450"/>
      <c r="AX384" s="450"/>
      <c r="AY384" s="450"/>
      <c r="AZ384" s="450"/>
      <c r="BA384" s="450"/>
      <c r="BB384" s="450"/>
      <c r="BC384" s="450"/>
      <c r="BD384" s="450"/>
      <c r="BE384" s="450"/>
      <c r="BF384" s="450"/>
      <c r="BG384" s="450"/>
      <c r="BH384" s="450"/>
      <c r="BI384" s="450"/>
      <c r="BJ384" s="450"/>
      <c r="BK384" s="450"/>
      <c r="BL384" s="450"/>
      <c r="BM384" s="450"/>
    </row>
    <row r="385" spans="1:65" ht="11.15">
      <c r="A385" s="450"/>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0"/>
      <c r="AT385" s="450"/>
      <c r="AU385" s="450"/>
      <c r="AV385" s="450"/>
      <c r="AW385" s="450"/>
      <c r="AX385" s="450"/>
      <c r="AY385" s="450"/>
      <c r="AZ385" s="450"/>
      <c r="BA385" s="450"/>
      <c r="BB385" s="450"/>
      <c r="BC385" s="450"/>
      <c r="BD385" s="450"/>
      <c r="BE385" s="450"/>
      <c r="BF385" s="450"/>
      <c r="BG385" s="450"/>
      <c r="BH385" s="450"/>
      <c r="BI385" s="450"/>
      <c r="BJ385" s="450"/>
      <c r="BK385" s="450"/>
      <c r="BL385" s="450"/>
      <c r="BM385" s="450"/>
    </row>
    <row r="386" spans="1:65" ht="11.15">
      <c r="A386" s="450"/>
      <c r="B386" s="450"/>
      <c r="C386" s="450"/>
      <c r="D386" s="450"/>
      <c r="E386" s="450"/>
      <c r="F386" s="450"/>
      <c r="G386" s="450"/>
      <c r="H386" s="450"/>
      <c r="I386" s="450"/>
      <c r="J386" s="450"/>
      <c r="K386" s="450"/>
      <c r="L386" s="450"/>
      <c r="M386" s="450"/>
      <c r="N386" s="450"/>
      <c r="O386" s="450"/>
      <c r="P386" s="450"/>
      <c r="Q386" s="450"/>
      <c r="R386" s="450"/>
      <c r="S386" s="450"/>
      <c r="T386" s="450"/>
      <c r="U386" s="450"/>
      <c r="V386" s="450"/>
      <c r="W386" s="450"/>
      <c r="X386" s="450"/>
      <c r="Y386" s="450"/>
      <c r="Z386" s="450"/>
      <c r="AA386" s="450"/>
      <c r="AB386" s="450"/>
      <c r="AC386" s="450"/>
      <c r="AD386" s="450"/>
      <c r="AE386" s="450"/>
      <c r="AF386" s="450"/>
      <c r="AG386" s="450"/>
      <c r="AH386" s="450"/>
      <c r="AI386" s="450"/>
      <c r="AJ386" s="450"/>
      <c r="AK386" s="450"/>
      <c r="AL386" s="450"/>
      <c r="AM386" s="450"/>
      <c r="AN386" s="450"/>
      <c r="AO386" s="450"/>
      <c r="AP386" s="450"/>
      <c r="AQ386" s="450"/>
      <c r="AR386" s="450"/>
      <c r="AS386" s="450"/>
      <c r="AT386" s="450"/>
      <c r="AU386" s="450"/>
      <c r="AV386" s="450"/>
      <c r="AW386" s="450"/>
      <c r="AX386" s="450"/>
      <c r="AY386" s="450"/>
      <c r="AZ386" s="450"/>
      <c r="BA386" s="450"/>
      <c r="BB386" s="450"/>
      <c r="BC386" s="450"/>
      <c r="BD386" s="450"/>
      <c r="BE386" s="450"/>
      <c r="BF386" s="450"/>
      <c r="BG386" s="450"/>
      <c r="BH386" s="450"/>
      <c r="BI386" s="450"/>
      <c r="BJ386" s="450"/>
      <c r="BK386" s="450"/>
      <c r="BL386" s="450"/>
      <c r="BM386" s="450"/>
    </row>
    <row r="387" spans="1:65" ht="11.15">
      <c r="A387" s="450"/>
      <c r="B387" s="450"/>
      <c r="C387" s="450"/>
      <c r="D387" s="450"/>
      <c r="E387" s="450"/>
      <c r="F387" s="450"/>
      <c r="G387" s="450"/>
      <c r="H387" s="450"/>
      <c r="I387" s="450"/>
      <c r="J387" s="450"/>
      <c r="K387" s="450"/>
      <c r="L387" s="450"/>
      <c r="M387" s="450"/>
      <c r="N387" s="450"/>
      <c r="O387" s="450"/>
      <c r="P387" s="450"/>
      <c r="Q387" s="450"/>
      <c r="R387" s="450"/>
      <c r="S387" s="450"/>
      <c r="T387" s="450"/>
      <c r="U387" s="450"/>
      <c r="V387" s="450"/>
      <c r="W387" s="450"/>
      <c r="X387" s="450"/>
      <c r="Y387" s="450"/>
      <c r="Z387" s="450"/>
      <c r="AA387" s="450"/>
      <c r="AB387" s="450"/>
      <c r="AC387" s="450"/>
      <c r="AD387" s="450"/>
      <c r="AE387" s="450"/>
      <c r="AF387" s="450"/>
      <c r="AG387" s="450"/>
      <c r="AH387" s="450"/>
      <c r="AI387" s="450"/>
      <c r="AJ387" s="450"/>
      <c r="AK387" s="450"/>
      <c r="AL387" s="450"/>
      <c r="AM387" s="450"/>
      <c r="AN387" s="450"/>
      <c r="AO387" s="450"/>
      <c r="AP387" s="450"/>
      <c r="AQ387" s="450"/>
      <c r="AR387" s="450"/>
      <c r="AS387" s="450"/>
      <c r="AT387" s="450"/>
      <c r="AU387" s="450"/>
      <c r="AV387" s="450"/>
      <c r="AW387" s="450"/>
      <c r="AX387" s="450"/>
      <c r="AY387" s="450"/>
      <c r="AZ387" s="450"/>
      <c r="BA387" s="450"/>
      <c r="BB387" s="450"/>
      <c r="BC387" s="450"/>
      <c r="BD387" s="450"/>
      <c r="BE387" s="450"/>
      <c r="BF387" s="450"/>
      <c r="BG387" s="450"/>
      <c r="BH387" s="450"/>
      <c r="BI387" s="450"/>
      <c r="BJ387" s="450"/>
      <c r="BK387" s="450"/>
      <c r="BL387" s="450"/>
      <c r="BM387" s="450"/>
    </row>
    <row r="388" spans="1:65" ht="11.15">
      <c r="A388" s="450"/>
      <c r="B388" s="450"/>
      <c r="C388" s="450"/>
      <c r="D388" s="450"/>
      <c r="E388" s="450"/>
      <c r="F388" s="450"/>
      <c r="G388" s="450"/>
      <c r="H388" s="450"/>
      <c r="I388" s="450"/>
      <c r="J388" s="450"/>
      <c r="K388" s="450"/>
      <c r="L388" s="450"/>
      <c r="M388" s="450"/>
      <c r="N388" s="450"/>
      <c r="O388" s="450"/>
      <c r="P388" s="450"/>
      <c r="Q388" s="450"/>
      <c r="R388" s="450"/>
      <c r="S388" s="450"/>
      <c r="T388" s="450"/>
      <c r="U388" s="450"/>
      <c r="V388" s="450"/>
      <c r="W388" s="450"/>
      <c r="X388" s="450"/>
      <c r="Y388" s="450"/>
      <c r="Z388" s="450"/>
      <c r="AA388" s="450"/>
      <c r="AB388" s="450"/>
      <c r="AC388" s="450"/>
      <c r="AD388" s="450"/>
      <c r="AE388" s="450"/>
      <c r="AF388" s="450"/>
      <c r="AG388" s="450"/>
      <c r="AH388" s="450"/>
      <c r="AI388" s="450"/>
      <c r="AJ388" s="450"/>
      <c r="AK388" s="450"/>
      <c r="AL388" s="450"/>
      <c r="AM388" s="450"/>
      <c r="AN388" s="450"/>
      <c r="AO388" s="450"/>
      <c r="AP388" s="450"/>
      <c r="AQ388" s="450"/>
      <c r="AR388" s="450"/>
      <c r="AS388" s="450"/>
      <c r="AT388" s="450"/>
      <c r="AU388" s="450"/>
      <c r="AV388" s="450"/>
      <c r="AW388" s="450"/>
      <c r="AX388" s="450"/>
      <c r="AY388" s="450"/>
      <c r="AZ388" s="450"/>
      <c r="BA388" s="450"/>
      <c r="BB388" s="450"/>
      <c r="BC388" s="450"/>
      <c r="BD388" s="450"/>
      <c r="BE388" s="450"/>
      <c r="BF388" s="450"/>
      <c r="BG388" s="450"/>
      <c r="BH388" s="450"/>
      <c r="BI388" s="450"/>
      <c r="BJ388" s="450"/>
      <c r="BK388" s="450"/>
      <c r="BL388" s="450"/>
      <c r="BM388" s="450"/>
    </row>
    <row r="389" spans="1:65" ht="11.15">
      <c r="A389" s="450"/>
      <c r="B389" s="450"/>
      <c r="C389" s="450"/>
      <c r="D389" s="450"/>
      <c r="E389" s="450"/>
      <c r="F389" s="450"/>
      <c r="G389" s="450"/>
      <c r="H389" s="450"/>
      <c r="I389" s="450"/>
      <c r="J389" s="450"/>
      <c r="K389" s="450"/>
      <c r="L389" s="450"/>
      <c r="M389" s="450"/>
      <c r="N389" s="450"/>
      <c r="O389" s="450"/>
      <c r="P389" s="450"/>
      <c r="Q389" s="450"/>
      <c r="R389" s="450"/>
      <c r="S389" s="450"/>
      <c r="T389" s="450"/>
      <c r="U389" s="450"/>
      <c r="V389" s="450"/>
      <c r="W389" s="450"/>
      <c r="X389" s="450"/>
      <c r="Y389" s="450"/>
      <c r="Z389" s="450"/>
      <c r="AA389" s="450"/>
      <c r="AB389" s="450"/>
      <c r="AC389" s="450"/>
      <c r="AD389" s="450"/>
      <c r="AE389" s="450"/>
      <c r="AF389" s="450"/>
      <c r="AG389" s="450"/>
      <c r="AH389" s="450"/>
      <c r="AI389" s="450"/>
      <c r="AJ389" s="450"/>
      <c r="AK389" s="450"/>
      <c r="AL389" s="450"/>
      <c r="AM389" s="450"/>
      <c r="AN389" s="450"/>
      <c r="AO389" s="450"/>
      <c r="AP389" s="450"/>
      <c r="AQ389" s="450"/>
      <c r="AR389" s="450"/>
      <c r="AS389" s="450"/>
      <c r="AT389" s="450"/>
      <c r="AU389" s="450"/>
      <c r="AV389" s="450"/>
      <c r="AW389" s="450"/>
      <c r="AX389" s="450"/>
      <c r="AY389" s="450"/>
      <c r="AZ389" s="450"/>
      <c r="BA389" s="450"/>
      <c r="BB389" s="450"/>
      <c r="BC389" s="450"/>
      <c r="BD389" s="450"/>
      <c r="BE389" s="450"/>
      <c r="BF389" s="450"/>
      <c r="BG389" s="450"/>
      <c r="BH389" s="450"/>
      <c r="BI389" s="450"/>
      <c r="BJ389" s="450"/>
      <c r="BK389" s="450"/>
      <c r="BL389" s="450"/>
      <c r="BM389" s="450"/>
    </row>
    <row r="390" spans="1:65" ht="11.15">
      <c r="A390" s="450"/>
      <c r="B390" s="450"/>
      <c r="C390" s="450"/>
      <c r="D390" s="450"/>
      <c r="E390" s="450"/>
      <c r="F390" s="450"/>
      <c r="G390" s="450"/>
      <c r="H390" s="450"/>
      <c r="I390" s="450"/>
      <c r="J390" s="450"/>
      <c r="K390" s="450"/>
      <c r="L390" s="450"/>
      <c r="M390" s="450"/>
      <c r="N390" s="450"/>
      <c r="O390" s="450"/>
      <c r="P390" s="450"/>
      <c r="Q390" s="450"/>
      <c r="R390" s="450"/>
      <c r="S390" s="450"/>
      <c r="T390" s="450"/>
      <c r="U390" s="450"/>
      <c r="V390" s="450"/>
      <c r="W390" s="450"/>
      <c r="X390" s="450"/>
      <c r="Y390" s="450"/>
      <c r="Z390" s="450"/>
      <c r="AA390" s="450"/>
      <c r="AB390" s="450"/>
      <c r="AC390" s="450"/>
      <c r="AD390" s="450"/>
      <c r="AE390" s="450"/>
      <c r="AF390" s="450"/>
      <c r="AG390" s="450"/>
      <c r="AH390" s="450"/>
      <c r="AI390" s="450"/>
      <c r="AJ390" s="450"/>
      <c r="AK390" s="450"/>
      <c r="AL390" s="450"/>
      <c r="AM390" s="450"/>
      <c r="AN390" s="450"/>
      <c r="AO390" s="450"/>
      <c r="AP390" s="450"/>
      <c r="AQ390" s="450"/>
      <c r="AR390" s="450"/>
      <c r="AS390" s="450"/>
      <c r="AT390" s="450"/>
      <c r="AU390" s="450"/>
      <c r="AV390" s="450"/>
      <c r="AW390" s="450"/>
      <c r="AX390" s="450"/>
      <c r="AY390" s="450"/>
      <c r="AZ390" s="450"/>
      <c r="BA390" s="450"/>
      <c r="BB390" s="450"/>
      <c r="BC390" s="450"/>
      <c r="BD390" s="450"/>
      <c r="BE390" s="450"/>
      <c r="BF390" s="450"/>
      <c r="BG390" s="450"/>
      <c r="BH390" s="450"/>
      <c r="BI390" s="450"/>
      <c r="BJ390" s="450"/>
      <c r="BK390" s="450"/>
      <c r="BL390" s="450"/>
      <c r="BM390" s="450"/>
    </row>
    <row r="391" spans="1:65" ht="11.15">
      <c r="A391" s="450"/>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c r="Z391" s="450"/>
      <c r="AA391" s="450"/>
      <c r="AB391" s="450"/>
      <c r="AC391" s="450"/>
      <c r="AD391" s="450"/>
      <c r="AE391" s="450"/>
      <c r="AF391" s="450"/>
      <c r="AG391" s="450"/>
      <c r="AH391" s="450"/>
      <c r="AI391" s="450"/>
      <c r="AJ391" s="450"/>
      <c r="AK391" s="450"/>
      <c r="AL391" s="450"/>
      <c r="AM391" s="450"/>
      <c r="AN391" s="450"/>
      <c r="AO391" s="450"/>
      <c r="AP391" s="450"/>
      <c r="AQ391" s="450"/>
      <c r="AR391" s="450"/>
      <c r="AS391" s="450"/>
      <c r="AT391" s="450"/>
      <c r="AU391" s="450"/>
      <c r="AV391" s="450"/>
      <c r="AW391" s="450"/>
      <c r="AX391" s="450"/>
      <c r="AY391" s="450"/>
      <c r="AZ391" s="450"/>
      <c r="BA391" s="450"/>
      <c r="BB391" s="450"/>
      <c r="BC391" s="450"/>
      <c r="BD391" s="450"/>
      <c r="BE391" s="450"/>
      <c r="BF391" s="450"/>
      <c r="BG391" s="450"/>
      <c r="BH391" s="450"/>
      <c r="BI391" s="450"/>
      <c r="BJ391" s="450"/>
      <c r="BK391" s="450"/>
      <c r="BL391" s="450"/>
      <c r="BM391" s="450"/>
    </row>
    <row r="392" spans="1:65" ht="11.15">
      <c r="A392" s="450"/>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c r="AF392" s="450"/>
      <c r="AG392" s="450"/>
      <c r="AH392" s="450"/>
      <c r="AI392" s="450"/>
      <c r="AJ392" s="450"/>
      <c r="AK392" s="450"/>
      <c r="AL392" s="450"/>
      <c r="AM392" s="450"/>
      <c r="AN392" s="450"/>
      <c r="AO392" s="450"/>
      <c r="AP392" s="450"/>
      <c r="AQ392" s="450"/>
      <c r="AR392" s="450"/>
      <c r="AS392" s="450"/>
      <c r="AT392" s="450"/>
      <c r="AU392" s="450"/>
      <c r="AV392" s="450"/>
      <c r="AW392" s="450"/>
      <c r="AX392" s="450"/>
      <c r="AY392" s="450"/>
      <c r="AZ392" s="450"/>
      <c r="BA392" s="450"/>
      <c r="BB392" s="450"/>
      <c r="BC392" s="450"/>
      <c r="BD392" s="450"/>
      <c r="BE392" s="450"/>
      <c r="BF392" s="450"/>
      <c r="BG392" s="450"/>
      <c r="BH392" s="450"/>
      <c r="BI392" s="450"/>
      <c r="BJ392" s="450"/>
      <c r="BK392" s="450"/>
      <c r="BL392" s="450"/>
      <c r="BM392" s="450"/>
    </row>
    <row r="393" spans="1:65" ht="11.15">
      <c r="A393" s="450"/>
      <c r="B393" s="450"/>
      <c r="C393" s="450"/>
      <c r="D393" s="450"/>
      <c r="E393" s="450"/>
      <c r="F393" s="450"/>
      <c r="G393" s="450"/>
      <c r="H393" s="450"/>
      <c r="I393" s="450"/>
      <c r="J393" s="450"/>
      <c r="K393" s="450"/>
      <c r="L393" s="450"/>
      <c r="M393" s="450"/>
      <c r="N393" s="450"/>
      <c r="O393" s="450"/>
      <c r="P393" s="450"/>
      <c r="Q393" s="450"/>
      <c r="R393" s="450"/>
      <c r="S393" s="450"/>
      <c r="T393" s="450"/>
      <c r="U393" s="450"/>
      <c r="V393" s="450"/>
      <c r="W393" s="450"/>
      <c r="X393" s="450"/>
      <c r="Y393" s="450"/>
      <c r="Z393" s="450"/>
      <c r="AA393" s="450"/>
      <c r="AB393" s="450"/>
      <c r="AC393" s="450"/>
      <c r="AD393" s="450"/>
      <c r="AE393" s="450"/>
      <c r="AF393" s="450"/>
      <c r="AG393" s="450"/>
      <c r="AH393" s="450"/>
      <c r="AI393" s="450"/>
      <c r="AJ393" s="450"/>
      <c r="AK393" s="450"/>
      <c r="AL393" s="450"/>
      <c r="AM393" s="450"/>
      <c r="AN393" s="450"/>
      <c r="AO393" s="450"/>
      <c r="AP393" s="450"/>
      <c r="AQ393" s="450"/>
      <c r="AR393" s="450"/>
      <c r="AS393" s="450"/>
      <c r="AT393" s="450"/>
      <c r="AU393" s="450"/>
      <c r="AV393" s="450"/>
      <c r="AW393" s="450"/>
      <c r="AX393" s="450"/>
      <c r="AY393" s="450"/>
      <c r="AZ393" s="450"/>
      <c r="BA393" s="450"/>
      <c r="BB393" s="450"/>
      <c r="BC393" s="450"/>
      <c r="BD393" s="450"/>
      <c r="BE393" s="450"/>
      <c r="BF393" s="450"/>
      <c r="BG393" s="450"/>
      <c r="BH393" s="450"/>
      <c r="BI393" s="450"/>
      <c r="BJ393" s="450"/>
      <c r="BK393" s="450"/>
      <c r="BL393" s="450"/>
      <c r="BM393" s="450"/>
    </row>
    <row r="394" spans="1:65" ht="11.15">
      <c r="A394" s="450"/>
      <c r="B394" s="450"/>
      <c r="C394" s="450"/>
      <c r="D394" s="450"/>
      <c r="E394" s="450"/>
      <c r="F394" s="450"/>
      <c r="G394" s="450"/>
      <c r="H394" s="450"/>
      <c r="I394" s="450"/>
      <c r="J394" s="450"/>
      <c r="K394" s="450"/>
      <c r="L394" s="450"/>
      <c r="M394" s="450"/>
      <c r="N394" s="450"/>
      <c r="O394" s="450"/>
      <c r="P394" s="450"/>
      <c r="Q394" s="450"/>
      <c r="R394" s="450"/>
      <c r="S394" s="450"/>
      <c r="T394" s="450"/>
      <c r="U394" s="450"/>
      <c r="V394" s="450"/>
      <c r="W394" s="450"/>
      <c r="X394" s="450"/>
      <c r="Y394" s="450"/>
      <c r="Z394" s="450"/>
      <c r="AA394" s="450"/>
      <c r="AB394" s="450"/>
      <c r="AC394" s="450"/>
      <c r="AD394" s="450"/>
      <c r="AE394" s="450"/>
      <c r="AF394" s="450"/>
      <c r="AG394" s="450"/>
      <c r="AH394" s="450"/>
      <c r="AI394" s="450"/>
      <c r="AJ394" s="450"/>
      <c r="AK394" s="450"/>
      <c r="AL394" s="450"/>
      <c r="AM394" s="450"/>
      <c r="AN394" s="450"/>
      <c r="AO394" s="450"/>
      <c r="AP394" s="450"/>
      <c r="AQ394" s="450"/>
      <c r="AR394" s="450"/>
      <c r="AS394" s="450"/>
      <c r="AT394" s="450"/>
      <c r="AU394" s="450"/>
      <c r="AV394" s="450"/>
      <c r="AW394" s="450"/>
      <c r="AX394" s="450"/>
      <c r="AY394" s="450"/>
      <c r="AZ394" s="450"/>
      <c r="BA394" s="450"/>
      <c r="BB394" s="450"/>
      <c r="BC394" s="450"/>
      <c r="BD394" s="450"/>
      <c r="BE394" s="450"/>
      <c r="BF394" s="450"/>
      <c r="BG394" s="450"/>
      <c r="BH394" s="450"/>
      <c r="BI394" s="450"/>
      <c r="BJ394" s="450"/>
      <c r="BK394" s="450"/>
      <c r="BL394" s="450"/>
      <c r="BM394" s="450"/>
    </row>
    <row r="395" spans="1:65" ht="11.15">
      <c r="A395" s="450"/>
      <c r="B395" s="450"/>
      <c r="C395" s="450"/>
      <c r="D395" s="450"/>
      <c r="E395" s="450"/>
      <c r="F395" s="450"/>
      <c r="G395" s="450"/>
      <c r="H395" s="450"/>
      <c r="I395" s="450"/>
      <c r="J395" s="450"/>
      <c r="K395" s="450"/>
      <c r="L395" s="450"/>
      <c r="M395" s="450"/>
      <c r="N395" s="450"/>
      <c r="O395" s="450"/>
      <c r="P395" s="450"/>
      <c r="Q395" s="450"/>
      <c r="R395" s="450"/>
      <c r="S395" s="450"/>
      <c r="T395" s="450"/>
      <c r="U395" s="450"/>
      <c r="V395" s="450"/>
      <c r="W395" s="450"/>
      <c r="X395" s="450"/>
      <c r="Y395" s="450"/>
      <c r="Z395" s="450"/>
      <c r="AA395" s="450"/>
      <c r="AB395" s="450"/>
      <c r="AC395" s="450"/>
      <c r="AD395" s="450"/>
      <c r="AE395" s="450"/>
      <c r="AF395" s="450"/>
      <c r="AG395" s="450"/>
      <c r="AH395" s="450"/>
      <c r="AI395" s="450"/>
      <c r="AJ395" s="450"/>
      <c r="AK395" s="450"/>
      <c r="AL395" s="450"/>
      <c r="AM395" s="450"/>
      <c r="AN395" s="450"/>
      <c r="AO395" s="450"/>
      <c r="AP395" s="450"/>
      <c r="AQ395" s="450"/>
      <c r="AR395" s="450"/>
      <c r="AS395" s="450"/>
      <c r="AT395" s="450"/>
      <c r="AU395" s="450"/>
      <c r="AV395" s="450"/>
      <c r="AW395" s="450"/>
      <c r="AX395" s="450"/>
      <c r="AY395" s="450"/>
      <c r="AZ395" s="450"/>
      <c r="BA395" s="450"/>
      <c r="BB395" s="450"/>
      <c r="BC395" s="450"/>
      <c r="BD395" s="450"/>
      <c r="BE395" s="450"/>
      <c r="BF395" s="450"/>
      <c r="BG395" s="450"/>
      <c r="BH395" s="450"/>
      <c r="BI395" s="450"/>
      <c r="BJ395" s="450"/>
      <c r="BK395" s="450"/>
      <c r="BL395" s="450"/>
      <c r="BM395" s="450"/>
    </row>
    <row r="396" spans="1:65" ht="11.15">
      <c r="A396" s="450"/>
      <c r="B396" s="450"/>
      <c r="C396" s="450"/>
      <c r="D396" s="450"/>
      <c r="E396" s="450"/>
      <c r="F396" s="450"/>
      <c r="G396" s="450"/>
      <c r="H396" s="450"/>
      <c r="I396" s="450"/>
      <c r="J396" s="450"/>
      <c r="K396" s="450"/>
      <c r="L396" s="450"/>
      <c r="M396" s="450"/>
      <c r="N396" s="450"/>
      <c r="O396" s="450"/>
      <c r="P396" s="450"/>
      <c r="Q396" s="450"/>
      <c r="R396" s="450"/>
      <c r="S396" s="450"/>
      <c r="T396" s="450"/>
      <c r="U396" s="450"/>
      <c r="V396" s="450"/>
      <c r="W396" s="450"/>
      <c r="X396" s="450"/>
      <c r="Y396" s="450"/>
      <c r="Z396" s="450"/>
      <c r="AA396" s="450"/>
      <c r="AB396" s="450"/>
      <c r="AC396" s="450"/>
      <c r="AD396" s="450"/>
      <c r="AE396" s="450"/>
      <c r="AF396" s="450"/>
      <c r="AG396" s="450"/>
      <c r="AH396" s="450"/>
      <c r="AI396" s="450"/>
      <c r="AJ396" s="450"/>
      <c r="AK396" s="450"/>
      <c r="AL396" s="450"/>
      <c r="AM396" s="450"/>
      <c r="AN396" s="450"/>
      <c r="AO396" s="450"/>
      <c r="AP396" s="450"/>
      <c r="AQ396" s="450"/>
      <c r="AR396" s="450"/>
      <c r="AS396" s="450"/>
      <c r="AT396" s="450"/>
      <c r="AU396" s="450"/>
      <c r="AV396" s="450"/>
      <c r="AW396" s="450"/>
      <c r="AX396" s="450"/>
      <c r="AY396" s="450"/>
      <c r="AZ396" s="450"/>
      <c r="BA396" s="450"/>
      <c r="BB396" s="450"/>
      <c r="BC396" s="450"/>
      <c r="BD396" s="450"/>
      <c r="BE396" s="450"/>
      <c r="BF396" s="450"/>
      <c r="BG396" s="450"/>
      <c r="BH396" s="450"/>
      <c r="BI396" s="450"/>
      <c r="BJ396" s="450"/>
      <c r="BK396" s="450"/>
      <c r="BL396" s="450"/>
      <c r="BM396" s="450"/>
    </row>
    <row r="397" spans="1:65" ht="11.15">
      <c r="A397" s="450"/>
      <c r="B397" s="450"/>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c r="Z397" s="450"/>
      <c r="AA397" s="450"/>
      <c r="AB397" s="450"/>
      <c r="AC397" s="450"/>
      <c r="AD397" s="450"/>
      <c r="AE397" s="450"/>
      <c r="AF397" s="450"/>
      <c r="AG397" s="450"/>
      <c r="AH397" s="450"/>
      <c r="AI397" s="450"/>
      <c r="AJ397" s="450"/>
      <c r="AK397" s="450"/>
      <c r="AL397" s="450"/>
      <c r="AM397" s="450"/>
      <c r="AN397" s="450"/>
      <c r="AO397" s="450"/>
      <c r="AP397" s="450"/>
      <c r="AQ397" s="450"/>
      <c r="AR397" s="450"/>
      <c r="AS397" s="450"/>
      <c r="AT397" s="450"/>
      <c r="AU397" s="450"/>
      <c r="AV397" s="450"/>
      <c r="AW397" s="450"/>
      <c r="AX397" s="450"/>
      <c r="AY397" s="450"/>
      <c r="AZ397" s="450"/>
      <c r="BA397" s="450"/>
      <c r="BB397" s="450"/>
      <c r="BC397" s="450"/>
      <c r="BD397" s="450"/>
      <c r="BE397" s="450"/>
      <c r="BF397" s="450"/>
      <c r="BG397" s="450"/>
      <c r="BH397" s="450"/>
      <c r="BI397" s="450"/>
      <c r="BJ397" s="450"/>
      <c r="BK397" s="450"/>
      <c r="BL397" s="450"/>
      <c r="BM397" s="450"/>
    </row>
    <row r="398" spans="1:65" ht="11.15">
      <c r="A398" s="450"/>
      <c r="B398" s="450"/>
      <c r="C398" s="450"/>
      <c r="D398" s="450"/>
      <c r="E398" s="450"/>
      <c r="F398" s="450"/>
      <c r="G398" s="450"/>
      <c r="H398" s="450"/>
      <c r="I398" s="450"/>
      <c r="J398" s="450"/>
      <c r="K398" s="450"/>
      <c r="L398" s="450"/>
      <c r="M398" s="450"/>
      <c r="N398" s="450"/>
      <c r="O398" s="450"/>
      <c r="P398" s="450"/>
      <c r="Q398" s="450"/>
      <c r="R398" s="450"/>
      <c r="S398" s="450"/>
      <c r="T398" s="450"/>
      <c r="U398" s="450"/>
      <c r="V398" s="450"/>
      <c r="W398" s="450"/>
      <c r="X398" s="450"/>
      <c r="Y398" s="450"/>
      <c r="Z398" s="450"/>
      <c r="AA398" s="450"/>
      <c r="AB398" s="450"/>
      <c r="AC398" s="450"/>
      <c r="AD398" s="450"/>
      <c r="AE398" s="450"/>
      <c r="AF398" s="450"/>
      <c r="AG398" s="450"/>
      <c r="AH398" s="450"/>
      <c r="AI398" s="450"/>
      <c r="AJ398" s="450"/>
      <c r="AK398" s="450"/>
      <c r="AL398" s="450"/>
      <c r="AM398" s="450"/>
      <c r="AN398" s="450"/>
      <c r="AO398" s="450"/>
      <c r="AP398" s="450"/>
      <c r="AQ398" s="450"/>
      <c r="AR398" s="450"/>
      <c r="AS398" s="450"/>
      <c r="AT398" s="450"/>
      <c r="AU398" s="450"/>
      <c r="AV398" s="450"/>
      <c r="AW398" s="450"/>
      <c r="AX398" s="450"/>
      <c r="AY398" s="450"/>
      <c r="AZ398" s="450"/>
      <c r="BA398" s="450"/>
      <c r="BB398" s="450"/>
      <c r="BC398" s="450"/>
      <c r="BD398" s="450"/>
      <c r="BE398" s="450"/>
      <c r="BF398" s="450"/>
      <c r="BG398" s="450"/>
      <c r="BH398" s="450"/>
      <c r="BI398" s="450"/>
      <c r="BJ398" s="450"/>
      <c r="BK398" s="450"/>
      <c r="BL398" s="450"/>
      <c r="BM398" s="450"/>
    </row>
    <row r="399" spans="1:65" ht="11.15">
      <c r="A399" s="450"/>
      <c r="B399" s="450"/>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c r="Z399" s="450"/>
      <c r="AA399" s="450"/>
      <c r="AB399" s="450"/>
      <c r="AC399" s="450"/>
      <c r="AD399" s="450"/>
      <c r="AE399" s="450"/>
      <c r="AF399" s="450"/>
      <c r="AG399" s="450"/>
      <c r="AH399" s="450"/>
      <c r="AI399" s="450"/>
      <c r="AJ399" s="450"/>
      <c r="AK399" s="450"/>
      <c r="AL399" s="450"/>
      <c r="AM399" s="450"/>
      <c r="AN399" s="450"/>
      <c r="AO399" s="450"/>
      <c r="AP399" s="450"/>
      <c r="AQ399" s="450"/>
      <c r="AR399" s="450"/>
      <c r="AS399" s="450"/>
      <c r="AT399" s="450"/>
      <c r="AU399" s="450"/>
      <c r="AV399" s="450"/>
      <c r="AW399" s="450"/>
      <c r="AX399" s="450"/>
      <c r="AY399" s="450"/>
      <c r="AZ399" s="450"/>
      <c r="BA399" s="450"/>
      <c r="BB399" s="450"/>
      <c r="BC399" s="450"/>
      <c r="BD399" s="450"/>
      <c r="BE399" s="450"/>
      <c r="BF399" s="450"/>
      <c r="BG399" s="450"/>
      <c r="BH399" s="450"/>
      <c r="BI399" s="450"/>
      <c r="BJ399" s="450"/>
      <c r="BK399" s="450"/>
      <c r="BL399" s="450"/>
      <c r="BM399" s="450"/>
    </row>
    <row r="400" spans="1:65" ht="11.15">
      <c r="A400" s="450"/>
      <c r="B400" s="450"/>
      <c r="C400" s="450"/>
      <c r="D400" s="450"/>
      <c r="E400" s="450"/>
      <c r="F400" s="450"/>
      <c r="G400" s="450"/>
      <c r="H400" s="450"/>
      <c r="I400" s="450"/>
      <c r="J400" s="450"/>
      <c r="K400" s="450"/>
      <c r="L400" s="450"/>
      <c r="M400" s="450"/>
      <c r="N400" s="450"/>
      <c r="O400" s="450"/>
      <c r="P400" s="450"/>
      <c r="Q400" s="450"/>
      <c r="R400" s="450"/>
      <c r="S400" s="450"/>
      <c r="T400" s="450"/>
      <c r="U400" s="450"/>
      <c r="V400" s="450"/>
      <c r="W400" s="450"/>
      <c r="X400" s="450"/>
      <c r="Y400" s="450"/>
      <c r="Z400" s="450"/>
      <c r="AA400" s="450"/>
      <c r="AB400" s="450"/>
      <c r="AC400" s="450"/>
      <c r="AD400" s="450"/>
      <c r="AE400" s="450"/>
      <c r="AF400" s="450"/>
      <c r="AG400" s="450"/>
      <c r="AH400" s="450"/>
      <c r="AI400" s="450"/>
      <c r="AJ400" s="450"/>
      <c r="AK400" s="450"/>
      <c r="AL400" s="450"/>
      <c r="AM400" s="450"/>
      <c r="AN400" s="450"/>
      <c r="AO400" s="450"/>
      <c r="AP400" s="450"/>
      <c r="AQ400" s="450"/>
      <c r="AR400" s="450"/>
      <c r="AS400" s="450"/>
      <c r="AT400" s="450"/>
      <c r="AU400" s="450"/>
      <c r="AV400" s="450"/>
      <c r="AW400" s="450"/>
      <c r="AX400" s="450"/>
      <c r="AY400" s="450"/>
      <c r="AZ400" s="450"/>
      <c r="BA400" s="450"/>
      <c r="BB400" s="450"/>
      <c r="BC400" s="450"/>
      <c r="BD400" s="450"/>
      <c r="BE400" s="450"/>
      <c r="BF400" s="450"/>
      <c r="BG400" s="450"/>
      <c r="BH400" s="450"/>
      <c r="BI400" s="450"/>
      <c r="BJ400" s="450"/>
      <c r="BK400" s="450"/>
      <c r="BL400" s="450"/>
      <c r="BM400" s="450"/>
    </row>
    <row r="401" spans="1:65" ht="11.15">
      <c r="A401" s="450"/>
      <c r="B401" s="450"/>
      <c r="C401" s="450"/>
      <c r="D401" s="450"/>
      <c r="E401" s="450"/>
      <c r="F401" s="450"/>
      <c r="G401" s="450"/>
      <c r="H401" s="450"/>
      <c r="I401" s="450"/>
      <c r="J401" s="450"/>
      <c r="K401" s="450"/>
      <c r="L401" s="450"/>
      <c r="M401" s="450"/>
      <c r="N401" s="450"/>
      <c r="O401" s="450"/>
      <c r="P401" s="450"/>
      <c r="Q401" s="450"/>
      <c r="R401" s="450"/>
      <c r="S401" s="450"/>
      <c r="T401" s="450"/>
      <c r="U401" s="450"/>
      <c r="V401" s="450"/>
      <c r="W401" s="450"/>
      <c r="X401" s="450"/>
      <c r="Y401" s="450"/>
      <c r="Z401" s="450"/>
      <c r="AA401" s="450"/>
      <c r="AB401" s="450"/>
      <c r="AC401" s="450"/>
      <c r="AD401" s="450"/>
      <c r="AE401" s="450"/>
      <c r="AF401" s="450"/>
      <c r="AG401" s="450"/>
      <c r="AH401" s="450"/>
      <c r="AI401" s="450"/>
      <c r="AJ401" s="450"/>
      <c r="AK401" s="450"/>
      <c r="AL401" s="450"/>
      <c r="AM401" s="450"/>
      <c r="AN401" s="450"/>
      <c r="AO401" s="450"/>
      <c r="AP401" s="450"/>
      <c r="AQ401" s="450"/>
      <c r="AR401" s="450"/>
      <c r="AS401" s="450"/>
      <c r="AT401" s="450"/>
      <c r="AU401" s="450"/>
      <c r="AV401" s="450"/>
      <c r="AW401" s="450"/>
      <c r="AX401" s="450"/>
      <c r="AY401" s="450"/>
      <c r="AZ401" s="450"/>
      <c r="BA401" s="450"/>
      <c r="BB401" s="450"/>
      <c r="BC401" s="450"/>
      <c r="BD401" s="450"/>
      <c r="BE401" s="450"/>
      <c r="BF401" s="450"/>
      <c r="BG401" s="450"/>
      <c r="BH401" s="450"/>
      <c r="BI401" s="450"/>
      <c r="BJ401" s="450"/>
      <c r="BK401" s="450"/>
      <c r="BL401" s="450"/>
      <c r="BM401" s="450"/>
    </row>
    <row r="402" spans="1:65" ht="11.15">
      <c r="A402" s="450"/>
      <c r="B402" s="450"/>
      <c r="C402" s="450"/>
      <c r="D402" s="450"/>
      <c r="E402" s="450"/>
      <c r="F402" s="450"/>
      <c r="G402" s="450"/>
      <c r="H402" s="450"/>
      <c r="I402" s="450"/>
      <c r="J402" s="450"/>
      <c r="K402" s="450"/>
      <c r="L402" s="450"/>
      <c r="M402" s="450"/>
      <c r="N402" s="450"/>
      <c r="O402" s="450"/>
      <c r="P402" s="450"/>
      <c r="Q402" s="450"/>
      <c r="R402" s="450"/>
      <c r="S402" s="450"/>
      <c r="T402" s="450"/>
      <c r="U402" s="450"/>
      <c r="V402" s="450"/>
      <c r="W402" s="450"/>
      <c r="X402" s="450"/>
      <c r="Y402" s="450"/>
      <c r="Z402" s="450"/>
      <c r="AA402" s="450"/>
      <c r="AB402" s="450"/>
      <c r="AC402" s="450"/>
      <c r="AD402" s="450"/>
      <c r="AE402" s="450"/>
      <c r="AF402" s="450"/>
      <c r="AG402" s="450"/>
      <c r="AH402" s="450"/>
      <c r="AI402" s="450"/>
      <c r="AJ402" s="450"/>
      <c r="AK402" s="450"/>
      <c r="AL402" s="450"/>
      <c r="AM402" s="450"/>
      <c r="AN402" s="450"/>
      <c r="AO402" s="450"/>
      <c r="AP402" s="450"/>
      <c r="AQ402" s="450"/>
      <c r="AR402" s="450"/>
      <c r="AS402" s="450"/>
      <c r="AT402" s="450"/>
      <c r="AU402" s="450"/>
      <c r="AV402" s="450"/>
      <c r="AW402" s="450"/>
      <c r="AX402" s="450"/>
      <c r="AY402" s="450"/>
      <c r="AZ402" s="450"/>
      <c r="BA402" s="450"/>
      <c r="BB402" s="450"/>
      <c r="BC402" s="450"/>
      <c r="BD402" s="450"/>
      <c r="BE402" s="450"/>
      <c r="BF402" s="450"/>
      <c r="BG402" s="450"/>
      <c r="BH402" s="450"/>
      <c r="BI402" s="450"/>
      <c r="BJ402" s="450"/>
      <c r="BK402" s="450"/>
      <c r="BL402" s="450"/>
      <c r="BM402" s="450"/>
    </row>
    <row r="403" spans="1:65" ht="11.15">
      <c r="A403" s="450"/>
      <c r="B403" s="450"/>
      <c r="C403" s="450"/>
      <c r="D403" s="450"/>
      <c r="E403" s="450"/>
      <c r="F403" s="450"/>
      <c r="G403" s="450"/>
      <c r="H403" s="450"/>
      <c r="I403" s="450"/>
      <c r="J403" s="450"/>
      <c r="K403" s="450"/>
      <c r="L403" s="450"/>
      <c r="M403" s="450"/>
      <c r="N403" s="450"/>
      <c r="O403" s="450"/>
      <c r="P403" s="450"/>
      <c r="Q403" s="450"/>
      <c r="R403" s="450"/>
      <c r="S403" s="450"/>
      <c r="T403" s="450"/>
      <c r="U403" s="450"/>
      <c r="V403" s="450"/>
      <c r="W403" s="450"/>
      <c r="X403" s="450"/>
      <c r="Y403" s="450"/>
      <c r="Z403" s="450"/>
      <c r="AA403" s="450"/>
      <c r="AB403" s="450"/>
      <c r="AC403" s="450"/>
      <c r="AD403" s="450"/>
      <c r="AE403" s="450"/>
      <c r="AF403" s="450"/>
      <c r="AG403" s="450"/>
      <c r="AH403" s="450"/>
      <c r="AI403" s="450"/>
      <c r="AJ403" s="450"/>
      <c r="AK403" s="450"/>
      <c r="AL403" s="450"/>
      <c r="AM403" s="450"/>
      <c r="AN403" s="450"/>
      <c r="AO403" s="450"/>
      <c r="AP403" s="450"/>
      <c r="AQ403" s="450"/>
      <c r="AR403" s="450"/>
      <c r="AS403" s="450"/>
      <c r="AT403" s="450"/>
      <c r="AU403" s="450"/>
      <c r="AV403" s="450"/>
      <c r="AW403" s="450"/>
      <c r="AX403" s="450"/>
      <c r="AY403" s="450"/>
      <c r="AZ403" s="450"/>
      <c r="BA403" s="450"/>
      <c r="BB403" s="450"/>
      <c r="BC403" s="450"/>
      <c r="BD403" s="450"/>
      <c r="BE403" s="450"/>
      <c r="BF403" s="450"/>
      <c r="BG403" s="450"/>
      <c r="BH403" s="450"/>
      <c r="BI403" s="450"/>
      <c r="BJ403" s="450"/>
      <c r="BK403" s="450"/>
      <c r="BL403" s="450"/>
      <c r="BM403" s="450"/>
    </row>
    <row r="404" spans="1:65" ht="11.15">
      <c r="A404" s="450"/>
      <c r="B404" s="450"/>
      <c r="C404" s="450"/>
      <c r="D404" s="450"/>
      <c r="E404" s="450"/>
      <c r="F404" s="450"/>
      <c r="G404" s="450"/>
      <c r="H404" s="450"/>
      <c r="I404" s="450"/>
      <c r="J404" s="450"/>
      <c r="K404" s="450"/>
      <c r="L404" s="450"/>
      <c r="M404" s="450"/>
      <c r="N404" s="450"/>
      <c r="O404" s="450"/>
      <c r="P404" s="450"/>
      <c r="Q404" s="450"/>
      <c r="R404" s="450"/>
      <c r="S404" s="450"/>
      <c r="T404" s="450"/>
      <c r="U404" s="450"/>
      <c r="V404" s="450"/>
      <c r="W404" s="450"/>
      <c r="X404" s="450"/>
      <c r="Y404" s="450"/>
      <c r="Z404" s="450"/>
      <c r="AA404" s="450"/>
      <c r="AB404" s="450"/>
      <c r="AC404" s="450"/>
      <c r="AD404" s="450"/>
      <c r="AE404" s="450"/>
      <c r="AF404" s="450"/>
      <c r="AG404" s="450"/>
      <c r="AH404" s="450"/>
      <c r="AI404" s="450"/>
      <c r="AJ404" s="450"/>
      <c r="AK404" s="450"/>
      <c r="AL404" s="450"/>
      <c r="AM404" s="450"/>
      <c r="AN404" s="450"/>
      <c r="AO404" s="450"/>
      <c r="AP404" s="450"/>
      <c r="AQ404" s="450"/>
      <c r="AR404" s="450"/>
      <c r="AS404" s="450"/>
      <c r="AT404" s="450"/>
      <c r="AU404" s="450"/>
      <c r="AV404" s="450"/>
      <c r="AW404" s="450"/>
      <c r="AX404" s="450"/>
      <c r="AY404" s="450"/>
      <c r="AZ404" s="450"/>
      <c r="BA404" s="450"/>
      <c r="BB404" s="450"/>
      <c r="BC404" s="450"/>
      <c r="BD404" s="450"/>
      <c r="BE404" s="450"/>
      <c r="BF404" s="450"/>
      <c r="BG404" s="450"/>
      <c r="BH404" s="450"/>
      <c r="BI404" s="450"/>
      <c r="BJ404" s="450"/>
      <c r="BK404" s="450"/>
      <c r="BL404" s="450"/>
      <c r="BM404" s="450"/>
    </row>
    <row r="405" spans="1:65" ht="11.15">
      <c r="A405" s="450"/>
      <c r="B405" s="450"/>
      <c r="C405" s="450"/>
      <c r="D405" s="450"/>
      <c r="E405" s="450"/>
      <c r="F405" s="450"/>
      <c r="G405" s="450"/>
      <c r="H405" s="450"/>
      <c r="I405" s="450"/>
      <c r="J405" s="450"/>
      <c r="K405" s="450"/>
      <c r="L405" s="450"/>
      <c r="M405" s="450"/>
      <c r="N405" s="450"/>
      <c r="O405" s="450"/>
      <c r="P405" s="450"/>
      <c r="Q405" s="450"/>
      <c r="R405" s="450"/>
      <c r="S405" s="450"/>
      <c r="T405" s="450"/>
      <c r="U405" s="450"/>
      <c r="V405" s="450"/>
      <c r="W405" s="450"/>
      <c r="X405" s="450"/>
      <c r="Y405" s="450"/>
      <c r="Z405" s="450"/>
      <c r="AA405" s="450"/>
      <c r="AB405" s="450"/>
      <c r="AC405" s="450"/>
      <c r="AD405" s="450"/>
      <c r="AE405" s="450"/>
      <c r="AF405" s="450"/>
      <c r="AG405" s="450"/>
      <c r="AH405" s="450"/>
      <c r="AI405" s="450"/>
      <c r="AJ405" s="450"/>
      <c r="AK405" s="450"/>
      <c r="AL405" s="450"/>
      <c r="AM405" s="450"/>
      <c r="AN405" s="450"/>
      <c r="AO405" s="450"/>
      <c r="AP405" s="450"/>
      <c r="AQ405" s="450"/>
      <c r="AR405" s="450"/>
      <c r="AS405" s="450"/>
      <c r="AT405" s="450"/>
      <c r="AU405" s="450"/>
      <c r="AV405" s="450"/>
      <c r="AW405" s="450"/>
      <c r="AX405" s="450"/>
      <c r="AY405" s="450"/>
      <c r="AZ405" s="450"/>
      <c r="BA405" s="450"/>
      <c r="BB405" s="450"/>
      <c r="BC405" s="450"/>
      <c r="BD405" s="450"/>
      <c r="BE405" s="450"/>
      <c r="BF405" s="450"/>
      <c r="BG405" s="450"/>
      <c r="BH405" s="450"/>
      <c r="BI405" s="450"/>
      <c r="BJ405" s="450"/>
      <c r="BK405" s="450"/>
      <c r="BL405" s="450"/>
      <c r="BM405" s="450"/>
    </row>
    <row r="406" spans="1:65" ht="11.15">
      <c r="A406" s="450"/>
      <c r="B406" s="450"/>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c r="Z406" s="450"/>
      <c r="AA406" s="450"/>
      <c r="AB406" s="450"/>
      <c r="AC406" s="450"/>
      <c r="AD406" s="450"/>
      <c r="AE406" s="450"/>
      <c r="AF406" s="450"/>
      <c r="AG406" s="450"/>
      <c r="AH406" s="450"/>
      <c r="AI406" s="450"/>
      <c r="AJ406" s="450"/>
      <c r="AK406" s="450"/>
      <c r="AL406" s="450"/>
      <c r="AM406" s="450"/>
      <c r="AN406" s="450"/>
      <c r="AO406" s="450"/>
      <c r="AP406" s="450"/>
      <c r="AQ406" s="450"/>
      <c r="AR406" s="450"/>
      <c r="AS406" s="450"/>
      <c r="AT406" s="450"/>
      <c r="AU406" s="450"/>
      <c r="AV406" s="450"/>
      <c r="AW406" s="450"/>
      <c r="AX406" s="450"/>
      <c r="AY406" s="450"/>
      <c r="AZ406" s="450"/>
      <c r="BA406" s="450"/>
      <c r="BB406" s="450"/>
      <c r="BC406" s="450"/>
      <c r="BD406" s="450"/>
      <c r="BE406" s="450"/>
      <c r="BF406" s="450"/>
      <c r="BG406" s="450"/>
      <c r="BH406" s="450"/>
      <c r="BI406" s="450"/>
      <c r="BJ406" s="450"/>
      <c r="BK406" s="450"/>
      <c r="BL406" s="450"/>
      <c r="BM406" s="450"/>
    </row>
    <row r="407" spans="1:65" ht="11.15">
      <c r="A407" s="450"/>
      <c r="B407" s="450"/>
      <c r="C407" s="450"/>
      <c r="D407" s="450"/>
      <c r="E407" s="450"/>
      <c r="F407" s="450"/>
      <c r="G407" s="450"/>
      <c r="H407" s="450"/>
      <c r="I407" s="450"/>
      <c r="J407" s="450"/>
      <c r="K407" s="450"/>
      <c r="L407" s="450"/>
      <c r="M407" s="450"/>
      <c r="N407" s="450"/>
      <c r="O407" s="450"/>
      <c r="P407" s="450"/>
      <c r="Q407" s="450"/>
      <c r="R407" s="450"/>
      <c r="S407" s="450"/>
      <c r="T407" s="450"/>
      <c r="U407" s="450"/>
      <c r="V407" s="450"/>
      <c r="W407" s="450"/>
      <c r="X407" s="450"/>
      <c r="Y407" s="450"/>
      <c r="Z407" s="450"/>
      <c r="AA407" s="450"/>
      <c r="AB407" s="450"/>
      <c r="AC407" s="450"/>
      <c r="AD407" s="450"/>
      <c r="AE407" s="450"/>
      <c r="AF407" s="450"/>
      <c r="AG407" s="450"/>
      <c r="AH407" s="450"/>
      <c r="AI407" s="450"/>
      <c r="AJ407" s="450"/>
      <c r="AK407" s="450"/>
      <c r="AL407" s="450"/>
      <c r="AM407" s="450"/>
      <c r="AN407" s="450"/>
      <c r="AO407" s="450"/>
      <c r="AP407" s="450"/>
      <c r="AQ407" s="450"/>
      <c r="AR407" s="450"/>
      <c r="AS407" s="450"/>
      <c r="AT407" s="450"/>
      <c r="AU407" s="450"/>
      <c r="AV407" s="450"/>
      <c r="AW407" s="450"/>
      <c r="AX407" s="450"/>
      <c r="AY407" s="450"/>
      <c r="AZ407" s="450"/>
      <c r="BA407" s="450"/>
      <c r="BB407" s="450"/>
      <c r="BC407" s="450"/>
      <c r="BD407" s="450"/>
      <c r="BE407" s="450"/>
      <c r="BF407" s="450"/>
      <c r="BG407" s="450"/>
      <c r="BH407" s="450"/>
      <c r="BI407" s="450"/>
      <c r="BJ407" s="450"/>
      <c r="BK407" s="450"/>
      <c r="BL407" s="450"/>
      <c r="BM407" s="450"/>
    </row>
    <row r="408" spans="1:65" ht="11.15">
      <c r="A408" s="450"/>
      <c r="B408" s="450"/>
      <c r="C408" s="450"/>
      <c r="D408" s="450"/>
      <c r="E408" s="450"/>
      <c r="F408" s="450"/>
      <c r="G408" s="450"/>
      <c r="H408" s="450"/>
      <c r="I408" s="450"/>
      <c r="J408" s="450"/>
      <c r="K408" s="450"/>
      <c r="L408" s="450"/>
      <c r="M408" s="450"/>
      <c r="N408" s="450"/>
      <c r="O408" s="450"/>
      <c r="P408" s="450"/>
      <c r="Q408" s="450"/>
      <c r="R408" s="450"/>
      <c r="S408" s="450"/>
      <c r="T408" s="450"/>
      <c r="U408" s="450"/>
      <c r="V408" s="450"/>
      <c r="W408" s="450"/>
      <c r="X408" s="450"/>
      <c r="Y408" s="450"/>
      <c r="Z408" s="450"/>
      <c r="AA408" s="450"/>
      <c r="AB408" s="450"/>
      <c r="AC408" s="450"/>
      <c r="AD408" s="450"/>
      <c r="AE408" s="450"/>
      <c r="AF408" s="450"/>
      <c r="AG408" s="450"/>
      <c r="AH408" s="450"/>
      <c r="AI408" s="450"/>
      <c r="AJ408" s="450"/>
      <c r="AK408" s="450"/>
      <c r="AL408" s="450"/>
      <c r="AM408" s="450"/>
      <c r="AN408" s="450"/>
      <c r="AO408" s="450"/>
      <c r="AP408" s="450"/>
      <c r="AQ408" s="450"/>
      <c r="AR408" s="450"/>
      <c r="AS408" s="450"/>
      <c r="AT408" s="450"/>
      <c r="AU408" s="450"/>
      <c r="AV408" s="450"/>
      <c r="AW408" s="450"/>
      <c r="AX408" s="450"/>
      <c r="AY408" s="450"/>
      <c r="AZ408" s="450"/>
      <c r="BA408" s="450"/>
      <c r="BB408" s="450"/>
      <c r="BC408" s="450"/>
      <c r="BD408" s="450"/>
      <c r="BE408" s="450"/>
      <c r="BF408" s="450"/>
      <c r="BG408" s="450"/>
      <c r="BH408" s="450"/>
      <c r="BI408" s="450"/>
      <c r="BJ408" s="450"/>
      <c r="BK408" s="450"/>
      <c r="BL408" s="450"/>
      <c r="BM408" s="450"/>
    </row>
    <row r="409" spans="1:65" ht="11.15">
      <c r="A409" s="450"/>
      <c r="B409" s="45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c r="Z409" s="450"/>
      <c r="AA409" s="450"/>
      <c r="AB409" s="450"/>
      <c r="AC409" s="450"/>
      <c r="AD409" s="450"/>
      <c r="AE409" s="450"/>
      <c r="AF409" s="450"/>
      <c r="AG409" s="450"/>
      <c r="AH409" s="450"/>
      <c r="AI409" s="450"/>
      <c r="AJ409" s="450"/>
      <c r="AK409" s="450"/>
      <c r="AL409" s="450"/>
      <c r="AM409" s="450"/>
      <c r="AN409" s="450"/>
      <c r="AO409" s="450"/>
      <c r="AP409" s="450"/>
      <c r="AQ409" s="450"/>
      <c r="AR409" s="450"/>
      <c r="AS409" s="450"/>
      <c r="AT409" s="450"/>
      <c r="AU409" s="450"/>
      <c r="AV409" s="450"/>
      <c r="AW409" s="450"/>
      <c r="AX409" s="450"/>
      <c r="AY409" s="450"/>
      <c r="AZ409" s="450"/>
      <c r="BA409" s="450"/>
      <c r="BB409" s="450"/>
      <c r="BC409" s="450"/>
      <c r="BD409" s="450"/>
      <c r="BE409" s="450"/>
      <c r="BF409" s="450"/>
      <c r="BG409" s="450"/>
      <c r="BH409" s="450"/>
      <c r="BI409" s="450"/>
      <c r="BJ409" s="450"/>
      <c r="BK409" s="450"/>
      <c r="BL409" s="450"/>
      <c r="BM409" s="450"/>
    </row>
    <row r="410" spans="1:65" ht="11.15">
      <c r="A410" s="450"/>
      <c r="B410" s="45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c r="Z410" s="450"/>
      <c r="AA410" s="450"/>
      <c r="AB410" s="450"/>
      <c r="AC410" s="450"/>
      <c r="AD410" s="450"/>
      <c r="AE410" s="450"/>
      <c r="AF410" s="450"/>
      <c r="AG410" s="450"/>
      <c r="AH410" s="450"/>
      <c r="AI410" s="450"/>
      <c r="AJ410" s="450"/>
      <c r="AK410" s="450"/>
      <c r="AL410" s="450"/>
      <c r="AM410" s="450"/>
      <c r="AN410" s="450"/>
      <c r="AO410" s="450"/>
      <c r="AP410" s="450"/>
      <c r="AQ410" s="450"/>
      <c r="AR410" s="450"/>
      <c r="AS410" s="450"/>
      <c r="AT410" s="450"/>
      <c r="AU410" s="450"/>
      <c r="AV410" s="450"/>
      <c r="AW410" s="450"/>
      <c r="AX410" s="450"/>
      <c r="AY410" s="450"/>
      <c r="AZ410" s="450"/>
      <c r="BA410" s="450"/>
      <c r="BB410" s="450"/>
      <c r="BC410" s="450"/>
      <c r="BD410" s="450"/>
      <c r="BE410" s="450"/>
      <c r="BF410" s="450"/>
      <c r="BG410" s="450"/>
      <c r="BH410" s="450"/>
      <c r="BI410" s="450"/>
      <c r="BJ410" s="450"/>
      <c r="BK410" s="450"/>
      <c r="BL410" s="450"/>
      <c r="BM410" s="450"/>
    </row>
    <row r="411" spans="1:65" ht="11.15">
      <c r="A411" s="450"/>
      <c r="B411" s="45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c r="Z411" s="450"/>
      <c r="AA411" s="450"/>
      <c r="AB411" s="450"/>
      <c r="AC411" s="450"/>
      <c r="AD411" s="450"/>
      <c r="AE411" s="450"/>
      <c r="AF411" s="450"/>
      <c r="AG411" s="450"/>
      <c r="AH411" s="450"/>
      <c r="AI411" s="450"/>
      <c r="AJ411" s="450"/>
      <c r="AK411" s="450"/>
      <c r="AL411" s="450"/>
      <c r="AM411" s="450"/>
      <c r="AN411" s="450"/>
      <c r="AO411" s="450"/>
      <c r="AP411" s="450"/>
      <c r="AQ411" s="450"/>
      <c r="AR411" s="450"/>
      <c r="AS411" s="450"/>
      <c r="AT411" s="450"/>
      <c r="AU411" s="450"/>
      <c r="AV411" s="450"/>
      <c r="AW411" s="450"/>
      <c r="AX411" s="450"/>
      <c r="AY411" s="450"/>
      <c r="AZ411" s="450"/>
      <c r="BA411" s="450"/>
      <c r="BB411" s="450"/>
      <c r="BC411" s="450"/>
      <c r="BD411" s="450"/>
      <c r="BE411" s="450"/>
      <c r="BF411" s="450"/>
      <c r="BG411" s="450"/>
      <c r="BH411" s="450"/>
      <c r="BI411" s="450"/>
      <c r="BJ411" s="450"/>
      <c r="BK411" s="450"/>
      <c r="BL411" s="450"/>
      <c r="BM411" s="450"/>
    </row>
    <row r="412" spans="1:65" ht="11.15">
      <c r="A412" s="450"/>
      <c r="B412" s="45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c r="Z412" s="450"/>
      <c r="AA412" s="450"/>
      <c r="AB412" s="450"/>
      <c r="AC412" s="450"/>
      <c r="AD412" s="450"/>
      <c r="AE412" s="450"/>
      <c r="AF412" s="450"/>
      <c r="AG412" s="450"/>
      <c r="AH412" s="450"/>
      <c r="AI412" s="450"/>
      <c r="AJ412" s="450"/>
      <c r="AK412" s="450"/>
      <c r="AL412" s="450"/>
      <c r="AM412" s="450"/>
      <c r="AN412" s="450"/>
      <c r="AO412" s="450"/>
      <c r="AP412" s="450"/>
      <c r="AQ412" s="450"/>
      <c r="AR412" s="450"/>
      <c r="AS412" s="450"/>
      <c r="AT412" s="450"/>
      <c r="AU412" s="450"/>
      <c r="AV412" s="450"/>
      <c r="AW412" s="450"/>
      <c r="AX412" s="450"/>
      <c r="AY412" s="450"/>
      <c r="AZ412" s="450"/>
      <c r="BA412" s="450"/>
      <c r="BB412" s="450"/>
      <c r="BC412" s="450"/>
      <c r="BD412" s="450"/>
      <c r="BE412" s="450"/>
      <c r="BF412" s="450"/>
      <c r="BG412" s="450"/>
      <c r="BH412" s="450"/>
      <c r="BI412" s="450"/>
      <c r="BJ412" s="450"/>
      <c r="BK412" s="450"/>
      <c r="BL412" s="450"/>
      <c r="BM412" s="450"/>
    </row>
    <row r="413" spans="1:65" ht="11.15">
      <c r="A413" s="450"/>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c r="Z413" s="450"/>
      <c r="AA413" s="450"/>
      <c r="AB413" s="450"/>
      <c r="AC413" s="450"/>
      <c r="AD413" s="450"/>
      <c r="AE413" s="450"/>
      <c r="AF413" s="450"/>
      <c r="AG413" s="450"/>
      <c r="AH413" s="450"/>
      <c r="AI413" s="450"/>
      <c r="AJ413" s="450"/>
      <c r="AK413" s="450"/>
      <c r="AL413" s="450"/>
      <c r="AM413" s="450"/>
      <c r="AN413" s="450"/>
      <c r="AO413" s="450"/>
      <c r="AP413" s="450"/>
      <c r="AQ413" s="450"/>
      <c r="AR413" s="450"/>
      <c r="AS413" s="450"/>
      <c r="AT413" s="450"/>
      <c r="AU413" s="450"/>
      <c r="AV413" s="450"/>
      <c r="AW413" s="450"/>
      <c r="AX413" s="450"/>
      <c r="AY413" s="450"/>
      <c r="AZ413" s="450"/>
      <c r="BA413" s="450"/>
      <c r="BB413" s="450"/>
      <c r="BC413" s="450"/>
      <c r="BD413" s="450"/>
      <c r="BE413" s="450"/>
      <c r="BF413" s="450"/>
      <c r="BG413" s="450"/>
      <c r="BH413" s="450"/>
      <c r="BI413" s="450"/>
      <c r="BJ413" s="450"/>
      <c r="BK413" s="450"/>
      <c r="BL413" s="450"/>
      <c r="BM413" s="450"/>
    </row>
    <row r="414" spans="1:65" ht="11.15">
      <c r="A414" s="450"/>
      <c r="B414" s="45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c r="AA414" s="450"/>
      <c r="AB414" s="450"/>
      <c r="AC414" s="450"/>
      <c r="AD414" s="450"/>
      <c r="AE414" s="450"/>
      <c r="AF414" s="450"/>
      <c r="AG414" s="450"/>
      <c r="AH414" s="450"/>
      <c r="AI414" s="450"/>
      <c r="AJ414" s="450"/>
      <c r="AK414" s="450"/>
      <c r="AL414" s="450"/>
      <c r="AM414" s="450"/>
      <c r="AN414" s="450"/>
      <c r="AO414" s="450"/>
      <c r="AP414" s="450"/>
      <c r="AQ414" s="450"/>
      <c r="AR414" s="450"/>
      <c r="AS414" s="450"/>
      <c r="AT414" s="450"/>
      <c r="AU414" s="450"/>
      <c r="AV414" s="450"/>
      <c r="AW414" s="450"/>
      <c r="AX414" s="450"/>
      <c r="AY414" s="450"/>
      <c r="AZ414" s="450"/>
      <c r="BA414" s="450"/>
      <c r="BB414" s="450"/>
      <c r="BC414" s="450"/>
      <c r="BD414" s="450"/>
      <c r="BE414" s="450"/>
      <c r="BF414" s="450"/>
      <c r="BG414" s="450"/>
      <c r="BH414" s="450"/>
      <c r="BI414" s="450"/>
      <c r="BJ414" s="450"/>
      <c r="BK414" s="450"/>
      <c r="BL414" s="450"/>
      <c r="BM414" s="450"/>
    </row>
    <row r="415" spans="1:65" ht="11.15">
      <c r="A415" s="450"/>
      <c r="B415" s="45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c r="AF415" s="450"/>
      <c r="AG415" s="450"/>
      <c r="AH415" s="450"/>
      <c r="AI415" s="450"/>
      <c r="AJ415" s="450"/>
      <c r="AK415" s="450"/>
      <c r="AL415" s="450"/>
      <c r="AM415" s="450"/>
      <c r="AN415" s="450"/>
      <c r="AO415" s="450"/>
      <c r="AP415" s="450"/>
      <c r="AQ415" s="450"/>
      <c r="AR415" s="450"/>
      <c r="AS415" s="450"/>
      <c r="AT415" s="450"/>
      <c r="AU415" s="450"/>
      <c r="AV415" s="450"/>
      <c r="AW415" s="450"/>
      <c r="AX415" s="450"/>
      <c r="AY415" s="450"/>
      <c r="AZ415" s="450"/>
      <c r="BA415" s="450"/>
      <c r="BB415" s="450"/>
      <c r="BC415" s="450"/>
      <c r="BD415" s="450"/>
      <c r="BE415" s="450"/>
      <c r="BF415" s="450"/>
      <c r="BG415" s="450"/>
      <c r="BH415" s="450"/>
      <c r="BI415" s="450"/>
      <c r="BJ415" s="450"/>
      <c r="BK415" s="450"/>
      <c r="BL415" s="450"/>
      <c r="BM415" s="450"/>
    </row>
    <row r="416" spans="1:65" ht="11.15">
      <c r="A416" s="450"/>
      <c r="B416" s="45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c r="Z416" s="450"/>
      <c r="AA416" s="450"/>
      <c r="AB416" s="450"/>
      <c r="AC416" s="450"/>
      <c r="AD416" s="450"/>
      <c r="AE416" s="450"/>
      <c r="AF416" s="450"/>
      <c r="AG416" s="450"/>
      <c r="AH416" s="450"/>
      <c r="AI416" s="450"/>
      <c r="AJ416" s="450"/>
      <c r="AK416" s="450"/>
      <c r="AL416" s="450"/>
      <c r="AM416" s="450"/>
      <c r="AN416" s="450"/>
      <c r="AO416" s="450"/>
      <c r="AP416" s="450"/>
      <c r="AQ416" s="450"/>
      <c r="AR416" s="450"/>
      <c r="AS416" s="450"/>
      <c r="AT416" s="450"/>
      <c r="AU416" s="450"/>
      <c r="AV416" s="450"/>
      <c r="AW416" s="450"/>
      <c r="AX416" s="450"/>
      <c r="AY416" s="450"/>
      <c r="AZ416" s="450"/>
      <c r="BA416" s="450"/>
      <c r="BB416" s="450"/>
      <c r="BC416" s="450"/>
      <c r="BD416" s="450"/>
      <c r="BE416" s="450"/>
      <c r="BF416" s="450"/>
      <c r="BG416" s="450"/>
      <c r="BH416" s="450"/>
      <c r="BI416" s="450"/>
      <c r="BJ416" s="450"/>
      <c r="BK416" s="450"/>
      <c r="BL416" s="450"/>
      <c r="BM416" s="450"/>
    </row>
    <row r="417" spans="1:65" ht="11.15">
      <c r="A417" s="450"/>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450"/>
      <c r="AE417" s="450"/>
      <c r="AF417" s="450"/>
      <c r="AG417" s="450"/>
      <c r="AH417" s="450"/>
      <c r="AI417" s="450"/>
      <c r="AJ417" s="450"/>
      <c r="AK417" s="450"/>
      <c r="AL417" s="450"/>
      <c r="AM417" s="450"/>
      <c r="AN417" s="450"/>
      <c r="AO417" s="450"/>
      <c r="AP417" s="450"/>
      <c r="AQ417" s="450"/>
      <c r="AR417" s="450"/>
      <c r="AS417" s="450"/>
      <c r="AT417" s="450"/>
      <c r="AU417" s="450"/>
      <c r="AV417" s="450"/>
      <c r="AW417" s="450"/>
      <c r="AX417" s="450"/>
      <c r="AY417" s="450"/>
      <c r="AZ417" s="450"/>
      <c r="BA417" s="450"/>
      <c r="BB417" s="450"/>
      <c r="BC417" s="450"/>
      <c r="BD417" s="450"/>
      <c r="BE417" s="450"/>
      <c r="BF417" s="450"/>
      <c r="BG417" s="450"/>
      <c r="BH417" s="450"/>
      <c r="BI417" s="450"/>
      <c r="BJ417" s="450"/>
      <c r="BK417" s="450"/>
      <c r="BL417" s="450"/>
      <c r="BM417" s="450"/>
    </row>
    <row r="418" spans="1:65" ht="11.15">
      <c r="A418" s="450"/>
      <c r="B418" s="450"/>
      <c r="C418" s="450"/>
      <c r="D418" s="450"/>
      <c r="E418" s="450"/>
      <c r="F418" s="450"/>
      <c r="G418" s="450"/>
      <c r="H418" s="450"/>
      <c r="I418" s="450"/>
      <c r="J418" s="450"/>
      <c r="K418" s="450"/>
      <c r="L418" s="450"/>
      <c r="M418" s="450"/>
      <c r="N418" s="450"/>
      <c r="O418" s="450"/>
      <c r="P418" s="450"/>
      <c r="Q418" s="450"/>
      <c r="R418" s="450"/>
      <c r="S418" s="450"/>
      <c r="T418" s="450"/>
      <c r="U418" s="450"/>
      <c r="V418" s="450"/>
      <c r="W418" s="450"/>
      <c r="X418" s="450"/>
      <c r="Y418" s="450"/>
      <c r="Z418" s="450"/>
      <c r="AA418" s="450"/>
      <c r="AB418" s="450"/>
      <c r="AC418" s="450"/>
      <c r="AD418" s="450"/>
      <c r="AE418" s="450"/>
      <c r="AF418" s="450"/>
      <c r="AG418" s="450"/>
      <c r="AH418" s="450"/>
      <c r="AI418" s="450"/>
      <c r="AJ418" s="450"/>
      <c r="AK418" s="450"/>
      <c r="AL418" s="450"/>
      <c r="AM418" s="450"/>
      <c r="AN418" s="450"/>
      <c r="AO418" s="450"/>
      <c r="AP418" s="450"/>
      <c r="AQ418" s="450"/>
      <c r="AR418" s="450"/>
      <c r="AS418" s="450"/>
      <c r="AT418" s="450"/>
      <c r="AU418" s="450"/>
      <c r="AV418" s="450"/>
      <c r="AW418" s="450"/>
      <c r="AX418" s="450"/>
      <c r="AY418" s="450"/>
      <c r="AZ418" s="450"/>
      <c r="BA418" s="450"/>
      <c r="BB418" s="450"/>
      <c r="BC418" s="450"/>
      <c r="BD418" s="450"/>
      <c r="BE418" s="450"/>
      <c r="BF418" s="450"/>
      <c r="BG418" s="450"/>
      <c r="BH418" s="450"/>
      <c r="BI418" s="450"/>
      <c r="BJ418" s="450"/>
      <c r="BK418" s="450"/>
      <c r="BL418" s="450"/>
      <c r="BM418" s="450"/>
    </row>
    <row r="419" spans="1:65" ht="11.15">
      <c r="A419" s="450"/>
      <c r="B419" s="450"/>
      <c r="C419" s="450"/>
      <c r="D419" s="450"/>
      <c r="E419" s="450"/>
      <c r="F419" s="450"/>
      <c r="G419" s="450"/>
      <c r="H419" s="450"/>
      <c r="I419" s="450"/>
      <c r="J419" s="450"/>
      <c r="K419" s="450"/>
      <c r="L419" s="450"/>
      <c r="M419" s="450"/>
      <c r="N419" s="450"/>
      <c r="O419" s="450"/>
      <c r="P419" s="450"/>
      <c r="Q419" s="450"/>
      <c r="R419" s="450"/>
      <c r="S419" s="450"/>
      <c r="T419" s="450"/>
      <c r="U419" s="450"/>
      <c r="V419" s="450"/>
      <c r="W419" s="450"/>
      <c r="X419" s="450"/>
      <c r="Y419" s="450"/>
      <c r="Z419" s="450"/>
      <c r="AA419" s="450"/>
      <c r="AB419" s="450"/>
      <c r="AC419" s="450"/>
      <c r="AD419" s="450"/>
      <c r="AE419" s="450"/>
      <c r="AF419" s="450"/>
      <c r="AG419" s="450"/>
      <c r="AH419" s="450"/>
      <c r="AI419" s="450"/>
      <c r="AJ419" s="450"/>
      <c r="AK419" s="450"/>
      <c r="AL419" s="450"/>
      <c r="AM419" s="450"/>
      <c r="AN419" s="450"/>
      <c r="AO419" s="450"/>
      <c r="AP419" s="450"/>
      <c r="AQ419" s="450"/>
      <c r="AR419" s="450"/>
      <c r="AS419" s="450"/>
      <c r="AT419" s="450"/>
      <c r="AU419" s="450"/>
      <c r="AV419" s="450"/>
      <c r="AW419" s="450"/>
      <c r="AX419" s="450"/>
      <c r="AY419" s="450"/>
      <c r="AZ419" s="450"/>
      <c r="BA419" s="450"/>
      <c r="BB419" s="450"/>
      <c r="BC419" s="450"/>
      <c r="BD419" s="450"/>
      <c r="BE419" s="450"/>
      <c r="BF419" s="450"/>
      <c r="BG419" s="450"/>
      <c r="BH419" s="450"/>
      <c r="BI419" s="450"/>
      <c r="BJ419" s="450"/>
      <c r="BK419" s="450"/>
      <c r="BL419" s="450"/>
      <c r="BM419" s="450"/>
    </row>
    <row r="420" spans="1:65" ht="11.15">
      <c r="A420" s="450"/>
      <c r="B420" s="450"/>
      <c r="C420" s="450"/>
      <c r="D420" s="450"/>
      <c r="E420" s="450"/>
      <c r="F420" s="450"/>
      <c r="G420" s="450"/>
      <c r="H420" s="450"/>
      <c r="I420" s="450"/>
      <c r="J420" s="450"/>
      <c r="K420" s="450"/>
      <c r="L420" s="450"/>
      <c r="M420" s="450"/>
      <c r="N420" s="450"/>
      <c r="O420" s="450"/>
      <c r="P420" s="450"/>
      <c r="Q420" s="450"/>
      <c r="R420" s="450"/>
      <c r="S420" s="450"/>
      <c r="T420" s="450"/>
      <c r="U420" s="450"/>
      <c r="V420" s="450"/>
      <c r="W420" s="450"/>
      <c r="X420" s="450"/>
      <c r="Y420" s="450"/>
      <c r="Z420" s="450"/>
      <c r="AA420" s="450"/>
      <c r="AB420" s="450"/>
      <c r="AC420" s="450"/>
      <c r="AD420" s="450"/>
      <c r="AE420" s="450"/>
      <c r="AF420" s="450"/>
      <c r="AG420" s="450"/>
      <c r="AH420" s="450"/>
      <c r="AI420" s="450"/>
      <c r="AJ420" s="450"/>
      <c r="AK420" s="450"/>
      <c r="AL420" s="450"/>
      <c r="AM420" s="450"/>
      <c r="AN420" s="450"/>
      <c r="AO420" s="450"/>
      <c r="AP420" s="450"/>
      <c r="AQ420" s="450"/>
      <c r="AR420" s="450"/>
      <c r="AS420" s="450"/>
      <c r="AT420" s="450"/>
      <c r="AU420" s="450"/>
      <c r="AV420" s="450"/>
      <c r="AW420" s="450"/>
      <c r="AX420" s="450"/>
      <c r="AY420" s="450"/>
      <c r="AZ420" s="450"/>
      <c r="BA420" s="450"/>
      <c r="BB420" s="450"/>
      <c r="BC420" s="450"/>
      <c r="BD420" s="450"/>
      <c r="BE420" s="450"/>
      <c r="BF420" s="450"/>
      <c r="BG420" s="450"/>
      <c r="BH420" s="450"/>
      <c r="BI420" s="450"/>
      <c r="BJ420" s="450"/>
      <c r="BK420" s="450"/>
      <c r="BL420" s="450"/>
      <c r="BM420" s="450"/>
    </row>
    <row r="421" spans="1:65" ht="11.15">
      <c r="A421" s="450"/>
      <c r="B421" s="450"/>
      <c r="C421" s="450"/>
      <c r="D421" s="450"/>
      <c r="E421" s="450"/>
      <c r="F421" s="450"/>
      <c r="G421" s="450"/>
      <c r="H421" s="450"/>
      <c r="I421" s="450"/>
      <c r="J421" s="450"/>
      <c r="K421" s="450"/>
      <c r="L421" s="450"/>
      <c r="M421" s="450"/>
      <c r="N421" s="450"/>
      <c r="O421" s="450"/>
      <c r="P421" s="450"/>
      <c r="Q421" s="450"/>
      <c r="R421" s="450"/>
      <c r="S421" s="450"/>
      <c r="T421" s="450"/>
      <c r="U421" s="450"/>
      <c r="V421" s="450"/>
      <c r="W421" s="450"/>
      <c r="X421" s="450"/>
      <c r="Y421" s="450"/>
      <c r="Z421" s="450"/>
      <c r="AA421" s="450"/>
      <c r="AB421" s="450"/>
      <c r="AC421" s="450"/>
      <c r="AD421" s="450"/>
      <c r="AE421" s="450"/>
      <c r="AF421" s="450"/>
      <c r="AG421" s="450"/>
      <c r="AH421" s="450"/>
      <c r="AI421" s="450"/>
      <c r="AJ421" s="450"/>
      <c r="AK421" s="450"/>
      <c r="AL421" s="450"/>
      <c r="AM421" s="450"/>
      <c r="AN421" s="450"/>
      <c r="AO421" s="450"/>
      <c r="AP421" s="450"/>
      <c r="AQ421" s="450"/>
      <c r="AR421" s="450"/>
      <c r="AS421" s="450"/>
      <c r="AT421" s="450"/>
      <c r="AU421" s="450"/>
      <c r="AV421" s="450"/>
      <c r="AW421" s="450"/>
      <c r="AX421" s="450"/>
      <c r="AY421" s="450"/>
      <c r="AZ421" s="450"/>
      <c r="BA421" s="450"/>
      <c r="BB421" s="450"/>
      <c r="BC421" s="450"/>
      <c r="BD421" s="450"/>
      <c r="BE421" s="450"/>
      <c r="BF421" s="450"/>
      <c r="BG421" s="450"/>
      <c r="BH421" s="450"/>
      <c r="BI421" s="450"/>
      <c r="BJ421" s="450"/>
      <c r="BK421" s="450"/>
      <c r="BL421" s="450"/>
      <c r="BM421" s="450"/>
    </row>
    <row r="422" spans="1:65" ht="11.15">
      <c r="A422" s="450"/>
      <c r="B422" s="450"/>
      <c r="C422" s="450"/>
      <c r="D422" s="450"/>
      <c r="E422" s="450"/>
      <c r="F422" s="450"/>
      <c r="G422" s="450"/>
      <c r="H422" s="450"/>
      <c r="I422" s="450"/>
      <c r="J422" s="450"/>
      <c r="K422" s="450"/>
      <c r="L422" s="450"/>
      <c r="M422" s="450"/>
      <c r="N422" s="450"/>
      <c r="O422" s="450"/>
      <c r="P422" s="450"/>
      <c r="Q422" s="450"/>
      <c r="R422" s="450"/>
      <c r="S422" s="450"/>
      <c r="T422" s="450"/>
      <c r="U422" s="450"/>
      <c r="V422" s="450"/>
      <c r="W422" s="450"/>
      <c r="X422" s="450"/>
      <c r="Y422" s="450"/>
      <c r="Z422" s="450"/>
      <c r="AA422" s="450"/>
      <c r="AB422" s="450"/>
      <c r="AC422" s="450"/>
      <c r="AD422" s="450"/>
      <c r="AE422" s="450"/>
      <c r="AF422" s="450"/>
      <c r="AG422" s="450"/>
      <c r="AH422" s="450"/>
      <c r="AI422" s="450"/>
      <c r="AJ422" s="450"/>
      <c r="AK422" s="450"/>
      <c r="AL422" s="450"/>
      <c r="AM422" s="450"/>
      <c r="AN422" s="450"/>
      <c r="AO422" s="450"/>
      <c r="AP422" s="450"/>
      <c r="AQ422" s="450"/>
      <c r="AR422" s="450"/>
      <c r="AS422" s="450"/>
      <c r="AT422" s="450"/>
      <c r="AU422" s="450"/>
      <c r="AV422" s="450"/>
      <c r="AW422" s="450"/>
      <c r="AX422" s="450"/>
      <c r="AY422" s="450"/>
      <c r="AZ422" s="450"/>
      <c r="BA422" s="450"/>
      <c r="BB422" s="450"/>
      <c r="BC422" s="450"/>
      <c r="BD422" s="450"/>
      <c r="BE422" s="450"/>
      <c r="BF422" s="450"/>
      <c r="BG422" s="450"/>
      <c r="BH422" s="450"/>
      <c r="BI422" s="450"/>
      <c r="BJ422" s="450"/>
      <c r="BK422" s="450"/>
      <c r="BL422" s="450"/>
      <c r="BM422" s="450"/>
    </row>
    <row r="423" spans="1:65" ht="11.15">
      <c r="A423" s="450"/>
      <c r="B423" s="450"/>
      <c r="C423" s="450"/>
      <c r="D423" s="450"/>
      <c r="E423" s="450"/>
      <c r="F423" s="450"/>
      <c r="G423" s="450"/>
      <c r="H423" s="450"/>
      <c r="I423" s="450"/>
      <c r="J423" s="450"/>
      <c r="K423" s="450"/>
      <c r="L423" s="450"/>
      <c r="M423" s="450"/>
      <c r="N423" s="450"/>
      <c r="O423" s="450"/>
      <c r="P423" s="450"/>
      <c r="Q423" s="450"/>
      <c r="R423" s="450"/>
      <c r="S423" s="450"/>
      <c r="T423" s="450"/>
      <c r="U423" s="450"/>
      <c r="V423" s="450"/>
      <c r="W423" s="450"/>
      <c r="X423" s="450"/>
      <c r="Y423" s="450"/>
      <c r="Z423" s="450"/>
      <c r="AA423" s="450"/>
      <c r="AB423" s="450"/>
      <c r="AC423" s="450"/>
      <c r="AD423" s="450"/>
      <c r="AE423" s="450"/>
      <c r="AF423" s="450"/>
      <c r="AG423" s="450"/>
      <c r="AH423" s="450"/>
      <c r="AI423" s="450"/>
      <c r="AJ423" s="450"/>
      <c r="AK423" s="450"/>
      <c r="AL423" s="450"/>
      <c r="AM423" s="450"/>
      <c r="AN423" s="450"/>
      <c r="AO423" s="450"/>
      <c r="AP423" s="450"/>
      <c r="AQ423" s="450"/>
      <c r="AR423" s="450"/>
      <c r="AS423" s="450"/>
      <c r="AT423" s="450"/>
      <c r="AU423" s="450"/>
      <c r="AV423" s="450"/>
      <c r="AW423" s="450"/>
      <c r="AX423" s="450"/>
      <c r="AY423" s="450"/>
      <c r="AZ423" s="450"/>
      <c r="BA423" s="450"/>
      <c r="BB423" s="450"/>
      <c r="BC423" s="450"/>
      <c r="BD423" s="450"/>
      <c r="BE423" s="450"/>
      <c r="BF423" s="450"/>
      <c r="BG423" s="450"/>
      <c r="BH423" s="450"/>
      <c r="BI423" s="450"/>
      <c r="BJ423" s="450"/>
      <c r="BK423" s="450"/>
      <c r="BL423" s="450"/>
      <c r="BM423" s="450"/>
    </row>
    <row r="424" spans="1:65" ht="11.15">
      <c r="A424" s="450"/>
      <c r="B424" s="450"/>
      <c r="C424" s="450"/>
      <c r="D424" s="450"/>
      <c r="E424" s="450"/>
      <c r="F424" s="450"/>
      <c r="G424" s="450"/>
      <c r="H424" s="450"/>
      <c r="I424" s="450"/>
      <c r="J424" s="450"/>
      <c r="K424" s="450"/>
      <c r="L424" s="450"/>
      <c r="M424" s="450"/>
      <c r="N424" s="450"/>
      <c r="O424" s="450"/>
      <c r="P424" s="450"/>
      <c r="Q424" s="450"/>
      <c r="R424" s="450"/>
      <c r="S424" s="450"/>
      <c r="T424" s="450"/>
      <c r="U424" s="450"/>
      <c r="V424" s="450"/>
      <c r="W424" s="450"/>
      <c r="X424" s="450"/>
      <c r="Y424" s="450"/>
      <c r="Z424" s="450"/>
      <c r="AA424" s="450"/>
      <c r="AB424" s="450"/>
      <c r="AC424" s="450"/>
      <c r="AD424" s="450"/>
      <c r="AE424" s="450"/>
      <c r="AF424" s="450"/>
      <c r="AG424" s="450"/>
      <c r="AH424" s="450"/>
      <c r="AI424" s="450"/>
      <c r="AJ424" s="450"/>
      <c r="AK424" s="450"/>
      <c r="AL424" s="450"/>
      <c r="AM424" s="450"/>
      <c r="AN424" s="450"/>
      <c r="AO424" s="450"/>
      <c r="AP424" s="450"/>
      <c r="AQ424" s="450"/>
      <c r="AR424" s="450"/>
      <c r="AS424" s="450"/>
      <c r="AT424" s="450"/>
      <c r="AU424" s="450"/>
      <c r="AV424" s="450"/>
      <c r="AW424" s="450"/>
      <c r="AX424" s="450"/>
      <c r="AY424" s="450"/>
      <c r="AZ424" s="450"/>
      <c r="BA424" s="450"/>
      <c r="BB424" s="450"/>
      <c r="BC424" s="450"/>
      <c r="BD424" s="450"/>
      <c r="BE424" s="450"/>
      <c r="BF424" s="450"/>
      <c r="BG424" s="450"/>
      <c r="BH424" s="450"/>
      <c r="BI424" s="450"/>
      <c r="BJ424" s="450"/>
      <c r="BK424" s="450"/>
      <c r="BL424" s="450"/>
      <c r="BM424" s="450"/>
    </row>
    <row r="425" spans="1:65" ht="11.15">
      <c r="A425" s="450"/>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c r="Z425" s="450"/>
      <c r="AA425" s="450"/>
      <c r="AB425" s="450"/>
      <c r="AC425" s="450"/>
      <c r="AD425" s="450"/>
      <c r="AE425" s="450"/>
      <c r="AF425" s="450"/>
      <c r="AG425" s="450"/>
      <c r="AH425" s="450"/>
      <c r="AI425" s="450"/>
      <c r="AJ425" s="450"/>
      <c r="AK425" s="450"/>
      <c r="AL425" s="450"/>
      <c r="AM425" s="450"/>
      <c r="AN425" s="450"/>
      <c r="AO425" s="450"/>
      <c r="AP425" s="450"/>
      <c r="AQ425" s="450"/>
      <c r="AR425" s="450"/>
      <c r="AS425" s="450"/>
      <c r="AT425" s="450"/>
      <c r="AU425" s="450"/>
      <c r="AV425" s="450"/>
      <c r="AW425" s="450"/>
      <c r="AX425" s="450"/>
      <c r="AY425" s="450"/>
      <c r="AZ425" s="450"/>
      <c r="BA425" s="450"/>
      <c r="BB425" s="450"/>
      <c r="BC425" s="450"/>
      <c r="BD425" s="450"/>
      <c r="BE425" s="450"/>
      <c r="BF425" s="450"/>
      <c r="BG425" s="450"/>
      <c r="BH425" s="450"/>
      <c r="BI425" s="450"/>
      <c r="BJ425" s="450"/>
      <c r="BK425" s="450"/>
      <c r="BL425" s="450"/>
      <c r="BM425" s="450"/>
    </row>
    <row r="426" spans="1:65" ht="11.15">
      <c r="A426" s="450"/>
      <c r="B426" s="450"/>
      <c r="C426" s="450"/>
      <c r="D426" s="450"/>
      <c r="E426" s="450"/>
      <c r="F426" s="450"/>
      <c r="G426" s="450"/>
      <c r="H426" s="450"/>
      <c r="I426" s="450"/>
      <c r="J426" s="450"/>
      <c r="K426" s="450"/>
      <c r="L426" s="450"/>
      <c r="M426" s="450"/>
      <c r="N426" s="450"/>
      <c r="O426" s="450"/>
      <c r="P426" s="450"/>
      <c r="Q426" s="450"/>
      <c r="R426" s="450"/>
      <c r="S426" s="450"/>
      <c r="T426" s="450"/>
      <c r="U426" s="450"/>
      <c r="V426" s="450"/>
      <c r="W426" s="450"/>
      <c r="X426" s="450"/>
      <c r="Y426" s="450"/>
      <c r="Z426" s="450"/>
      <c r="AA426" s="450"/>
      <c r="AB426" s="450"/>
      <c r="AC426" s="450"/>
      <c r="AD426" s="450"/>
      <c r="AE426" s="450"/>
      <c r="AF426" s="450"/>
      <c r="AG426" s="450"/>
      <c r="AH426" s="450"/>
      <c r="AI426" s="450"/>
      <c r="AJ426" s="450"/>
      <c r="AK426" s="450"/>
      <c r="AL426" s="450"/>
      <c r="AM426" s="450"/>
      <c r="AN426" s="450"/>
      <c r="AO426" s="450"/>
      <c r="AP426" s="450"/>
      <c r="AQ426" s="450"/>
      <c r="AR426" s="450"/>
      <c r="AS426" s="450"/>
      <c r="AT426" s="450"/>
      <c r="AU426" s="450"/>
      <c r="AV426" s="450"/>
      <c r="AW426" s="450"/>
      <c r="AX426" s="450"/>
      <c r="AY426" s="450"/>
      <c r="AZ426" s="450"/>
      <c r="BA426" s="450"/>
      <c r="BB426" s="450"/>
      <c r="BC426" s="450"/>
      <c r="BD426" s="450"/>
      <c r="BE426" s="450"/>
      <c r="BF426" s="450"/>
      <c r="BG426" s="450"/>
      <c r="BH426" s="450"/>
      <c r="BI426" s="450"/>
      <c r="BJ426" s="450"/>
      <c r="BK426" s="450"/>
      <c r="BL426" s="450"/>
      <c r="BM426" s="450"/>
    </row>
    <row r="427" spans="1:65" ht="11.15">
      <c r="A427" s="450"/>
      <c r="B427" s="450"/>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c r="Z427" s="450"/>
      <c r="AA427" s="450"/>
      <c r="AB427" s="450"/>
      <c r="AC427" s="450"/>
      <c r="AD427" s="450"/>
      <c r="AE427" s="450"/>
      <c r="AF427" s="450"/>
      <c r="AG427" s="450"/>
      <c r="AH427" s="450"/>
      <c r="AI427" s="450"/>
      <c r="AJ427" s="450"/>
      <c r="AK427" s="450"/>
      <c r="AL427" s="450"/>
      <c r="AM427" s="450"/>
      <c r="AN427" s="450"/>
      <c r="AO427" s="450"/>
      <c r="AP427" s="450"/>
      <c r="AQ427" s="450"/>
      <c r="AR427" s="450"/>
      <c r="AS427" s="450"/>
      <c r="AT427" s="450"/>
      <c r="AU427" s="450"/>
      <c r="AV427" s="450"/>
      <c r="AW427" s="450"/>
      <c r="AX427" s="450"/>
      <c r="AY427" s="450"/>
      <c r="AZ427" s="450"/>
      <c r="BA427" s="450"/>
      <c r="BB427" s="450"/>
      <c r="BC427" s="450"/>
      <c r="BD427" s="450"/>
      <c r="BE427" s="450"/>
      <c r="BF427" s="450"/>
      <c r="BG427" s="450"/>
      <c r="BH427" s="450"/>
      <c r="BI427" s="450"/>
      <c r="BJ427" s="450"/>
      <c r="BK427" s="450"/>
      <c r="BL427" s="450"/>
      <c r="BM427" s="450"/>
    </row>
    <row r="428" spans="1:65" ht="11.15">
      <c r="A428" s="450"/>
      <c r="B428" s="450"/>
      <c r="C428" s="450"/>
      <c r="D428" s="450"/>
      <c r="E428" s="450"/>
      <c r="F428" s="450"/>
      <c r="G428" s="450"/>
      <c r="H428" s="450"/>
      <c r="I428" s="450"/>
      <c r="J428" s="450"/>
      <c r="K428" s="450"/>
      <c r="L428" s="450"/>
      <c r="M428" s="450"/>
      <c r="N428" s="450"/>
      <c r="O428" s="450"/>
      <c r="P428" s="450"/>
      <c r="Q428" s="450"/>
      <c r="R428" s="450"/>
      <c r="S428" s="450"/>
      <c r="T428" s="450"/>
      <c r="U428" s="450"/>
      <c r="V428" s="450"/>
      <c r="W428" s="450"/>
      <c r="X428" s="450"/>
      <c r="Y428" s="450"/>
      <c r="Z428" s="450"/>
      <c r="AA428" s="450"/>
      <c r="AB428" s="450"/>
      <c r="AC428" s="450"/>
      <c r="AD428" s="450"/>
      <c r="AE428" s="450"/>
      <c r="AF428" s="450"/>
      <c r="AG428" s="450"/>
      <c r="AH428" s="450"/>
      <c r="AI428" s="450"/>
      <c r="AJ428" s="450"/>
      <c r="AK428" s="450"/>
      <c r="AL428" s="450"/>
      <c r="AM428" s="450"/>
      <c r="AN428" s="450"/>
      <c r="AO428" s="450"/>
      <c r="AP428" s="450"/>
      <c r="AQ428" s="450"/>
      <c r="AR428" s="450"/>
      <c r="AS428" s="450"/>
      <c r="AT428" s="450"/>
      <c r="AU428" s="450"/>
      <c r="AV428" s="450"/>
      <c r="AW428" s="450"/>
      <c r="AX428" s="450"/>
      <c r="AY428" s="450"/>
      <c r="AZ428" s="450"/>
      <c r="BA428" s="450"/>
      <c r="BB428" s="450"/>
      <c r="BC428" s="450"/>
      <c r="BD428" s="450"/>
      <c r="BE428" s="450"/>
      <c r="BF428" s="450"/>
      <c r="BG428" s="450"/>
      <c r="BH428" s="450"/>
      <c r="BI428" s="450"/>
      <c r="BJ428" s="450"/>
      <c r="BK428" s="450"/>
      <c r="BL428" s="450"/>
      <c r="BM428" s="450"/>
    </row>
    <row r="429" spans="1:65" ht="11.15">
      <c r="A429" s="450"/>
      <c r="B429" s="450"/>
      <c r="C429" s="450"/>
      <c r="D429" s="450"/>
      <c r="E429" s="450"/>
      <c r="F429" s="450"/>
      <c r="G429" s="450"/>
      <c r="H429" s="450"/>
      <c r="I429" s="450"/>
      <c r="J429" s="450"/>
      <c r="K429" s="450"/>
      <c r="L429" s="450"/>
      <c r="M429" s="450"/>
      <c r="N429" s="450"/>
      <c r="O429" s="450"/>
      <c r="P429" s="450"/>
      <c r="Q429" s="450"/>
      <c r="R429" s="450"/>
      <c r="S429" s="450"/>
      <c r="T429" s="450"/>
      <c r="U429" s="450"/>
      <c r="V429" s="450"/>
      <c r="W429" s="450"/>
      <c r="X429" s="450"/>
      <c r="Y429" s="450"/>
      <c r="Z429" s="450"/>
      <c r="AA429" s="450"/>
      <c r="AB429" s="450"/>
      <c r="AC429" s="450"/>
      <c r="AD429" s="450"/>
      <c r="AE429" s="450"/>
      <c r="AF429" s="450"/>
      <c r="AG429" s="450"/>
      <c r="AH429" s="450"/>
      <c r="AI429" s="450"/>
      <c r="AJ429" s="450"/>
      <c r="AK429" s="450"/>
      <c r="AL429" s="450"/>
      <c r="AM429" s="450"/>
      <c r="AN429" s="450"/>
      <c r="AO429" s="450"/>
      <c r="AP429" s="450"/>
      <c r="AQ429" s="450"/>
      <c r="AR429" s="450"/>
      <c r="AS429" s="450"/>
      <c r="AT429" s="450"/>
      <c r="AU429" s="450"/>
      <c r="AV429" s="450"/>
      <c r="AW429" s="450"/>
      <c r="AX429" s="450"/>
      <c r="AY429" s="450"/>
      <c r="AZ429" s="450"/>
      <c r="BA429" s="450"/>
      <c r="BB429" s="450"/>
      <c r="BC429" s="450"/>
      <c r="BD429" s="450"/>
      <c r="BE429" s="450"/>
      <c r="BF429" s="450"/>
      <c r="BG429" s="450"/>
      <c r="BH429" s="450"/>
      <c r="BI429" s="450"/>
      <c r="BJ429" s="450"/>
      <c r="BK429" s="450"/>
      <c r="BL429" s="450"/>
      <c r="BM429" s="450"/>
    </row>
    <row r="430" spans="1:65" ht="11.15">
      <c r="A430" s="450"/>
      <c r="B430" s="450"/>
      <c r="C430" s="450"/>
      <c r="D430" s="450"/>
      <c r="E430" s="450"/>
      <c r="F430" s="450"/>
      <c r="G430" s="450"/>
      <c r="H430" s="450"/>
      <c r="I430" s="450"/>
      <c r="J430" s="450"/>
      <c r="K430" s="450"/>
      <c r="L430" s="450"/>
      <c r="M430" s="450"/>
      <c r="N430" s="450"/>
      <c r="O430" s="450"/>
      <c r="P430" s="450"/>
      <c r="Q430" s="450"/>
      <c r="R430" s="450"/>
      <c r="S430" s="450"/>
      <c r="T430" s="450"/>
      <c r="U430" s="450"/>
      <c r="V430" s="450"/>
      <c r="W430" s="450"/>
      <c r="X430" s="450"/>
      <c r="Y430" s="450"/>
      <c r="Z430" s="450"/>
      <c r="AA430" s="450"/>
      <c r="AB430" s="450"/>
      <c r="AC430" s="450"/>
      <c r="AD430" s="450"/>
      <c r="AE430" s="450"/>
      <c r="AF430" s="450"/>
      <c r="AG430" s="450"/>
      <c r="AH430" s="450"/>
      <c r="AI430" s="450"/>
      <c r="AJ430" s="450"/>
      <c r="AK430" s="450"/>
      <c r="AL430" s="450"/>
      <c r="AM430" s="450"/>
      <c r="AN430" s="450"/>
      <c r="AO430" s="450"/>
      <c r="AP430" s="450"/>
      <c r="AQ430" s="450"/>
      <c r="AR430" s="450"/>
      <c r="AS430" s="450"/>
      <c r="AT430" s="450"/>
      <c r="AU430" s="450"/>
      <c r="AV430" s="450"/>
      <c r="AW430" s="450"/>
      <c r="AX430" s="450"/>
      <c r="AY430" s="450"/>
      <c r="AZ430" s="450"/>
      <c r="BA430" s="450"/>
      <c r="BB430" s="450"/>
      <c r="BC430" s="450"/>
      <c r="BD430" s="450"/>
      <c r="BE430" s="450"/>
      <c r="BF430" s="450"/>
      <c r="BG430" s="450"/>
      <c r="BH430" s="450"/>
      <c r="BI430" s="450"/>
      <c r="BJ430" s="450"/>
      <c r="BK430" s="450"/>
      <c r="BL430" s="450"/>
      <c r="BM430" s="450"/>
    </row>
    <row r="431" spans="1:65" ht="11.15">
      <c r="A431" s="450"/>
      <c r="B431" s="450"/>
      <c r="C431" s="450"/>
      <c r="D431" s="450"/>
      <c r="E431" s="450"/>
      <c r="F431" s="450"/>
      <c r="G431" s="450"/>
      <c r="H431" s="450"/>
      <c r="I431" s="450"/>
      <c r="J431" s="450"/>
      <c r="K431" s="450"/>
      <c r="L431" s="450"/>
      <c r="M431" s="450"/>
      <c r="N431" s="450"/>
      <c r="O431" s="450"/>
      <c r="P431" s="450"/>
      <c r="Q431" s="450"/>
      <c r="R431" s="450"/>
      <c r="S431" s="450"/>
      <c r="T431" s="450"/>
      <c r="U431" s="450"/>
      <c r="V431" s="450"/>
      <c r="W431" s="450"/>
      <c r="X431" s="450"/>
      <c r="Y431" s="450"/>
      <c r="Z431" s="450"/>
      <c r="AA431" s="450"/>
      <c r="AB431" s="450"/>
      <c r="AC431" s="450"/>
      <c r="AD431" s="450"/>
      <c r="AE431" s="450"/>
      <c r="AF431" s="450"/>
      <c r="AG431" s="450"/>
      <c r="AH431" s="450"/>
      <c r="AI431" s="450"/>
      <c r="AJ431" s="450"/>
      <c r="AK431" s="450"/>
      <c r="AL431" s="450"/>
      <c r="AM431" s="450"/>
      <c r="AN431" s="450"/>
      <c r="AO431" s="450"/>
      <c r="AP431" s="450"/>
      <c r="AQ431" s="450"/>
      <c r="AR431" s="450"/>
      <c r="AS431" s="450"/>
      <c r="AT431" s="450"/>
      <c r="AU431" s="450"/>
      <c r="AV431" s="450"/>
      <c r="AW431" s="450"/>
      <c r="AX431" s="450"/>
      <c r="AY431" s="450"/>
      <c r="AZ431" s="450"/>
      <c r="BA431" s="450"/>
      <c r="BB431" s="450"/>
      <c r="BC431" s="450"/>
      <c r="BD431" s="450"/>
      <c r="BE431" s="450"/>
      <c r="BF431" s="450"/>
      <c r="BG431" s="450"/>
      <c r="BH431" s="450"/>
      <c r="BI431" s="450"/>
      <c r="BJ431" s="450"/>
      <c r="BK431" s="450"/>
      <c r="BL431" s="450"/>
      <c r="BM431" s="450"/>
    </row>
    <row r="432" spans="1:65" ht="11.15">
      <c r="A432" s="450"/>
      <c r="B432" s="450"/>
      <c r="C432" s="450"/>
      <c r="D432" s="450"/>
      <c r="E432" s="450"/>
      <c r="F432" s="450"/>
      <c r="G432" s="450"/>
      <c r="H432" s="450"/>
      <c r="I432" s="450"/>
      <c r="J432" s="450"/>
      <c r="K432" s="450"/>
      <c r="L432" s="450"/>
      <c r="M432" s="450"/>
      <c r="N432" s="450"/>
      <c r="O432" s="450"/>
      <c r="P432" s="450"/>
      <c r="Q432" s="450"/>
      <c r="R432" s="450"/>
      <c r="S432" s="450"/>
      <c r="T432" s="450"/>
      <c r="U432" s="450"/>
      <c r="V432" s="450"/>
      <c r="W432" s="450"/>
      <c r="X432" s="450"/>
      <c r="Y432" s="450"/>
      <c r="Z432" s="450"/>
      <c r="AA432" s="450"/>
      <c r="AB432" s="450"/>
      <c r="AC432" s="450"/>
      <c r="AD432" s="450"/>
      <c r="AE432" s="450"/>
      <c r="AF432" s="450"/>
      <c r="AG432" s="450"/>
      <c r="AH432" s="450"/>
      <c r="AI432" s="450"/>
      <c r="AJ432" s="450"/>
      <c r="AK432" s="450"/>
      <c r="AL432" s="450"/>
      <c r="AM432" s="450"/>
      <c r="AN432" s="450"/>
      <c r="AO432" s="450"/>
      <c r="AP432" s="450"/>
      <c r="AQ432" s="450"/>
      <c r="AR432" s="450"/>
      <c r="AS432" s="450"/>
      <c r="AT432" s="450"/>
      <c r="AU432" s="450"/>
      <c r="AV432" s="450"/>
      <c r="AW432" s="450"/>
      <c r="AX432" s="450"/>
      <c r="AY432" s="450"/>
      <c r="AZ432" s="450"/>
      <c r="BA432" s="450"/>
      <c r="BB432" s="450"/>
      <c r="BC432" s="450"/>
      <c r="BD432" s="450"/>
      <c r="BE432" s="450"/>
      <c r="BF432" s="450"/>
      <c r="BG432" s="450"/>
      <c r="BH432" s="450"/>
      <c r="BI432" s="450"/>
      <c r="BJ432" s="450"/>
      <c r="BK432" s="450"/>
      <c r="BL432" s="450"/>
      <c r="BM432" s="450"/>
    </row>
    <row r="433" spans="1:65" ht="11.15">
      <c r="A433" s="450"/>
      <c r="B433" s="450"/>
      <c r="C433" s="450"/>
      <c r="D433" s="450"/>
      <c r="E433" s="450"/>
      <c r="F433" s="450"/>
      <c r="G433" s="450"/>
      <c r="H433" s="450"/>
      <c r="I433" s="450"/>
      <c r="J433" s="450"/>
      <c r="K433" s="450"/>
      <c r="L433" s="450"/>
      <c r="M433" s="450"/>
      <c r="N433" s="450"/>
      <c r="O433" s="450"/>
      <c r="P433" s="450"/>
      <c r="Q433" s="450"/>
      <c r="R433" s="450"/>
      <c r="S433" s="450"/>
      <c r="T433" s="450"/>
      <c r="U433" s="450"/>
      <c r="V433" s="450"/>
      <c r="W433" s="450"/>
      <c r="X433" s="450"/>
      <c r="Y433" s="450"/>
      <c r="Z433" s="450"/>
      <c r="AA433" s="450"/>
      <c r="AB433" s="450"/>
      <c r="AC433" s="450"/>
      <c r="AD433" s="450"/>
      <c r="AE433" s="450"/>
      <c r="AF433" s="450"/>
      <c r="AG433" s="450"/>
      <c r="AH433" s="450"/>
      <c r="AI433" s="450"/>
      <c r="AJ433" s="450"/>
      <c r="AK433" s="450"/>
      <c r="AL433" s="450"/>
      <c r="AM433" s="450"/>
      <c r="AN433" s="450"/>
      <c r="AO433" s="450"/>
      <c r="AP433" s="450"/>
      <c r="AQ433" s="450"/>
      <c r="AR433" s="450"/>
      <c r="AS433" s="450"/>
      <c r="AT433" s="450"/>
      <c r="AU433" s="450"/>
      <c r="AV433" s="450"/>
      <c r="AW433" s="450"/>
      <c r="AX433" s="450"/>
      <c r="AY433" s="450"/>
      <c r="AZ433" s="450"/>
      <c r="BA433" s="450"/>
      <c r="BB433" s="450"/>
      <c r="BC433" s="450"/>
      <c r="BD433" s="450"/>
      <c r="BE433" s="450"/>
      <c r="BF433" s="450"/>
      <c r="BG433" s="450"/>
      <c r="BH433" s="450"/>
      <c r="BI433" s="450"/>
      <c r="BJ433" s="450"/>
      <c r="BK433" s="450"/>
      <c r="BL433" s="450"/>
      <c r="BM433" s="450"/>
    </row>
    <row r="434" spans="1:65" ht="11.15">
      <c r="A434" s="450"/>
      <c r="B434" s="450"/>
      <c r="C434" s="450"/>
      <c r="D434" s="450"/>
      <c r="E434" s="450"/>
      <c r="F434" s="450"/>
      <c r="G434" s="450"/>
      <c r="H434" s="450"/>
      <c r="I434" s="450"/>
      <c r="J434" s="450"/>
      <c r="K434" s="450"/>
      <c r="L434" s="450"/>
      <c r="M434" s="450"/>
      <c r="N434" s="450"/>
      <c r="O434" s="450"/>
      <c r="P434" s="450"/>
      <c r="Q434" s="450"/>
      <c r="R434" s="450"/>
      <c r="S434" s="450"/>
      <c r="T434" s="450"/>
      <c r="U434" s="450"/>
      <c r="V434" s="450"/>
      <c r="W434" s="450"/>
      <c r="X434" s="450"/>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0"/>
      <c r="AT434" s="450"/>
      <c r="AU434" s="450"/>
      <c r="AV434" s="450"/>
      <c r="AW434" s="450"/>
      <c r="AX434" s="450"/>
      <c r="AY434" s="450"/>
      <c r="AZ434" s="450"/>
      <c r="BA434" s="450"/>
      <c r="BB434" s="450"/>
      <c r="BC434" s="450"/>
      <c r="BD434" s="450"/>
      <c r="BE434" s="450"/>
      <c r="BF434" s="450"/>
      <c r="BG434" s="450"/>
      <c r="BH434" s="450"/>
      <c r="BI434" s="450"/>
      <c r="BJ434" s="450"/>
      <c r="BK434" s="450"/>
      <c r="BL434" s="450"/>
      <c r="BM434" s="450"/>
    </row>
    <row r="435" spans="1:65" ht="11.15">
      <c r="A435" s="450"/>
      <c r="B435" s="450"/>
      <c r="C435" s="450"/>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c r="Z435" s="450"/>
      <c r="AA435" s="450"/>
      <c r="AB435" s="450"/>
      <c r="AC435" s="450"/>
      <c r="AD435" s="450"/>
      <c r="AE435" s="450"/>
      <c r="AF435" s="450"/>
      <c r="AG435" s="450"/>
      <c r="AH435" s="450"/>
      <c r="AI435" s="450"/>
      <c r="AJ435" s="450"/>
      <c r="AK435" s="450"/>
      <c r="AL435" s="450"/>
      <c r="AM435" s="450"/>
      <c r="AN435" s="450"/>
      <c r="AO435" s="450"/>
      <c r="AP435" s="450"/>
      <c r="AQ435" s="450"/>
      <c r="AR435" s="450"/>
      <c r="AS435" s="450"/>
      <c r="AT435" s="450"/>
      <c r="AU435" s="450"/>
      <c r="AV435" s="450"/>
      <c r="AW435" s="450"/>
      <c r="AX435" s="450"/>
      <c r="AY435" s="450"/>
      <c r="AZ435" s="450"/>
      <c r="BA435" s="450"/>
      <c r="BB435" s="450"/>
      <c r="BC435" s="450"/>
      <c r="BD435" s="450"/>
      <c r="BE435" s="450"/>
      <c r="BF435" s="450"/>
      <c r="BG435" s="450"/>
      <c r="BH435" s="450"/>
      <c r="BI435" s="450"/>
      <c r="BJ435" s="450"/>
      <c r="BK435" s="450"/>
      <c r="BL435" s="450"/>
      <c r="BM435" s="450"/>
    </row>
    <row r="436" spans="1:65" ht="11.15">
      <c r="A436" s="450"/>
      <c r="B436" s="450"/>
      <c r="C436" s="450"/>
      <c r="D436" s="450"/>
      <c r="E436" s="450"/>
      <c r="F436" s="450"/>
      <c r="G436" s="450"/>
      <c r="H436" s="450"/>
      <c r="I436" s="450"/>
      <c r="J436" s="450"/>
      <c r="K436" s="450"/>
      <c r="L436" s="450"/>
      <c r="M436" s="450"/>
      <c r="N436" s="450"/>
      <c r="O436" s="450"/>
      <c r="P436" s="450"/>
      <c r="Q436" s="450"/>
      <c r="R436" s="450"/>
      <c r="S436" s="450"/>
      <c r="T436" s="450"/>
      <c r="U436" s="450"/>
      <c r="V436" s="450"/>
      <c r="W436" s="450"/>
      <c r="X436" s="450"/>
      <c r="Y436" s="450"/>
      <c r="Z436" s="450"/>
      <c r="AA436" s="450"/>
      <c r="AB436" s="450"/>
      <c r="AC436" s="450"/>
      <c r="AD436" s="450"/>
      <c r="AE436" s="450"/>
      <c r="AF436" s="450"/>
      <c r="AG436" s="450"/>
      <c r="AH436" s="450"/>
      <c r="AI436" s="450"/>
      <c r="AJ436" s="450"/>
      <c r="AK436" s="450"/>
      <c r="AL436" s="450"/>
      <c r="AM436" s="450"/>
      <c r="AN436" s="450"/>
      <c r="AO436" s="450"/>
      <c r="AP436" s="450"/>
      <c r="AQ436" s="450"/>
      <c r="AR436" s="450"/>
      <c r="AS436" s="450"/>
      <c r="AT436" s="450"/>
      <c r="AU436" s="450"/>
      <c r="AV436" s="450"/>
      <c r="AW436" s="450"/>
      <c r="AX436" s="450"/>
      <c r="AY436" s="450"/>
      <c r="AZ436" s="450"/>
      <c r="BA436" s="450"/>
      <c r="BB436" s="450"/>
      <c r="BC436" s="450"/>
      <c r="BD436" s="450"/>
      <c r="BE436" s="450"/>
      <c r="BF436" s="450"/>
      <c r="BG436" s="450"/>
      <c r="BH436" s="450"/>
      <c r="BI436" s="450"/>
      <c r="BJ436" s="450"/>
      <c r="BK436" s="450"/>
      <c r="BL436" s="450"/>
      <c r="BM436" s="450"/>
    </row>
    <row r="437" spans="1:65" ht="11.15">
      <c r="A437" s="450"/>
      <c r="B437" s="450"/>
      <c r="C437" s="450"/>
      <c r="D437" s="450"/>
      <c r="E437" s="450"/>
      <c r="F437" s="450"/>
      <c r="G437" s="450"/>
      <c r="H437" s="450"/>
      <c r="I437" s="450"/>
      <c r="J437" s="450"/>
      <c r="K437" s="450"/>
      <c r="L437" s="450"/>
      <c r="M437" s="450"/>
      <c r="N437" s="450"/>
      <c r="O437" s="450"/>
      <c r="P437" s="450"/>
      <c r="Q437" s="450"/>
      <c r="R437" s="450"/>
      <c r="S437" s="450"/>
      <c r="T437" s="450"/>
      <c r="U437" s="450"/>
      <c r="V437" s="450"/>
      <c r="W437" s="450"/>
      <c r="X437" s="450"/>
      <c r="Y437" s="450"/>
      <c r="Z437" s="450"/>
      <c r="AA437" s="450"/>
      <c r="AB437" s="450"/>
      <c r="AC437" s="450"/>
      <c r="AD437" s="450"/>
      <c r="AE437" s="450"/>
      <c r="AF437" s="450"/>
      <c r="AG437" s="450"/>
      <c r="AH437" s="450"/>
      <c r="AI437" s="450"/>
      <c r="AJ437" s="450"/>
      <c r="AK437" s="450"/>
      <c r="AL437" s="450"/>
      <c r="AM437" s="450"/>
      <c r="AN437" s="450"/>
      <c r="AO437" s="450"/>
      <c r="AP437" s="450"/>
      <c r="AQ437" s="450"/>
      <c r="AR437" s="450"/>
      <c r="AS437" s="450"/>
      <c r="AT437" s="450"/>
      <c r="AU437" s="450"/>
      <c r="AV437" s="450"/>
      <c r="AW437" s="450"/>
      <c r="AX437" s="450"/>
      <c r="AY437" s="450"/>
      <c r="AZ437" s="450"/>
      <c r="BA437" s="450"/>
      <c r="BB437" s="450"/>
      <c r="BC437" s="450"/>
      <c r="BD437" s="450"/>
      <c r="BE437" s="450"/>
      <c r="BF437" s="450"/>
      <c r="BG437" s="450"/>
      <c r="BH437" s="450"/>
      <c r="BI437" s="450"/>
      <c r="BJ437" s="450"/>
      <c r="BK437" s="450"/>
      <c r="BL437" s="450"/>
      <c r="BM437" s="450"/>
    </row>
    <row r="438" spans="1:65" ht="11.15">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c r="Y438" s="450"/>
      <c r="Z438" s="450"/>
      <c r="AA438" s="450"/>
      <c r="AB438" s="450"/>
      <c r="AC438" s="450"/>
      <c r="AD438" s="450"/>
      <c r="AE438" s="450"/>
      <c r="AF438" s="450"/>
      <c r="AG438" s="450"/>
      <c r="AH438" s="450"/>
      <c r="AI438" s="450"/>
      <c r="AJ438" s="450"/>
      <c r="AK438" s="450"/>
      <c r="AL438" s="450"/>
      <c r="AM438" s="450"/>
      <c r="AN438" s="450"/>
      <c r="AO438" s="450"/>
      <c r="AP438" s="450"/>
      <c r="AQ438" s="450"/>
      <c r="AR438" s="450"/>
      <c r="AS438" s="450"/>
      <c r="AT438" s="450"/>
      <c r="AU438" s="450"/>
      <c r="AV438" s="450"/>
      <c r="AW438" s="450"/>
      <c r="AX438" s="450"/>
      <c r="AY438" s="450"/>
      <c r="AZ438" s="450"/>
      <c r="BA438" s="450"/>
      <c r="BB438" s="450"/>
      <c r="BC438" s="450"/>
      <c r="BD438" s="450"/>
      <c r="BE438" s="450"/>
      <c r="BF438" s="450"/>
      <c r="BG438" s="450"/>
      <c r="BH438" s="450"/>
      <c r="BI438" s="450"/>
      <c r="BJ438" s="450"/>
      <c r="BK438" s="450"/>
      <c r="BL438" s="450"/>
      <c r="BM438" s="450"/>
    </row>
    <row r="439" spans="1:65" ht="11.15">
      <c r="A439" s="450"/>
      <c r="B439" s="450"/>
      <c r="C439" s="450"/>
      <c r="D439" s="450"/>
      <c r="E439" s="450"/>
      <c r="F439" s="450"/>
      <c r="G439" s="450"/>
      <c r="H439" s="450"/>
      <c r="I439" s="450"/>
      <c r="J439" s="450"/>
      <c r="K439" s="450"/>
      <c r="L439" s="450"/>
      <c r="M439" s="450"/>
      <c r="N439" s="450"/>
      <c r="O439" s="450"/>
      <c r="P439" s="450"/>
      <c r="Q439" s="450"/>
      <c r="R439" s="450"/>
      <c r="S439" s="450"/>
      <c r="T439" s="450"/>
      <c r="U439" s="450"/>
      <c r="V439" s="450"/>
      <c r="W439" s="450"/>
      <c r="X439" s="450"/>
      <c r="Y439" s="450"/>
      <c r="Z439" s="450"/>
      <c r="AA439" s="450"/>
      <c r="AB439" s="450"/>
      <c r="AC439" s="450"/>
      <c r="AD439" s="450"/>
      <c r="AE439" s="450"/>
      <c r="AF439" s="450"/>
      <c r="AG439" s="450"/>
      <c r="AH439" s="450"/>
      <c r="AI439" s="450"/>
      <c r="AJ439" s="450"/>
      <c r="AK439" s="450"/>
      <c r="AL439" s="450"/>
      <c r="AM439" s="450"/>
      <c r="AN439" s="450"/>
      <c r="AO439" s="450"/>
      <c r="AP439" s="450"/>
      <c r="AQ439" s="450"/>
      <c r="AR439" s="450"/>
      <c r="AS439" s="450"/>
      <c r="AT439" s="450"/>
      <c r="AU439" s="450"/>
      <c r="AV439" s="450"/>
      <c r="AW439" s="450"/>
      <c r="AX439" s="450"/>
      <c r="AY439" s="450"/>
      <c r="AZ439" s="450"/>
      <c r="BA439" s="450"/>
      <c r="BB439" s="450"/>
      <c r="BC439" s="450"/>
      <c r="BD439" s="450"/>
      <c r="BE439" s="450"/>
      <c r="BF439" s="450"/>
      <c r="BG439" s="450"/>
      <c r="BH439" s="450"/>
      <c r="BI439" s="450"/>
      <c r="BJ439" s="450"/>
      <c r="BK439" s="450"/>
      <c r="BL439" s="450"/>
      <c r="BM439" s="450"/>
    </row>
    <row r="440" spans="1:65" ht="11.15">
      <c r="A440" s="450"/>
      <c r="B440" s="450"/>
      <c r="C440" s="450"/>
      <c r="D440" s="450"/>
      <c r="E440" s="450"/>
      <c r="F440" s="450"/>
      <c r="G440" s="450"/>
      <c r="H440" s="450"/>
      <c r="I440" s="450"/>
      <c r="J440" s="450"/>
      <c r="K440" s="450"/>
      <c r="L440" s="450"/>
      <c r="M440" s="450"/>
      <c r="N440" s="450"/>
      <c r="O440" s="450"/>
      <c r="P440" s="450"/>
      <c r="Q440" s="450"/>
      <c r="R440" s="450"/>
      <c r="S440" s="450"/>
      <c r="T440" s="450"/>
      <c r="U440" s="450"/>
      <c r="V440" s="450"/>
      <c r="W440" s="450"/>
      <c r="X440" s="450"/>
      <c r="Y440" s="450"/>
      <c r="Z440" s="450"/>
      <c r="AA440" s="450"/>
      <c r="AB440" s="450"/>
      <c r="AC440" s="450"/>
      <c r="AD440" s="450"/>
      <c r="AE440" s="450"/>
      <c r="AF440" s="450"/>
      <c r="AG440" s="450"/>
      <c r="AH440" s="450"/>
      <c r="AI440" s="450"/>
      <c r="AJ440" s="450"/>
      <c r="AK440" s="450"/>
      <c r="AL440" s="450"/>
      <c r="AM440" s="450"/>
      <c r="AN440" s="450"/>
      <c r="AO440" s="450"/>
      <c r="AP440" s="450"/>
      <c r="AQ440" s="450"/>
      <c r="AR440" s="450"/>
      <c r="AS440" s="450"/>
      <c r="AT440" s="450"/>
      <c r="AU440" s="450"/>
      <c r="AV440" s="450"/>
      <c r="AW440" s="450"/>
      <c r="AX440" s="450"/>
      <c r="AY440" s="450"/>
      <c r="AZ440" s="450"/>
      <c r="BA440" s="450"/>
      <c r="BB440" s="450"/>
      <c r="BC440" s="450"/>
      <c r="BD440" s="450"/>
      <c r="BE440" s="450"/>
      <c r="BF440" s="450"/>
      <c r="BG440" s="450"/>
      <c r="BH440" s="450"/>
      <c r="BI440" s="450"/>
      <c r="BJ440" s="450"/>
      <c r="BK440" s="450"/>
      <c r="BL440" s="450"/>
      <c r="BM440" s="450"/>
    </row>
    <row r="441" spans="1:65" ht="11.15">
      <c r="A441" s="450"/>
      <c r="B441" s="450"/>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50"/>
      <c r="AV441" s="450"/>
      <c r="AW441" s="450"/>
      <c r="AX441" s="450"/>
      <c r="AY441" s="450"/>
      <c r="AZ441" s="450"/>
      <c r="BA441" s="450"/>
      <c r="BB441" s="450"/>
      <c r="BC441" s="450"/>
      <c r="BD441" s="450"/>
      <c r="BE441" s="450"/>
      <c r="BF441" s="450"/>
      <c r="BG441" s="450"/>
      <c r="BH441" s="450"/>
      <c r="BI441" s="450"/>
      <c r="BJ441" s="450"/>
      <c r="BK441" s="450"/>
      <c r="BL441" s="450"/>
      <c r="BM441" s="450"/>
    </row>
    <row r="442" spans="1:65" ht="11.15">
      <c r="A442" s="450"/>
      <c r="B442" s="450"/>
      <c r="C442" s="450"/>
      <c r="D442" s="450"/>
      <c r="E442" s="450"/>
      <c r="F442" s="450"/>
      <c r="G442" s="450"/>
      <c r="H442" s="450"/>
      <c r="I442" s="450"/>
      <c r="J442" s="450"/>
      <c r="K442" s="450"/>
      <c r="L442" s="450"/>
      <c r="M442" s="450"/>
      <c r="N442" s="450"/>
      <c r="O442" s="450"/>
      <c r="P442" s="450"/>
      <c r="Q442" s="450"/>
      <c r="R442" s="450"/>
      <c r="S442" s="450"/>
      <c r="T442" s="450"/>
      <c r="U442" s="450"/>
      <c r="V442" s="450"/>
      <c r="W442" s="450"/>
      <c r="X442" s="450"/>
      <c r="Y442" s="450"/>
      <c r="Z442" s="450"/>
      <c r="AA442" s="450"/>
      <c r="AB442" s="450"/>
      <c r="AC442" s="450"/>
      <c r="AD442" s="450"/>
      <c r="AE442" s="450"/>
      <c r="AF442" s="450"/>
      <c r="AG442" s="450"/>
      <c r="AH442" s="450"/>
      <c r="AI442" s="450"/>
      <c r="AJ442" s="450"/>
      <c r="AK442" s="450"/>
      <c r="AL442" s="450"/>
      <c r="AM442" s="450"/>
      <c r="AN442" s="450"/>
      <c r="AO442" s="450"/>
      <c r="AP442" s="450"/>
      <c r="AQ442" s="450"/>
      <c r="AR442" s="450"/>
      <c r="AS442" s="450"/>
      <c r="AT442" s="450"/>
      <c r="AU442" s="450"/>
      <c r="AV442" s="450"/>
      <c r="AW442" s="450"/>
      <c r="AX442" s="450"/>
      <c r="AY442" s="450"/>
      <c r="AZ442" s="450"/>
      <c r="BA442" s="450"/>
      <c r="BB442" s="450"/>
      <c r="BC442" s="450"/>
      <c r="BD442" s="450"/>
      <c r="BE442" s="450"/>
      <c r="BF442" s="450"/>
      <c r="BG442" s="450"/>
      <c r="BH442" s="450"/>
      <c r="BI442" s="450"/>
      <c r="BJ442" s="450"/>
      <c r="BK442" s="450"/>
      <c r="BL442" s="450"/>
      <c r="BM442" s="450"/>
    </row>
    <row r="443" spans="1:65" ht="11.15">
      <c r="A443" s="450"/>
      <c r="B443" s="450"/>
      <c r="C443" s="450"/>
      <c r="D443" s="450"/>
      <c r="E443" s="450"/>
      <c r="F443" s="450"/>
      <c r="G443" s="450"/>
      <c r="H443" s="450"/>
      <c r="I443" s="450"/>
      <c r="J443" s="450"/>
      <c r="K443" s="450"/>
      <c r="L443" s="450"/>
      <c r="M443" s="450"/>
      <c r="N443" s="450"/>
      <c r="O443" s="450"/>
      <c r="P443" s="450"/>
      <c r="Q443" s="450"/>
      <c r="R443" s="450"/>
      <c r="S443" s="450"/>
      <c r="T443" s="450"/>
      <c r="U443" s="450"/>
      <c r="V443" s="450"/>
      <c r="W443" s="450"/>
      <c r="X443" s="450"/>
      <c r="Y443" s="450"/>
      <c r="Z443" s="450"/>
      <c r="AA443" s="450"/>
      <c r="AB443" s="450"/>
      <c r="AC443" s="450"/>
      <c r="AD443" s="450"/>
      <c r="AE443" s="450"/>
      <c r="AF443" s="450"/>
      <c r="AG443" s="450"/>
      <c r="AH443" s="450"/>
      <c r="AI443" s="450"/>
      <c r="AJ443" s="450"/>
      <c r="AK443" s="450"/>
      <c r="AL443" s="450"/>
      <c r="AM443" s="450"/>
      <c r="AN443" s="450"/>
      <c r="AO443" s="450"/>
      <c r="AP443" s="450"/>
      <c r="AQ443" s="450"/>
      <c r="AR443" s="450"/>
      <c r="AS443" s="450"/>
      <c r="AT443" s="450"/>
      <c r="AU443" s="450"/>
      <c r="AV443" s="450"/>
      <c r="AW443" s="450"/>
      <c r="AX443" s="450"/>
      <c r="AY443" s="450"/>
      <c r="AZ443" s="450"/>
      <c r="BA443" s="450"/>
      <c r="BB443" s="450"/>
      <c r="BC443" s="450"/>
      <c r="BD443" s="450"/>
      <c r="BE443" s="450"/>
      <c r="BF443" s="450"/>
      <c r="BG443" s="450"/>
      <c r="BH443" s="450"/>
      <c r="BI443" s="450"/>
      <c r="BJ443" s="450"/>
      <c r="BK443" s="450"/>
      <c r="BL443" s="450"/>
      <c r="BM443" s="450"/>
    </row>
    <row r="444" spans="1:65" ht="11.15">
      <c r="A444" s="450"/>
      <c r="B444" s="450"/>
      <c r="C444" s="450"/>
      <c r="D444" s="450"/>
      <c r="E444" s="450"/>
      <c r="F444" s="450"/>
      <c r="G444" s="450"/>
      <c r="H444" s="450"/>
      <c r="I444" s="450"/>
      <c r="J444" s="450"/>
      <c r="K444" s="450"/>
      <c r="L444" s="450"/>
      <c r="M444" s="450"/>
      <c r="N444" s="450"/>
      <c r="O444" s="450"/>
      <c r="P444" s="450"/>
      <c r="Q444" s="450"/>
      <c r="R444" s="450"/>
      <c r="S444" s="450"/>
      <c r="T444" s="450"/>
      <c r="U444" s="450"/>
      <c r="V444" s="450"/>
      <c r="W444" s="450"/>
      <c r="X444" s="450"/>
      <c r="Y444" s="450"/>
      <c r="Z444" s="450"/>
      <c r="AA444" s="450"/>
      <c r="AB444" s="450"/>
      <c r="AC444" s="450"/>
      <c r="AD444" s="450"/>
      <c r="AE444" s="450"/>
      <c r="AF444" s="450"/>
      <c r="AG444" s="450"/>
      <c r="AH444" s="450"/>
      <c r="AI444" s="450"/>
      <c r="AJ444" s="450"/>
      <c r="AK444" s="450"/>
      <c r="AL444" s="450"/>
      <c r="AM444" s="450"/>
      <c r="AN444" s="450"/>
      <c r="AO444" s="450"/>
      <c r="AP444" s="450"/>
      <c r="AQ444" s="450"/>
      <c r="AR444" s="450"/>
      <c r="AS444" s="450"/>
      <c r="AT444" s="450"/>
      <c r="AU444" s="450"/>
      <c r="AV444" s="450"/>
      <c r="AW444" s="450"/>
      <c r="AX444" s="450"/>
      <c r="AY444" s="450"/>
      <c r="AZ444" s="450"/>
      <c r="BA444" s="450"/>
      <c r="BB444" s="450"/>
      <c r="BC444" s="450"/>
      <c r="BD444" s="450"/>
      <c r="BE444" s="450"/>
      <c r="BF444" s="450"/>
      <c r="BG444" s="450"/>
      <c r="BH444" s="450"/>
      <c r="BI444" s="450"/>
      <c r="BJ444" s="450"/>
      <c r="BK444" s="450"/>
      <c r="BL444" s="450"/>
      <c r="BM444" s="450"/>
    </row>
    <row r="445" spans="1:65" ht="11.15">
      <c r="A445" s="450"/>
      <c r="B445" s="450"/>
      <c r="C445" s="450"/>
      <c r="D445" s="450"/>
      <c r="E445" s="450"/>
      <c r="F445" s="450"/>
      <c r="G445" s="450"/>
      <c r="H445" s="450"/>
      <c r="I445" s="450"/>
      <c r="J445" s="450"/>
      <c r="K445" s="450"/>
      <c r="L445" s="450"/>
      <c r="M445" s="450"/>
      <c r="N445" s="450"/>
      <c r="O445" s="450"/>
      <c r="P445" s="450"/>
      <c r="Q445" s="450"/>
      <c r="R445" s="450"/>
      <c r="S445" s="450"/>
      <c r="T445" s="450"/>
      <c r="U445" s="450"/>
      <c r="V445" s="450"/>
      <c r="W445" s="450"/>
      <c r="X445" s="450"/>
      <c r="Y445" s="450"/>
      <c r="Z445" s="450"/>
      <c r="AA445" s="450"/>
      <c r="AB445" s="450"/>
      <c r="AC445" s="450"/>
      <c r="AD445" s="450"/>
      <c r="AE445" s="450"/>
      <c r="AF445" s="450"/>
      <c r="AG445" s="450"/>
      <c r="AH445" s="450"/>
      <c r="AI445" s="450"/>
      <c r="AJ445" s="450"/>
      <c r="AK445" s="450"/>
      <c r="AL445" s="450"/>
      <c r="AM445" s="450"/>
      <c r="AN445" s="450"/>
      <c r="AO445" s="450"/>
      <c r="AP445" s="450"/>
      <c r="AQ445" s="450"/>
      <c r="AR445" s="450"/>
      <c r="AS445" s="450"/>
      <c r="AT445" s="450"/>
      <c r="AU445" s="450"/>
      <c r="AV445" s="450"/>
      <c r="AW445" s="450"/>
      <c r="AX445" s="450"/>
      <c r="AY445" s="450"/>
      <c r="AZ445" s="450"/>
      <c r="BA445" s="450"/>
      <c r="BB445" s="450"/>
      <c r="BC445" s="450"/>
      <c r="BD445" s="450"/>
      <c r="BE445" s="450"/>
      <c r="BF445" s="450"/>
      <c r="BG445" s="450"/>
      <c r="BH445" s="450"/>
      <c r="BI445" s="450"/>
      <c r="BJ445" s="450"/>
      <c r="BK445" s="450"/>
      <c r="BL445" s="450"/>
      <c r="BM445" s="450"/>
    </row>
    <row r="446" spans="1:65" ht="11.15">
      <c r="A446" s="450"/>
      <c r="B446" s="450"/>
      <c r="C446" s="450"/>
      <c r="D446" s="450"/>
      <c r="E446" s="450"/>
      <c r="F446" s="450"/>
      <c r="G446" s="450"/>
      <c r="H446" s="450"/>
      <c r="I446" s="450"/>
      <c r="J446" s="450"/>
      <c r="K446" s="450"/>
      <c r="L446" s="450"/>
      <c r="M446" s="450"/>
      <c r="N446" s="450"/>
      <c r="O446" s="450"/>
      <c r="P446" s="450"/>
      <c r="Q446" s="450"/>
      <c r="R446" s="450"/>
      <c r="S446" s="450"/>
      <c r="T446" s="450"/>
      <c r="U446" s="450"/>
      <c r="V446" s="450"/>
      <c r="W446" s="450"/>
      <c r="X446" s="450"/>
      <c r="Y446" s="450"/>
      <c r="Z446" s="450"/>
      <c r="AA446" s="450"/>
      <c r="AB446" s="450"/>
      <c r="AC446" s="450"/>
      <c r="AD446" s="450"/>
      <c r="AE446" s="450"/>
      <c r="AF446" s="450"/>
      <c r="AG446" s="450"/>
      <c r="AH446" s="450"/>
      <c r="AI446" s="450"/>
      <c r="AJ446" s="450"/>
      <c r="AK446" s="450"/>
      <c r="AL446" s="450"/>
      <c r="AM446" s="450"/>
      <c r="AN446" s="450"/>
      <c r="AO446" s="450"/>
      <c r="AP446" s="450"/>
      <c r="AQ446" s="450"/>
      <c r="AR446" s="450"/>
      <c r="AS446" s="450"/>
      <c r="AT446" s="450"/>
      <c r="AU446" s="450"/>
      <c r="AV446" s="450"/>
      <c r="AW446" s="450"/>
      <c r="AX446" s="450"/>
      <c r="AY446" s="450"/>
      <c r="AZ446" s="450"/>
      <c r="BA446" s="450"/>
      <c r="BB446" s="450"/>
      <c r="BC446" s="450"/>
      <c r="BD446" s="450"/>
      <c r="BE446" s="450"/>
      <c r="BF446" s="450"/>
      <c r="BG446" s="450"/>
      <c r="BH446" s="450"/>
      <c r="BI446" s="450"/>
      <c r="BJ446" s="450"/>
      <c r="BK446" s="450"/>
      <c r="BL446" s="450"/>
      <c r="BM446" s="450"/>
    </row>
    <row r="447" spans="1:65" ht="11.15">
      <c r="A447" s="450"/>
      <c r="B447" s="450"/>
      <c r="C447" s="450"/>
      <c r="D447" s="450"/>
      <c r="E447" s="450"/>
      <c r="F447" s="450"/>
      <c r="G447" s="450"/>
      <c r="H447" s="450"/>
      <c r="I447" s="450"/>
      <c r="J447" s="450"/>
      <c r="K447" s="450"/>
      <c r="L447" s="450"/>
      <c r="M447" s="450"/>
      <c r="N447" s="450"/>
      <c r="O447" s="450"/>
      <c r="P447" s="450"/>
      <c r="Q447" s="450"/>
      <c r="R447" s="450"/>
      <c r="S447" s="450"/>
      <c r="T447" s="450"/>
      <c r="U447" s="450"/>
      <c r="V447" s="450"/>
      <c r="W447" s="450"/>
      <c r="X447" s="450"/>
      <c r="Y447" s="450"/>
      <c r="Z447" s="450"/>
      <c r="AA447" s="450"/>
      <c r="AB447" s="450"/>
      <c r="AC447" s="450"/>
      <c r="AD447" s="450"/>
      <c r="AE447" s="450"/>
      <c r="AF447" s="450"/>
      <c r="AG447" s="450"/>
      <c r="AH447" s="450"/>
      <c r="AI447" s="450"/>
      <c r="AJ447" s="450"/>
      <c r="AK447" s="450"/>
      <c r="AL447" s="450"/>
      <c r="AM447" s="450"/>
      <c r="AN447" s="450"/>
      <c r="AO447" s="450"/>
      <c r="AP447" s="450"/>
      <c r="AQ447" s="450"/>
      <c r="AR447" s="450"/>
      <c r="AS447" s="450"/>
      <c r="AT447" s="450"/>
      <c r="AU447" s="450"/>
      <c r="AV447" s="450"/>
      <c r="AW447" s="450"/>
      <c r="AX447" s="450"/>
      <c r="AY447" s="450"/>
      <c r="AZ447" s="450"/>
      <c r="BA447" s="450"/>
      <c r="BB447" s="450"/>
      <c r="BC447" s="450"/>
      <c r="BD447" s="450"/>
      <c r="BE447" s="450"/>
      <c r="BF447" s="450"/>
      <c r="BG447" s="450"/>
      <c r="BH447" s="450"/>
      <c r="BI447" s="450"/>
      <c r="BJ447" s="450"/>
      <c r="BK447" s="450"/>
      <c r="BL447" s="450"/>
      <c r="BM447" s="450"/>
    </row>
    <row r="448" spans="1:65" ht="11.15">
      <c r="A448" s="450"/>
      <c r="B448" s="450"/>
      <c r="C448" s="450"/>
      <c r="D448" s="450"/>
      <c r="E448" s="450"/>
      <c r="F448" s="450"/>
      <c r="G448" s="450"/>
      <c r="H448" s="450"/>
      <c r="I448" s="450"/>
      <c r="J448" s="450"/>
      <c r="K448" s="450"/>
      <c r="L448" s="450"/>
      <c r="M448" s="450"/>
      <c r="N448" s="450"/>
      <c r="O448" s="450"/>
      <c r="P448" s="450"/>
      <c r="Q448" s="450"/>
      <c r="R448" s="450"/>
      <c r="S448" s="450"/>
      <c r="T448" s="450"/>
      <c r="U448" s="450"/>
      <c r="V448" s="450"/>
      <c r="W448" s="450"/>
      <c r="X448" s="450"/>
      <c r="Y448" s="450"/>
      <c r="Z448" s="450"/>
      <c r="AA448" s="450"/>
      <c r="AB448" s="450"/>
      <c r="AC448" s="450"/>
      <c r="AD448" s="450"/>
      <c r="AE448" s="450"/>
      <c r="AF448" s="450"/>
      <c r="AG448" s="450"/>
      <c r="AH448" s="450"/>
      <c r="AI448" s="450"/>
      <c r="AJ448" s="450"/>
      <c r="AK448" s="450"/>
      <c r="AL448" s="450"/>
      <c r="AM448" s="450"/>
      <c r="AN448" s="450"/>
      <c r="AO448" s="450"/>
      <c r="AP448" s="450"/>
      <c r="AQ448" s="450"/>
      <c r="AR448" s="450"/>
      <c r="AS448" s="450"/>
      <c r="AT448" s="450"/>
      <c r="AU448" s="450"/>
      <c r="AV448" s="450"/>
      <c r="AW448" s="450"/>
      <c r="AX448" s="450"/>
      <c r="AY448" s="450"/>
      <c r="AZ448" s="450"/>
      <c r="BA448" s="450"/>
      <c r="BB448" s="450"/>
      <c r="BC448" s="450"/>
      <c r="BD448" s="450"/>
      <c r="BE448" s="450"/>
      <c r="BF448" s="450"/>
      <c r="BG448" s="450"/>
      <c r="BH448" s="450"/>
      <c r="BI448" s="450"/>
      <c r="BJ448" s="450"/>
      <c r="BK448" s="450"/>
      <c r="BL448" s="450"/>
      <c r="BM448" s="450"/>
    </row>
    <row r="449" spans="1:65" ht="11.15">
      <c r="A449" s="450"/>
      <c r="B449" s="450"/>
      <c r="C449" s="450"/>
      <c r="D449" s="450"/>
      <c r="E449" s="450"/>
      <c r="F449" s="450"/>
      <c r="G449" s="450"/>
      <c r="H449" s="450"/>
      <c r="I449" s="450"/>
      <c r="J449" s="450"/>
      <c r="K449" s="450"/>
      <c r="L449" s="450"/>
      <c r="M449" s="450"/>
      <c r="N449" s="450"/>
      <c r="O449" s="450"/>
      <c r="P449" s="450"/>
      <c r="Q449" s="450"/>
      <c r="R449" s="450"/>
      <c r="S449" s="450"/>
      <c r="T449" s="450"/>
      <c r="U449" s="450"/>
      <c r="V449" s="450"/>
      <c r="W449" s="450"/>
      <c r="X449" s="450"/>
      <c r="Y449" s="450"/>
      <c r="Z449" s="450"/>
      <c r="AA449" s="450"/>
      <c r="AB449" s="450"/>
      <c r="AC449" s="450"/>
      <c r="AD449" s="450"/>
      <c r="AE449" s="450"/>
      <c r="AF449" s="450"/>
      <c r="AG449" s="450"/>
      <c r="AH449" s="450"/>
      <c r="AI449" s="450"/>
      <c r="AJ449" s="450"/>
      <c r="AK449" s="450"/>
      <c r="AL449" s="450"/>
      <c r="AM449" s="450"/>
      <c r="AN449" s="450"/>
      <c r="AO449" s="450"/>
      <c r="AP449" s="450"/>
      <c r="AQ449" s="450"/>
      <c r="AR449" s="450"/>
      <c r="AS449" s="450"/>
      <c r="AT449" s="450"/>
      <c r="AU449" s="450"/>
      <c r="AV449" s="450"/>
      <c r="AW449" s="450"/>
      <c r="AX449" s="450"/>
      <c r="AY449" s="450"/>
      <c r="AZ449" s="450"/>
      <c r="BA449" s="450"/>
      <c r="BB449" s="450"/>
      <c r="BC449" s="450"/>
      <c r="BD449" s="450"/>
      <c r="BE449" s="450"/>
      <c r="BF449" s="450"/>
      <c r="BG449" s="450"/>
      <c r="BH449" s="450"/>
      <c r="BI449" s="450"/>
      <c r="BJ449" s="450"/>
      <c r="BK449" s="450"/>
      <c r="BL449" s="450"/>
      <c r="BM449" s="450"/>
    </row>
    <row r="450" spans="1:65" ht="11.15">
      <c r="A450" s="450"/>
      <c r="B450" s="450"/>
      <c r="C450" s="450"/>
      <c r="D450" s="450"/>
      <c r="E450" s="450"/>
      <c r="F450" s="450"/>
      <c r="G450" s="450"/>
      <c r="H450" s="450"/>
      <c r="I450" s="450"/>
      <c r="J450" s="450"/>
      <c r="K450" s="450"/>
      <c r="L450" s="450"/>
      <c r="M450" s="450"/>
      <c r="N450" s="450"/>
      <c r="O450" s="450"/>
      <c r="P450" s="450"/>
      <c r="Q450" s="450"/>
      <c r="R450" s="450"/>
      <c r="S450" s="450"/>
      <c r="T450" s="450"/>
      <c r="U450" s="450"/>
      <c r="V450" s="450"/>
      <c r="W450" s="450"/>
      <c r="X450" s="450"/>
      <c r="Y450" s="450"/>
      <c r="Z450" s="450"/>
      <c r="AA450" s="450"/>
      <c r="AB450" s="450"/>
      <c r="AC450" s="450"/>
      <c r="AD450" s="450"/>
      <c r="AE450" s="450"/>
      <c r="AF450" s="450"/>
      <c r="AG450" s="450"/>
      <c r="AH450" s="450"/>
      <c r="AI450" s="450"/>
      <c r="AJ450" s="450"/>
      <c r="AK450" s="450"/>
      <c r="AL450" s="450"/>
      <c r="AM450" s="450"/>
      <c r="AN450" s="450"/>
      <c r="AO450" s="450"/>
      <c r="AP450" s="450"/>
      <c r="AQ450" s="450"/>
      <c r="AR450" s="450"/>
      <c r="AS450" s="450"/>
      <c r="AT450" s="450"/>
      <c r="AU450" s="450"/>
      <c r="AV450" s="450"/>
      <c r="AW450" s="450"/>
      <c r="AX450" s="450"/>
      <c r="AY450" s="450"/>
      <c r="AZ450" s="450"/>
      <c r="BA450" s="450"/>
      <c r="BB450" s="450"/>
      <c r="BC450" s="450"/>
      <c r="BD450" s="450"/>
      <c r="BE450" s="450"/>
      <c r="BF450" s="450"/>
      <c r="BG450" s="450"/>
      <c r="BH450" s="450"/>
      <c r="BI450" s="450"/>
      <c r="BJ450" s="450"/>
      <c r="BK450" s="450"/>
      <c r="BL450" s="450"/>
      <c r="BM450" s="450"/>
    </row>
    <row r="451" spans="1:65" ht="11.15">
      <c r="A451" s="450"/>
      <c r="B451" s="450"/>
      <c r="C451" s="450"/>
      <c r="D451" s="450"/>
      <c r="E451" s="450"/>
      <c r="F451" s="450"/>
      <c r="G451" s="450"/>
      <c r="H451" s="450"/>
      <c r="I451" s="450"/>
      <c r="J451" s="450"/>
      <c r="K451" s="450"/>
      <c r="L451" s="450"/>
      <c r="M451" s="450"/>
      <c r="N451" s="450"/>
      <c r="O451" s="450"/>
      <c r="P451" s="450"/>
      <c r="Q451" s="450"/>
      <c r="R451" s="450"/>
      <c r="S451" s="450"/>
      <c r="T451" s="450"/>
      <c r="U451" s="450"/>
      <c r="V451" s="450"/>
      <c r="W451" s="450"/>
      <c r="X451" s="450"/>
      <c r="Y451" s="450"/>
      <c r="Z451" s="450"/>
      <c r="AA451" s="450"/>
      <c r="AB451" s="450"/>
      <c r="AC451" s="450"/>
      <c r="AD451" s="450"/>
      <c r="AE451" s="450"/>
      <c r="AF451" s="450"/>
      <c r="AG451" s="450"/>
      <c r="AH451" s="450"/>
      <c r="AI451" s="450"/>
      <c r="AJ451" s="450"/>
      <c r="AK451" s="450"/>
      <c r="AL451" s="450"/>
      <c r="AM451" s="450"/>
      <c r="AN451" s="450"/>
      <c r="AO451" s="450"/>
      <c r="AP451" s="450"/>
      <c r="AQ451" s="450"/>
      <c r="AR451" s="450"/>
      <c r="AS451" s="450"/>
      <c r="AT451" s="450"/>
      <c r="AU451" s="450"/>
      <c r="AV451" s="450"/>
      <c r="AW451" s="450"/>
      <c r="AX451" s="450"/>
      <c r="AY451" s="450"/>
      <c r="AZ451" s="450"/>
      <c r="BA451" s="450"/>
      <c r="BB451" s="450"/>
      <c r="BC451" s="450"/>
      <c r="BD451" s="450"/>
      <c r="BE451" s="450"/>
      <c r="BF451" s="450"/>
      <c r="BG451" s="450"/>
      <c r="BH451" s="450"/>
      <c r="BI451" s="450"/>
      <c r="BJ451" s="450"/>
      <c r="BK451" s="450"/>
      <c r="BL451" s="450"/>
      <c r="BM451" s="450"/>
    </row>
    <row r="452" spans="1:65" ht="11.15">
      <c r="A452" s="450"/>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450"/>
      <c r="AE452" s="450"/>
      <c r="AF452" s="450"/>
      <c r="AG452" s="450"/>
      <c r="AH452" s="450"/>
      <c r="AI452" s="450"/>
      <c r="AJ452" s="450"/>
      <c r="AK452" s="450"/>
      <c r="AL452" s="450"/>
      <c r="AM452" s="450"/>
      <c r="AN452" s="450"/>
      <c r="AO452" s="450"/>
      <c r="AP452" s="450"/>
      <c r="AQ452" s="450"/>
      <c r="AR452" s="450"/>
      <c r="AS452" s="450"/>
      <c r="AT452" s="450"/>
      <c r="AU452" s="450"/>
      <c r="AV452" s="450"/>
      <c r="AW452" s="450"/>
      <c r="AX452" s="450"/>
      <c r="AY452" s="450"/>
      <c r="AZ452" s="450"/>
      <c r="BA452" s="450"/>
      <c r="BB452" s="450"/>
      <c r="BC452" s="450"/>
      <c r="BD452" s="450"/>
      <c r="BE452" s="450"/>
      <c r="BF452" s="450"/>
      <c r="BG452" s="450"/>
      <c r="BH452" s="450"/>
      <c r="BI452" s="450"/>
      <c r="BJ452" s="450"/>
      <c r="BK452" s="450"/>
      <c r="BL452" s="450"/>
      <c r="BM452" s="450"/>
    </row>
    <row r="453" spans="1:65" ht="11.15">
      <c r="A453" s="450"/>
      <c r="B453" s="450"/>
      <c r="C453" s="450"/>
      <c r="D453" s="450"/>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c r="AA453" s="450"/>
      <c r="AB453" s="450"/>
      <c r="AC453" s="450"/>
      <c r="AD453" s="450"/>
      <c r="AE453" s="450"/>
      <c r="AF453" s="450"/>
      <c r="AG453" s="450"/>
      <c r="AH453" s="450"/>
      <c r="AI453" s="450"/>
      <c r="AJ453" s="450"/>
      <c r="AK453" s="450"/>
      <c r="AL453" s="450"/>
      <c r="AM453" s="450"/>
      <c r="AN453" s="450"/>
      <c r="AO453" s="450"/>
      <c r="AP453" s="450"/>
      <c r="AQ453" s="450"/>
      <c r="AR453" s="450"/>
      <c r="AS453" s="450"/>
      <c r="AT453" s="450"/>
      <c r="AU453" s="450"/>
      <c r="AV453" s="450"/>
      <c r="AW453" s="450"/>
      <c r="AX453" s="450"/>
      <c r="AY453" s="450"/>
      <c r="AZ453" s="450"/>
      <c r="BA453" s="450"/>
      <c r="BB453" s="450"/>
      <c r="BC453" s="450"/>
      <c r="BD453" s="450"/>
      <c r="BE453" s="450"/>
      <c r="BF453" s="450"/>
      <c r="BG453" s="450"/>
      <c r="BH453" s="450"/>
      <c r="BI453" s="450"/>
      <c r="BJ453" s="450"/>
      <c r="BK453" s="450"/>
      <c r="BL453" s="450"/>
      <c r="BM453" s="450"/>
    </row>
    <row r="454" spans="1:65" ht="11.15">
      <c r="A454" s="450"/>
      <c r="B454" s="450"/>
      <c r="C454" s="450"/>
      <c r="D454" s="450"/>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c r="AA454" s="450"/>
      <c r="AB454" s="450"/>
      <c r="AC454" s="450"/>
      <c r="AD454" s="450"/>
      <c r="AE454" s="450"/>
      <c r="AF454" s="450"/>
      <c r="AG454" s="450"/>
      <c r="AH454" s="450"/>
      <c r="AI454" s="450"/>
      <c r="AJ454" s="450"/>
      <c r="AK454" s="450"/>
      <c r="AL454" s="450"/>
      <c r="AM454" s="450"/>
      <c r="AN454" s="450"/>
      <c r="AO454" s="450"/>
      <c r="AP454" s="450"/>
      <c r="AQ454" s="450"/>
      <c r="AR454" s="450"/>
      <c r="AS454" s="450"/>
      <c r="AT454" s="450"/>
      <c r="AU454" s="450"/>
      <c r="AV454" s="450"/>
      <c r="AW454" s="450"/>
      <c r="AX454" s="450"/>
      <c r="AY454" s="450"/>
      <c r="AZ454" s="450"/>
      <c r="BA454" s="450"/>
      <c r="BB454" s="450"/>
      <c r="BC454" s="450"/>
      <c r="BD454" s="450"/>
      <c r="BE454" s="450"/>
      <c r="BF454" s="450"/>
      <c r="BG454" s="450"/>
      <c r="BH454" s="450"/>
      <c r="BI454" s="450"/>
      <c r="BJ454" s="450"/>
      <c r="BK454" s="450"/>
      <c r="BL454" s="450"/>
      <c r="BM454" s="450"/>
    </row>
    <row r="455" spans="1:65" ht="11.15">
      <c r="A455" s="450"/>
      <c r="B455" s="450"/>
      <c r="C455" s="450"/>
      <c r="D455" s="450"/>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c r="AA455" s="450"/>
      <c r="AB455" s="450"/>
      <c r="AC455" s="450"/>
      <c r="AD455" s="450"/>
      <c r="AE455" s="450"/>
      <c r="AF455" s="450"/>
      <c r="AG455" s="450"/>
      <c r="AH455" s="450"/>
      <c r="AI455" s="450"/>
      <c r="AJ455" s="450"/>
      <c r="AK455" s="450"/>
      <c r="AL455" s="450"/>
      <c r="AM455" s="450"/>
      <c r="AN455" s="450"/>
      <c r="AO455" s="450"/>
      <c r="AP455" s="450"/>
      <c r="AQ455" s="450"/>
      <c r="AR455" s="450"/>
      <c r="AS455" s="450"/>
      <c r="AT455" s="450"/>
      <c r="AU455" s="450"/>
      <c r="AV455" s="450"/>
      <c r="AW455" s="450"/>
      <c r="AX455" s="450"/>
      <c r="AY455" s="450"/>
      <c r="AZ455" s="450"/>
      <c r="BA455" s="450"/>
      <c r="BB455" s="450"/>
      <c r="BC455" s="450"/>
      <c r="BD455" s="450"/>
      <c r="BE455" s="450"/>
      <c r="BF455" s="450"/>
      <c r="BG455" s="450"/>
      <c r="BH455" s="450"/>
      <c r="BI455" s="450"/>
      <c r="BJ455" s="450"/>
      <c r="BK455" s="450"/>
      <c r="BL455" s="450"/>
      <c r="BM455" s="450"/>
    </row>
    <row r="456" spans="1:65" ht="11.15">
      <c r="A456" s="450"/>
      <c r="B456" s="450"/>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c r="AF456" s="450"/>
      <c r="AG456" s="450"/>
      <c r="AH456" s="450"/>
      <c r="AI456" s="450"/>
      <c r="AJ456" s="450"/>
      <c r="AK456" s="450"/>
      <c r="AL456" s="450"/>
      <c r="AM456" s="450"/>
      <c r="AN456" s="450"/>
      <c r="AO456" s="450"/>
      <c r="AP456" s="450"/>
      <c r="AQ456" s="450"/>
      <c r="AR456" s="450"/>
      <c r="AS456" s="450"/>
      <c r="AT456" s="450"/>
      <c r="AU456" s="450"/>
      <c r="AV456" s="450"/>
      <c r="AW456" s="450"/>
      <c r="AX456" s="450"/>
      <c r="AY456" s="450"/>
      <c r="AZ456" s="450"/>
      <c r="BA456" s="450"/>
      <c r="BB456" s="450"/>
      <c r="BC456" s="450"/>
      <c r="BD456" s="450"/>
      <c r="BE456" s="450"/>
      <c r="BF456" s="450"/>
      <c r="BG456" s="450"/>
      <c r="BH456" s="450"/>
      <c r="BI456" s="450"/>
      <c r="BJ456" s="450"/>
      <c r="BK456" s="450"/>
      <c r="BL456" s="450"/>
      <c r="BM456" s="450"/>
    </row>
    <row r="457" spans="1:65" ht="11.15">
      <c r="A457" s="450"/>
      <c r="B457" s="450"/>
      <c r="C457" s="450"/>
      <c r="D457" s="450"/>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c r="AA457" s="450"/>
      <c r="AB457" s="450"/>
      <c r="AC457" s="450"/>
      <c r="AD457" s="450"/>
      <c r="AE457" s="450"/>
      <c r="AF457" s="450"/>
      <c r="AG457" s="450"/>
      <c r="AH457" s="450"/>
      <c r="AI457" s="450"/>
      <c r="AJ457" s="450"/>
      <c r="AK457" s="450"/>
      <c r="AL457" s="450"/>
      <c r="AM457" s="450"/>
      <c r="AN457" s="450"/>
      <c r="AO457" s="450"/>
      <c r="AP457" s="450"/>
      <c r="AQ457" s="450"/>
      <c r="AR457" s="450"/>
      <c r="AS457" s="450"/>
      <c r="AT457" s="450"/>
      <c r="AU457" s="450"/>
      <c r="AV457" s="450"/>
      <c r="AW457" s="450"/>
      <c r="AX457" s="450"/>
      <c r="AY457" s="450"/>
      <c r="AZ457" s="450"/>
      <c r="BA457" s="450"/>
      <c r="BB457" s="450"/>
      <c r="BC457" s="450"/>
      <c r="BD457" s="450"/>
      <c r="BE457" s="450"/>
      <c r="BF457" s="450"/>
      <c r="BG457" s="450"/>
      <c r="BH457" s="450"/>
      <c r="BI457" s="450"/>
      <c r="BJ457" s="450"/>
      <c r="BK457" s="450"/>
      <c r="BL457" s="450"/>
      <c r="BM457" s="450"/>
    </row>
    <row r="458" spans="1:65" ht="11.15">
      <c r="A458" s="450"/>
      <c r="B458" s="450"/>
      <c r="C458" s="450"/>
      <c r="D458" s="450"/>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c r="AA458" s="450"/>
      <c r="AB458" s="450"/>
      <c r="AC458" s="450"/>
      <c r="AD458" s="450"/>
      <c r="AE458" s="450"/>
      <c r="AF458" s="450"/>
      <c r="AG458" s="450"/>
      <c r="AH458" s="450"/>
      <c r="AI458" s="450"/>
      <c r="AJ458" s="450"/>
      <c r="AK458" s="450"/>
      <c r="AL458" s="450"/>
      <c r="AM458" s="450"/>
      <c r="AN458" s="450"/>
      <c r="AO458" s="450"/>
      <c r="AP458" s="450"/>
      <c r="AQ458" s="450"/>
      <c r="AR458" s="450"/>
      <c r="AS458" s="450"/>
      <c r="AT458" s="450"/>
      <c r="AU458" s="450"/>
      <c r="AV458" s="450"/>
      <c r="AW458" s="450"/>
      <c r="AX458" s="450"/>
      <c r="AY458" s="450"/>
      <c r="AZ458" s="450"/>
      <c r="BA458" s="450"/>
      <c r="BB458" s="450"/>
      <c r="BC458" s="450"/>
      <c r="BD458" s="450"/>
      <c r="BE458" s="450"/>
      <c r="BF458" s="450"/>
      <c r="BG458" s="450"/>
      <c r="BH458" s="450"/>
      <c r="BI458" s="450"/>
      <c r="BJ458" s="450"/>
      <c r="BK458" s="450"/>
      <c r="BL458" s="450"/>
      <c r="BM458" s="450"/>
    </row>
    <row r="459" spans="1:65" ht="11.15">
      <c r="A459" s="450"/>
      <c r="B459" s="450"/>
      <c r="C459" s="450"/>
      <c r="D459" s="450"/>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c r="AA459" s="450"/>
      <c r="AB459" s="450"/>
      <c r="AC459" s="450"/>
      <c r="AD459" s="450"/>
      <c r="AE459" s="450"/>
      <c r="AF459" s="450"/>
      <c r="AG459" s="450"/>
      <c r="AH459" s="450"/>
      <c r="AI459" s="450"/>
      <c r="AJ459" s="450"/>
      <c r="AK459" s="450"/>
      <c r="AL459" s="450"/>
      <c r="AM459" s="450"/>
      <c r="AN459" s="450"/>
      <c r="AO459" s="450"/>
      <c r="AP459" s="450"/>
      <c r="AQ459" s="450"/>
      <c r="AR459" s="450"/>
      <c r="AS459" s="450"/>
      <c r="AT459" s="450"/>
      <c r="AU459" s="450"/>
      <c r="AV459" s="450"/>
      <c r="AW459" s="450"/>
      <c r="AX459" s="450"/>
      <c r="AY459" s="450"/>
      <c r="AZ459" s="450"/>
      <c r="BA459" s="450"/>
      <c r="BB459" s="450"/>
      <c r="BC459" s="450"/>
      <c r="BD459" s="450"/>
      <c r="BE459" s="450"/>
      <c r="BF459" s="450"/>
      <c r="BG459" s="450"/>
      <c r="BH459" s="450"/>
      <c r="BI459" s="450"/>
      <c r="BJ459" s="450"/>
      <c r="BK459" s="450"/>
      <c r="BL459" s="450"/>
      <c r="BM459" s="450"/>
    </row>
    <row r="460" spans="1:65" ht="11.15">
      <c r="A460" s="450"/>
      <c r="B460" s="450"/>
      <c r="C460" s="450"/>
      <c r="D460" s="450"/>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c r="AA460" s="450"/>
      <c r="AB460" s="450"/>
      <c r="AC460" s="450"/>
      <c r="AD460" s="450"/>
      <c r="AE460" s="450"/>
      <c r="AF460" s="450"/>
      <c r="AG460" s="450"/>
      <c r="AH460" s="450"/>
      <c r="AI460" s="450"/>
      <c r="AJ460" s="450"/>
      <c r="AK460" s="450"/>
      <c r="AL460" s="450"/>
      <c r="AM460" s="450"/>
      <c r="AN460" s="450"/>
      <c r="AO460" s="450"/>
      <c r="AP460" s="450"/>
      <c r="AQ460" s="450"/>
      <c r="AR460" s="450"/>
      <c r="AS460" s="450"/>
      <c r="AT460" s="450"/>
      <c r="AU460" s="450"/>
      <c r="AV460" s="450"/>
      <c r="AW460" s="450"/>
      <c r="AX460" s="450"/>
      <c r="AY460" s="450"/>
      <c r="AZ460" s="450"/>
      <c r="BA460" s="450"/>
      <c r="BB460" s="450"/>
      <c r="BC460" s="450"/>
      <c r="BD460" s="450"/>
      <c r="BE460" s="450"/>
      <c r="BF460" s="450"/>
      <c r="BG460" s="450"/>
      <c r="BH460" s="450"/>
      <c r="BI460" s="450"/>
      <c r="BJ460" s="450"/>
      <c r="BK460" s="450"/>
      <c r="BL460" s="450"/>
      <c r="BM460" s="450"/>
    </row>
    <row r="461" spans="1:65" ht="11.15">
      <c r="A461" s="450"/>
      <c r="B461" s="450"/>
      <c r="C461" s="450"/>
      <c r="D461" s="450"/>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c r="AA461" s="450"/>
      <c r="AB461" s="450"/>
      <c r="AC461" s="450"/>
      <c r="AD461" s="450"/>
      <c r="AE461" s="450"/>
      <c r="AF461" s="450"/>
      <c r="AG461" s="450"/>
      <c r="AH461" s="450"/>
      <c r="AI461" s="450"/>
      <c r="AJ461" s="450"/>
      <c r="AK461" s="450"/>
      <c r="AL461" s="450"/>
      <c r="AM461" s="450"/>
      <c r="AN461" s="450"/>
      <c r="AO461" s="450"/>
      <c r="AP461" s="450"/>
      <c r="AQ461" s="450"/>
      <c r="AR461" s="450"/>
      <c r="AS461" s="450"/>
      <c r="AT461" s="450"/>
      <c r="AU461" s="450"/>
      <c r="AV461" s="450"/>
      <c r="AW461" s="450"/>
      <c r="AX461" s="450"/>
      <c r="AY461" s="450"/>
      <c r="AZ461" s="450"/>
      <c r="BA461" s="450"/>
      <c r="BB461" s="450"/>
      <c r="BC461" s="450"/>
      <c r="BD461" s="450"/>
      <c r="BE461" s="450"/>
      <c r="BF461" s="450"/>
      <c r="BG461" s="450"/>
      <c r="BH461" s="450"/>
      <c r="BI461" s="450"/>
      <c r="BJ461" s="450"/>
      <c r="BK461" s="450"/>
      <c r="BL461" s="450"/>
      <c r="BM461" s="450"/>
    </row>
    <row r="462" spans="1:65" ht="11.15">
      <c r="A462" s="450"/>
      <c r="B462" s="450"/>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c r="AF462" s="450"/>
      <c r="AG462" s="450"/>
      <c r="AH462" s="450"/>
      <c r="AI462" s="450"/>
      <c r="AJ462" s="450"/>
      <c r="AK462" s="450"/>
      <c r="AL462" s="450"/>
      <c r="AM462" s="450"/>
      <c r="AN462" s="450"/>
      <c r="AO462" s="450"/>
      <c r="AP462" s="450"/>
      <c r="AQ462" s="450"/>
      <c r="AR462" s="450"/>
      <c r="AS462" s="450"/>
      <c r="AT462" s="450"/>
      <c r="AU462" s="450"/>
      <c r="AV462" s="450"/>
      <c r="AW462" s="450"/>
      <c r="AX462" s="450"/>
      <c r="AY462" s="450"/>
      <c r="AZ462" s="450"/>
      <c r="BA462" s="450"/>
      <c r="BB462" s="450"/>
      <c r="BC462" s="450"/>
      <c r="BD462" s="450"/>
      <c r="BE462" s="450"/>
      <c r="BF462" s="450"/>
      <c r="BG462" s="450"/>
      <c r="BH462" s="450"/>
      <c r="BI462" s="450"/>
      <c r="BJ462" s="450"/>
      <c r="BK462" s="450"/>
      <c r="BL462" s="450"/>
      <c r="BM462" s="450"/>
    </row>
    <row r="463" spans="1:65" ht="11.15">
      <c r="A463" s="450"/>
      <c r="B463" s="450"/>
      <c r="C463" s="450"/>
      <c r="D463" s="450"/>
      <c r="E463" s="450"/>
      <c r="F463" s="450"/>
      <c r="G463" s="450"/>
      <c r="H463" s="450"/>
      <c r="I463" s="450"/>
      <c r="J463" s="450"/>
      <c r="K463" s="450"/>
      <c r="L463" s="450"/>
      <c r="M463" s="450"/>
      <c r="N463" s="450"/>
      <c r="O463" s="450"/>
      <c r="P463" s="450"/>
      <c r="Q463" s="450"/>
      <c r="R463" s="450"/>
      <c r="S463" s="450"/>
      <c r="T463" s="450"/>
      <c r="U463" s="450"/>
      <c r="V463" s="450"/>
      <c r="W463" s="450"/>
      <c r="X463" s="450"/>
      <c r="Y463" s="450"/>
      <c r="Z463" s="450"/>
      <c r="AA463" s="450"/>
      <c r="AB463" s="450"/>
      <c r="AC463" s="450"/>
      <c r="AD463" s="450"/>
      <c r="AE463" s="450"/>
      <c r="AF463" s="450"/>
      <c r="AG463" s="450"/>
      <c r="AH463" s="450"/>
      <c r="AI463" s="450"/>
      <c r="AJ463" s="450"/>
      <c r="AK463" s="450"/>
      <c r="AL463" s="450"/>
      <c r="AM463" s="450"/>
      <c r="AN463" s="450"/>
      <c r="AO463" s="450"/>
      <c r="AP463" s="450"/>
      <c r="AQ463" s="450"/>
      <c r="AR463" s="450"/>
      <c r="AS463" s="450"/>
      <c r="AT463" s="450"/>
      <c r="AU463" s="450"/>
      <c r="AV463" s="450"/>
      <c r="AW463" s="450"/>
      <c r="AX463" s="450"/>
      <c r="AY463" s="450"/>
      <c r="AZ463" s="450"/>
      <c r="BA463" s="450"/>
      <c r="BB463" s="450"/>
      <c r="BC463" s="450"/>
      <c r="BD463" s="450"/>
      <c r="BE463" s="450"/>
      <c r="BF463" s="450"/>
      <c r="BG463" s="450"/>
      <c r="BH463" s="450"/>
      <c r="BI463" s="450"/>
      <c r="BJ463" s="450"/>
      <c r="BK463" s="450"/>
      <c r="BL463" s="450"/>
      <c r="BM463" s="450"/>
    </row>
    <row r="464" spans="1:65" ht="11.15">
      <c r="A464" s="450"/>
      <c r="B464" s="450"/>
      <c r="C464" s="450"/>
      <c r="D464" s="450"/>
      <c r="E464" s="450"/>
      <c r="F464" s="450"/>
      <c r="G464" s="450"/>
      <c r="H464" s="450"/>
      <c r="I464" s="450"/>
      <c r="J464" s="450"/>
      <c r="K464" s="450"/>
      <c r="L464" s="450"/>
      <c r="M464" s="450"/>
      <c r="N464" s="450"/>
      <c r="O464" s="450"/>
      <c r="P464" s="450"/>
      <c r="Q464" s="450"/>
      <c r="R464" s="450"/>
      <c r="S464" s="450"/>
      <c r="T464" s="450"/>
      <c r="U464" s="450"/>
      <c r="V464" s="450"/>
      <c r="W464" s="450"/>
      <c r="X464" s="450"/>
      <c r="Y464" s="450"/>
      <c r="Z464" s="450"/>
      <c r="AA464" s="450"/>
      <c r="AB464" s="450"/>
      <c r="AC464" s="450"/>
      <c r="AD464" s="450"/>
      <c r="AE464" s="450"/>
      <c r="AF464" s="450"/>
      <c r="AG464" s="450"/>
      <c r="AH464" s="450"/>
      <c r="AI464" s="450"/>
      <c r="AJ464" s="450"/>
      <c r="AK464" s="450"/>
      <c r="AL464" s="450"/>
      <c r="AM464" s="450"/>
      <c r="AN464" s="450"/>
      <c r="AO464" s="450"/>
      <c r="AP464" s="450"/>
      <c r="AQ464" s="450"/>
      <c r="AR464" s="450"/>
      <c r="AS464" s="450"/>
      <c r="AT464" s="450"/>
      <c r="AU464" s="450"/>
      <c r="AV464" s="450"/>
      <c r="AW464" s="450"/>
      <c r="AX464" s="450"/>
      <c r="AY464" s="450"/>
      <c r="AZ464" s="450"/>
      <c r="BA464" s="450"/>
      <c r="BB464" s="450"/>
      <c r="BC464" s="450"/>
      <c r="BD464" s="450"/>
      <c r="BE464" s="450"/>
      <c r="BF464" s="450"/>
      <c r="BG464" s="450"/>
      <c r="BH464" s="450"/>
      <c r="BI464" s="450"/>
      <c r="BJ464" s="450"/>
      <c r="BK464" s="450"/>
      <c r="BL464" s="450"/>
      <c r="BM464" s="450"/>
    </row>
    <row r="465" spans="1:65" ht="11.15">
      <c r="A465" s="450"/>
      <c r="B465" s="450"/>
      <c r="C465" s="450"/>
      <c r="D465" s="450"/>
      <c r="E465" s="450"/>
      <c r="F465" s="450"/>
      <c r="G465" s="450"/>
      <c r="H465" s="450"/>
      <c r="I465" s="450"/>
      <c r="J465" s="450"/>
      <c r="K465" s="450"/>
      <c r="L465" s="450"/>
      <c r="M465" s="450"/>
      <c r="N465" s="450"/>
      <c r="O465" s="450"/>
      <c r="P465" s="450"/>
      <c r="Q465" s="450"/>
      <c r="R465" s="450"/>
      <c r="S465" s="450"/>
      <c r="T465" s="450"/>
      <c r="U465" s="450"/>
      <c r="V465" s="450"/>
      <c r="W465" s="450"/>
      <c r="X465" s="450"/>
      <c r="Y465" s="450"/>
      <c r="Z465" s="450"/>
      <c r="AA465" s="450"/>
      <c r="AB465" s="450"/>
      <c r="AC465" s="450"/>
      <c r="AD465" s="450"/>
      <c r="AE465" s="450"/>
      <c r="AF465" s="450"/>
      <c r="AG465" s="450"/>
      <c r="AH465" s="450"/>
      <c r="AI465" s="450"/>
      <c r="AJ465" s="450"/>
      <c r="AK465" s="450"/>
      <c r="AL465" s="450"/>
      <c r="AM465" s="450"/>
      <c r="AN465" s="450"/>
      <c r="AO465" s="450"/>
      <c r="AP465" s="450"/>
      <c r="AQ465" s="450"/>
      <c r="AR465" s="450"/>
      <c r="AS465" s="450"/>
      <c r="AT465" s="450"/>
      <c r="AU465" s="450"/>
      <c r="AV465" s="450"/>
      <c r="AW465" s="450"/>
      <c r="AX465" s="450"/>
      <c r="AY465" s="450"/>
      <c r="AZ465" s="450"/>
      <c r="BA465" s="450"/>
      <c r="BB465" s="450"/>
      <c r="BC465" s="450"/>
      <c r="BD465" s="450"/>
      <c r="BE465" s="450"/>
      <c r="BF465" s="450"/>
      <c r="BG465" s="450"/>
      <c r="BH465" s="450"/>
      <c r="BI465" s="450"/>
      <c r="BJ465" s="450"/>
      <c r="BK465" s="450"/>
      <c r="BL465" s="450"/>
      <c r="BM465" s="450"/>
    </row>
    <row r="466" spans="1:65" ht="11.15">
      <c r="A466" s="450"/>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c r="AA466" s="450"/>
      <c r="AB466" s="450"/>
      <c r="AC466" s="450"/>
      <c r="AD466" s="450"/>
      <c r="AE466" s="450"/>
      <c r="AF466" s="450"/>
      <c r="AG466" s="450"/>
      <c r="AH466" s="450"/>
      <c r="AI466" s="450"/>
      <c r="AJ466" s="450"/>
      <c r="AK466" s="450"/>
      <c r="AL466" s="450"/>
      <c r="AM466" s="450"/>
      <c r="AN466" s="450"/>
      <c r="AO466" s="450"/>
      <c r="AP466" s="450"/>
      <c r="AQ466" s="450"/>
      <c r="AR466" s="450"/>
      <c r="AS466" s="450"/>
      <c r="AT466" s="450"/>
      <c r="AU466" s="450"/>
      <c r="AV466" s="450"/>
      <c r="AW466" s="450"/>
      <c r="AX466" s="450"/>
      <c r="AY466" s="450"/>
      <c r="AZ466" s="450"/>
      <c r="BA466" s="450"/>
      <c r="BB466" s="450"/>
      <c r="BC466" s="450"/>
      <c r="BD466" s="450"/>
      <c r="BE466" s="450"/>
      <c r="BF466" s="450"/>
      <c r="BG466" s="450"/>
      <c r="BH466" s="450"/>
      <c r="BI466" s="450"/>
      <c r="BJ466" s="450"/>
      <c r="BK466" s="450"/>
      <c r="BL466" s="450"/>
      <c r="BM466" s="450"/>
    </row>
    <row r="467" spans="1:65" ht="11.15">
      <c r="A467" s="450"/>
      <c r="B467" s="450"/>
      <c r="C467" s="450"/>
      <c r="D467" s="450"/>
      <c r="E467" s="450"/>
      <c r="F467" s="450"/>
      <c r="G467" s="450"/>
      <c r="H467" s="450"/>
      <c r="I467" s="450"/>
      <c r="J467" s="450"/>
      <c r="K467" s="450"/>
      <c r="L467" s="450"/>
      <c r="M467" s="450"/>
      <c r="N467" s="450"/>
      <c r="O467" s="450"/>
      <c r="P467" s="450"/>
      <c r="Q467" s="450"/>
      <c r="R467" s="450"/>
      <c r="S467" s="450"/>
      <c r="T467" s="450"/>
      <c r="U467" s="450"/>
      <c r="V467" s="450"/>
      <c r="W467" s="450"/>
      <c r="X467" s="450"/>
      <c r="Y467" s="450"/>
      <c r="Z467" s="450"/>
      <c r="AA467" s="450"/>
      <c r="AB467" s="450"/>
      <c r="AC467" s="450"/>
      <c r="AD467" s="450"/>
      <c r="AE467" s="450"/>
      <c r="AF467" s="450"/>
      <c r="AG467" s="450"/>
      <c r="AH467" s="450"/>
      <c r="AI467" s="450"/>
      <c r="AJ467" s="450"/>
      <c r="AK467" s="450"/>
      <c r="AL467" s="450"/>
      <c r="AM467" s="450"/>
      <c r="AN467" s="450"/>
      <c r="AO467" s="450"/>
      <c r="AP467" s="450"/>
      <c r="AQ467" s="450"/>
      <c r="AR467" s="450"/>
      <c r="AS467" s="450"/>
      <c r="AT467" s="450"/>
      <c r="AU467" s="450"/>
      <c r="AV467" s="450"/>
      <c r="AW467" s="450"/>
      <c r="AX467" s="450"/>
      <c r="AY467" s="450"/>
      <c r="AZ467" s="450"/>
      <c r="BA467" s="450"/>
      <c r="BB467" s="450"/>
      <c r="BC467" s="450"/>
      <c r="BD467" s="450"/>
      <c r="BE467" s="450"/>
      <c r="BF467" s="450"/>
      <c r="BG467" s="450"/>
      <c r="BH467" s="450"/>
      <c r="BI467" s="450"/>
      <c r="BJ467" s="450"/>
      <c r="BK467" s="450"/>
      <c r="BL467" s="450"/>
      <c r="BM467" s="450"/>
    </row>
    <row r="468" spans="1:65" ht="11.15">
      <c r="A468" s="450"/>
      <c r="B468" s="450"/>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c r="Z468" s="450"/>
      <c r="AA468" s="450"/>
      <c r="AB468" s="450"/>
      <c r="AC468" s="450"/>
      <c r="AD468" s="450"/>
      <c r="AE468" s="450"/>
      <c r="AF468" s="450"/>
      <c r="AG468" s="450"/>
      <c r="AH468" s="450"/>
      <c r="AI468" s="450"/>
      <c r="AJ468" s="450"/>
      <c r="AK468" s="450"/>
      <c r="AL468" s="450"/>
      <c r="AM468" s="450"/>
      <c r="AN468" s="450"/>
      <c r="AO468" s="450"/>
      <c r="AP468" s="450"/>
      <c r="AQ468" s="450"/>
      <c r="AR468" s="450"/>
      <c r="AS468" s="450"/>
      <c r="AT468" s="450"/>
      <c r="AU468" s="450"/>
      <c r="AV468" s="450"/>
      <c r="AW468" s="450"/>
      <c r="AX468" s="450"/>
      <c r="AY468" s="450"/>
      <c r="AZ468" s="450"/>
      <c r="BA468" s="450"/>
      <c r="BB468" s="450"/>
      <c r="BC468" s="450"/>
      <c r="BD468" s="450"/>
      <c r="BE468" s="450"/>
      <c r="BF468" s="450"/>
      <c r="BG468" s="450"/>
      <c r="BH468" s="450"/>
      <c r="BI468" s="450"/>
      <c r="BJ468" s="450"/>
      <c r="BK468" s="450"/>
      <c r="BL468" s="450"/>
      <c r="BM468" s="450"/>
    </row>
    <row r="469" spans="1:65" ht="11.15">
      <c r="A469" s="450"/>
      <c r="B469" s="450"/>
      <c r="C469" s="450"/>
      <c r="D469" s="450"/>
      <c r="E469" s="450"/>
      <c r="F469" s="450"/>
      <c r="G469" s="450"/>
      <c r="H469" s="450"/>
      <c r="I469" s="450"/>
      <c r="J469" s="450"/>
      <c r="K469" s="450"/>
      <c r="L469" s="450"/>
      <c r="M469" s="450"/>
      <c r="N469" s="450"/>
      <c r="O469" s="450"/>
      <c r="P469" s="450"/>
      <c r="Q469" s="450"/>
      <c r="R469" s="450"/>
      <c r="S469" s="450"/>
      <c r="T469" s="450"/>
      <c r="U469" s="450"/>
      <c r="V469" s="450"/>
      <c r="W469" s="450"/>
      <c r="X469" s="450"/>
      <c r="Y469" s="450"/>
      <c r="Z469" s="450"/>
      <c r="AA469" s="450"/>
      <c r="AB469" s="450"/>
      <c r="AC469" s="450"/>
      <c r="AD469" s="450"/>
      <c r="AE469" s="450"/>
      <c r="AF469" s="450"/>
      <c r="AG469" s="450"/>
      <c r="AH469" s="450"/>
      <c r="AI469" s="450"/>
      <c r="AJ469" s="450"/>
      <c r="AK469" s="450"/>
      <c r="AL469" s="450"/>
      <c r="AM469" s="450"/>
      <c r="AN469" s="450"/>
      <c r="AO469" s="450"/>
      <c r="AP469" s="450"/>
      <c r="AQ469" s="450"/>
      <c r="AR469" s="450"/>
      <c r="AS469" s="450"/>
      <c r="AT469" s="450"/>
      <c r="AU469" s="450"/>
      <c r="AV469" s="450"/>
      <c r="AW469" s="450"/>
      <c r="AX469" s="450"/>
      <c r="AY469" s="450"/>
      <c r="AZ469" s="450"/>
      <c r="BA469" s="450"/>
      <c r="BB469" s="450"/>
      <c r="BC469" s="450"/>
      <c r="BD469" s="450"/>
      <c r="BE469" s="450"/>
      <c r="BF469" s="450"/>
      <c r="BG469" s="450"/>
      <c r="BH469" s="450"/>
      <c r="BI469" s="450"/>
      <c r="BJ469" s="450"/>
      <c r="BK469" s="450"/>
      <c r="BL469" s="450"/>
      <c r="BM469" s="450"/>
    </row>
    <row r="470" spans="1:65" ht="11.15">
      <c r="A470" s="450"/>
      <c r="B470" s="450"/>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c r="Z470" s="450"/>
      <c r="AA470" s="450"/>
      <c r="AB470" s="450"/>
      <c r="AC470" s="450"/>
      <c r="AD470" s="450"/>
      <c r="AE470" s="450"/>
      <c r="AF470" s="450"/>
      <c r="AG470" s="450"/>
      <c r="AH470" s="450"/>
      <c r="AI470" s="450"/>
      <c r="AJ470" s="450"/>
      <c r="AK470" s="450"/>
      <c r="AL470" s="450"/>
      <c r="AM470" s="450"/>
      <c r="AN470" s="450"/>
      <c r="AO470" s="450"/>
      <c r="AP470" s="450"/>
      <c r="AQ470" s="450"/>
      <c r="AR470" s="450"/>
      <c r="AS470" s="450"/>
      <c r="AT470" s="450"/>
      <c r="AU470" s="450"/>
      <c r="AV470" s="450"/>
      <c r="AW470" s="450"/>
      <c r="AX470" s="450"/>
      <c r="AY470" s="450"/>
      <c r="AZ470" s="450"/>
      <c r="BA470" s="450"/>
      <c r="BB470" s="450"/>
      <c r="BC470" s="450"/>
      <c r="BD470" s="450"/>
      <c r="BE470" s="450"/>
      <c r="BF470" s="450"/>
      <c r="BG470" s="450"/>
      <c r="BH470" s="450"/>
      <c r="BI470" s="450"/>
      <c r="BJ470" s="450"/>
      <c r="BK470" s="450"/>
      <c r="BL470" s="450"/>
      <c r="BM470" s="450"/>
    </row>
    <row r="471" spans="1:65" ht="11.15">
      <c r="A471" s="450"/>
      <c r="B471" s="450"/>
      <c r="C471" s="450"/>
      <c r="D471" s="450"/>
      <c r="E471" s="450"/>
      <c r="F471" s="450"/>
      <c r="G471" s="450"/>
      <c r="H471" s="450"/>
      <c r="I471" s="450"/>
      <c r="J471" s="450"/>
      <c r="K471" s="450"/>
      <c r="L471" s="450"/>
      <c r="M471" s="450"/>
      <c r="N471" s="450"/>
      <c r="O471" s="450"/>
      <c r="P471" s="450"/>
      <c r="Q471" s="450"/>
      <c r="R471" s="450"/>
      <c r="S471" s="450"/>
      <c r="T471" s="450"/>
      <c r="U471" s="450"/>
      <c r="V471" s="450"/>
      <c r="W471" s="450"/>
      <c r="X471" s="450"/>
      <c r="Y471" s="450"/>
      <c r="Z471" s="450"/>
      <c r="AA471" s="450"/>
      <c r="AB471" s="450"/>
      <c r="AC471" s="450"/>
      <c r="AD471" s="450"/>
      <c r="AE471" s="450"/>
      <c r="AF471" s="450"/>
      <c r="AG471" s="450"/>
      <c r="AH471" s="450"/>
      <c r="AI471" s="450"/>
      <c r="AJ471" s="450"/>
      <c r="AK471" s="450"/>
      <c r="AL471" s="450"/>
      <c r="AM471" s="450"/>
      <c r="AN471" s="450"/>
      <c r="AO471" s="450"/>
      <c r="AP471" s="450"/>
      <c r="AQ471" s="450"/>
      <c r="AR471" s="450"/>
      <c r="AS471" s="450"/>
      <c r="AT471" s="450"/>
      <c r="AU471" s="450"/>
      <c r="AV471" s="450"/>
      <c r="AW471" s="450"/>
      <c r="AX471" s="450"/>
      <c r="AY471" s="450"/>
      <c r="AZ471" s="450"/>
      <c r="BA471" s="450"/>
      <c r="BB471" s="450"/>
      <c r="BC471" s="450"/>
      <c r="BD471" s="450"/>
      <c r="BE471" s="450"/>
      <c r="BF471" s="450"/>
      <c r="BG471" s="450"/>
      <c r="BH471" s="450"/>
      <c r="BI471" s="450"/>
      <c r="BJ471" s="450"/>
      <c r="BK471" s="450"/>
      <c r="BL471" s="450"/>
      <c r="BM471" s="450"/>
    </row>
    <row r="472" spans="1:65" ht="11.15">
      <c r="A472" s="450"/>
      <c r="B472" s="450"/>
      <c r="C472" s="450"/>
      <c r="D472" s="450"/>
      <c r="E472" s="450"/>
      <c r="F472" s="450"/>
      <c r="G472" s="450"/>
      <c r="H472" s="450"/>
      <c r="I472" s="450"/>
      <c r="J472" s="450"/>
      <c r="K472" s="450"/>
      <c r="L472" s="450"/>
      <c r="M472" s="450"/>
      <c r="N472" s="450"/>
      <c r="O472" s="450"/>
      <c r="P472" s="450"/>
      <c r="Q472" s="450"/>
      <c r="R472" s="450"/>
      <c r="S472" s="450"/>
      <c r="T472" s="450"/>
      <c r="U472" s="450"/>
      <c r="V472" s="450"/>
      <c r="W472" s="450"/>
      <c r="X472" s="450"/>
      <c r="Y472" s="450"/>
      <c r="Z472" s="450"/>
      <c r="AA472" s="450"/>
      <c r="AB472" s="450"/>
      <c r="AC472" s="450"/>
      <c r="AD472" s="450"/>
      <c r="AE472" s="450"/>
      <c r="AF472" s="450"/>
      <c r="AG472" s="450"/>
      <c r="AH472" s="450"/>
      <c r="AI472" s="450"/>
      <c r="AJ472" s="450"/>
      <c r="AK472" s="450"/>
      <c r="AL472" s="450"/>
      <c r="AM472" s="450"/>
      <c r="AN472" s="450"/>
      <c r="AO472" s="450"/>
      <c r="AP472" s="450"/>
      <c r="AQ472" s="450"/>
      <c r="AR472" s="450"/>
      <c r="AS472" s="450"/>
      <c r="AT472" s="450"/>
      <c r="AU472" s="450"/>
      <c r="AV472" s="450"/>
      <c r="AW472" s="450"/>
      <c r="AX472" s="450"/>
      <c r="AY472" s="450"/>
      <c r="AZ472" s="450"/>
      <c r="BA472" s="450"/>
      <c r="BB472" s="450"/>
      <c r="BC472" s="450"/>
      <c r="BD472" s="450"/>
      <c r="BE472" s="450"/>
      <c r="BF472" s="450"/>
      <c r="BG472" s="450"/>
      <c r="BH472" s="450"/>
      <c r="BI472" s="450"/>
      <c r="BJ472" s="450"/>
      <c r="BK472" s="450"/>
      <c r="BL472" s="450"/>
      <c r="BM472" s="450"/>
    </row>
    <row r="473" spans="1:65" ht="11.15">
      <c r="A473" s="450"/>
      <c r="B473" s="450"/>
      <c r="C473" s="450"/>
      <c r="D473" s="450"/>
      <c r="E473" s="450"/>
      <c r="F473" s="450"/>
      <c r="G473" s="450"/>
      <c r="H473" s="450"/>
      <c r="I473" s="450"/>
      <c r="J473" s="450"/>
      <c r="K473" s="450"/>
      <c r="L473" s="450"/>
      <c r="M473" s="450"/>
      <c r="N473" s="450"/>
      <c r="O473" s="450"/>
      <c r="P473" s="450"/>
      <c r="Q473" s="450"/>
      <c r="R473" s="450"/>
      <c r="S473" s="450"/>
      <c r="T473" s="450"/>
      <c r="U473" s="450"/>
      <c r="V473" s="450"/>
      <c r="W473" s="450"/>
      <c r="X473" s="450"/>
      <c r="Y473" s="450"/>
      <c r="Z473" s="450"/>
      <c r="AA473" s="450"/>
      <c r="AB473" s="450"/>
      <c r="AC473" s="450"/>
      <c r="AD473" s="450"/>
      <c r="AE473" s="450"/>
      <c r="AF473" s="450"/>
      <c r="AG473" s="450"/>
      <c r="AH473" s="450"/>
      <c r="AI473" s="450"/>
      <c r="AJ473" s="450"/>
      <c r="AK473" s="450"/>
      <c r="AL473" s="450"/>
      <c r="AM473" s="450"/>
      <c r="AN473" s="450"/>
      <c r="AO473" s="450"/>
      <c r="AP473" s="450"/>
      <c r="AQ473" s="450"/>
      <c r="AR473" s="450"/>
      <c r="AS473" s="450"/>
      <c r="AT473" s="450"/>
      <c r="AU473" s="450"/>
      <c r="AV473" s="450"/>
      <c r="AW473" s="450"/>
      <c r="AX473" s="450"/>
      <c r="AY473" s="450"/>
      <c r="AZ473" s="450"/>
      <c r="BA473" s="450"/>
      <c r="BB473" s="450"/>
      <c r="BC473" s="450"/>
      <c r="BD473" s="450"/>
      <c r="BE473" s="450"/>
      <c r="BF473" s="450"/>
      <c r="BG473" s="450"/>
      <c r="BH473" s="450"/>
      <c r="BI473" s="450"/>
      <c r="BJ473" s="450"/>
      <c r="BK473" s="450"/>
      <c r="BL473" s="450"/>
      <c r="BM473" s="450"/>
    </row>
    <row r="474" spans="1:65" ht="11.15">
      <c r="A474" s="450"/>
      <c r="B474" s="450"/>
      <c r="C474" s="450"/>
      <c r="D474" s="450"/>
      <c r="E474" s="450"/>
      <c r="F474" s="450"/>
      <c r="G474" s="450"/>
      <c r="H474" s="450"/>
      <c r="I474" s="450"/>
      <c r="J474" s="450"/>
      <c r="K474" s="450"/>
      <c r="L474" s="450"/>
      <c r="M474" s="450"/>
      <c r="N474" s="450"/>
      <c r="O474" s="450"/>
      <c r="P474" s="450"/>
      <c r="Q474" s="450"/>
      <c r="R474" s="450"/>
      <c r="S474" s="450"/>
      <c r="T474" s="450"/>
      <c r="U474" s="450"/>
      <c r="V474" s="450"/>
      <c r="W474" s="450"/>
      <c r="X474" s="450"/>
      <c r="Y474" s="450"/>
      <c r="Z474" s="450"/>
      <c r="AA474" s="450"/>
      <c r="AB474" s="450"/>
      <c r="AC474" s="450"/>
      <c r="AD474" s="450"/>
      <c r="AE474" s="450"/>
      <c r="AF474" s="450"/>
      <c r="AG474" s="450"/>
      <c r="AH474" s="450"/>
      <c r="AI474" s="450"/>
      <c r="AJ474" s="450"/>
      <c r="AK474" s="450"/>
      <c r="AL474" s="450"/>
      <c r="AM474" s="450"/>
      <c r="AN474" s="450"/>
      <c r="AO474" s="450"/>
      <c r="AP474" s="450"/>
      <c r="AQ474" s="450"/>
      <c r="AR474" s="450"/>
      <c r="AS474" s="450"/>
      <c r="AT474" s="450"/>
      <c r="AU474" s="450"/>
      <c r="AV474" s="450"/>
      <c r="AW474" s="450"/>
      <c r="AX474" s="450"/>
      <c r="AY474" s="450"/>
      <c r="AZ474" s="450"/>
      <c r="BA474" s="450"/>
      <c r="BB474" s="450"/>
      <c r="BC474" s="450"/>
      <c r="BD474" s="450"/>
      <c r="BE474" s="450"/>
      <c r="BF474" s="450"/>
      <c r="BG474" s="450"/>
      <c r="BH474" s="450"/>
      <c r="BI474" s="450"/>
      <c r="BJ474" s="450"/>
      <c r="BK474" s="450"/>
      <c r="BL474" s="450"/>
      <c r="BM474" s="450"/>
    </row>
    <row r="475" spans="1:65" ht="11.15">
      <c r="A475" s="450"/>
      <c r="B475" s="450"/>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c r="AA475" s="450"/>
      <c r="AB475" s="450"/>
      <c r="AC475" s="450"/>
      <c r="AD475" s="450"/>
      <c r="AE475" s="450"/>
      <c r="AF475" s="450"/>
      <c r="AG475" s="450"/>
      <c r="AH475" s="450"/>
      <c r="AI475" s="450"/>
      <c r="AJ475" s="450"/>
      <c r="AK475" s="450"/>
      <c r="AL475" s="450"/>
      <c r="AM475" s="450"/>
      <c r="AN475" s="450"/>
      <c r="AO475" s="450"/>
      <c r="AP475" s="450"/>
      <c r="AQ475" s="450"/>
      <c r="AR475" s="450"/>
      <c r="AS475" s="450"/>
      <c r="AT475" s="450"/>
      <c r="AU475" s="450"/>
      <c r="AV475" s="450"/>
      <c r="AW475" s="450"/>
      <c r="AX475" s="450"/>
      <c r="AY475" s="450"/>
      <c r="AZ475" s="450"/>
      <c r="BA475" s="450"/>
      <c r="BB475" s="450"/>
      <c r="BC475" s="450"/>
      <c r="BD475" s="450"/>
      <c r="BE475" s="450"/>
      <c r="BF475" s="450"/>
      <c r="BG475" s="450"/>
      <c r="BH475" s="450"/>
      <c r="BI475" s="450"/>
      <c r="BJ475" s="450"/>
      <c r="BK475" s="450"/>
      <c r="BL475" s="450"/>
      <c r="BM475" s="450"/>
    </row>
    <row r="476" spans="1:65" ht="11.15">
      <c r="A476" s="450"/>
      <c r="B476" s="450"/>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c r="AA476" s="450"/>
      <c r="AB476" s="450"/>
      <c r="AC476" s="450"/>
      <c r="AD476" s="450"/>
      <c r="AE476" s="450"/>
      <c r="AF476" s="450"/>
      <c r="AG476" s="450"/>
      <c r="AH476" s="450"/>
      <c r="AI476" s="450"/>
      <c r="AJ476" s="450"/>
      <c r="AK476" s="450"/>
      <c r="AL476" s="450"/>
      <c r="AM476" s="450"/>
      <c r="AN476" s="450"/>
      <c r="AO476" s="450"/>
      <c r="AP476" s="450"/>
      <c r="AQ476" s="450"/>
      <c r="AR476" s="450"/>
      <c r="AS476" s="450"/>
      <c r="AT476" s="450"/>
      <c r="AU476" s="450"/>
      <c r="AV476" s="450"/>
      <c r="AW476" s="450"/>
      <c r="AX476" s="450"/>
      <c r="AY476" s="450"/>
      <c r="AZ476" s="450"/>
      <c r="BA476" s="450"/>
      <c r="BB476" s="450"/>
      <c r="BC476" s="450"/>
      <c r="BD476" s="450"/>
      <c r="BE476" s="450"/>
      <c r="BF476" s="450"/>
      <c r="BG476" s="450"/>
      <c r="BH476" s="450"/>
      <c r="BI476" s="450"/>
      <c r="BJ476" s="450"/>
      <c r="BK476" s="450"/>
      <c r="BL476" s="450"/>
      <c r="BM476" s="450"/>
    </row>
    <row r="477" spans="1:65" ht="11.15">
      <c r="A477" s="450"/>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c r="Z477" s="450"/>
      <c r="AA477" s="450"/>
      <c r="AB477" s="450"/>
      <c r="AC477" s="450"/>
      <c r="AD477" s="450"/>
      <c r="AE477" s="450"/>
      <c r="AF477" s="450"/>
      <c r="AG477" s="450"/>
      <c r="AH477" s="450"/>
      <c r="AI477" s="450"/>
      <c r="AJ477" s="450"/>
      <c r="AK477" s="450"/>
      <c r="AL477" s="450"/>
      <c r="AM477" s="450"/>
      <c r="AN477" s="450"/>
      <c r="AO477" s="450"/>
      <c r="AP477" s="450"/>
      <c r="AQ477" s="450"/>
      <c r="AR477" s="450"/>
      <c r="AS477" s="450"/>
      <c r="AT477" s="450"/>
      <c r="AU477" s="450"/>
      <c r="AV477" s="450"/>
      <c r="AW477" s="450"/>
      <c r="AX477" s="450"/>
      <c r="AY477" s="450"/>
      <c r="AZ477" s="450"/>
      <c r="BA477" s="450"/>
      <c r="BB477" s="450"/>
      <c r="BC477" s="450"/>
      <c r="BD477" s="450"/>
      <c r="BE477" s="450"/>
      <c r="BF477" s="450"/>
      <c r="BG477" s="450"/>
      <c r="BH477" s="450"/>
      <c r="BI477" s="450"/>
      <c r="BJ477" s="450"/>
      <c r="BK477" s="450"/>
      <c r="BL477" s="450"/>
      <c r="BM477" s="450"/>
    </row>
    <row r="478" spans="1:65" ht="11.15">
      <c r="A478" s="450"/>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c r="AA478" s="450"/>
      <c r="AB478" s="450"/>
      <c r="AC478" s="450"/>
      <c r="AD478" s="450"/>
      <c r="AE478" s="450"/>
      <c r="AF478" s="450"/>
      <c r="AG478" s="450"/>
      <c r="AH478" s="450"/>
      <c r="AI478" s="450"/>
      <c r="AJ478" s="450"/>
      <c r="AK478" s="450"/>
      <c r="AL478" s="450"/>
      <c r="AM478" s="450"/>
      <c r="AN478" s="450"/>
      <c r="AO478" s="450"/>
      <c r="AP478" s="450"/>
      <c r="AQ478" s="450"/>
      <c r="AR478" s="450"/>
      <c r="AS478" s="450"/>
      <c r="AT478" s="450"/>
      <c r="AU478" s="450"/>
      <c r="AV478" s="450"/>
      <c r="AW478" s="450"/>
      <c r="AX478" s="450"/>
      <c r="AY478" s="450"/>
      <c r="AZ478" s="450"/>
      <c r="BA478" s="450"/>
      <c r="BB478" s="450"/>
      <c r="BC478" s="450"/>
      <c r="BD478" s="450"/>
      <c r="BE478" s="450"/>
      <c r="BF478" s="450"/>
      <c r="BG478" s="450"/>
      <c r="BH478" s="450"/>
      <c r="BI478" s="450"/>
      <c r="BJ478" s="450"/>
      <c r="BK478" s="450"/>
      <c r="BL478" s="450"/>
      <c r="BM478" s="450"/>
    </row>
    <row r="479" spans="1:65" ht="11.15">
      <c r="A479" s="450"/>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c r="AA479" s="450"/>
      <c r="AB479" s="450"/>
      <c r="AC479" s="450"/>
      <c r="AD479" s="450"/>
      <c r="AE479" s="450"/>
      <c r="AF479" s="450"/>
      <c r="AG479" s="450"/>
      <c r="AH479" s="450"/>
      <c r="AI479" s="450"/>
      <c r="AJ479" s="450"/>
      <c r="AK479" s="450"/>
      <c r="AL479" s="450"/>
      <c r="AM479" s="450"/>
      <c r="AN479" s="450"/>
      <c r="AO479" s="450"/>
      <c r="AP479" s="450"/>
      <c r="AQ479" s="450"/>
      <c r="AR479" s="450"/>
      <c r="AS479" s="450"/>
      <c r="AT479" s="450"/>
      <c r="AU479" s="450"/>
      <c r="AV479" s="450"/>
      <c r="AW479" s="450"/>
      <c r="AX479" s="450"/>
      <c r="AY479" s="450"/>
      <c r="AZ479" s="450"/>
      <c r="BA479" s="450"/>
      <c r="BB479" s="450"/>
      <c r="BC479" s="450"/>
      <c r="BD479" s="450"/>
      <c r="BE479" s="450"/>
      <c r="BF479" s="450"/>
      <c r="BG479" s="450"/>
      <c r="BH479" s="450"/>
      <c r="BI479" s="450"/>
      <c r="BJ479" s="450"/>
      <c r="BK479" s="450"/>
      <c r="BL479" s="450"/>
      <c r="BM479" s="450"/>
    </row>
    <row r="480" spans="1:65" ht="11.15">
      <c r="A480" s="450"/>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c r="Z480" s="450"/>
      <c r="AA480" s="450"/>
      <c r="AB480" s="450"/>
      <c r="AC480" s="450"/>
      <c r="AD480" s="450"/>
      <c r="AE480" s="450"/>
      <c r="AF480" s="450"/>
      <c r="AG480" s="450"/>
      <c r="AH480" s="450"/>
      <c r="AI480" s="450"/>
      <c r="AJ480" s="450"/>
      <c r="AK480" s="450"/>
      <c r="AL480" s="450"/>
      <c r="AM480" s="450"/>
      <c r="AN480" s="450"/>
      <c r="AO480" s="450"/>
      <c r="AP480" s="450"/>
      <c r="AQ480" s="450"/>
      <c r="AR480" s="450"/>
      <c r="AS480" s="450"/>
      <c r="AT480" s="450"/>
      <c r="AU480" s="450"/>
      <c r="AV480" s="450"/>
      <c r="AW480" s="450"/>
      <c r="AX480" s="450"/>
      <c r="AY480" s="450"/>
      <c r="AZ480" s="450"/>
      <c r="BA480" s="450"/>
      <c r="BB480" s="450"/>
      <c r="BC480" s="450"/>
      <c r="BD480" s="450"/>
      <c r="BE480" s="450"/>
      <c r="BF480" s="450"/>
      <c r="BG480" s="450"/>
      <c r="BH480" s="450"/>
      <c r="BI480" s="450"/>
      <c r="BJ480" s="450"/>
      <c r="BK480" s="450"/>
      <c r="BL480" s="450"/>
      <c r="BM480" s="450"/>
    </row>
    <row r="481" spans="1:65" ht="11.15">
      <c r="A481" s="450"/>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c r="Z481" s="450"/>
      <c r="AA481" s="450"/>
      <c r="AB481" s="450"/>
      <c r="AC481" s="450"/>
      <c r="AD481" s="450"/>
      <c r="AE481" s="450"/>
      <c r="AF481" s="450"/>
      <c r="AG481" s="450"/>
      <c r="AH481" s="450"/>
      <c r="AI481" s="450"/>
      <c r="AJ481" s="450"/>
      <c r="AK481" s="450"/>
      <c r="AL481" s="450"/>
      <c r="AM481" s="450"/>
      <c r="AN481" s="450"/>
      <c r="AO481" s="450"/>
      <c r="AP481" s="450"/>
      <c r="AQ481" s="450"/>
      <c r="AR481" s="450"/>
      <c r="AS481" s="450"/>
      <c r="AT481" s="450"/>
      <c r="AU481" s="450"/>
      <c r="AV481" s="450"/>
      <c r="AW481" s="450"/>
      <c r="AX481" s="450"/>
      <c r="AY481" s="450"/>
      <c r="AZ481" s="450"/>
      <c r="BA481" s="450"/>
      <c r="BB481" s="450"/>
      <c r="BC481" s="450"/>
      <c r="BD481" s="450"/>
      <c r="BE481" s="450"/>
      <c r="BF481" s="450"/>
      <c r="BG481" s="450"/>
      <c r="BH481" s="450"/>
      <c r="BI481" s="450"/>
      <c r="BJ481" s="450"/>
      <c r="BK481" s="450"/>
      <c r="BL481" s="450"/>
      <c r="BM481" s="450"/>
    </row>
    <row r="482" spans="1:65" ht="11.15">
      <c r="A482" s="450"/>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c r="Z482" s="450"/>
      <c r="AA482" s="450"/>
      <c r="AB482" s="450"/>
      <c r="AC482" s="450"/>
      <c r="AD482" s="450"/>
      <c r="AE482" s="450"/>
      <c r="AF482" s="450"/>
      <c r="AG482" s="450"/>
      <c r="AH482" s="450"/>
      <c r="AI482" s="450"/>
      <c r="AJ482" s="450"/>
      <c r="AK482" s="450"/>
      <c r="AL482" s="450"/>
      <c r="AM482" s="450"/>
      <c r="AN482" s="450"/>
      <c r="AO482" s="450"/>
      <c r="AP482" s="450"/>
      <c r="AQ482" s="450"/>
      <c r="AR482" s="450"/>
      <c r="AS482" s="450"/>
      <c r="AT482" s="450"/>
      <c r="AU482" s="450"/>
      <c r="AV482" s="450"/>
      <c r="AW482" s="450"/>
      <c r="AX482" s="450"/>
      <c r="AY482" s="450"/>
      <c r="AZ482" s="450"/>
      <c r="BA482" s="450"/>
      <c r="BB482" s="450"/>
      <c r="BC482" s="450"/>
      <c r="BD482" s="450"/>
      <c r="BE482" s="450"/>
      <c r="BF482" s="450"/>
      <c r="BG482" s="450"/>
      <c r="BH482" s="450"/>
      <c r="BI482" s="450"/>
      <c r="BJ482" s="450"/>
      <c r="BK482" s="450"/>
      <c r="BL482" s="450"/>
      <c r="BM482" s="450"/>
    </row>
    <row r="483" spans="1:65" ht="11.15">
      <c r="A483" s="450"/>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0"/>
      <c r="AT483" s="450"/>
      <c r="AU483" s="450"/>
      <c r="AV483" s="450"/>
      <c r="AW483" s="450"/>
      <c r="AX483" s="450"/>
      <c r="AY483" s="450"/>
      <c r="AZ483" s="450"/>
      <c r="BA483" s="450"/>
      <c r="BB483" s="450"/>
      <c r="BC483" s="450"/>
      <c r="BD483" s="450"/>
      <c r="BE483" s="450"/>
      <c r="BF483" s="450"/>
      <c r="BG483" s="450"/>
      <c r="BH483" s="450"/>
      <c r="BI483" s="450"/>
      <c r="BJ483" s="450"/>
      <c r="BK483" s="450"/>
      <c r="BL483" s="450"/>
      <c r="BM483" s="450"/>
    </row>
    <row r="484" spans="1:65" ht="11.15">
      <c r="A484" s="450"/>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c r="Z484" s="450"/>
      <c r="AA484" s="450"/>
      <c r="AB484" s="450"/>
      <c r="AC484" s="450"/>
      <c r="AD484" s="450"/>
      <c r="AE484" s="450"/>
      <c r="AF484" s="450"/>
      <c r="AG484" s="450"/>
      <c r="AH484" s="450"/>
      <c r="AI484" s="450"/>
      <c r="AJ484" s="450"/>
      <c r="AK484" s="450"/>
      <c r="AL484" s="450"/>
      <c r="AM484" s="450"/>
      <c r="AN484" s="450"/>
      <c r="AO484" s="450"/>
      <c r="AP484" s="450"/>
      <c r="AQ484" s="450"/>
      <c r="AR484" s="450"/>
      <c r="AS484" s="450"/>
      <c r="AT484" s="450"/>
      <c r="AU484" s="450"/>
      <c r="AV484" s="450"/>
      <c r="AW484" s="450"/>
      <c r="AX484" s="450"/>
      <c r="AY484" s="450"/>
      <c r="AZ484" s="450"/>
      <c r="BA484" s="450"/>
      <c r="BB484" s="450"/>
      <c r="BC484" s="450"/>
      <c r="BD484" s="450"/>
      <c r="BE484" s="450"/>
      <c r="BF484" s="450"/>
      <c r="BG484" s="450"/>
      <c r="BH484" s="450"/>
      <c r="BI484" s="450"/>
      <c r="BJ484" s="450"/>
      <c r="BK484" s="450"/>
      <c r="BL484" s="450"/>
      <c r="BM484" s="450"/>
    </row>
    <row r="485" spans="1:65" ht="11.15">
      <c r="A485" s="450"/>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c r="AA485" s="450"/>
      <c r="AB485" s="450"/>
      <c r="AC485" s="450"/>
      <c r="AD485" s="450"/>
      <c r="AE485" s="450"/>
      <c r="AF485" s="450"/>
      <c r="AG485" s="450"/>
      <c r="AH485" s="450"/>
      <c r="AI485" s="450"/>
      <c r="AJ485" s="450"/>
      <c r="AK485" s="450"/>
      <c r="AL485" s="450"/>
      <c r="AM485" s="450"/>
      <c r="AN485" s="450"/>
      <c r="AO485" s="450"/>
      <c r="AP485" s="450"/>
      <c r="AQ485" s="450"/>
      <c r="AR485" s="450"/>
      <c r="AS485" s="450"/>
      <c r="AT485" s="450"/>
      <c r="AU485" s="450"/>
      <c r="AV485" s="450"/>
      <c r="AW485" s="450"/>
      <c r="AX485" s="450"/>
      <c r="AY485" s="450"/>
      <c r="AZ485" s="450"/>
      <c r="BA485" s="450"/>
      <c r="BB485" s="450"/>
      <c r="BC485" s="450"/>
      <c r="BD485" s="450"/>
      <c r="BE485" s="450"/>
      <c r="BF485" s="450"/>
      <c r="BG485" s="450"/>
      <c r="BH485" s="450"/>
      <c r="BI485" s="450"/>
      <c r="BJ485" s="450"/>
      <c r="BK485" s="450"/>
      <c r="BL485" s="450"/>
      <c r="BM485" s="450"/>
    </row>
    <row r="486" spans="1:65" ht="11.15">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c r="AF486" s="450"/>
      <c r="AG486" s="450"/>
      <c r="AH486" s="450"/>
      <c r="AI486" s="450"/>
      <c r="AJ486" s="450"/>
      <c r="AK486" s="450"/>
      <c r="AL486" s="450"/>
      <c r="AM486" s="450"/>
      <c r="AN486" s="450"/>
      <c r="AO486" s="450"/>
      <c r="AP486" s="450"/>
      <c r="AQ486" s="450"/>
      <c r="AR486" s="450"/>
      <c r="AS486" s="450"/>
      <c r="AT486" s="450"/>
      <c r="AU486" s="450"/>
      <c r="AV486" s="450"/>
      <c r="AW486" s="450"/>
      <c r="AX486" s="450"/>
      <c r="AY486" s="450"/>
      <c r="AZ486" s="450"/>
      <c r="BA486" s="450"/>
      <c r="BB486" s="450"/>
      <c r="BC486" s="450"/>
      <c r="BD486" s="450"/>
      <c r="BE486" s="450"/>
      <c r="BF486" s="450"/>
      <c r="BG486" s="450"/>
      <c r="BH486" s="450"/>
      <c r="BI486" s="450"/>
      <c r="BJ486" s="450"/>
      <c r="BK486" s="450"/>
      <c r="BL486" s="450"/>
      <c r="BM486" s="450"/>
    </row>
    <row r="487" spans="1:65" ht="11.15">
      <c r="A487" s="450"/>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450"/>
      <c r="AE487" s="450"/>
      <c r="AF487" s="450"/>
      <c r="AG487" s="450"/>
      <c r="AH487" s="450"/>
      <c r="AI487" s="450"/>
      <c r="AJ487" s="450"/>
      <c r="AK487" s="450"/>
      <c r="AL487" s="450"/>
      <c r="AM487" s="450"/>
      <c r="AN487" s="450"/>
      <c r="AO487" s="450"/>
      <c r="AP487" s="450"/>
      <c r="AQ487" s="450"/>
      <c r="AR487" s="450"/>
      <c r="AS487" s="450"/>
      <c r="AT487" s="450"/>
      <c r="AU487" s="450"/>
      <c r="AV487" s="450"/>
      <c r="AW487" s="450"/>
      <c r="AX487" s="450"/>
      <c r="AY487" s="450"/>
      <c r="AZ487" s="450"/>
      <c r="BA487" s="450"/>
      <c r="BB487" s="450"/>
      <c r="BC487" s="450"/>
      <c r="BD487" s="450"/>
      <c r="BE487" s="450"/>
      <c r="BF487" s="450"/>
      <c r="BG487" s="450"/>
      <c r="BH487" s="450"/>
      <c r="BI487" s="450"/>
      <c r="BJ487" s="450"/>
      <c r="BK487" s="450"/>
      <c r="BL487" s="450"/>
      <c r="BM487" s="450"/>
    </row>
    <row r="488" spans="1:65" ht="11.15">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c r="AA488" s="450"/>
      <c r="AB488" s="450"/>
      <c r="AC488" s="450"/>
      <c r="AD488" s="450"/>
      <c r="AE488" s="450"/>
      <c r="AF488" s="450"/>
      <c r="AG488" s="450"/>
      <c r="AH488" s="450"/>
      <c r="AI488" s="450"/>
      <c r="AJ488" s="450"/>
      <c r="AK488" s="450"/>
      <c r="AL488" s="450"/>
      <c r="AM488" s="450"/>
      <c r="AN488" s="450"/>
      <c r="AO488" s="450"/>
      <c r="AP488" s="450"/>
      <c r="AQ488" s="450"/>
      <c r="AR488" s="450"/>
      <c r="AS488" s="450"/>
      <c r="AT488" s="450"/>
      <c r="AU488" s="450"/>
      <c r="AV488" s="450"/>
      <c r="AW488" s="450"/>
      <c r="AX488" s="450"/>
      <c r="AY488" s="450"/>
      <c r="AZ488" s="450"/>
      <c r="BA488" s="450"/>
      <c r="BB488" s="450"/>
      <c r="BC488" s="450"/>
      <c r="BD488" s="450"/>
      <c r="BE488" s="450"/>
      <c r="BF488" s="450"/>
      <c r="BG488" s="450"/>
      <c r="BH488" s="450"/>
      <c r="BI488" s="450"/>
      <c r="BJ488" s="450"/>
      <c r="BK488" s="450"/>
      <c r="BL488" s="450"/>
      <c r="BM488" s="450"/>
    </row>
    <row r="489" spans="1:65" ht="11.15">
      <c r="A489" s="450"/>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c r="Z489" s="450"/>
      <c r="AA489" s="450"/>
      <c r="AB489" s="450"/>
      <c r="AC489" s="450"/>
      <c r="AD489" s="450"/>
      <c r="AE489" s="450"/>
      <c r="AF489" s="450"/>
      <c r="AG489" s="450"/>
      <c r="AH489" s="450"/>
      <c r="AI489" s="450"/>
      <c r="AJ489" s="450"/>
      <c r="AK489" s="450"/>
      <c r="AL489" s="450"/>
      <c r="AM489" s="450"/>
      <c r="AN489" s="450"/>
      <c r="AO489" s="450"/>
      <c r="AP489" s="450"/>
      <c r="AQ489" s="450"/>
      <c r="AR489" s="450"/>
      <c r="AS489" s="450"/>
      <c r="AT489" s="450"/>
      <c r="AU489" s="450"/>
      <c r="AV489" s="450"/>
      <c r="AW489" s="450"/>
      <c r="AX489" s="450"/>
      <c r="AY489" s="450"/>
      <c r="AZ489" s="450"/>
      <c r="BA489" s="450"/>
      <c r="BB489" s="450"/>
      <c r="BC489" s="450"/>
      <c r="BD489" s="450"/>
      <c r="BE489" s="450"/>
      <c r="BF489" s="450"/>
      <c r="BG489" s="450"/>
      <c r="BH489" s="450"/>
      <c r="BI489" s="450"/>
      <c r="BJ489" s="450"/>
      <c r="BK489" s="450"/>
      <c r="BL489" s="450"/>
      <c r="BM489" s="450"/>
    </row>
    <row r="490" spans="1:65" ht="11.15">
      <c r="A490" s="450"/>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c r="Z490" s="450"/>
      <c r="AA490" s="450"/>
      <c r="AB490" s="450"/>
      <c r="AC490" s="450"/>
      <c r="AD490" s="450"/>
      <c r="AE490" s="450"/>
      <c r="AF490" s="450"/>
      <c r="AG490" s="450"/>
      <c r="AH490" s="450"/>
      <c r="AI490" s="450"/>
      <c r="AJ490" s="450"/>
      <c r="AK490" s="450"/>
      <c r="AL490" s="450"/>
      <c r="AM490" s="450"/>
      <c r="AN490" s="450"/>
      <c r="AO490" s="450"/>
      <c r="AP490" s="450"/>
      <c r="AQ490" s="450"/>
      <c r="AR490" s="450"/>
      <c r="AS490" s="450"/>
      <c r="AT490" s="450"/>
      <c r="AU490" s="450"/>
      <c r="AV490" s="450"/>
      <c r="AW490" s="450"/>
      <c r="AX490" s="450"/>
      <c r="AY490" s="450"/>
      <c r="AZ490" s="450"/>
      <c r="BA490" s="450"/>
      <c r="BB490" s="450"/>
      <c r="BC490" s="450"/>
      <c r="BD490" s="450"/>
      <c r="BE490" s="450"/>
      <c r="BF490" s="450"/>
      <c r="BG490" s="450"/>
      <c r="BH490" s="450"/>
      <c r="BI490" s="450"/>
      <c r="BJ490" s="450"/>
      <c r="BK490" s="450"/>
      <c r="BL490" s="450"/>
      <c r="BM490" s="450"/>
    </row>
    <row r="491" spans="1:65" ht="11.15">
      <c r="A491" s="450"/>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450"/>
      <c r="AE491" s="450"/>
      <c r="AF491" s="450"/>
      <c r="AG491" s="450"/>
      <c r="AH491" s="450"/>
      <c r="AI491" s="450"/>
      <c r="AJ491" s="450"/>
      <c r="AK491" s="450"/>
      <c r="AL491" s="450"/>
      <c r="AM491" s="450"/>
      <c r="AN491" s="450"/>
      <c r="AO491" s="450"/>
      <c r="AP491" s="450"/>
      <c r="AQ491" s="450"/>
      <c r="AR491" s="450"/>
      <c r="AS491" s="450"/>
      <c r="AT491" s="450"/>
      <c r="AU491" s="450"/>
      <c r="AV491" s="450"/>
      <c r="AW491" s="450"/>
      <c r="AX491" s="450"/>
      <c r="AY491" s="450"/>
      <c r="AZ491" s="450"/>
      <c r="BA491" s="450"/>
      <c r="BB491" s="450"/>
      <c r="BC491" s="450"/>
      <c r="BD491" s="450"/>
      <c r="BE491" s="450"/>
      <c r="BF491" s="450"/>
      <c r="BG491" s="450"/>
      <c r="BH491" s="450"/>
      <c r="BI491" s="450"/>
      <c r="BJ491" s="450"/>
      <c r="BK491" s="450"/>
      <c r="BL491" s="450"/>
      <c r="BM491" s="450"/>
    </row>
    <row r="492" spans="1:65" ht="11.15">
      <c r="A492" s="450"/>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c r="Z492" s="450"/>
      <c r="AA492" s="450"/>
      <c r="AB492" s="450"/>
      <c r="AC492" s="450"/>
      <c r="AD492" s="450"/>
      <c r="AE492" s="450"/>
      <c r="AF492" s="450"/>
      <c r="AG492" s="450"/>
      <c r="AH492" s="450"/>
      <c r="AI492" s="450"/>
      <c r="AJ492" s="450"/>
      <c r="AK492" s="450"/>
      <c r="AL492" s="450"/>
      <c r="AM492" s="450"/>
      <c r="AN492" s="450"/>
      <c r="AO492" s="450"/>
      <c r="AP492" s="450"/>
      <c r="AQ492" s="450"/>
      <c r="AR492" s="450"/>
      <c r="AS492" s="450"/>
      <c r="AT492" s="450"/>
      <c r="AU492" s="450"/>
      <c r="AV492" s="450"/>
      <c r="AW492" s="450"/>
      <c r="AX492" s="450"/>
      <c r="AY492" s="450"/>
      <c r="AZ492" s="450"/>
      <c r="BA492" s="450"/>
      <c r="BB492" s="450"/>
      <c r="BC492" s="450"/>
      <c r="BD492" s="450"/>
      <c r="BE492" s="450"/>
      <c r="BF492" s="450"/>
      <c r="BG492" s="450"/>
      <c r="BH492" s="450"/>
      <c r="BI492" s="450"/>
      <c r="BJ492" s="450"/>
      <c r="BK492" s="450"/>
      <c r="BL492" s="450"/>
      <c r="BM492" s="450"/>
    </row>
    <row r="493" spans="1:65" ht="11.15">
      <c r="A493" s="450"/>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c r="Z493" s="450"/>
      <c r="AA493" s="450"/>
      <c r="AB493" s="450"/>
      <c r="AC493" s="450"/>
      <c r="AD493" s="450"/>
      <c r="AE493" s="450"/>
      <c r="AF493" s="450"/>
      <c r="AG493" s="450"/>
      <c r="AH493" s="450"/>
      <c r="AI493" s="450"/>
      <c r="AJ493" s="450"/>
      <c r="AK493" s="450"/>
      <c r="AL493" s="450"/>
      <c r="AM493" s="450"/>
      <c r="AN493" s="450"/>
      <c r="AO493" s="450"/>
      <c r="AP493" s="450"/>
      <c r="AQ493" s="450"/>
      <c r="AR493" s="450"/>
      <c r="AS493" s="450"/>
      <c r="AT493" s="450"/>
      <c r="AU493" s="450"/>
      <c r="AV493" s="450"/>
      <c r="AW493" s="450"/>
      <c r="AX493" s="450"/>
      <c r="AY493" s="450"/>
      <c r="AZ493" s="450"/>
      <c r="BA493" s="450"/>
      <c r="BB493" s="450"/>
      <c r="BC493" s="450"/>
      <c r="BD493" s="450"/>
      <c r="BE493" s="450"/>
      <c r="BF493" s="450"/>
      <c r="BG493" s="450"/>
      <c r="BH493" s="450"/>
      <c r="BI493" s="450"/>
      <c r="BJ493" s="450"/>
      <c r="BK493" s="450"/>
      <c r="BL493" s="450"/>
      <c r="BM493" s="450"/>
    </row>
    <row r="494" spans="1:65" ht="11.15">
      <c r="A494" s="450"/>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c r="Z494" s="450"/>
      <c r="AA494" s="450"/>
      <c r="AB494" s="450"/>
      <c r="AC494" s="450"/>
      <c r="AD494" s="450"/>
      <c r="AE494" s="450"/>
      <c r="AF494" s="450"/>
      <c r="AG494" s="450"/>
      <c r="AH494" s="450"/>
      <c r="AI494" s="450"/>
      <c r="AJ494" s="450"/>
      <c r="AK494" s="450"/>
      <c r="AL494" s="450"/>
      <c r="AM494" s="450"/>
      <c r="AN494" s="450"/>
      <c r="AO494" s="450"/>
      <c r="AP494" s="450"/>
      <c r="AQ494" s="450"/>
      <c r="AR494" s="450"/>
      <c r="AS494" s="450"/>
      <c r="AT494" s="450"/>
      <c r="AU494" s="450"/>
      <c r="AV494" s="450"/>
      <c r="AW494" s="450"/>
      <c r="AX494" s="450"/>
      <c r="AY494" s="450"/>
      <c r="AZ494" s="450"/>
      <c r="BA494" s="450"/>
      <c r="BB494" s="450"/>
      <c r="BC494" s="450"/>
      <c r="BD494" s="450"/>
      <c r="BE494" s="450"/>
      <c r="BF494" s="450"/>
      <c r="BG494" s="450"/>
      <c r="BH494" s="450"/>
      <c r="BI494" s="450"/>
      <c r="BJ494" s="450"/>
      <c r="BK494" s="450"/>
      <c r="BL494" s="450"/>
      <c r="BM494" s="450"/>
    </row>
    <row r="495" spans="1:65" ht="11.15">
      <c r="A495" s="450"/>
      <c r="B495" s="450"/>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c r="Z495" s="450"/>
      <c r="AA495" s="450"/>
      <c r="AB495" s="450"/>
      <c r="AC495" s="450"/>
      <c r="AD495" s="450"/>
      <c r="AE495" s="450"/>
      <c r="AF495" s="450"/>
      <c r="AG495" s="450"/>
      <c r="AH495" s="450"/>
      <c r="AI495" s="450"/>
      <c r="AJ495" s="450"/>
      <c r="AK495" s="450"/>
      <c r="AL495" s="450"/>
      <c r="AM495" s="450"/>
      <c r="AN495" s="450"/>
      <c r="AO495" s="450"/>
      <c r="AP495" s="450"/>
      <c r="AQ495" s="450"/>
      <c r="AR495" s="450"/>
      <c r="AS495" s="450"/>
      <c r="AT495" s="450"/>
      <c r="AU495" s="450"/>
      <c r="AV495" s="450"/>
      <c r="AW495" s="450"/>
      <c r="AX495" s="450"/>
      <c r="AY495" s="450"/>
      <c r="AZ495" s="450"/>
      <c r="BA495" s="450"/>
      <c r="BB495" s="450"/>
      <c r="BC495" s="450"/>
      <c r="BD495" s="450"/>
      <c r="BE495" s="450"/>
      <c r="BF495" s="450"/>
      <c r="BG495" s="450"/>
      <c r="BH495" s="450"/>
      <c r="BI495" s="450"/>
      <c r="BJ495" s="450"/>
      <c r="BK495" s="450"/>
      <c r="BL495" s="450"/>
      <c r="BM495" s="450"/>
    </row>
    <row r="496" spans="1:65" ht="11.15">
      <c r="A496" s="450"/>
      <c r="B496" s="450"/>
      <c r="C496" s="450"/>
      <c r="D496" s="450"/>
      <c r="E496" s="450"/>
      <c r="F496" s="450"/>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50"/>
      <c r="AD496" s="450"/>
      <c r="AE496" s="450"/>
      <c r="AF496" s="450"/>
      <c r="AG496" s="450"/>
      <c r="AH496" s="450"/>
      <c r="AI496" s="450"/>
      <c r="AJ496" s="450"/>
      <c r="AK496" s="450"/>
      <c r="AL496" s="450"/>
      <c r="AM496" s="450"/>
      <c r="AN496" s="450"/>
      <c r="AO496" s="450"/>
      <c r="AP496" s="450"/>
      <c r="AQ496" s="450"/>
      <c r="AR496" s="450"/>
      <c r="AS496" s="450"/>
      <c r="AT496" s="450"/>
      <c r="AU496" s="450"/>
      <c r="AV496" s="450"/>
      <c r="AW496" s="450"/>
      <c r="AX496" s="450"/>
      <c r="AY496" s="450"/>
      <c r="AZ496" s="450"/>
      <c r="BA496" s="450"/>
      <c r="BB496" s="450"/>
      <c r="BC496" s="450"/>
      <c r="BD496" s="450"/>
      <c r="BE496" s="450"/>
      <c r="BF496" s="450"/>
      <c r="BG496" s="450"/>
      <c r="BH496" s="450"/>
      <c r="BI496" s="450"/>
      <c r="BJ496" s="450"/>
      <c r="BK496" s="450"/>
      <c r="BL496" s="450"/>
      <c r="BM496" s="450"/>
    </row>
    <row r="497" spans="1:65" ht="11.15">
      <c r="A497" s="450"/>
      <c r="B497" s="450"/>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G497" s="450"/>
      <c r="AH497" s="450"/>
      <c r="AI497" s="450"/>
      <c r="AJ497" s="450"/>
      <c r="AK497" s="450"/>
      <c r="AL497" s="450"/>
      <c r="AM497" s="450"/>
      <c r="AN497" s="450"/>
      <c r="AO497" s="450"/>
      <c r="AP497" s="450"/>
      <c r="AQ497" s="450"/>
      <c r="AR497" s="450"/>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row>
    <row r="498" spans="1:65" ht="11.15">
      <c r="A498" s="450"/>
      <c r="B498" s="450"/>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c r="Z498" s="450"/>
      <c r="AA498" s="450"/>
      <c r="AB498" s="450"/>
      <c r="AC498" s="450"/>
      <c r="AD498" s="450"/>
      <c r="AE498" s="450"/>
      <c r="AF498" s="450"/>
      <c r="AG498" s="450"/>
      <c r="AH498" s="450"/>
      <c r="AI498" s="450"/>
      <c r="AJ498" s="450"/>
      <c r="AK498" s="450"/>
      <c r="AL498" s="450"/>
      <c r="AM498" s="450"/>
      <c r="AN498" s="450"/>
      <c r="AO498" s="450"/>
      <c r="AP498" s="450"/>
      <c r="AQ498" s="450"/>
      <c r="AR498" s="450"/>
      <c r="AS498" s="450"/>
      <c r="AT498" s="450"/>
      <c r="AU498" s="450"/>
      <c r="AV498" s="450"/>
      <c r="AW498" s="450"/>
      <c r="AX498" s="450"/>
      <c r="AY498" s="450"/>
      <c r="AZ498" s="450"/>
      <c r="BA498" s="450"/>
      <c r="BB498" s="450"/>
      <c r="BC498" s="450"/>
      <c r="BD498" s="450"/>
      <c r="BE498" s="450"/>
      <c r="BF498" s="450"/>
      <c r="BG498" s="450"/>
      <c r="BH498" s="450"/>
      <c r="BI498" s="450"/>
      <c r="BJ498" s="450"/>
      <c r="BK498" s="450"/>
      <c r="BL498" s="450"/>
      <c r="BM498" s="450"/>
    </row>
    <row r="499" spans="1:65" ht="11.15">
      <c r="A499" s="450"/>
      <c r="B499" s="450"/>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450"/>
      <c r="AO499" s="450"/>
      <c r="AP499" s="450"/>
      <c r="AQ499" s="450"/>
      <c r="AR499" s="450"/>
      <c r="AS499" s="450"/>
      <c r="AT499" s="450"/>
      <c r="AU499" s="450"/>
      <c r="AV499" s="450"/>
      <c r="AW499" s="450"/>
      <c r="AX499" s="450"/>
      <c r="AY499" s="450"/>
      <c r="AZ499" s="450"/>
      <c r="BA499" s="450"/>
      <c r="BB499" s="450"/>
      <c r="BC499" s="450"/>
      <c r="BD499" s="450"/>
      <c r="BE499" s="450"/>
      <c r="BF499" s="450"/>
      <c r="BG499" s="450"/>
      <c r="BH499" s="450"/>
      <c r="BI499" s="450"/>
      <c r="BJ499" s="450"/>
      <c r="BK499" s="450"/>
      <c r="BL499" s="450"/>
      <c r="BM499" s="450"/>
    </row>
    <row r="500" spans="1:65" ht="11.15">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50"/>
      <c r="AE500" s="450"/>
      <c r="AF500" s="450"/>
      <c r="AG500" s="450"/>
      <c r="AH500" s="450"/>
      <c r="AI500" s="450"/>
      <c r="AJ500" s="450"/>
      <c r="AK500" s="450"/>
      <c r="AL500" s="450"/>
      <c r="AM500" s="450"/>
      <c r="AN500" s="450"/>
      <c r="AO500" s="450"/>
      <c r="AP500" s="450"/>
      <c r="AQ500" s="450"/>
      <c r="AR500" s="450"/>
      <c r="AS500" s="450"/>
      <c r="AT500" s="450"/>
      <c r="AU500" s="450"/>
      <c r="AV500" s="450"/>
      <c r="AW500" s="450"/>
      <c r="AX500" s="450"/>
      <c r="AY500" s="450"/>
      <c r="AZ500" s="450"/>
      <c r="BA500" s="450"/>
      <c r="BB500" s="450"/>
      <c r="BC500" s="450"/>
      <c r="BD500" s="450"/>
      <c r="BE500" s="450"/>
      <c r="BF500" s="450"/>
      <c r="BG500" s="450"/>
      <c r="BH500" s="450"/>
      <c r="BI500" s="450"/>
      <c r="BJ500" s="450"/>
      <c r="BK500" s="450"/>
      <c r="BL500" s="450"/>
      <c r="BM500" s="450"/>
    </row>
    <row r="501" spans="1:65" ht="11.15">
      <c r="A501" s="450"/>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c r="Z501" s="450"/>
      <c r="AA501" s="450"/>
      <c r="AB501" s="450"/>
      <c r="AC501" s="450"/>
      <c r="AD501" s="450"/>
      <c r="AE501" s="450"/>
      <c r="AF501" s="450"/>
      <c r="AG501" s="450"/>
      <c r="AH501" s="450"/>
      <c r="AI501" s="450"/>
      <c r="AJ501" s="450"/>
      <c r="AK501" s="450"/>
      <c r="AL501" s="450"/>
      <c r="AM501" s="450"/>
      <c r="AN501" s="450"/>
      <c r="AO501" s="450"/>
      <c r="AP501" s="450"/>
      <c r="AQ501" s="450"/>
      <c r="AR501" s="450"/>
      <c r="AS501" s="450"/>
      <c r="AT501" s="450"/>
      <c r="AU501" s="450"/>
      <c r="AV501" s="450"/>
      <c r="AW501" s="450"/>
      <c r="AX501" s="450"/>
      <c r="AY501" s="450"/>
      <c r="AZ501" s="450"/>
      <c r="BA501" s="450"/>
      <c r="BB501" s="450"/>
      <c r="BC501" s="450"/>
      <c r="BD501" s="450"/>
      <c r="BE501" s="450"/>
      <c r="BF501" s="450"/>
      <c r="BG501" s="450"/>
      <c r="BH501" s="450"/>
      <c r="BI501" s="450"/>
      <c r="BJ501" s="450"/>
      <c r="BK501" s="450"/>
      <c r="BL501" s="450"/>
      <c r="BM501" s="450"/>
    </row>
    <row r="502" spans="1:65" ht="11.15">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c r="AA502" s="450"/>
      <c r="AB502" s="450"/>
      <c r="AC502" s="450"/>
      <c r="AD502" s="450"/>
      <c r="AE502" s="450"/>
      <c r="AF502" s="450"/>
      <c r="AG502" s="450"/>
      <c r="AH502" s="450"/>
      <c r="AI502" s="450"/>
      <c r="AJ502" s="450"/>
      <c r="AK502" s="450"/>
      <c r="AL502" s="450"/>
      <c r="AM502" s="450"/>
      <c r="AN502" s="450"/>
      <c r="AO502" s="450"/>
      <c r="AP502" s="450"/>
      <c r="AQ502" s="450"/>
      <c r="AR502" s="450"/>
      <c r="AS502" s="450"/>
      <c r="AT502" s="450"/>
      <c r="AU502" s="450"/>
      <c r="AV502" s="450"/>
      <c r="AW502" s="450"/>
      <c r="AX502" s="450"/>
      <c r="AY502" s="450"/>
      <c r="AZ502" s="450"/>
      <c r="BA502" s="450"/>
      <c r="BB502" s="450"/>
      <c r="BC502" s="450"/>
      <c r="BD502" s="450"/>
      <c r="BE502" s="450"/>
      <c r="BF502" s="450"/>
      <c r="BG502" s="450"/>
      <c r="BH502" s="450"/>
      <c r="BI502" s="450"/>
      <c r="BJ502" s="450"/>
      <c r="BK502" s="450"/>
      <c r="BL502" s="450"/>
      <c r="BM502" s="450"/>
    </row>
    <row r="503" spans="1:65" ht="11.15">
      <c r="A503" s="450"/>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c r="Z503" s="450"/>
      <c r="AA503" s="450"/>
      <c r="AB503" s="450"/>
      <c r="AC503" s="450"/>
      <c r="AD503" s="450"/>
      <c r="AE503" s="450"/>
      <c r="AF503" s="450"/>
      <c r="AG503" s="450"/>
      <c r="AH503" s="450"/>
      <c r="AI503" s="450"/>
      <c r="AJ503" s="450"/>
      <c r="AK503" s="450"/>
      <c r="AL503" s="450"/>
      <c r="AM503" s="450"/>
      <c r="AN503" s="450"/>
      <c r="AO503" s="450"/>
      <c r="AP503" s="450"/>
      <c r="AQ503" s="450"/>
      <c r="AR503" s="450"/>
      <c r="AS503" s="450"/>
      <c r="AT503" s="450"/>
      <c r="AU503" s="450"/>
      <c r="AV503" s="450"/>
      <c r="AW503" s="450"/>
      <c r="AX503" s="450"/>
      <c r="AY503" s="450"/>
      <c r="AZ503" s="450"/>
      <c r="BA503" s="450"/>
      <c r="BB503" s="450"/>
      <c r="BC503" s="450"/>
      <c r="BD503" s="450"/>
      <c r="BE503" s="450"/>
      <c r="BF503" s="450"/>
      <c r="BG503" s="450"/>
      <c r="BH503" s="450"/>
      <c r="BI503" s="450"/>
      <c r="BJ503" s="450"/>
      <c r="BK503" s="450"/>
      <c r="BL503" s="450"/>
      <c r="BM503" s="450"/>
    </row>
    <row r="504" spans="1:65" ht="11.15">
      <c r="A504" s="450"/>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50"/>
      <c r="AE504" s="450"/>
      <c r="AF504" s="450"/>
      <c r="AG504" s="450"/>
      <c r="AH504" s="450"/>
      <c r="AI504" s="450"/>
      <c r="AJ504" s="450"/>
      <c r="AK504" s="450"/>
      <c r="AL504" s="450"/>
      <c r="AM504" s="450"/>
      <c r="AN504" s="450"/>
      <c r="AO504" s="450"/>
      <c r="AP504" s="450"/>
      <c r="AQ504" s="450"/>
      <c r="AR504" s="450"/>
      <c r="AS504" s="450"/>
      <c r="AT504" s="450"/>
      <c r="AU504" s="450"/>
      <c r="AV504" s="450"/>
      <c r="AW504" s="450"/>
      <c r="AX504" s="450"/>
      <c r="AY504" s="450"/>
      <c r="AZ504" s="450"/>
      <c r="BA504" s="450"/>
      <c r="BB504" s="450"/>
      <c r="BC504" s="450"/>
      <c r="BD504" s="450"/>
      <c r="BE504" s="450"/>
      <c r="BF504" s="450"/>
      <c r="BG504" s="450"/>
      <c r="BH504" s="450"/>
      <c r="BI504" s="450"/>
      <c r="BJ504" s="450"/>
      <c r="BK504" s="450"/>
      <c r="BL504" s="450"/>
      <c r="BM504" s="450"/>
    </row>
    <row r="505" spans="1:65" ht="11.15">
      <c r="A505" s="450"/>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c r="Z505" s="450"/>
      <c r="AA505" s="450"/>
      <c r="AB505" s="450"/>
      <c r="AC505" s="450"/>
      <c r="AD505" s="450"/>
      <c r="AE505" s="450"/>
      <c r="AF505" s="450"/>
      <c r="AG505" s="450"/>
      <c r="AH505" s="450"/>
      <c r="AI505" s="450"/>
      <c r="AJ505" s="450"/>
      <c r="AK505" s="450"/>
      <c r="AL505" s="450"/>
      <c r="AM505" s="450"/>
      <c r="AN505" s="450"/>
      <c r="AO505" s="450"/>
      <c r="AP505" s="450"/>
      <c r="AQ505" s="450"/>
      <c r="AR505" s="450"/>
      <c r="AS505" s="450"/>
      <c r="AT505" s="450"/>
      <c r="AU505" s="450"/>
      <c r="AV505" s="450"/>
      <c r="AW505" s="450"/>
      <c r="AX505" s="450"/>
      <c r="AY505" s="450"/>
      <c r="AZ505" s="450"/>
      <c r="BA505" s="450"/>
      <c r="BB505" s="450"/>
      <c r="BC505" s="450"/>
      <c r="BD505" s="450"/>
      <c r="BE505" s="450"/>
      <c r="BF505" s="450"/>
      <c r="BG505" s="450"/>
      <c r="BH505" s="450"/>
      <c r="BI505" s="450"/>
      <c r="BJ505" s="450"/>
      <c r="BK505" s="450"/>
      <c r="BL505" s="450"/>
      <c r="BM505" s="450"/>
    </row>
    <row r="506" spans="1:65" ht="11.15">
      <c r="A506" s="450"/>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c r="AA506" s="450"/>
      <c r="AB506" s="450"/>
      <c r="AC506" s="450"/>
      <c r="AD506" s="450"/>
      <c r="AE506" s="450"/>
      <c r="AF506" s="450"/>
      <c r="AG506" s="450"/>
      <c r="AH506" s="450"/>
      <c r="AI506" s="450"/>
      <c r="AJ506" s="450"/>
      <c r="AK506" s="450"/>
      <c r="AL506" s="450"/>
      <c r="AM506" s="450"/>
      <c r="AN506" s="450"/>
      <c r="AO506" s="450"/>
      <c r="AP506" s="450"/>
      <c r="AQ506" s="450"/>
      <c r="AR506" s="450"/>
      <c r="AS506" s="450"/>
      <c r="AT506" s="450"/>
      <c r="AU506" s="450"/>
      <c r="AV506" s="450"/>
      <c r="AW506" s="450"/>
      <c r="AX506" s="450"/>
      <c r="AY506" s="450"/>
      <c r="AZ506" s="450"/>
      <c r="BA506" s="450"/>
      <c r="BB506" s="450"/>
      <c r="BC506" s="450"/>
      <c r="BD506" s="450"/>
      <c r="BE506" s="450"/>
      <c r="BF506" s="450"/>
      <c r="BG506" s="450"/>
      <c r="BH506" s="450"/>
      <c r="BI506" s="450"/>
      <c r="BJ506" s="450"/>
      <c r="BK506" s="450"/>
      <c r="BL506" s="450"/>
      <c r="BM506" s="450"/>
    </row>
    <row r="507" spans="1:65" ht="11.15">
      <c r="A507" s="450"/>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50"/>
      <c r="AD507" s="450"/>
      <c r="AE507" s="450"/>
      <c r="AF507" s="450"/>
      <c r="AG507" s="450"/>
      <c r="AH507" s="450"/>
      <c r="AI507" s="450"/>
      <c r="AJ507" s="450"/>
      <c r="AK507" s="450"/>
      <c r="AL507" s="450"/>
      <c r="AM507" s="450"/>
      <c r="AN507" s="450"/>
      <c r="AO507" s="450"/>
      <c r="AP507" s="450"/>
      <c r="AQ507" s="450"/>
      <c r="AR507" s="450"/>
      <c r="AS507" s="450"/>
      <c r="AT507" s="450"/>
      <c r="AU507" s="450"/>
      <c r="AV507" s="450"/>
      <c r="AW507" s="450"/>
      <c r="AX507" s="450"/>
      <c r="AY507" s="450"/>
      <c r="AZ507" s="450"/>
      <c r="BA507" s="450"/>
      <c r="BB507" s="450"/>
      <c r="BC507" s="450"/>
      <c r="BD507" s="450"/>
      <c r="BE507" s="450"/>
      <c r="BF507" s="450"/>
      <c r="BG507" s="450"/>
      <c r="BH507" s="450"/>
      <c r="BI507" s="450"/>
      <c r="BJ507" s="450"/>
      <c r="BK507" s="450"/>
      <c r="BL507" s="450"/>
      <c r="BM507" s="450"/>
    </row>
    <row r="508" spans="1:65" ht="11.15">
      <c r="A508" s="450"/>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c r="Z508" s="450"/>
      <c r="AA508" s="450"/>
      <c r="AB508" s="450"/>
      <c r="AC508" s="450"/>
      <c r="AD508" s="450"/>
      <c r="AE508" s="450"/>
      <c r="AF508" s="450"/>
      <c r="AG508" s="450"/>
      <c r="AH508" s="450"/>
      <c r="AI508" s="450"/>
      <c r="AJ508" s="450"/>
      <c r="AK508" s="450"/>
      <c r="AL508" s="450"/>
      <c r="AM508" s="450"/>
      <c r="AN508" s="450"/>
      <c r="AO508" s="450"/>
      <c r="AP508" s="450"/>
      <c r="AQ508" s="450"/>
      <c r="AR508" s="450"/>
      <c r="AS508" s="450"/>
      <c r="AT508" s="450"/>
      <c r="AU508" s="450"/>
      <c r="AV508" s="450"/>
      <c r="AW508" s="450"/>
      <c r="AX508" s="450"/>
      <c r="AY508" s="450"/>
      <c r="AZ508" s="450"/>
      <c r="BA508" s="450"/>
      <c r="BB508" s="450"/>
      <c r="BC508" s="450"/>
      <c r="BD508" s="450"/>
      <c r="BE508" s="450"/>
      <c r="BF508" s="450"/>
      <c r="BG508" s="450"/>
      <c r="BH508" s="450"/>
      <c r="BI508" s="450"/>
      <c r="BJ508" s="450"/>
      <c r="BK508" s="450"/>
      <c r="BL508" s="450"/>
      <c r="BM508" s="450"/>
    </row>
    <row r="509" spans="1:65" ht="11.15">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50"/>
      <c r="AF509" s="450"/>
      <c r="AG509" s="450"/>
      <c r="AH509" s="450"/>
      <c r="AI509" s="450"/>
      <c r="AJ509" s="450"/>
      <c r="AK509" s="450"/>
      <c r="AL509" s="450"/>
      <c r="AM509" s="450"/>
      <c r="AN509" s="450"/>
      <c r="AO509" s="450"/>
      <c r="AP509" s="450"/>
      <c r="AQ509" s="450"/>
      <c r="AR509" s="450"/>
      <c r="AS509" s="450"/>
      <c r="AT509" s="450"/>
      <c r="AU509" s="450"/>
      <c r="AV509" s="450"/>
      <c r="AW509" s="450"/>
      <c r="AX509" s="450"/>
      <c r="AY509" s="450"/>
      <c r="AZ509" s="450"/>
      <c r="BA509" s="450"/>
      <c r="BB509" s="450"/>
      <c r="BC509" s="450"/>
      <c r="BD509" s="450"/>
      <c r="BE509" s="450"/>
      <c r="BF509" s="450"/>
      <c r="BG509" s="450"/>
      <c r="BH509" s="450"/>
      <c r="BI509" s="450"/>
      <c r="BJ509" s="450"/>
      <c r="BK509" s="450"/>
      <c r="BL509" s="450"/>
      <c r="BM509" s="450"/>
    </row>
    <row r="510" spans="1:65" ht="11.15">
      <c r="A510" s="450"/>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c r="Z510" s="450"/>
      <c r="AA510" s="450"/>
      <c r="AB510" s="450"/>
      <c r="AC510" s="450"/>
      <c r="AD510" s="450"/>
      <c r="AE510" s="450"/>
      <c r="AF510" s="450"/>
      <c r="AG510" s="450"/>
      <c r="AH510" s="450"/>
      <c r="AI510" s="450"/>
      <c r="AJ510" s="450"/>
      <c r="AK510" s="450"/>
      <c r="AL510" s="450"/>
      <c r="AM510" s="450"/>
      <c r="AN510" s="450"/>
      <c r="AO510" s="450"/>
      <c r="AP510" s="450"/>
      <c r="AQ510" s="450"/>
      <c r="AR510" s="450"/>
      <c r="AS510" s="450"/>
      <c r="AT510" s="450"/>
      <c r="AU510" s="450"/>
      <c r="AV510" s="450"/>
      <c r="AW510" s="450"/>
      <c r="AX510" s="450"/>
      <c r="AY510" s="450"/>
      <c r="AZ510" s="450"/>
      <c r="BA510" s="450"/>
      <c r="BB510" s="450"/>
      <c r="BC510" s="450"/>
      <c r="BD510" s="450"/>
      <c r="BE510" s="450"/>
      <c r="BF510" s="450"/>
      <c r="BG510" s="450"/>
      <c r="BH510" s="450"/>
      <c r="BI510" s="450"/>
      <c r="BJ510" s="450"/>
      <c r="BK510" s="450"/>
      <c r="BL510" s="450"/>
      <c r="BM510" s="450"/>
    </row>
    <row r="511" spans="1:65" ht="11.15">
      <c r="A511" s="450"/>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50"/>
      <c r="AE511" s="450"/>
      <c r="AF511" s="450"/>
      <c r="AG511" s="450"/>
      <c r="AH511" s="450"/>
      <c r="AI511" s="450"/>
      <c r="AJ511" s="450"/>
      <c r="AK511" s="450"/>
      <c r="AL511" s="450"/>
      <c r="AM511" s="450"/>
      <c r="AN511" s="450"/>
      <c r="AO511" s="450"/>
      <c r="AP511" s="450"/>
      <c r="AQ511" s="450"/>
      <c r="AR511" s="450"/>
      <c r="AS511" s="450"/>
      <c r="AT511" s="450"/>
      <c r="AU511" s="450"/>
      <c r="AV511" s="450"/>
      <c r="AW511" s="450"/>
      <c r="AX511" s="450"/>
      <c r="AY511" s="450"/>
      <c r="AZ511" s="450"/>
      <c r="BA511" s="450"/>
      <c r="BB511" s="450"/>
      <c r="BC511" s="450"/>
      <c r="BD511" s="450"/>
      <c r="BE511" s="450"/>
      <c r="BF511" s="450"/>
      <c r="BG511" s="450"/>
      <c r="BH511" s="450"/>
      <c r="BI511" s="450"/>
      <c r="BJ511" s="450"/>
      <c r="BK511" s="450"/>
      <c r="BL511" s="450"/>
      <c r="BM511" s="450"/>
    </row>
    <row r="512" spans="1:65" ht="11.15">
      <c r="A512" s="450"/>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50"/>
      <c r="AD512" s="450"/>
      <c r="AE512" s="450"/>
      <c r="AF512" s="450"/>
      <c r="AG512" s="450"/>
      <c r="AH512" s="450"/>
      <c r="AI512" s="450"/>
      <c r="AJ512" s="450"/>
      <c r="AK512" s="450"/>
      <c r="AL512" s="450"/>
      <c r="AM512" s="450"/>
      <c r="AN512" s="450"/>
      <c r="AO512" s="450"/>
      <c r="AP512" s="450"/>
      <c r="AQ512" s="450"/>
      <c r="AR512" s="450"/>
      <c r="AS512" s="450"/>
      <c r="AT512" s="450"/>
      <c r="AU512" s="450"/>
      <c r="AV512" s="450"/>
      <c r="AW512" s="450"/>
      <c r="AX512" s="450"/>
      <c r="AY512" s="450"/>
      <c r="AZ512" s="450"/>
      <c r="BA512" s="450"/>
      <c r="BB512" s="450"/>
      <c r="BC512" s="450"/>
      <c r="BD512" s="450"/>
      <c r="BE512" s="450"/>
      <c r="BF512" s="450"/>
      <c r="BG512" s="450"/>
      <c r="BH512" s="450"/>
      <c r="BI512" s="450"/>
      <c r="BJ512" s="450"/>
      <c r="BK512" s="450"/>
      <c r="BL512" s="450"/>
      <c r="BM512" s="450"/>
    </row>
    <row r="513" spans="1:65" ht="11.15">
      <c r="A513" s="450"/>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50"/>
      <c r="AE513" s="450"/>
      <c r="AF513" s="450"/>
      <c r="AG513" s="450"/>
      <c r="AH513" s="450"/>
      <c r="AI513" s="450"/>
      <c r="AJ513" s="450"/>
      <c r="AK513" s="450"/>
      <c r="AL513" s="450"/>
      <c r="AM513" s="450"/>
      <c r="AN513" s="450"/>
      <c r="AO513" s="450"/>
      <c r="AP513" s="450"/>
      <c r="AQ513" s="450"/>
      <c r="AR513" s="450"/>
      <c r="AS513" s="450"/>
      <c r="AT513" s="450"/>
      <c r="AU513" s="450"/>
      <c r="AV513" s="450"/>
      <c r="AW513" s="450"/>
      <c r="AX513" s="450"/>
      <c r="AY513" s="450"/>
      <c r="AZ513" s="450"/>
      <c r="BA513" s="450"/>
      <c r="BB513" s="450"/>
      <c r="BC513" s="450"/>
      <c r="BD513" s="450"/>
      <c r="BE513" s="450"/>
      <c r="BF513" s="450"/>
      <c r="BG513" s="450"/>
      <c r="BH513" s="450"/>
      <c r="BI513" s="450"/>
      <c r="BJ513" s="450"/>
      <c r="BK513" s="450"/>
      <c r="BL513" s="450"/>
      <c r="BM513" s="450"/>
    </row>
    <row r="514" spans="1:65" ht="11.15">
      <c r="A514" s="450"/>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c r="Z514" s="450"/>
      <c r="AA514" s="450"/>
      <c r="AB514" s="450"/>
      <c r="AC514" s="450"/>
      <c r="AD514" s="450"/>
      <c r="AE514" s="450"/>
      <c r="AF514" s="450"/>
      <c r="AG514" s="450"/>
      <c r="AH514" s="450"/>
      <c r="AI514" s="450"/>
      <c r="AJ514" s="450"/>
      <c r="AK514" s="450"/>
      <c r="AL514" s="450"/>
      <c r="AM514" s="450"/>
      <c r="AN514" s="450"/>
      <c r="AO514" s="450"/>
      <c r="AP514" s="450"/>
      <c r="AQ514" s="450"/>
      <c r="AR514" s="450"/>
      <c r="AS514" s="450"/>
      <c r="AT514" s="450"/>
      <c r="AU514" s="450"/>
      <c r="AV514" s="450"/>
      <c r="AW514" s="450"/>
      <c r="AX514" s="450"/>
      <c r="AY514" s="450"/>
      <c r="AZ514" s="450"/>
      <c r="BA514" s="450"/>
      <c r="BB514" s="450"/>
      <c r="BC514" s="450"/>
      <c r="BD514" s="450"/>
      <c r="BE514" s="450"/>
      <c r="BF514" s="450"/>
      <c r="BG514" s="450"/>
      <c r="BH514" s="450"/>
      <c r="BI514" s="450"/>
      <c r="BJ514" s="450"/>
      <c r="BK514" s="450"/>
      <c r="BL514" s="450"/>
      <c r="BM514" s="450"/>
    </row>
    <row r="515" spans="1:65" ht="11.15">
      <c r="A515" s="450"/>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50"/>
      <c r="AD515" s="450"/>
      <c r="AE515" s="450"/>
      <c r="AF515" s="450"/>
      <c r="AG515" s="450"/>
      <c r="AH515" s="450"/>
      <c r="AI515" s="450"/>
      <c r="AJ515" s="450"/>
      <c r="AK515" s="450"/>
      <c r="AL515" s="450"/>
      <c r="AM515" s="450"/>
      <c r="AN515" s="450"/>
      <c r="AO515" s="450"/>
      <c r="AP515" s="450"/>
      <c r="AQ515" s="450"/>
      <c r="AR515" s="450"/>
      <c r="AS515" s="450"/>
      <c r="AT515" s="450"/>
      <c r="AU515" s="450"/>
      <c r="AV515" s="450"/>
      <c r="AW515" s="450"/>
      <c r="AX515" s="450"/>
      <c r="AY515" s="450"/>
      <c r="AZ515" s="450"/>
      <c r="BA515" s="450"/>
      <c r="BB515" s="450"/>
      <c r="BC515" s="450"/>
      <c r="BD515" s="450"/>
      <c r="BE515" s="450"/>
      <c r="BF515" s="450"/>
      <c r="BG515" s="450"/>
      <c r="BH515" s="450"/>
      <c r="BI515" s="450"/>
      <c r="BJ515" s="450"/>
      <c r="BK515" s="450"/>
      <c r="BL515" s="450"/>
      <c r="BM515" s="450"/>
    </row>
    <row r="516" spans="1:65" ht="11.15">
      <c r="A516" s="450"/>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50"/>
      <c r="AD516" s="450"/>
      <c r="AE516" s="450"/>
      <c r="AF516" s="450"/>
      <c r="AG516" s="450"/>
      <c r="AH516" s="450"/>
      <c r="AI516" s="450"/>
      <c r="AJ516" s="450"/>
      <c r="AK516" s="450"/>
      <c r="AL516" s="450"/>
      <c r="AM516" s="450"/>
      <c r="AN516" s="450"/>
      <c r="AO516" s="450"/>
      <c r="AP516" s="450"/>
      <c r="AQ516" s="450"/>
      <c r="AR516" s="450"/>
      <c r="AS516" s="450"/>
      <c r="AT516" s="450"/>
      <c r="AU516" s="450"/>
      <c r="AV516" s="450"/>
      <c r="AW516" s="450"/>
      <c r="AX516" s="450"/>
      <c r="AY516" s="450"/>
      <c r="AZ516" s="450"/>
      <c r="BA516" s="450"/>
      <c r="BB516" s="450"/>
      <c r="BC516" s="450"/>
      <c r="BD516" s="450"/>
      <c r="BE516" s="450"/>
      <c r="BF516" s="450"/>
      <c r="BG516" s="450"/>
      <c r="BH516" s="450"/>
      <c r="BI516" s="450"/>
      <c r="BJ516" s="450"/>
      <c r="BK516" s="450"/>
      <c r="BL516" s="450"/>
      <c r="BM516" s="450"/>
    </row>
    <row r="517" spans="1:65" ht="11.15">
      <c r="A517" s="450"/>
      <c r="B517" s="450"/>
      <c r="C517" s="450"/>
      <c r="D517" s="450"/>
      <c r="E517" s="450"/>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50"/>
      <c r="AE517" s="450"/>
      <c r="AF517" s="450"/>
      <c r="AG517" s="450"/>
      <c r="AH517" s="450"/>
      <c r="AI517" s="450"/>
      <c r="AJ517" s="450"/>
      <c r="AK517" s="450"/>
      <c r="AL517" s="450"/>
      <c r="AM517" s="450"/>
      <c r="AN517" s="450"/>
      <c r="AO517" s="450"/>
      <c r="AP517" s="450"/>
      <c r="AQ517" s="450"/>
      <c r="AR517" s="450"/>
      <c r="AS517" s="450"/>
      <c r="AT517" s="450"/>
      <c r="AU517" s="450"/>
      <c r="AV517" s="450"/>
      <c r="AW517" s="450"/>
      <c r="AX517" s="450"/>
      <c r="AY517" s="450"/>
      <c r="AZ517" s="450"/>
      <c r="BA517" s="450"/>
      <c r="BB517" s="450"/>
      <c r="BC517" s="450"/>
      <c r="BD517" s="450"/>
      <c r="BE517" s="450"/>
      <c r="BF517" s="450"/>
      <c r="BG517" s="450"/>
      <c r="BH517" s="450"/>
      <c r="BI517" s="450"/>
      <c r="BJ517" s="450"/>
      <c r="BK517" s="450"/>
      <c r="BL517" s="450"/>
      <c r="BM517" s="450"/>
    </row>
    <row r="518" spans="1:65" ht="11.15">
      <c r="A518" s="450"/>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450"/>
      <c r="AE518" s="450"/>
      <c r="AF518" s="450"/>
      <c r="AG518" s="450"/>
      <c r="AH518" s="450"/>
      <c r="AI518" s="450"/>
      <c r="AJ518" s="450"/>
      <c r="AK518" s="450"/>
      <c r="AL518" s="450"/>
      <c r="AM518" s="450"/>
      <c r="AN518" s="450"/>
      <c r="AO518" s="450"/>
      <c r="AP518" s="450"/>
      <c r="AQ518" s="450"/>
      <c r="AR518" s="450"/>
      <c r="AS518" s="450"/>
      <c r="AT518" s="450"/>
      <c r="AU518" s="450"/>
      <c r="AV518" s="450"/>
      <c r="AW518" s="450"/>
      <c r="AX518" s="450"/>
      <c r="AY518" s="450"/>
      <c r="AZ518" s="450"/>
      <c r="BA518" s="450"/>
      <c r="BB518" s="450"/>
      <c r="BC518" s="450"/>
      <c r="BD518" s="450"/>
      <c r="BE518" s="450"/>
      <c r="BF518" s="450"/>
      <c r="BG518" s="450"/>
      <c r="BH518" s="450"/>
      <c r="BI518" s="450"/>
      <c r="BJ518" s="450"/>
      <c r="BK518" s="450"/>
      <c r="BL518" s="450"/>
      <c r="BM518" s="450"/>
    </row>
    <row r="519" spans="1:65" ht="11.15">
      <c r="A519" s="450"/>
      <c r="B519" s="450"/>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c r="Z519" s="450"/>
      <c r="AA519" s="450"/>
      <c r="AB519" s="450"/>
      <c r="AC519" s="450"/>
      <c r="AD519" s="450"/>
      <c r="AE519" s="450"/>
      <c r="AF519" s="450"/>
      <c r="AG519" s="450"/>
      <c r="AH519" s="450"/>
      <c r="AI519" s="450"/>
      <c r="AJ519" s="450"/>
      <c r="AK519" s="450"/>
      <c r="AL519" s="450"/>
      <c r="AM519" s="450"/>
      <c r="AN519" s="450"/>
      <c r="AO519" s="450"/>
      <c r="AP519" s="450"/>
      <c r="AQ519" s="450"/>
      <c r="AR519" s="450"/>
      <c r="AS519" s="450"/>
      <c r="AT519" s="450"/>
      <c r="AU519" s="450"/>
      <c r="AV519" s="450"/>
      <c r="AW519" s="450"/>
      <c r="AX519" s="450"/>
      <c r="AY519" s="450"/>
      <c r="AZ519" s="450"/>
      <c r="BA519" s="450"/>
      <c r="BB519" s="450"/>
      <c r="BC519" s="450"/>
      <c r="BD519" s="450"/>
      <c r="BE519" s="450"/>
      <c r="BF519" s="450"/>
      <c r="BG519" s="450"/>
      <c r="BH519" s="450"/>
      <c r="BI519" s="450"/>
      <c r="BJ519" s="450"/>
      <c r="BK519" s="450"/>
      <c r="BL519" s="450"/>
      <c r="BM519" s="450"/>
    </row>
    <row r="520" spans="1:65" ht="11.15">
      <c r="A520" s="450"/>
      <c r="B520" s="450"/>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50"/>
      <c r="AD520" s="450"/>
      <c r="AE520" s="450"/>
      <c r="AF520" s="450"/>
      <c r="AG520" s="450"/>
      <c r="AH520" s="450"/>
      <c r="AI520" s="450"/>
      <c r="AJ520" s="450"/>
      <c r="AK520" s="450"/>
      <c r="AL520" s="450"/>
      <c r="AM520" s="450"/>
      <c r="AN520" s="450"/>
      <c r="AO520" s="450"/>
      <c r="AP520" s="450"/>
      <c r="AQ520" s="450"/>
      <c r="AR520" s="450"/>
      <c r="AS520" s="450"/>
      <c r="AT520" s="450"/>
      <c r="AU520" s="450"/>
      <c r="AV520" s="450"/>
      <c r="AW520" s="450"/>
      <c r="AX520" s="450"/>
      <c r="AY520" s="450"/>
      <c r="AZ520" s="450"/>
      <c r="BA520" s="450"/>
      <c r="BB520" s="450"/>
      <c r="BC520" s="450"/>
      <c r="BD520" s="450"/>
      <c r="BE520" s="450"/>
      <c r="BF520" s="450"/>
      <c r="BG520" s="450"/>
      <c r="BH520" s="450"/>
      <c r="BI520" s="450"/>
      <c r="BJ520" s="450"/>
      <c r="BK520" s="450"/>
      <c r="BL520" s="450"/>
      <c r="BM520" s="450"/>
    </row>
    <row r="521" spans="1:65" ht="11.15">
      <c r="A521" s="450"/>
      <c r="B521" s="450"/>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c r="Z521" s="450"/>
      <c r="AA521" s="450"/>
      <c r="AB521" s="450"/>
      <c r="AC521" s="450"/>
      <c r="AD521" s="450"/>
      <c r="AE521" s="450"/>
      <c r="AF521" s="450"/>
      <c r="AG521" s="450"/>
      <c r="AH521" s="450"/>
      <c r="AI521" s="450"/>
      <c r="AJ521" s="450"/>
      <c r="AK521" s="450"/>
      <c r="AL521" s="450"/>
      <c r="AM521" s="450"/>
      <c r="AN521" s="450"/>
      <c r="AO521" s="450"/>
      <c r="AP521" s="450"/>
      <c r="AQ521" s="450"/>
      <c r="AR521" s="450"/>
      <c r="AS521" s="450"/>
      <c r="AT521" s="450"/>
      <c r="AU521" s="450"/>
      <c r="AV521" s="450"/>
      <c r="AW521" s="450"/>
      <c r="AX521" s="450"/>
      <c r="AY521" s="450"/>
      <c r="AZ521" s="450"/>
      <c r="BA521" s="450"/>
      <c r="BB521" s="450"/>
      <c r="BC521" s="450"/>
      <c r="BD521" s="450"/>
      <c r="BE521" s="450"/>
      <c r="BF521" s="450"/>
      <c r="BG521" s="450"/>
      <c r="BH521" s="450"/>
      <c r="BI521" s="450"/>
      <c r="BJ521" s="450"/>
      <c r="BK521" s="450"/>
      <c r="BL521" s="450"/>
      <c r="BM521" s="450"/>
    </row>
    <row r="522" spans="1:65" ht="11.15">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50"/>
      <c r="AF522" s="450"/>
      <c r="AG522" s="450"/>
      <c r="AH522" s="450"/>
      <c r="AI522" s="450"/>
      <c r="AJ522" s="450"/>
      <c r="AK522" s="450"/>
      <c r="AL522" s="450"/>
      <c r="AM522" s="450"/>
      <c r="AN522" s="450"/>
      <c r="AO522" s="450"/>
      <c r="AP522" s="450"/>
      <c r="AQ522" s="450"/>
      <c r="AR522" s="450"/>
      <c r="AS522" s="450"/>
      <c r="AT522" s="450"/>
      <c r="AU522" s="450"/>
      <c r="AV522" s="450"/>
      <c r="AW522" s="450"/>
      <c r="AX522" s="450"/>
      <c r="AY522" s="450"/>
      <c r="AZ522" s="450"/>
      <c r="BA522" s="450"/>
      <c r="BB522" s="450"/>
      <c r="BC522" s="450"/>
      <c r="BD522" s="450"/>
      <c r="BE522" s="450"/>
      <c r="BF522" s="450"/>
      <c r="BG522" s="450"/>
      <c r="BH522" s="450"/>
      <c r="BI522" s="450"/>
      <c r="BJ522" s="450"/>
      <c r="BK522" s="450"/>
      <c r="BL522" s="450"/>
      <c r="BM522" s="450"/>
    </row>
    <row r="523" spans="1:65" ht="11.15">
      <c r="A523" s="450"/>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c r="Z523" s="450"/>
      <c r="AA523" s="450"/>
      <c r="AB523" s="450"/>
      <c r="AC523" s="450"/>
      <c r="AD523" s="450"/>
      <c r="AE523" s="450"/>
      <c r="AF523" s="450"/>
      <c r="AG523" s="450"/>
      <c r="AH523" s="450"/>
      <c r="AI523" s="450"/>
      <c r="AJ523" s="450"/>
      <c r="AK523" s="450"/>
      <c r="AL523" s="450"/>
      <c r="AM523" s="450"/>
      <c r="AN523" s="450"/>
      <c r="AO523" s="450"/>
      <c r="AP523" s="450"/>
      <c r="AQ523" s="450"/>
      <c r="AR523" s="450"/>
      <c r="AS523" s="450"/>
      <c r="AT523" s="450"/>
      <c r="AU523" s="450"/>
      <c r="AV523" s="450"/>
      <c r="AW523" s="450"/>
      <c r="AX523" s="450"/>
      <c r="AY523" s="450"/>
      <c r="AZ523" s="450"/>
      <c r="BA523" s="450"/>
      <c r="BB523" s="450"/>
      <c r="BC523" s="450"/>
      <c r="BD523" s="450"/>
      <c r="BE523" s="450"/>
      <c r="BF523" s="450"/>
      <c r="BG523" s="450"/>
      <c r="BH523" s="450"/>
      <c r="BI523" s="450"/>
      <c r="BJ523" s="450"/>
      <c r="BK523" s="450"/>
      <c r="BL523" s="450"/>
      <c r="BM523" s="450"/>
    </row>
    <row r="524" spans="1:65" ht="11.15">
      <c r="A524" s="450"/>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50"/>
      <c r="AE524" s="450"/>
      <c r="AF524" s="450"/>
      <c r="AG524" s="450"/>
      <c r="AH524" s="450"/>
      <c r="AI524" s="450"/>
      <c r="AJ524" s="450"/>
      <c r="AK524" s="450"/>
      <c r="AL524" s="450"/>
      <c r="AM524" s="450"/>
      <c r="AN524" s="450"/>
      <c r="AO524" s="450"/>
      <c r="AP524" s="450"/>
      <c r="AQ524" s="450"/>
      <c r="AR524" s="450"/>
      <c r="AS524" s="450"/>
      <c r="AT524" s="450"/>
      <c r="AU524" s="450"/>
      <c r="AV524" s="450"/>
      <c r="AW524" s="450"/>
      <c r="AX524" s="450"/>
      <c r="AY524" s="450"/>
      <c r="AZ524" s="450"/>
      <c r="BA524" s="450"/>
      <c r="BB524" s="450"/>
      <c r="BC524" s="450"/>
      <c r="BD524" s="450"/>
      <c r="BE524" s="450"/>
      <c r="BF524" s="450"/>
      <c r="BG524" s="450"/>
      <c r="BH524" s="450"/>
      <c r="BI524" s="450"/>
      <c r="BJ524" s="450"/>
      <c r="BK524" s="450"/>
      <c r="BL524" s="450"/>
      <c r="BM524" s="450"/>
    </row>
    <row r="525" spans="1:65" ht="11.15">
      <c r="A525" s="450"/>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50"/>
      <c r="AD525" s="450"/>
      <c r="AE525" s="450"/>
      <c r="AF525" s="450"/>
      <c r="AG525" s="450"/>
      <c r="AH525" s="450"/>
      <c r="AI525" s="450"/>
      <c r="AJ525" s="450"/>
      <c r="AK525" s="450"/>
      <c r="AL525" s="450"/>
      <c r="AM525" s="450"/>
      <c r="AN525" s="450"/>
      <c r="AO525" s="450"/>
      <c r="AP525" s="450"/>
      <c r="AQ525" s="450"/>
      <c r="AR525" s="450"/>
      <c r="AS525" s="450"/>
      <c r="AT525" s="450"/>
      <c r="AU525" s="450"/>
      <c r="AV525" s="450"/>
      <c r="AW525" s="450"/>
      <c r="AX525" s="450"/>
      <c r="AY525" s="450"/>
      <c r="AZ525" s="450"/>
      <c r="BA525" s="450"/>
      <c r="BB525" s="450"/>
      <c r="BC525" s="450"/>
      <c r="BD525" s="450"/>
      <c r="BE525" s="450"/>
      <c r="BF525" s="450"/>
      <c r="BG525" s="450"/>
      <c r="BH525" s="450"/>
      <c r="BI525" s="450"/>
      <c r="BJ525" s="450"/>
      <c r="BK525" s="450"/>
      <c r="BL525" s="450"/>
      <c r="BM525" s="450"/>
    </row>
    <row r="526" spans="1:65" ht="11.15">
      <c r="A526" s="450"/>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450"/>
      <c r="AE526" s="450"/>
      <c r="AF526" s="450"/>
      <c r="AG526" s="450"/>
      <c r="AH526" s="450"/>
      <c r="AI526" s="450"/>
      <c r="AJ526" s="450"/>
      <c r="AK526" s="450"/>
      <c r="AL526" s="450"/>
      <c r="AM526" s="450"/>
      <c r="AN526" s="450"/>
      <c r="AO526" s="450"/>
      <c r="AP526" s="450"/>
      <c r="AQ526" s="450"/>
      <c r="AR526" s="450"/>
      <c r="AS526" s="450"/>
      <c r="AT526" s="450"/>
      <c r="AU526" s="450"/>
      <c r="AV526" s="450"/>
      <c r="AW526" s="450"/>
      <c r="AX526" s="450"/>
      <c r="AY526" s="450"/>
      <c r="AZ526" s="450"/>
      <c r="BA526" s="450"/>
      <c r="BB526" s="450"/>
      <c r="BC526" s="450"/>
      <c r="BD526" s="450"/>
      <c r="BE526" s="450"/>
      <c r="BF526" s="450"/>
      <c r="BG526" s="450"/>
      <c r="BH526" s="450"/>
      <c r="BI526" s="450"/>
      <c r="BJ526" s="450"/>
      <c r="BK526" s="450"/>
      <c r="BL526" s="450"/>
      <c r="BM526" s="450"/>
    </row>
    <row r="527" spans="1:65" ht="11.15">
      <c r="A527" s="450"/>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450"/>
      <c r="AE527" s="450"/>
      <c r="AF527" s="450"/>
      <c r="AG527" s="450"/>
      <c r="AH527" s="450"/>
      <c r="AI527" s="450"/>
      <c r="AJ527" s="450"/>
      <c r="AK527" s="450"/>
      <c r="AL527" s="450"/>
      <c r="AM527" s="450"/>
      <c r="AN527" s="450"/>
      <c r="AO527" s="450"/>
      <c r="AP527" s="450"/>
      <c r="AQ527" s="450"/>
      <c r="AR527" s="450"/>
      <c r="AS527" s="450"/>
      <c r="AT527" s="450"/>
      <c r="AU527" s="450"/>
      <c r="AV527" s="450"/>
      <c r="AW527" s="450"/>
      <c r="AX527" s="450"/>
      <c r="AY527" s="450"/>
      <c r="AZ527" s="450"/>
      <c r="BA527" s="450"/>
      <c r="BB527" s="450"/>
      <c r="BC527" s="450"/>
      <c r="BD527" s="450"/>
      <c r="BE527" s="450"/>
      <c r="BF527" s="450"/>
      <c r="BG527" s="450"/>
      <c r="BH527" s="450"/>
      <c r="BI527" s="450"/>
      <c r="BJ527" s="450"/>
      <c r="BK527" s="450"/>
      <c r="BL527" s="450"/>
      <c r="BM527" s="450"/>
    </row>
    <row r="528" spans="1:65" ht="11.15">
      <c r="A528" s="450"/>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450"/>
      <c r="AE528" s="450"/>
      <c r="AF528" s="450"/>
      <c r="AG528" s="450"/>
      <c r="AH528" s="450"/>
      <c r="AI528" s="450"/>
      <c r="AJ528" s="450"/>
      <c r="AK528" s="450"/>
      <c r="AL528" s="450"/>
      <c r="AM528" s="450"/>
      <c r="AN528" s="450"/>
      <c r="AO528" s="450"/>
      <c r="AP528" s="450"/>
      <c r="AQ528" s="450"/>
      <c r="AR528" s="450"/>
      <c r="AS528" s="450"/>
      <c r="AT528" s="450"/>
      <c r="AU528" s="450"/>
      <c r="AV528" s="450"/>
      <c r="AW528" s="450"/>
      <c r="AX528" s="450"/>
      <c r="AY528" s="450"/>
      <c r="AZ528" s="450"/>
      <c r="BA528" s="450"/>
      <c r="BB528" s="450"/>
      <c r="BC528" s="450"/>
      <c r="BD528" s="450"/>
      <c r="BE528" s="450"/>
      <c r="BF528" s="450"/>
      <c r="BG528" s="450"/>
      <c r="BH528" s="450"/>
      <c r="BI528" s="450"/>
      <c r="BJ528" s="450"/>
      <c r="BK528" s="450"/>
      <c r="BL528" s="450"/>
      <c r="BM528" s="450"/>
    </row>
    <row r="529" spans="1:65" ht="11.15">
      <c r="A529" s="450"/>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450"/>
      <c r="AE529" s="450"/>
      <c r="AF529" s="450"/>
      <c r="AG529" s="450"/>
      <c r="AH529" s="450"/>
      <c r="AI529" s="450"/>
      <c r="AJ529" s="450"/>
      <c r="AK529" s="450"/>
      <c r="AL529" s="450"/>
      <c r="AM529" s="450"/>
      <c r="AN529" s="450"/>
      <c r="AO529" s="450"/>
      <c r="AP529" s="450"/>
      <c r="AQ529" s="450"/>
      <c r="AR529" s="450"/>
      <c r="AS529" s="450"/>
      <c r="AT529" s="450"/>
      <c r="AU529" s="450"/>
      <c r="AV529" s="450"/>
      <c r="AW529" s="450"/>
      <c r="AX529" s="450"/>
      <c r="AY529" s="450"/>
      <c r="AZ529" s="450"/>
      <c r="BA529" s="450"/>
      <c r="BB529" s="450"/>
      <c r="BC529" s="450"/>
      <c r="BD529" s="450"/>
      <c r="BE529" s="450"/>
      <c r="BF529" s="450"/>
      <c r="BG529" s="450"/>
      <c r="BH529" s="450"/>
      <c r="BI529" s="450"/>
      <c r="BJ529" s="450"/>
      <c r="BK529" s="450"/>
      <c r="BL529" s="450"/>
      <c r="BM529" s="450"/>
    </row>
    <row r="530" spans="1:65" ht="11.15">
      <c r="A530" s="450"/>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450"/>
      <c r="AE530" s="450"/>
      <c r="AF530" s="450"/>
      <c r="AG530" s="450"/>
      <c r="AH530" s="450"/>
      <c r="AI530" s="450"/>
      <c r="AJ530" s="450"/>
      <c r="AK530" s="450"/>
      <c r="AL530" s="450"/>
      <c r="AM530" s="450"/>
      <c r="AN530" s="450"/>
      <c r="AO530" s="450"/>
      <c r="AP530" s="450"/>
      <c r="AQ530" s="450"/>
      <c r="AR530" s="450"/>
      <c r="AS530" s="450"/>
      <c r="AT530" s="450"/>
      <c r="AU530" s="450"/>
      <c r="AV530" s="450"/>
      <c r="AW530" s="450"/>
      <c r="AX530" s="450"/>
      <c r="AY530" s="450"/>
      <c r="AZ530" s="450"/>
      <c r="BA530" s="450"/>
      <c r="BB530" s="450"/>
      <c r="BC530" s="450"/>
      <c r="BD530" s="450"/>
      <c r="BE530" s="450"/>
      <c r="BF530" s="450"/>
      <c r="BG530" s="450"/>
      <c r="BH530" s="450"/>
      <c r="BI530" s="450"/>
      <c r="BJ530" s="450"/>
      <c r="BK530" s="450"/>
      <c r="BL530" s="450"/>
      <c r="BM530" s="450"/>
    </row>
    <row r="531" spans="1:65" ht="11.15">
      <c r="A531" s="450"/>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450"/>
      <c r="AH531" s="450"/>
      <c r="AI531" s="450"/>
      <c r="AJ531" s="450"/>
      <c r="AK531" s="450"/>
      <c r="AL531" s="450"/>
      <c r="AM531" s="450"/>
      <c r="AN531" s="450"/>
      <c r="AO531" s="450"/>
      <c r="AP531" s="450"/>
      <c r="AQ531" s="450"/>
      <c r="AR531" s="450"/>
      <c r="AS531" s="450"/>
      <c r="AT531" s="450"/>
      <c r="AU531" s="450"/>
      <c r="AV531" s="450"/>
      <c r="AW531" s="450"/>
      <c r="AX531" s="450"/>
      <c r="AY531" s="450"/>
      <c r="AZ531" s="450"/>
      <c r="BA531" s="450"/>
      <c r="BB531" s="450"/>
      <c r="BC531" s="450"/>
      <c r="BD531" s="450"/>
      <c r="BE531" s="450"/>
      <c r="BF531" s="450"/>
      <c r="BG531" s="450"/>
      <c r="BH531" s="450"/>
      <c r="BI531" s="450"/>
      <c r="BJ531" s="450"/>
      <c r="BK531" s="450"/>
      <c r="BL531" s="450"/>
      <c r="BM531" s="450"/>
    </row>
    <row r="532" spans="1:65" ht="11.15">
      <c r="A532" s="450"/>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450"/>
      <c r="AE532" s="450"/>
      <c r="AF532" s="450"/>
      <c r="AG532" s="450"/>
      <c r="AH532" s="450"/>
      <c r="AI532" s="450"/>
      <c r="AJ532" s="450"/>
      <c r="AK532" s="450"/>
      <c r="AL532" s="450"/>
      <c r="AM532" s="450"/>
      <c r="AN532" s="450"/>
      <c r="AO532" s="450"/>
      <c r="AP532" s="450"/>
      <c r="AQ532" s="450"/>
      <c r="AR532" s="450"/>
      <c r="AS532" s="450"/>
      <c r="AT532" s="450"/>
      <c r="AU532" s="450"/>
      <c r="AV532" s="450"/>
      <c r="AW532" s="450"/>
      <c r="AX532" s="450"/>
      <c r="AY532" s="450"/>
      <c r="AZ532" s="450"/>
      <c r="BA532" s="450"/>
      <c r="BB532" s="450"/>
      <c r="BC532" s="450"/>
      <c r="BD532" s="450"/>
      <c r="BE532" s="450"/>
      <c r="BF532" s="450"/>
      <c r="BG532" s="450"/>
      <c r="BH532" s="450"/>
      <c r="BI532" s="450"/>
      <c r="BJ532" s="450"/>
      <c r="BK532" s="450"/>
      <c r="BL532" s="450"/>
      <c r="BM532" s="450"/>
    </row>
    <row r="533" spans="1:65" ht="11.15">
      <c r="A533" s="450"/>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450"/>
      <c r="AE533" s="450"/>
      <c r="AF533" s="450"/>
      <c r="AG533" s="450"/>
      <c r="AH533" s="450"/>
      <c r="AI533" s="450"/>
      <c r="AJ533" s="450"/>
      <c r="AK533" s="450"/>
      <c r="AL533" s="450"/>
      <c r="AM533" s="450"/>
      <c r="AN533" s="450"/>
      <c r="AO533" s="450"/>
      <c r="AP533" s="450"/>
      <c r="AQ533" s="450"/>
      <c r="AR533" s="450"/>
      <c r="AS533" s="450"/>
      <c r="AT533" s="450"/>
      <c r="AU533" s="450"/>
      <c r="AV533" s="450"/>
      <c r="AW533" s="450"/>
      <c r="AX533" s="450"/>
      <c r="AY533" s="450"/>
      <c r="AZ533" s="450"/>
      <c r="BA533" s="450"/>
      <c r="BB533" s="450"/>
      <c r="BC533" s="450"/>
      <c r="BD533" s="450"/>
      <c r="BE533" s="450"/>
      <c r="BF533" s="450"/>
      <c r="BG533" s="450"/>
      <c r="BH533" s="450"/>
      <c r="BI533" s="450"/>
      <c r="BJ533" s="450"/>
      <c r="BK533" s="450"/>
      <c r="BL533" s="450"/>
      <c r="BM533" s="450"/>
    </row>
    <row r="534" spans="1:65" ht="11.15">
      <c r="A534" s="450"/>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450"/>
      <c r="AE534" s="450"/>
      <c r="AF534" s="450"/>
      <c r="AG534" s="450"/>
      <c r="AH534" s="450"/>
      <c r="AI534" s="450"/>
      <c r="AJ534" s="450"/>
      <c r="AK534" s="450"/>
      <c r="AL534" s="450"/>
      <c r="AM534" s="450"/>
      <c r="AN534" s="450"/>
      <c r="AO534" s="450"/>
      <c r="AP534" s="450"/>
      <c r="AQ534" s="450"/>
      <c r="AR534" s="450"/>
      <c r="AS534" s="450"/>
      <c r="AT534" s="450"/>
      <c r="AU534" s="450"/>
      <c r="AV534" s="450"/>
      <c r="AW534" s="450"/>
      <c r="AX534" s="450"/>
      <c r="AY534" s="450"/>
      <c r="AZ534" s="450"/>
      <c r="BA534" s="450"/>
      <c r="BB534" s="450"/>
      <c r="BC534" s="450"/>
      <c r="BD534" s="450"/>
      <c r="BE534" s="450"/>
      <c r="BF534" s="450"/>
      <c r="BG534" s="450"/>
      <c r="BH534" s="450"/>
      <c r="BI534" s="450"/>
      <c r="BJ534" s="450"/>
      <c r="BK534" s="450"/>
      <c r="BL534" s="450"/>
      <c r="BM534" s="450"/>
    </row>
    <row r="535" spans="1:65" ht="11.15">
      <c r="A535" s="450"/>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c r="Z535" s="450"/>
      <c r="AA535" s="450"/>
      <c r="AB535" s="450"/>
      <c r="AC535" s="450"/>
      <c r="AD535" s="450"/>
      <c r="AE535" s="450"/>
      <c r="AF535" s="450"/>
      <c r="AG535" s="450"/>
      <c r="AH535" s="450"/>
      <c r="AI535" s="450"/>
      <c r="AJ535" s="450"/>
      <c r="AK535" s="450"/>
      <c r="AL535" s="450"/>
      <c r="AM535" s="450"/>
      <c r="AN535" s="450"/>
      <c r="AO535" s="450"/>
      <c r="AP535" s="450"/>
      <c r="AQ535" s="450"/>
      <c r="AR535" s="450"/>
      <c r="AS535" s="450"/>
      <c r="AT535" s="450"/>
      <c r="AU535" s="450"/>
      <c r="AV535" s="450"/>
      <c r="AW535" s="450"/>
      <c r="AX535" s="450"/>
      <c r="AY535" s="450"/>
      <c r="AZ535" s="450"/>
      <c r="BA535" s="450"/>
      <c r="BB535" s="450"/>
      <c r="BC535" s="450"/>
      <c r="BD535" s="450"/>
      <c r="BE535" s="450"/>
      <c r="BF535" s="450"/>
      <c r="BG535" s="450"/>
      <c r="BH535" s="450"/>
      <c r="BI535" s="450"/>
      <c r="BJ535" s="450"/>
      <c r="BK535" s="450"/>
      <c r="BL535" s="450"/>
      <c r="BM535" s="450"/>
    </row>
    <row r="536" spans="1:65" ht="11.15">
      <c r="A536" s="450"/>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450"/>
      <c r="AD536" s="450"/>
      <c r="AE536" s="450"/>
      <c r="AF536" s="450"/>
      <c r="AG536" s="450"/>
      <c r="AH536" s="450"/>
      <c r="AI536" s="450"/>
      <c r="AJ536" s="450"/>
      <c r="AK536" s="450"/>
      <c r="AL536" s="450"/>
      <c r="AM536" s="450"/>
      <c r="AN536" s="450"/>
      <c r="AO536" s="450"/>
      <c r="AP536" s="450"/>
      <c r="AQ536" s="450"/>
      <c r="AR536" s="450"/>
      <c r="AS536" s="450"/>
      <c r="AT536" s="450"/>
      <c r="AU536" s="450"/>
      <c r="AV536" s="450"/>
      <c r="AW536" s="450"/>
      <c r="AX536" s="450"/>
      <c r="AY536" s="450"/>
      <c r="AZ536" s="450"/>
      <c r="BA536" s="450"/>
      <c r="BB536" s="450"/>
      <c r="BC536" s="450"/>
      <c r="BD536" s="450"/>
      <c r="BE536" s="450"/>
      <c r="BF536" s="450"/>
      <c r="BG536" s="450"/>
      <c r="BH536" s="450"/>
      <c r="BI536" s="450"/>
      <c r="BJ536" s="450"/>
      <c r="BK536" s="450"/>
      <c r="BL536" s="450"/>
      <c r="BM536" s="450"/>
    </row>
    <row r="537" spans="1:65" ht="11.15">
      <c r="A537" s="450"/>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c r="Z537" s="450"/>
      <c r="AA537" s="450"/>
      <c r="AB537" s="450"/>
      <c r="AC537" s="450"/>
      <c r="AD537" s="450"/>
      <c r="AE537" s="450"/>
      <c r="AF537" s="450"/>
      <c r="AG537" s="450"/>
      <c r="AH537" s="450"/>
      <c r="AI537" s="450"/>
      <c r="AJ537" s="450"/>
      <c r="AK537" s="450"/>
      <c r="AL537" s="450"/>
      <c r="AM537" s="450"/>
      <c r="AN537" s="450"/>
      <c r="AO537" s="450"/>
      <c r="AP537" s="450"/>
      <c r="AQ537" s="450"/>
      <c r="AR537" s="450"/>
      <c r="AS537" s="450"/>
      <c r="AT537" s="450"/>
      <c r="AU537" s="450"/>
      <c r="AV537" s="450"/>
      <c r="AW537" s="450"/>
      <c r="AX537" s="450"/>
      <c r="AY537" s="450"/>
      <c r="AZ537" s="450"/>
      <c r="BA537" s="450"/>
      <c r="BB537" s="450"/>
      <c r="BC537" s="450"/>
      <c r="BD537" s="450"/>
      <c r="BE537" s="450"/>
      <c r="BF537" s="450"/>
      <c r="BG537" s="450"/>
      <c r="BH537" s="450"/>
      <c r="BI537" s="450"/>
      <c r="BJ537" s="450"/>
      <c r="BK537" s="450"/>
      <c r="BL537" s="450"/>
      <c r="BM537" s="450"/>
    </row>
    <row r="538" spans="1:65" ht="11.15">
      <c r="A538" s="450"/>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450"/>
      <c r="AD538" s="450"/>
      <c r="AE538" s="450"/>
      <c r="AF538" s="450"/>
      <c r="AG538" s="450"/>
      <c r="AH538" s="450"/>
      <c r="AI538" s="450"/>
      <c r="AJ538" s="450"/>
      <c r="AK538" s="450"/>
      <c r="AL538" s="450"/>
      <c r="AM538" s="450"/>
      <c r="AN538" s="450"/>
      <c r="AO538" s="450"/>
      <c r="AP538" s="450"/>
      <c r="AQ538" s="450"/>
      <c r="AR538" s="450"/>
      <c r="AS538" s="450"/>
      <c r="AT538" s="450"/>
      <c r="AU538" s="450"/>
      <c r="AV538" s="450"/>
      <c r="AW538" s="450"/>
      <c r="AX538" s="450"/>
      <c r="AY538" s="450"/>
      <c r="AZ538" s="450"/>
      <c r="BA538" s="450"/>
      <c r="BB538" s="450"/>
      <c r="BC538" s="450"/>
      <c r="BD538" s="450"/>
      <c r="BE538" s="450"/>
      <c r="BF538" s="450"/>
      <c r="BG538" s="450"/>
      <c r="BH538" s="450"/>
      <c r="BI538" s="450"/>
      <c r="BJ538" s="450"/>
      <c r="BK538" s="450"/>
      <c r="BL538" s="450"/>
      <c r="BM538" s="450"/>
    </row>
    <row r="539" spans="1:65" ht="11.15">
      <c r="A539" s="450"/>
      <c r="B539" s="450"/>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450"/>
      <c r="AE539" s="450"/>
      <c r="AF539" s="450"/>
      <c r="AG539" s="450"/>
      <c r="AH539" s="450"/>
      <c r="AI539" s="450"/>
      <c r="AJ539" s="450"/>
      <c r="AK539" s="450"/>
      <c r="AL539" s="450"/>
      <c r="AM539" s="450"/>
      <c r="AN539" s="450"/>
      <c r="AO539" s="450"/>
      <c r="AP539" s="450"/>
      <c r="AQ539" s="450"/>
      <c r="AR539" s="450"/>
      <c r="AS539" s="450"/>
      <c r="AT539" s="450"/>
      <c r="AU539" s="450"/>
      <c r="AV539" s="450"/>
      <c r="AW539" s="450"/>
      <c r="AX539" s="450"/>
      <c r="AY539" s="450"/>
      <c r="AZ539" s="450"/>
      <c r="BA539" s="450"/>
      <c r="BB539" s="450"/>
      <c r="BC539" s="450"/>
      <c r="BD539" s="450"/>
      <c r="BE539" s="450"/>
      <c r="BF539" s="450"/>
      <c r="BG539" s="450"/>
      <c r="BH539" s="450"/>
      <c r="BI539" s="450"/>
      <c r="BJ539" s="450"/>
      <c r="BK539" s="450"/>
      <c r="BL539" s="450"/>
      <c r="BM539" s="450"/>
    </row>
    <row r="540" spans="1:65" ht="11.15">
      <c r="A540" s="450"/>
      <c r="B540" s="450"/>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450"/>
      <c r="AE540" s="450"/>
      <c r="AF540" s="450"/>
      <c r="AG540" s="450"/>
      <c r="AH540" s="450"/>
      <c r="AI540" s="450"/>
      <c r="AJ540" s="450"/>
      <c r="AK540" s="450"/>
      <c r="AL540" s="450"/>
      <c r="AM540" s="450"/>
      <c r="AN540" s="450"/>
      <c r="AO540" s="450"/>
      <c r="AP540" s="450"/>
      <c r="AQ540" s="450"/>
      <c r="AR540" s="450"/>
      <c r="AS540" s="450"/>
      <c r="AT540" s="450"/>
      <c r="AU540" s="450"/>
      <c r="AV540" s="450"/>
      <c r="AW540" s="450"/>
      <c r="AX540" s="450"/>
      <c r="AY540" s="450"/>
      <c r="AZ540" s="450"/>
      <c r="BA540" s="450"/>
      <c r="BB540" s="450"/>
      <c r="BC540" s="450"/>
      <c r="BD540" s="450"/>
      <c r="BE540" s="450"/>
      <c r="BF540" s="450"/>
      <c r="BG540" s="450"/>
      <c r="BH540" s="450"/>
      <c r="BI540" s="450"/>
      <c r="BJ540" s="450"/>
      <c r="BK540" s="450"/>
      <c r="BL540" s="450"/>
      <c r="BM540" s="450"/>
    </row>
    <row r="541" spans="1:65" ht="11.15">
      <c r="A541" s="450"/>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c r="AF541" s="450"/>
      <c r="AG541" s="450"/>
      <c r="AH541" s="450"/>
      <c r="AI541" s="450"/>
      <c r="AJ541" s="450"/>
      <c r="AK541" s="450"/>
      <c r="AL541" s="450"/>
      <c r="AM541" s="450"/>
      <c r="AN541" s="450"/>
      <c r="AO541" s="450"/>
      <c r="AP541" s="450"/>
      <c r="AQ541" s="450"/>
      <c r="AR541" s="450"/>
      <c r="AS541" s="450"/>
      <c r="AT541" s="450"/>
      <c r="AU541" s="450"/>
      <c r="AV541" s="450"/>
      <c r="AW541" s="450"/>
      <c r="AX541" s="450"/>
      <c r="AY541" s="450"/>
      <c r="AZ541" s="450"/>
      <c r="BA541" s="450"/>
      <c r="BB541" s="450"/>
      <c r="BC541" s="450"/>
      <c r="BD541" s="450"/>
      <c r="BE541" s="450"/>
      <c r="BF541" s="450"/>
      <c r="BG541" s="450"/>
      <c r="BH541" s="450"/>
      <c r="BI541" s="450"/>
      <c r="BJ541" s="450"/>
      <c r="BK541" s="450"/>
      <c r="BL541" s="450"/>
      <c r="BM541" s="450"/>
    </row>
    <row r="542" spans="1:65" ht="11.15">
      <c r="A542" s="450"/>
      <c r="B542" s="450"/>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450"/>
      <c r="AE542" s="450"/>
      <c r="AF542" s="450"/>
      <c r="AG542" s="450"/>
      <c r="AH542" s="450"/>
      <c r="AI542" s="450"/>
      <c r="AJ542" s="450"/>
      <c r="AK542" s="450"/>
      <c r="AL542" s="450"/>
      <c r="AM542" s="450"/>
      <c r="AN542" s="450"/>
      <c r="AO542" s="450"/>
      <c r="AP542" s="450"/>
      <c r="AQ542" s="450"/>
      <c r="AR542" s="450"/>
      <c r="AS542" s="450"/>
      <c r="AT542" s="450"/>
      <c r="AU542" s="450"/>
      <c r="AV542" s="450"/>
      <c r="AW542" s="450"/>
      <c r="AX542" s="450"/>
      <c r="AY542" s="450"/>
      <c r="AZ542" s="450"/>
      <c r="BA542" s="450"/>
      <c r="BB542" s="450"/>
      <c r="BC542" s="450"/>
      <c r="BD542" s="450"/>
      <c r="BE542" s="450"/>
      <c r="BF542" s="450"/>
      <c r="BG542" s="450"/>
      <c r="BH542" s="450"/>
      <c r="BI542" s="450"/>
      <c r="BJ542" s="450"/>
      <c r="BK542" s="450"/>
      <c r="BL542" s="450"/>
      <c r="BM542" s="450"/>
    </row>
    <row r="543" spans="1:65" ht="11.15">
      <c r="A543" s="450"/>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450"/>
      <c r="AE543" s="450"/>
      <c r="AF543" s="450"/>
      <c r="AG543" s="450"/>
      <c r="AH543" s="450"/>
      <c r="AI543" s="450"/>
      <c r="AJ543" s="450"/>
      <c r="AK543" s="450"/>
      <c r="AL543" s="450"/>
      <c r="AM543" s="450"/>
      <c r="AN543" s="450"/>
      <c r="AO543" s="450"/>
      <c r="AP543" s="450"/>
      <c r="AQ543" s="450"/>
      <c r="AR543" s="450"/>
      <c r="AS543" s="450"/>
      <c r="AT543" s="450"/>
      <c r="AU543" s="450"/>
      <c r="AV543" s="450"/>
      <c r="AW543" s="450"/>
      <c r="AX543" s="450"/>
      <c r="AY543" s="450"/>
      <c r="AZ543" s="450"/>
      <c r="BA543" s="450"/>
      <c r="BB543" s="450"/>
      <c r="BC543" s="450"/>
      <c r="BD543" s="450"/>
      <c r="BE543" s="450"/>
      <c r="BF543" s="450"/>
      <c r="BG543" s="450"/>
      <c r="BH543" s="450"/>
      <c r="BI543" s="450"/>
      <c r="BJ543" s="450"/>
      <c r="BK543" s="450"/>
      <c r="BL543" s="450"/>
      <c r="BM543" s="450"/>
    </row>
    <row r="544" spans="1:65" ht="11.15">
      <c r="A544" s="450"/>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450"/>
      <c r="AE544" s="450"/>
      <c r="AF544" s="450"/>
      <c r="AG544" s="450"/>
      <c r="AH544" s="450"/>
      <c r="AI544" s="450"/>
      <c r="AJ544" s="450"/>
      <c r="AK544" s="450"/>
      <c r="AL544" s="450"/>
      <c r="AM544" s="450"/>
      <c r="AN544" s="450"/>
      <c r="AO544" s="450"/>
      <c r="AP544" s="450"/>
      <c r="AQ544" s="450"/>
      <c r="AR544" s="450"/>
      <c r="AS544" s="450"/>
      <c r="AT544" s="450"/>
      <c r="AU544" s="450"/>
      <c r="AV544" s="450"/>
      <c r="AW544" s="450"/>
      <c r="AX544" s="450"/>
      <c r="AY544" s="450"/>
      <c r="AZ544" s="450"/>
      <c r="BA544" s="450"/>
      <c r="BB544" s="450"/>
      <c r="BC544" s="450"/>
      <c r="BD544" s="450"/>
      <c r="BE544" s="450"/>
      <c r="BF544" s="450"/>
      <c r="BG544" s="450"/>
      <c r="BH544" s="450"/>
      <c r="BI544" s="450"/>
      <c r="BJ544" s="450"/>
      <c r="BK544" s="450"/>
      <c r="BL544" s="450"/>
      <c r="BM544" s="450"/>
    </row>
    <row r="545" spans="1:65" ht="11.15">
      <c r="A545" s="450"/>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450"/>
      <c r="AE545" s="450"/>
      <c r="AF545" s="450"/>
      <c r="AG545" s="450"/>
      <c r="AH545" s="450"/>
      <c r="AI545" s="450"/>
      <c r="AJ545" s="450"/>
      <c r="AK545" s="450"/>
      <c r="AL545" s="450"/>
      <c r="AM545" s="450"/>
      <c r="AN545" s="450"/>
      <c r="AO545" s="450"/>
      <c r="AP545" s="450"/>
      <c r="AQ545" s="450"/>
      <c r="AR545" s="450"/>
      <c r="AS545" s="450"/>
      <c r="AT545" s="450"/>
      <c r="AU545" s="450"/>
      <c r="AV545" s="450"/>
      <c r="AW545" s="450"/>
      <c r="AX545" s="450"/>
      <c r="AY545" s="450"/>
      <c r="AZ545" s="450"/>
      <c r="BA545" s="450"/>
      <c r="BB545" s="450"/>
      <c r="BC545" s="450"/>
      <c r="BD545" s="450"/>
      <c r="BE545" s="450"/>
      <c r="BF545" s="450"/>
      <c r="BG545" s="450"/>
      <c r="BH545" s="450"/>
      <c r="BI545" s="450"/>
      <c r="BJ545" s="450"/>
      <c r="BK545" s="450"/>
      <c r="BL545" s="450"/>
      <c r="BM545" s="450"/>
    </row>
    <row r="546" spans="1:65" ht="11.15">
      <c r="A546" s="450"/>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450"/>
      <c r="AE546" s="450"/>
      <c r="AF546" s="450"/>
      <c r="AG546" s="450"/>
      <c r="AH546" s="450"/>
      <c r="AI546" s="450"/>
      <c r="AJ546" s="450"/>
      <c r="AK546" s="450"/>
      <c r="AL546" s="450"/>
      <c r="AM546" s="450"/>
      <c r="AN546" s="450"/>
      <c r="AO546" s="450"/>
      <c r="AP546" s="450"/>
      <c r="AQ546" s="450"/>
      <c r="AR546" s="450"/>
      <c r="AS546" s="450"/>
      <c r="AT546" s="450"/>
      <c r="AU546" s="450"/>
      <c r="AV546" s="450"/>
      <c r="AW546" s="450"/>
      <c r="AX546" s="450"/>
      <c r="AY546" s="450"/>
      <c r="AZ546" s="450"/>
      <c r="BA546" s="450"/>
      <c r="BB546" s="450"/>
      <c r="BC546" s="450"/>
      <c r="BD546" s="450"/>
      <c r="BE546" s="450"/>
      <c r="BF546" s="450"/>
      <c r="BG546" s="450"/>
      <c r="BH546" s="450"/>
      <c r="BI546" s="450"/>
      <c r="BJ546" s="450"/>
      <c r="BK546" s="450"/>
      <c r="BL546" s="450"/>
      <c r="BM546" s="450"/>
    </row>
    <row r="547" spans="1:65" ht="11.15">
      <c r="A547" s="450"/>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450"/>
      <c r="AE547" s="450"/>
      <c r="AF547" s="450"/>
      <c r="AG547" s="450"/>
      <c r="AH547" s="450"/>
      <c r="AI547" s="450"/>
      <c r="AJ547" s="450"/>
      <c r="AK547" s="450"/>
      <c r="AL547" s="450"/>
      <c r="AM547" s="450"/>
      <c r="AN547" s="450"/>
      <c r="AO547" s="450"/>
      <c r="AP547" s="450"/>
      <c r="AQ547" s="450"/>
      <c r="AR547" s="450"/>
      <c r="AS547" s="450"/>
      <c r="AT547" s="450"/>
      <c r="AU547" s="450"/>
      <c r="AV547" s="450"/>
      <c r="AW547" s="450"/>
      <c r="AX547" s="450"/>
      <c r="AY547" s="450"/>
      <c r="AZ547" s="450"/>
      <c r="BA547" s="450"/>
      <c r="BB547" s="450"/>
      <c r="BC547" s="450"/>
      <c r="BD547" s="450"/>
      <c r="BE547" s="450"/>
      <c r="BF547" s="450"/>
      <c r="BG547" s="450"/>
      <c r="BH547" s="450"/>
      <c r="BI547" s="450"/>
      <c r="BJ547" s="450"/>
      <c r="BK547" s="450"/>
      <c r="BL547" s="450"/>
      <c r="BM547" s="450"/>
    </row>
    <row r="548" spans="1:65" ht="11.15">
      <c r="A548" s="450"/>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c r="Z548" s="450"/>
      <c r="AA548" s="450"/>
      <c r="AB548" s="450"/>
      <c r="AC548" s="450"/>
      <c r="AD548" s="450"/>
      <c r="AE548" s="450"/>
      <c r="AF548" s="450"/>
      <c r="AG548" s="450"/>
      <c r="AH548" s="450"/>
      <c r="AI548" s="450"/>
      <c r="AJ548" s="450"/>
      <c r="AK548" s="450"/>
      <c r="AL548" s="450"/>
      <c r="AM548" s="450"/>
      <c r="AN548" s="450"/>
      <c r="AO548" s="450"/>
      <c r="AP548" s="450"/>
      <c r="AQ548" s="450"/>
      <c r="AR548" s="450"/>
      <c r="AS548" s="450"/>
      <c r="AT548" s="450"/>
      <c r="AU548" s="450"/>
      <c r="AV548" s="450"/>
      <c r="AW548" s="450"/>
      <c r="AX548" s="450"/>
      <c r="AY548" s="450"/>
      <c r="AZ548" s="450"/>
      <c r="BA548" s="450"/>
      <c r="BB548" s="450"/>
      <c r="BC548" s="450"/>
      <c r="BD548" s="450"/>
      <c r="BE548" s="450"/>
      <c r="BF548" s="450"/>
      <c r="BG548" s="450"/>
      <c r="BH548" s="450"/>
      <c r="BI548" s="450"/>
      <c r="BJ548" s="450"/>
      <c r="BK548" s="450"/>
      <c r="BL548" s="450"/>
      <c r="BM548" s="450"/>
    </row>
    <row r="549" spans="1:65" ht="11.15">
      <c r="A549" s="450"/>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450"/>
      <c r="AD549" s="450"/>
      <c r="AE549" s="450"/>
      <c r="AF549" s="450"/>
      <c r="AG549" s="450"/>
      <c r="AH549" s="450"/>
      <c r="AI549" s="450"/>
      <c r="AJ549" s="450"/>
      <c r="AK549" s="450"/>
      <c r="AL549" s="450"/>
      <c r="AM549" s="450"/>
      <c r="AN549" s="450"/>
      <c r="AO549" s="450"/>
      <c r="AP549" s="450"/>
      <c r="AQ549" s="450"/>
      <c r="AR549" s="450"/>
      <c r="AS549" s="450"/>
      <c r="AT549" s="450"/>
      <c r="AU549" s="450"/>
      <c r="AV549" s="450"/>
      <c r="AW549" s="450"/>
      <c r="AX549" s="450"/>
      <c r="AY549" s="450"/>
      <c r="AZ549" s="450"/>
      <c r="BA549" s="450"/>
      <c r="BB549" s="450"/>
      <c r="BC549" s="450"/>
      <c r="BD549" s="450"/>
      <c r="BE549" s="450"/>
      <c r="BF549" s="450"/>
      <c r="BG549" s="450"/>
      <c r="BH549" s="450"/>
      <c r="BI549" s="450"/>
      <c r="BJ549" s="450"/>
      <c r="BK549" s="450"/>
      <c r="BL549" s="450"/>
      <c r="BM549" s="450"/>
    </row>
    <row r="550" spans="1:65" ht="11.15">
      <c r="A550" s="450"/>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c r="Z550" s="450"/>
      <c r="AA550" s="450"/>
      <c r="AB550" s="450"/>
      <c r="AC550" s="450"/>
      <c r="AD550" s="450"/>
      <c r="AE550" s="450"/>
      <c r="AF550" s="450"/>
      <c r="AG550" s="450"/>
      <c r="AH550" s="450"/>
      <c r="AI550" s="450"/>
      <c r="AJ550" s="450"/>
      <c r="AK550" s="450"/>
      <c r="AL550" s="450"/>
      <c r="AM550" s="450"/>
      <c r="AN550" s="450"/>
      <c r="AO550" s="450"/>
      <c r="AP550" s="450"/>
      <c r="AQ550" s="450"/>
      <c r="AR550" s="450"/>
      <c r="AS550" s="450"/>
      <c r="AT550" s="450"/>
      <c r="AU550" s="450"/>
      <c r="AV550" s="450"/>
      <c r="AW550" s="450"/>
      <c r="AX550" s="450"/>
      <c r="AY550" s="450"/>
      <c r="AZ550" s="450"/>
      <c r="BA550" s="450"/>
      <c r="BB550" s="450"/>
      <c r="BC550" s="450"/>
      <c r="BD550" s="450"/>
      <c r="BE550" s="450"/>
      <c r="BF550" s="450"/>
      <c r="BG550" s="450"/>
      <c r="BH550" s="450"/>
      <c r="BI550" s="450"/>
      <c r="BJ550" s="450"/>
      <c r="BK550" s="450"/>
      <c r="BL550" s="450"/>
      <c r="BM550" s="450"/>
    </row>
    <row r="551" spans="1:65" ht="11.15">
      <c r="A551" s="450"/>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450"/>
      <c r="AD551" s="450"/>
      <c r="AE551" s="450"/>
      <c r="AF551" s="450"/>
      <c r="AG551" s="450"/>
      <c r="AH551" s="450"/>
      <c r="AI551" s="450"/>
      <c r="AJ551" s="450"/>
      <c r="AK551" s="450"/>
      <c r="AL551" s="450"/>
      <c r="AM551" s="450"/>
      <c r="AN551" s="450"/>
      <c r="AO551" s="450"/>
      <c r="AP551" s="450"/>
      <c r="AQ551" s="450"/>
      <c r="AR551" s="450"/>
      <c r="AS551" s="450"/>
      <c r="AT551" s="450"/>
      <c r="AU551" s="450"/>
      <c r="AV551" s="450"/>
      <c r="AW551" s="450"/>
      <c r="AX551" s="450"/>
      <c r="AY551" s="450"/>
      <c r="AZ551" s="450"/>
      <c r="BA551" s="450"/>
      <c r="BB551" s="450"/>
      <c r="BC551" s="450"/>
      <c r="BD551" s="450"/>
      <c r="BE551" s="450"/>
      <c r="BF551" s="450"/>
      <c r="BG551" s="450"/>
      <c r="BH551" s="450"/>
      <c r="BI551" s="450"/>
      <c r="BJ551" s="450"/>
      <c r="BK551" s="450"/>
      <c r="BL551" s="450"/>
      <c r="BM551" s="450"/>
    </row>
    <row r="552" spans="1:65" ht="11.15">
      <c r="A552" s="450"/>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450"/>
      <c r="AD552" s="450"/>
      <c r="AE552" s="450"/>
      <c r="AF552" s="450"/>
      <c r="AG552" s="450"/>
      <c r="AH552" s="450"/>
      <c r="AI552" s="450"/>
      <c r="AJ552" s="450"/>
      <c r="AK552" s="450"/>
      <c r="AL552" s="450"/>
      <c r="AM552" s="450"/>
      <c r="AN552" s="450"/>
      <c r="AO552" s="450"/>
      <c r="AP552" s="450"/>
      <c r="AQ552" s="450"/>
      <c r="AR552" s="450"/>
      <c r="AS552" s="450"/>
      <c r="AT552" s="450"/>
      <c r="AU552" s="450"/>
      <c r="AV552" s="450"/>
      <c r="AW552" s="450"/>
      <c r="AX552" s="450"/>
      <c r="AY552" s="450"/>
      <c r="AZ552" s="450"/>
      <c r="BA552" s="450"/>
      <c r="BB552" s="450"/>
      <c r="BC552" s="450"/>
      <c r="BD552" s="450"/>
      <c r="BE552" s="450"/>
      <c r="BF552" s="450"/>
      <c r="BG552" s="450"/>
      <c r="BH552" s="450"/>
      <c r="BI552" s="450"/>
      <c r="BJ552" s="450"/>
      <c r="BK552" s="450"/>
      <c r="BL552" s="450"/>
      <c r="BM552" s="450"/>
    </row>
    <row r="553" spans="1:65" ht="11.15">
      <c r="A553" s="450"/>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450"/>
      <c r="AD553" s="450"/>
      <c r="AE553" s="450"/>
      <c r="AF553" s="450"/>
      <c r="AG553" s="450"/>
      <c r="AH553" s="450"/>
      <c r="AI553" s="450"/>
      <c r="AJ553" s="450"/>
      <c r="AK553" s="450"/>
      <c r="AL553" s="450"/>
      <c r="AM553" s="450"/>
      <c r="AN553" s="450"/>
      <c r="AO553" s="450"/>
      <c r="AP553" s="450"/>
      <c r="AQ553" s="450"/>
      <c r="AR553" s="450"/>
      <c r="AS553" s="450"/>
      <c r="AT553" s="450"/>
      <c r="AU553" s="450"/>
      <c r="AV553" s="450"/>
      <c r="AW553" s="450"/>
      <c r="AX553" s="450"/>
      <c r="AY553" s="450"/>
      <c r="AZ553" s="450"/>
      <c r="BA553" s="450"/>
      <c r="BB553" s="450"/>
      <c r="BC553" s="450"/>
      <c r="BD553" s="450"/>
      <c r="BE553" s="450"/>
      <c r="BF553" s="450"/>
      <c r="BG553" s="450"/>
      <c r="BH553" s="450"/>
      <c r="BI553" s="450"/>
      <c r="BJ553" s="450"/>
      <c r="BK553" s="450"/>
      <c r="BL553" s="450"/>
      <c r="BM553" s="450"/>
    </row>
    <row r="554" spans="1:65" ht="11.15">
      <c r="A554" s="450"/>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c r="Z554" s="450"/>
      <c r="AA554" s="450"/>
      <c r="AB554" s="450"/>
      <c r="AC554" s="450"/>
      <c r="AD554" s="450"/>
      <c r="AE554" s="450"/>
      <c r="AF554" s="450"/>
      <c r="AG554" s="450"/>
      <c r="AH554" s="450"/>
      <c r="AI554" s="450"/>
      <c r="AJ554" s="450"/>
      <c r="AK554" s="450"/>
      <c r="AL554" s="450"/>
      <c r="AM554" s="450"/>
      <c r="AN554" s="450"/>
      <c r="AO554" s="450"/>
      <c r="AP554" s="450"/>
      <c r="AQ554" s="450"/>
      <c r="AR554" s="450"/>
      <c r="AS554" s="450"/>
      <c r="AT554" s="450"/>
      <c r="AU554" s="450"/>
      <c r="AV554" s="450"/>
      <c r="AW554" s="450"/>
      <c r="AX554" s="450"/>
      <c r="AY554" s="450"/>
      <c r="AZ554" s="450"/>
      <c r="BA554" s="450"/>
      <c r="BB554" s="450"/>
      <c r="BC554" s="450"/>
      <c r="BD554" s="450"/>
      <c r="BE554" s="450"/>
      <c r="BF554" s="450"/>
      <c r="BG554" s="450"/>
      <c r="BH554" s="450"/>
      <c r="BI554" s="450"/>
      <c r="BJ554" s="450"/>
      <c r="BK554" s="450"/>
      <c r="BL554" s="450"/>
      <c r="BM554" s="450"/>
    </row>
    <row r="555" spans="1:65" ht="11.15">
      <c r="A555" s="450"/>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c r="Z555" s="450"/>
      <c r="AA555" s="450"/>
      <c r="AB555" s="450"/>
      <c r="AC555" s="450"/>
      <c r="AD555" s="450"/>
      <c r="AE555" s="450"/>
      <c r="AF555" s="450"/>
      <c r="AG555" s="450"/>
      <c r="AH555" s="450"/>
      <c r="AI555" s="450"/>
      <c r="AJ555" s="450"/>
      <c r="AK555" s="450"/>
      <c r="AL555" s="450"/>
      <c r="AM555" s="450"/>
      <c r="AN555" s="450"/>
      <c r="AO555" s="450"/>
      <c r="AP555" s="450"/>
      <c r="AQ555" s="450"/>
      <c r="AR555" s="450"/>
      <c r="AS555" s="450"/>
      <c r="AT555" s="450"/>
      <c r="AU555" s="450"/>
      <c r="AV555" s="450"/>
      <c r="AW555" s="450"/>
      <c r="AX555" s="450"/>
      <c r="AY555" s="450"/>
      <c r="AZ555" s="450"/>
      <c r="BA555" s="450"/>
      <c r="BB555" s="450"/>
      <c r="BC555" s="450"/>
      <c r="BD555" s="450"/>
      <c r="BE555" s="450"/>
      <c r="BF555" s="450"/>
      <c r="BG555" s="450"/>
      <c r="BH555" s="450"/>
      <c r="BI555" s="450"/>
      <c r="BJ555" s="450"/>
      <c r="BK555" s="450"/>
      <c r="BL555" s="450"/>
      <c r="BM555" s="450"/>
    </row>
    <row r="556" spans="1:65" ht="11.15">
      <c r="A556" s="450"/>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c r="Z556" s="450"/>
      <c r="AA556" s="450"/>
      <c r="AB556" s="450"/>
      <c r="AC556" s="450"/>
      <c r="AD556" s="450"/>
      <c r="AE556" s="450"/>
      <c r="AF556" s="450"/>
      <c r="AG556" s="450"/>
      <c r="AH556" s="450"/>
      <c r="AI556" s="450"/>
      <c r="AJ556" s="450"/>
      <c r="AK556" s="450"/>
      <c r="AL556" s="450"/>
      <c r="AM556" s="450"/>
      <c r="AN556" s="450"/>
      <c r="AO556" s="450"/>
      <c r="AP556" s="450"/>
      <c r="AQ556" s="450"/>
      <c r="AR556" s="450"/>
      <c r="AS556" s="450"/>
      <c r="AT556" s="450"/>
      <c r="AU556" s="450"/>
      <c r="AV556" s="450"/>
      <c r="AW556" s="450"/>
      <c r="AX556" s="450"/>
      <c r="AY556" s="450"/>
      <c r="AZ556" s="450"/>
      <c r="BA556" s="450"/>
      <c r="BB556" s="450"/>
      <c r="BC556" s="450"/>
      <c r="BD556" s="450"/>
      <c r="BE556" s="450"/>
      <c r="BF556" s="450"/>
      <c r="BG556" s="450"/>
      <c r="BH556" s="450"/>
      <c r="BI556" s="450"/>
      <c r="BJ556" s="450"/>
      <c r="BK556" s="450"/>
      <c r="BL556" s="450"/>
      <c r="BM556" s="450"/>
    </row>
    <row r="557" spans="1:65" ht="11.15">
      <c r="A557" s="450"/>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c r="Z557" s="450"/>
      <c r="AA557" s="450"/>
      <c r="AB557" s="450"/>
      <c r="AC557" s="450"/>
      <c r="AD557" s="450"/>
      <c r="AE557" s="450"/>
      <c r="AF557" s="450"/>
      <c r="AG557" s="450"/>
      <c r="AH557" s="450"/>
      <c r="AI557" s="450"/>
      <c r="AJ557" s="450"/>
      <c r="AK557" s="450"/>
      <c r="AL557" s="450"/>
      <c r="AM557" s="450"/>
      <c r="AN557" s="450"/>
      <c r="AO557" s="450"/>
      <c r="AP557" s="450"/>
      <c r="AQ557" s="450"/>
      <c r="AR557" s="450"/>
      <c r="AS557" s="450"/>
      <c r="AT557" s="450"/>
      <c r="AU557" s="450"/>
      <c r="AV557" s="450"/>
      <c r="AW557" s="450"/>
      <c r="AX557" s="450"/>
      <c r="AY557" s="450"/>
      <c r="AZ557" s="450"/>
      <c r="BA557" s="450"/>
      <c r="BB557" s="450"/>
      <c r="BC557" s="450"/>
      <c r="BD557" s="450"/>
      <c r="BE557" s="450"/>
      <c r="BF557" s="450"/>
      <c r="BG557" s="450"/>
      <c r="BH557" s="450"/>
      <c r="BI557" s="450"/>
      <c r="BJ557" s="450"/>
      <c r="BK557" s="450"/>
      <c r="BL557" s="450"/>
      <c r="BM557" s="450"/>
    </row>
    <row r="558" spans="1:65" ht="11.15">
      <c r="A558" s="450"/>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450"/>
      <c r="AD558" s="450"/>
      <c r="AE558" s="450"/>
      <c r="AF558" s="450"/>
      <c r="AG558" s="450"/>
      <c r="AH558" s="450"/>
      <c r="AI558" s="450"/>
      <c r="AJ558" s="450"/>
      <c r="AK558" s="450"/>
      <c r="AL558" s="450"/>
      <c r="AM558" s="450"/>
      <c r="AN558" s="450"/>
      <c r="AO558" s="450"/>
      <c r="AP558" s="450"/>
      <c r="AQ558" s="450"/>
      <c r="AR558" s="450"/>
      <c r="AS558" s="450"/>
      <c r="AT558" s="450"/>
      <c r="AU558" s="450"/>
      <c r="AV558" s="450"/>
      <c r="AW558" s="450"/>
      <c r="AX558" s="450"/>
      <c r="AY558" s="450"/>
      <c r="AZ558" s="450"/>
      <c r="BA558" s="450"/>
      <c r="BB558" s="450"/>
      <c r="BC558" s="450"/>
      <c r="BD558" s="450"/>
      <c r="BE558" s="450"/>
      <c r="BF558" s="450"/>
      <c r="BG558" s="450"/>
      <c r="BH558" s="450"/>
      <c r="BI558" s="450"/>
      <c r="BJ558" s="450"/>
      <c r="BK558" s="450"/>
      <c r="BL558" s="450"/>
      <c r="BM558" s="450"/>
    </row>
    <row r="559" spans="1:65" ht="11.15">
      <c r="A559" s="450"/>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c r="Z559" s="450"/>
      <c r="AA559" s="450"/>
      <c r="AB559" s="450"/>
      <c r="AC559" s="450"/>
      <c r="AD559" s="450"/>
      <c r="AE559" s="450"/>
      <c r="AF559" s="450"/>
      <c r="AG559" s="450"/>
      <c r="AH559" s="450"/>
      <c r="AI559" s="450"/>
      <c r="AJ559" s="450"/>
      <c r="AK559" s="450"/>
      <c r="AL559" s="450"/>
      <c r="AM559" s="450"/>
      <c r="AN559" s="450"/>
      <c r="AO559" s="450"/>
      <c r="AP559" s="450"/>
      <c r="AQ559" s="450"/>
      <c r="AR559" s="450"/>
      <c r="AS559" s="450"/>
      <c r="AT559" s="450"/>
      <c r="AU559" s="450"/>
      <c r="AV559" s="450"/>
      <c r="AW559" s="450"/>
      <c r="AX559" s="450"/>
      <c r="AY559" s="450"/>
      <c r="AZ559" s="450"/>
      <c r="BA559" s="450"/>
      <c r="BB559" s="450"/>
      <c r="BC559" s="450"/>
      <c r="BD559" s="450"/>
      <c r="BE559" s="450"/>
      <c r="BF559" s="450"/>
      <c r="BG559" s="450"/>
      <c r="BH559" s="450"/>
      <c r="BI559" s="450"/>
      <c r="BJ559" s="450"/>
      <c r="BK559" s="450"/>
      <c r="BL559" s="450"/>
      <c r="BM559" s="450"/>
    </row>
    <row r="560" spans="1:65" ht="11.15">
      <c r="A560" s="450"/>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c r="Z560" s="450"/>
      <c r="AA560" s="450"/>
      <c r="AB560" s="450"/>
      <c r="AC560" s="450"/>
      <c r="AD560" s="450"/>
      <c r="AE560" s="450"/>
      <c r="AF560" s="450"/>
      <c r="AG560" s="450"/>
      <c r="AH560" s="450"/>
      <c r="AI560" s="450"/>
      <c r="AJ560" s="450"/>
      <c r="AK560" s="450"/>
      <c r="AL560" s="450"/>
      <c r="AM560" s="450"/>
      <c r="AN560" s="450"/>
      <c r="AO560" s="450"/>
      <c r="AP560" s="450"/>
      <c r="AQ560" s="450"/>
      <c r="AR560" s="450"/>
      <c r="AS560" s="450"/>
      <c r="AT560" s="450"/>
      <c r="AU560" s="450"/>
      <c r="AV560" s="450"/>
      <c r="AW560" s="450"/>
      <c r="AX560" s="450"/>
      <c r="AY560" s="450"/>
      <c r="AZ560" s="450"/>
      <c r="BA560" s="450"/>
      <c r="BB560" s="450"/>
      <c r="BC560" s="450"/>
      <c r="BD560" s="450"/>
      <c r="BE560" s="450"/>
      <c r="BF560" s="450"/>
      <c r="BG560" s="450"/>
      <c r="BH560" s="450"/>
      <c r="BI560" s="450"/>
      <c r="BJ560" s="450"/>
      <c r="BK560" s="450"/>
      <c r="BL560" s="450"/>
      <c r="BM560" s="450"/>
    </row>
    <row r="561" spans="1:65" ht="11.15">
      <c r="A561" s="450"/>
      <c r="B561" s="450"/>
      <c r="C561" s="450"/>
      <c r="D561" s="450"/>
      <c r="E561" s="450"/>
      <c r="F561" s="450"/>
      <c r="G561" s="450"/>
      <c r="H561" s="450"/>
      <c r="I561" s="450"/>
      <c r="J561" s="450"/>
      <c r="K561" s="450"/>
      <c r="L561" s="450"/>
      <c r="M561" s="450"/>
      <c r="N561" s="450"/>
      <c r="O561" s="450"/>
      <c r="P561" s="450"/>
      <c r="Q561" s="450"/>
      <c r="R561" s="450"/>
      <c r="S561" s="450"/>
      <c r="T561" s="450"/>
      <c r="U561" s="450"/>
      <c r="V561" s="450"/>
      <c r="W561" s="450"/>
      <c r="X561" s="450"/>
      <c r="Y561" s="450"/>
      <c r="Z561" s="450"/>
      <c r="AA561" s="450"/>
      <c r="AB561" s="450"/>
      <c r="AC561" s="450"/>
      <c r="AD561" s="450"/>
      <c r="AE561" s="450"/>
      <c r="AF561" s="450"/>
      <c r="AG561" s="450"/>
      <c r="AH561" s="450"/>
      <c r="AI561" s="450"/>
      <c r="AJ561" s="450"/>
      <c r="AK561" s="450"/>
      <c r="AL561" s="450"/>
      <c r="AM561" s="450"/>
      <c r="AN561" s="450"/>
      <c r="AO561" s="450"/>
      <c r="AP561" s="450"/>
      <c r="AQ561" s="450"/>
      <c r="AR561" s="450"/>
      <c r="AS561" s="450"/>
      <c r="AT561" s="450"/>
      <c r="AU561" s="450"/>
      <c r="AV561" s="450"/>
      <c r="AW561" s="450"/>
      <c r="AX561" s="450"/>
      <c r="AY561" s="450"/>
      <c r="AZ561" s="450"/>
      <c r="BA561" s="450"/>
      <c r="BB561" s="450"/>
      <c r="BC561" s="450"/>
      <c r="BD561" s="450"/>
      <c r="BE561" s="450"/>
      <c r="BF561" s="450"/>
      <c r="BG561" s="450"/>
      <c r="BH561" s="450"/>
      <c r="BI561" s="450"/>
      <c r="BJ561" s="450"/>
      <c r="BK561" s="450"/>
      <c r="BL561" s="450"/>
      <c r="BM561" s="450"/>
    </row>
    <row r="562" spans="1:65" ht="11.15">
      <c r="A562" s="450"/>
      <c r="B562" s="450"/>
      <c r="C562" s="450"/>
      <c r="D562" s="450"/>
      <c r="E562" s="450"/>
      <c r="F562" s="450"/>
      <c r="G562" s="450"/>
      <c r="H562" s="450"/>
      <c r="I562" s="450"/>
      <c r="J562" s="450"/>
      <c r="K562" s="450"/>
      <c r="L562" s="450"/>
      <c r="M562" s="450"/>
      <c r="N562" s="450"/>
      <c r="O562" s="450"/>
      <c r="P562" s="450"/>
      <c r="Q562" s="450"/>
      <c r="R562" s="450"/>
      <c r="S562" s="450"/>
      <c r="T562" s="450"/>
      <c r="U562" s="450"/>
      <c r="V562" s="450"/>
      <c r="W562" s="450"/>
      <c r="X562" s="450"/>
      <c r="Y562" s="450"/>
      <c r="Z562" s="450"/>
      <c r="AA562" s="450"/>
      <c r="AB562" s="450"/>
      <c r="AC562" s="450"/>
      <c r="AD562" s="450"/>
      <c r="AE562" s="450"/>
      <c r="AF562" s="450"/>
      <c r="AG562" s="450"/>
      <c r="AH562" s="450"/>
      <c r="AI562" s="450"/>
      <c r="AJ562" s="450"/>
      <c r="AK562" s="450"/>
      <c r="AL562" s="450"/>
      <c r="AM562" s="450"/>
      <c r="AN562" s="450"/>
      <c r="AO562" s="450"/>
      <c r="AP562" s="450"/>
      <c r="AQ562" s="450"/>
      <c r="AR562" s="450"/>
      <c r="AS562" s="450"/>
      <c r="AT562" s="450"/>
      <c r="AU562" s="450"/>
      <c r="AV562" s="450"/>
      <c r="AW562" s="450"/>
      <c r="AX562" s="450"/>
      <c r="AY562" s="450"/>
      <c r="AZ562" s="450"/>
      <c r="BA562" s="450"/>
      <c r="BB562" s="450"/>
      <c r="BC562" s="450"/>
      <c r="BD562" s="450"/>
      <c r="BE562" s="450"/>
      <c r="BF562" s="450"/>
      <c r="BG562" s="450"/>
      <c r="BH562" s="450"/>
      <c r="BI562" s="450"/>
      <c r="BJ562" s="450"/>
      <c r="BK562" s="450"/>
      <c r="BL562" s="450"/>
      <c r="BM562" s="450"/>
    </row>
    <row r="563" spans="1:65" ht="11.15">
      <c r="A563" s="450"/>
      <c r="B563" s="450"/>
      <c r="C563" s="450"/>
      <c r="D563" s="450"/>
      <c r="E563" s="450"/>
      <c r="F563" s="450"/>
      <c r="G563" s="450"/>
      <c r="H563" s="450"/>
      <c r="I563" s="450"/>
      <c r="J563" s="450"/>
      <c r="K563" s="450"/>
      <c r="L563" s="450"/>
      <c r="M563" s="450"/>
      <c r="N563" s="450"/>
      <c r="O563" s="450"/>
      <c r="P563" s="450"/>
      <c r="Q563" s="450"/>
      <c r="R563" s="450"/>
      <c r="S563" s="450"/>
      <c r="T563" s="450"/>
      <c r="U563" s="450"/>
      <c r="V563" s="450"/>
      <c r="W563" s="450"/>
      <c r="X563" s="450"/>
      <c r="Y563" s="450"/>
      <c r="Z563" s="450"/>
      <c r="AA563" s="450"/>
      <c r="AB563" s="450"/>
      <c r="AC563" s="450"/>
      <c r="AD563" s="450"/>
      <c r="AE563" s="450"/>
      <c r="AF563" s="450"/>
      <c r="AG563" s="450"/>
      <c r="AH563" s="450"/>
      <c r="AI563" s="450"/>
      <c r="AJ563" s="450"/>
      <c r="AK563" s="450"/>
      <c r="AL563" s="450"/>
      <c r="AM563" s="450"/>
      <c r="AN563" s="450"/>
      <c r="AO563" s="450"/>
      <c r="AP563" s="450"/>
      <c r="AQ563" s="450"/>
      <c r="AR563" s="450"/>
      <c r="AS563" s="450"/>
      <c r="AT563" s="450"/>
      <c r="AU563" s="450"/>
      <c r="AV563" s="450"/>
      <c r="AW563" s="450"/>
      <c r="AX563" s="450"/>
      <c r="AY563" s="450"/>
      <c r="AZ563" s="450"/>
      <c r="BA563" s="450"/>
      <c r="BB563" s="450"/>
      <c r="BC563" s="450"/>
      <c r="BD563" s="450"/>
      <c r="BE563" s="450"/>
      <c r="BF563" s="450"/>
      <c r="BG563" s="450"/>
      <c r="BH563" s="450"/>
      <c r="BI563" s="450"/>
      <c r="BJ563" s="450"/>
      <c r="BK563" s="450"/>
      <c r="BL563" s="450"/>
      <c r="BM563" s="450"/>
    </row>
    <row r="564" spans="1:65" ht="11.15">
      <c r="A564" s="450"/>
      <c r="B564" s="450"/>
      <c r="C564" s="450"/>
      <c r="D564" s="450"/>
      <c r="E564" s="450"/>
      <c r="F564" s="450"/>
      <c r="G564" s="450"/>
      <c r="H564" s="450"/>
      <c r="I564" s="450"/>
      <c r="J564" s="450"/>
      <c r="K564" s="450"/>
      <c r="L564" s="450"/>
      <c r="M564" s="450"/>
      <c r="N564" s="450"/>
      <c r="O564" s="450"/>
      <c r="P564" s="450"/>
      <c r="Q564" s="450"/>
      <c r="R564" s="450"/>
      <c r="S564" s="450"/>
      <c r="T564" s="450"/>
      <c r="U564" s="450"/>
      <c r="V564" s="450"/>
      <c r="W564" s="450"/>
      <c r="X564" s="450"/>
      <c r="Y564" s="450"/>
      <c r="Z564" s="450"/>
      <c r="AA564" s="450"/>
      <c r="AB564" s="450"/>
      <c r="AC564" s="450"/>
      <c r="AD564" s="450"/>
      <c r="AE564" s="450"/>
      <c r="AF564" s="450"/>
      <c r="AG564" s="450"/>
      <c r="AH564" s="450"/>
      <c r="AI564" s="450"/>
      <c r="AJ564" s="450"/>
      <c r="AK564" s="450"/>
      <c r="AL564" s="450"/>
      <c r="AM564" s="450"/>
      <c r="AN564" s="450"/>
      <c r="AO564" s="450"/>
      <c r="AP564" s="450"/>
      <c r="AQ564" s="450"/>
      <c r="AR564" s="450"/>
      <c r="AS564" s="450"/>
      <c r="AT564" s="450"/>
      <c r="AU564" s="450"/>
      <c r="AV564" s="450"/>
      <c r="AW564" s="450"/>
      <c r="AX564" s="450"/>
      <c r="AY564" s="450"/>
      <c r="AZ564" s="450"/>
      <c r="BA564" s="450"/>
      <c r="BB564" s="450"/>
      <c r="BC564" s="450"/>
      <c r="BD564" s="450"/>
      <c r="BE564" s="450"/>
      <c r="BF564" s="450"/>
      <c r="BG564" s="450"/>
      <c r="BH564" s="450"/>
      <c r="BI564" s="450"/>
      <c r="BJ564" s="450"/>
      <c r="BK564" s="450"/>
      <c r="BL564" s="450"/>
      <c r="BM564" s="450"/>
    </row>
    <row r="565" spans="1:65" ht="11.15">
      <c r="A565" s="450"/>
      <c r="B565" s="450"/>
      <c r="C565" s="450"/>
      <c r="D565" s="450"/>
      <c r="E565" s="450"/>
      <c r="F565" s="450"/>
      <c r="G565" s="450"/>
      <c r="H565" s="450"/>
      <c r="I565" s="450"/>
      <c r="J565" s="450"/>
      <c r="K565" s="450"/>
      <c r="L565" s="450"/>
      <c r="M565" s="450"/>
      <c r="N565" s="450"/>
      <c r="O565" s="450"/>
      <c r="P565" s="450"/>
      <c r="Q565" s="450"/>
      <c r="R565" s="450"/>
      <c r="S565" s="450"/>
      <c r="T565" s="450"/>
      <c r="U565" s="450"/>
      <c r="V565" s="450"/>
      <c r="W565" s="450"/>
      <c r="X565" s="450"/>
      <c r="Y565" s="450"/>
      <c r="Z565" s="450"/>
      <c r="AA565" s="450"/>
      <c r="AB565" s="450"/>
      <c r="AC565" s="450"/>
      <c r="AD565" s="450"/>
      <c r="AE565" s="450"/>
      <c r="AF565" s="450"/>
      <c r="AG565" s="450"/>
      <c r="AH565" s="450"/>
      <c r="AI565" s="450"/>
      <c r="AJ565" s="450"/>
      <c r="AK565" s="450"/>
      <c r="AL565" s="450"/>
      <c r="AM565" s="450"/>
      <c r="AN565" s="450"/>
      <c r="AO565" s="450"/>
      <c r="AP565" s="450"/>
      <c r="AQ565" s="450"/>
      <c r="AR565" s="450"/>
      <c r="AS565" s="450"/>
      <c r="AT565" s="450"/>
      <c r="AU565" s="450"/>
      <c r="AV565" s="450"/>
      <c r="AW565" s="450"/>
      <c r="AX565" s="450"/>
      <c r="AY565" s="450"/>
      <c r="AZ565" s="450"/>
      <c r="BA565" s="450"/>
      <c r="BB565" s="450"/>
      <c r="BC565" s="450"/>
      <c r="BD565" s="450"/>
      <c r="BE565" s="450"/>
      <c r="BF565" s="450"/>
      <c r="BG565" s="450"/>
      <c r="BH565" s="450"/>
      <c r="BI565" s="450"/>
      <c r="BJ565" s="450"/>
      <c r="BK565" s="450"/>
      <c r="BL565" s="450"/>
      <c r="BM565" s="450"/>
    </row>
    <row r="566" spans="1:65" ht="11.15">
      <c r="A566" s="450"/>
      <c r="B566" s="450"/>
      <c r="C566" s="450"/>
      <c r="D566" s="450"/>
      <c r="E566" s="450"/>
      <c r="F566" s="450"/>
      <c r="G566" s="450"/>
      <c r="H566" s="450"/>
      <c r="I566" s="450"/>
      <c r="J566" s="450"/>
      <c r="K566" s="450"/>
      <c r="L566" s="450"/>
      <c r="M566" s="450"/>
      <c r="N566" s="450"/>
      <c r="O566" s="450"/>
      <c r="P566" s="450"/>
      <c r="Q566" s="450"/>
      <c r="R566" s="450"/>
      <c r="S566" s="450"/>
      <c r="T566" s="450"/>
      <c r="U566" s="450"/>
      <c r="V566" s="450"/>
      <c r="W566" s="450"/>
      <c r="X566" s="450"/>
      <c r="Y566" s="450"/>
      <c r="Z566" s="450"/>
      <c r="AA566" s="450"/>
      <c r="AB566" s="450"/>
      <c r="AC566" s="450"/>
      <c r="AD566" s="450"/>
      <c r="AE566" s="450"/>
      <c r="AF566" s="450"/>
      <c r="AG566" s="450"/>
      <c r="AH566" s="450"/>
      <c r="AI566" s="450"/>
      <c r="AJ566" s="450"/>
      <c r="AK566" s="450"/>
      <c r="AL566" s="450"/>
      <c r="AM566" s="450"/>
      <c r="AN566" s="450"/>
      <c r="AO566" s="450"/>
      <c r="AP566" s="450"/>
      <c r="AQ566" s="450"/>
      <c r="AR566" s="450"/>
      <c r="AS566" s="450"/>
      <c r="AT566" s="450"/>
      <c r="AU566" s="450"/>
      <c r="AV566" s="450"/>
      <c r="AW566" s="450"/>
      <c r="AX566" s="450"/>
      <c r="AY566" s="450"/>
      <c r="AZ566" s="450"/>
      <c r="BA566" s="450"/>
      <c r="BB566" s="450"/>
      <c r="BC566" s="450"/>
      <c r="BD566" s="450"/>
      <c r="BE566" s="450"/>
      <c r="BF566" s="450"/>
      <c r="BG566" s="450"/>
      <c r="BH566" s="450"/>
      <c r="BI566" s="450"/>
      <c r="BJ566" s="450"/>
      <c r="BK566" s="450"/>
      <c r="BL566" s="450"/>
      <c r="BM566" s="450"/>
    </row>
    <row r="567" spans="1:65" ht="11.15">
      <c r="A567" s="450"/>
      <c r="B567" s="450"/>
      <c r="C567" s="450"/>
      <c r="D567" s="450"/>
      <c r="E567" s="450"/>
      <c r="F567" s="450"/>
      <c r="G567" s="450"/>
      <c r="H567" s="450"/>
      <c r="I567" s="450"/>
      <c r="J567" s="450"/>
      <c r="K567" s="450"/>
      <c r="L567" s="450"/>
      <c r="M567" s="450"/>
      <c r="N567" s="450"/>
      <c r="O567" s="450"/>
      <c r="P567" s="450"/>
      <c r="Q567" s="450"/>
      <c r="R567" s="450"/>
      <c r="S567" s="450"/>
      <c r="T567" s="450"/>
      <c r="U567" s="450"/>
      <c r="V567" s="450"/>
      <c r="W567" s="450"/>
      <c r="X567" s="450"/>
      <c r="Y567" s="450"/>
      <c r="Z567" s="450"/>
      <c r="AA567" s="450"/>
      <c r="AB567" s="450"/>
      <c r="AC567" s="450"/>
      <c r="AD567" s="450"/>
      <c r="AE567" s="450"/>
      <c r="AF567" s="450"/>
      <c r="AG567" s="450"/>
      <c r="AH567" s="450"/>
      <c r="AI567" s="450"/>
      <c r="AJ567" s="450"/>
      <c r="AK567" s="450"/>
      <c r="AL567" s="450"/>
      <c r="AM567" s="450"/>
      <c r="AN567" s="450"/>
      <c r="AO567" s="450"/>
      <c r="AP567" s="450"/>
      <c r="AQ567" s="450"/>
      <c r="AR567" s="450"/>
      <c r="AS567" s="450"/>
      <c r="AT567" s="450"/>
      <c r="AU567" s="450"/>
      <c r="AV567" s="450"/>
      <c r="AW567" s="450"/>
      <c r="AX567" s="450"/>
      <c r="AY567" s="450"/>
      <c r="AZ567" s="450"/>
      <c r="BA567" s="450"/>
      <c r="BB567" s="450"/>
      <c r="BC567" s="450"/>
      <c r="BD567" s="450"/>
      <c r="BE567" s="450"/>
      <c r="BF567" s="450"/>
      <c r="BG567" s="450"/>
      <c r="BH567" s="450"/>
      <c r="BI567" s="450"/>
      <c r="BJ567" s="450"/>
      <c r="BK567" s="450"/>
      <c r="BL567" s="450"/>
      <c r="BM567" s="450"/>
    </row>
    <row r="568" spans="1:65" ht="11.15">
      <c r="A568" s="450"/>
      <c r="B568" s="450"/>
      <c r="C568" s="450"/>
      <c r="D568" s="450"/>
      <c r="E568" s="450"/>
      <c r="F568" s="450"/>
      <c r="G568" s="450"/>
      <c r="H568" s="450"/>
      <c r="I568" s="450"/>
      <c r="J568" s="450"/>
      <c r="K568" s="450"/>
      <c r="L568" s="450"/>
      <c r="M568" s="450"/>
      <c r="N568" s="450"/>
      <c r="O568" s="450"/>
      <c r="P568" s="450"/>
      <c r="Q568" s="450"/>
      <c r="R568" s="450"/>
      <c r="S568" s="450"/>
      <c r="T568" s="450"/>
      <c r="U568" s="450"/>
      <c r="V568" s="450"/>
      <c r="W568" s="450"/>
      <c r="X568" s="450"/>
      <c r="Y568" s="450"/>
      <c r="Z568" s="450"/>
      <c r="AA568" s="450"/>
      <c r="AB568" s="450"/>
      <c r="AC568" s="450"/>
      <c r="AD568" s="450"/>
      <c r="AE568" s="450"/>
      <c r="AF568" s="450"/>
      <c r="AG568" s="450"/>
      <c r="AH568" s="450"/>
      <c r="AI568" s="450"/>
      <c r="AJ568" s="450"/>
      <c r="AK568" s="450"/>
      <c r="AL568" s="450"/>
      <c r="AM568" s="450"/>
      <c r="AN568" s="450"/>
      <c r="AO568" s="450"/>
      <c r="AP568" s="450"/>
      <c r="AQ568" s="450"/>
      <c r="AR568" s="450"/>
      <c r="AS568" s="450"/>
      <c r="AT568" s="450"/>
      <c r="AU568" s="450"/>
      <c r="AV568" s="450"/>
      <c r="AW568" s="450"/>
      <c r="AX568" s="450"/>
      <c r="AY568" s="450"/>
      <c r="AZ568" s="450"/>
      <c r="BA568" s="450"/>
      <c r="BB568" s="450"/>
      <c r="BC568" s="450"/>
      <c r="BD568" s="450"/>
      <c r="BE568" s="450"/>
      <c r="BF568" s="450"/>
      <c r="BG568" s="450"/>
      <c r="BH568" s="450"/>
      <c r="BI568" s="450"/>
      <c r="BJ568" s="450"/>
      <c r="BK568" s="450"/>
      <c r="BL568" s="450"/>
      <c r="BM568" s="450"/>
    </row>
    <row r="569" spans="1:65" ht="11.15">
      <c r="A569" s="450"/>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c r="AA569" s="450"/>
      <c r="AB569" s="450"/>
      <c r="AC569" s="450"/>
      <c r="AD569" s="450"/>
      <c r="AE569" s="450"/>
      <c r="AF569" s="450"/>
      <c r="AG569" s="450"/>
      <c r="AH569" s="450"/>
      <c r="AI569" s="450"/>
      <c r="AJ569" s="450"/>
      <c r="AK569" s="450"/>
      <c r="AL569" s="450"/>
      <c r="AM569" s="450"/>
      <c r="AN569" s="450"/>
      <c r="AO569" s="450"/>
      <c r="AP569" s="450"/>
      <c r="AQ569" s="450"/>
      <c r="AR569" s="450"/>
      <c r="AS569" s="450"/>
      <c r="AT569" s="450"/>
      <c r="AU569" s="450"/>
      <c r="AV569" s="450"/>
      <c r="AW569" s="450"/>
      <c r="AX569" s="450"/>
      <c r="AY569" s="450"/>
      <c r="AZ569" s="450"/>
      <c r="BA569" s="450"/>
      <c r="BB569" s="450"/>
      <c r="BC569" s="450"/>
      <c r="BD569" s="450"/>
      <c r="BE569" s="450"/>
      <c r="BF569" s="450"/>
      <c r="BG569" s="450"/>
      <c r="BH569" s="450"/>
      <c r="BI569" s="450"/>
      <c r="BJ569" s="450"/>
      <c r="BK569" s="450"/>
      <c r="BL569" s="450"/>
      <c r="BM569" s="450"/>
    </row>
    <row r="570" spans="1:65" ht="11.15">
      <c r="A570" s="450"/>
      <c r="B570" s="450"/>
      <c r="C570" s="450"/>
      <c r="D570" s="450"/>
      <c r="E570" s="450"/>
      <c r="F570" s="450"/>
      <c r="G570" s="450"/>
      <c r="H570" s="450"/>
      <c r="I570" s="450"/>
      <c r="J570" s="450"/>
      <c r="K570" s="450"/>
      <c r="L570" s="450"/>
      <c r="M570" s="450"/>
      <c r="N570" s="450"/>
      <c r="O570" s="450"/>
      <c r="P570" s="450"/>
      <c r="Q570" s="450"/>
      <c r="R570" s="450"/>
      <c r="S570" s="450"/>
      <c r="T570" s="450"/>
      <c r="U570" s="450"/>
      <c r="V570" s="450"/>
      <c r="W570" s="450"/>
      <c r="X570" s="450"/>
      <c r="Y570" s="450"/>
      <c r="Z570" s="450"/>
      <c r="AA570" s="450"/>
      <c r="AB570" s="450"/>
      <c r="AC570" s="450"/>
      <c r="AD570" s="450"/>
      <c r="AE570" s="450"/>
      <c r="AF570" s="450"/>
      <c r="AG570" s="450"/>
      <c r="AH570" s="450"/>
      <c r="AI570" s="450"/>
      <c r="AJ570" s="450"/>
      <c r="AK570" s="450"/>
      <c r="AL570" s="450"/>
      <c r="AM570" s="450"/>
      <c r="AN570" s="450"/>
      <c r="AO570" s="450"/>
      <c r="AP570" s="450"/>
      <c r="AQ570" s="450"/>
      <c r="AR570" s="450"/>
      <c r="AS570" s="450"/>
      <c r="AT570" s="450"/>
      <c r="AU570" s="450"/>
      <c r="AV570" s="450"/>
      <c r="AW570" s="450"/>
      <c r="AX570" s="450"/>
      <c r="AY570" s="450"/>
      <c r="AZ570" s="450"/>
      <c r="BA570" s="450"/>
      <c r="BB570" s="450"/>
      <c r="BC570" s="450"/>
      <c r="BD570" s="450"/>
      <c r="BE570" s="450"/>
      <c r="BF570" s="450"/>
      <c r="BG570" s="450"/>
      <c r="BH570" s="450"/>
      <c r="BI570" s="450"/>
      <c r="BJ570" s="450"/>
      <c r="BK570" s="450"/>
      <c r="BL570" s="450"/>
      <c r="BM570" s="450"/>
    </row>
    <row r="571" spans="1:65" ht="11.15">
      <c r="A571" s="450"/>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450"/>
      <c r="AD571" s="450"/>
      <c r="AE571" s="450"/>
      <c r="AF571" s="450"/>
      <c r="AG571" s="450"/>
      <c r="AH571" s="450"/>
      <c r="AI571" s="450"/>
      <c r="AJ571" s="450"/>
      <c r="AK571" s="450"/>
      <c r="AL571" s="450"/>
      <c r="AM571" s="450"/>
      <c r="AN571" s="450"/>
      <c r="AO571" s="450"/>
      <c r="AP571" s="450"/>
      <c r="AQ571" s="450"/>
      <c r="AR571" s="450"/>
      <c r="AS571" s="450"/>
      <c r="AT571" s="450"/>
      <c r="AU571" s="450"/>
      <c r="AV571" s="450"/>
      <c r="AW571" s="450"/>
      <c r="AX571" s="450"/>
      <c r="AY571" s="450"/>
      <c r="AZ571" s="450"/>
      <c r="BA571" s="450"/>
      <c r="BB571" s="450"/>
      <c r="BC571" s="450"/>
      <c r="BD571" s="450"/>
      <c r="BE571" s="450"/>
      <c r="BF571" s="450"/>
      <c r="BG571" s="450"/>
      <c r="BH571" s="450"/>
      <c r="BI571" s="450"/>
      <c r="BJ571" s="450"/>
      <c r="BK571" s="450"/>
      <c r="BL571" s="450"/>
      <c r="BM571" s="450"/>
    </row>
    <row r="572" spans="1:65" ht="11.15">
      <c r="A572" s="450"/>
      <c r="B572" s="450"/>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c r="Z572" s="450"/>
      <c r="AA572" s="450"/>
      <c r="AB572" s="450"/>
      <c r="AC572" s="450"/>
      <c r="AD572" s="450"/>
      <c r="AE572" s="450"/>
      <c r="AF572" s="450"/>
      <c r="AG572" s="450"/>
      <c r="AH572" s="450"/>
      <c r="AI572" s="450"/>
      <c r="AJ572" s="450"/>
      <c r="AK572" s="450"/>
      <c r="AL572" s="450"/>
      <c r="AM572" s="450"/>
      <c r="AN572" s="450"/>
      <c r="AO572" s="450"/>
      <c r="AP572" s="450"/>
      <c r="AQ572" s="450"/>
      <c r="AR572" s="450"/>
      <c r="AS572" s="450"/>
      <c r="AT572" s="450"/>
      <c r="AU572" s="450"/>
      <c r="AV572" s="450"/>
      <c r="AW572" s="450"/>
      <c r="AX572" s="450"/>
      <c r="AY572" s="450"/>
      <c r="AZ572" s="450"/>
      <c r="BA572" s="450"/>
      <c r="BB572" s="450"/>
      <c r="BC572" s="450"/>
      <c r="BD572" s="450"/>
      <c r="BE572" s="450"/>
      <c r="BF572" s="450"/>
      <c r="BG572" s="450"/>
      <c r="BH572" s="450"/>
      <c r="BI572" s="450"/>
      <c r="BJ572" s="450"/>
      <c r="BK572" s="450"/>
      <c r="BL572" s="450"/>
      <c r="BM572" s="450"/>
    </row>
    <row r="573" spans="1:65" ht="11.15">
      <c r="A573" s="450"/>
      <c r="B573" s="450"/>
      <c r="C573" s="450"/>
      <c r="D573" s="450"/>
      <c r="E573" s="450"/>
      <c r="F573" s="450"/>
      <c r="G573" s="450"/>
      <c r="H573" s="450"/>
      <c r="I573" s="450"/>
      <c r="J573" s="450"/>
      <c r="K573" s="450"/>
      <c r="L573" s="450"/>
      <c r="M573" s="450"/>
      <c r="N573" s="450"/>
      <c r="O573" s="450"/>
      <c r="P573" s="450"/>
      <c r="Q573" s="450"/>
      <c r="R573" s="450"/>
      <c r="S573" s="450"/>
      <c r="T573" s="450"/>
      <c r="U573" s="450"/>
      <c r="V573" s="450"/>
      <c r="W573" s="450"/>
      <c r="X573" s="450"/>
      <c r="Y573" s="450"/>
      <c r="Z573" s="450"/>
      <c r="AA573" s="450"/>
      <c r="AB573" s="450"/>
      <c r="AC573" s="450"/>
      <c r="AD573" s="450"/>
      <c r="AE573" s="450"/>
      <c r="AF573" s="450"/>
      <c r="AG573" s="450"/>
      <c r="AH573" s="450"/>
      <c r="AI573" s="450"/>
      <c r="AJ573" s="450"/>
      <c r="AK573" s="450"/>
      <c r="AL573" s="450"/>
      <c r="AM573" s="450"/>
      <c r="AN573" s="450"/>
      <c r="AO573" s="450"/>
      <c r="AP573" s="450"/>
      <c r="AQ573" s="450"/>
      <c r="AR573" s="450"/>
      <c r="AS573" s="450"/>
      <c r="AT573" s="450"/>
      <c r="AU573" s="450"/>
      <c r="AV573" s="450"/>
      <c r="AW573" s="450"/>
      <c r="AX573" s="450"/>
      <c r="AY573" s="450"/>
      <c r="AZ573" s="450"/>
      <c r="BA573" s="450"/>
      <c r="BB573" s="450"/>
      <c r="BC573" s="450"/>
      <c r="BD573" s="450"/>
      <c r="BE573" s="450"/>
      <c r="BF573" s="450"/>
      <c r="BG573" s="450"/>
      <c r="BH573" s="450"/>
      <c r="BI573" s="450"/>
      <c r="BJ573" s="450"/>
      <c r="BK573" s="450"/>
      <c r="BL573" s="450"/>
      <c r="BM573" s="450"/>
    </row>
    <row r="574" spans="1:65" ht="11.15">
      <c r="A574" s="450"/>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c r="AA574" s="450"/>
      <c r="AB574" s="450"/>
      <c r="AC574" s="450"/>
      <c r="AD574" s="450"/>
      <c r="AE574" s="450"/>
      <c r="AF574" s="450"/>
      <c r="AG574" s="450"/>
      <c r="AH574" s="450"/>
      <c r="AI574" s="450"/>
      <c r="AJ574" s="450"/>
      <c r="AK574" s="450"/>
      <c r="AL574" s="450"/>
      <c r="AM574" s="450"/>
      <c r="AN574" s="450"/>
      <c r="AO574" s="450"/>
      <c r="AP574" s="450"/>
      <c r="AQ574" s="450"/>
      <c r="AR574" s="450"/>
      <c r="AS574" s="450"/>
      <c r="AT574" s="450"/>
      <c r="AU574" s="450"/>
      <c r="AV574" s="450"/>
      <c r="AW574" s="450"/>
      <c r="AX574" s="450"/>
      <c r="AY574" s="450"/>
      <c r="AZ574" s="450"/>
      <c r="BA574" s="450"/>
      <c r="BB574" s="450"/>
      <c r="BC574" s="450"/>
      <c r="BD574" s="450"/>
      <c r="BE574" s="450"/>
      <c r="BF574" s="450"/>
      <c r="BG574" s="450"/>
      <c r="BH574" s="450"/>
      <c r="BI574" s="450"/>
      <c r="BJ574" s="450"/>
      <c r="BK574" s="450"/>
      <c r="BL574" s="450"/>
      <c r="BM574" s="450"/>
    </row>
    <row r="575" spans="1:65" ht="11.15">
      <c r="A575" s="450"/>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c r="AA575" s="450"/>
      <c r="AB575" s="450"/>
      <c r="AC575" s="450"/>
      <c r="AD575" s="450"/>
      <c r="AE575" s="450"/>
      <c r="AF575" s="450"/>
      <c r="AG575" s="450"/>
      <c r="AH575" s="450"/>
      <c r="AI575" s="450"/>
      <c r="AJ575" s="450"/>
      <c r="AK575" s="450"/>
      <c r="AL575" s="450"/>
      <c r="AM575" s="450"/>
      <c r="AN575" s="450"/>
      <c r="AO575" s="450"/>
      <c r="AP575" s="450"/>
      <c r="AQ575" s="450"/>
      <c r="AR575" s="450"/>
      <c r="AS575" s="450"/>
      <c r="AT575" s="450"/>
      <c r="AU575" s="450"/>
      <c r="AV575" s="450"/>
      <c r="AW575" s="450"/>
      <c r="AX575" s="450"/>
      <c r="AY575" s="450"/>
      <c r="AZ575" s="450"/>
      <c r="BA575" s="450"/>
      <c r="BB575" s="450"/>
      <c r="BC575" s="450"/>
      <c r="BD575" s="450"/>
      <c r="BE575" s="450"/>
      <c r="BF575" s="450"/>
      <c r="BG575" s="450"/>
      <c r="BH575" s="450"/>
      <c r="BI575" s="450"/>
      <c r="BJ575" s="450"/>
      <c r="BK575" s="450"/>
      <c r="BL575" s="450"/>
      <c r="BM575" s="450"/>
    </row>
    <row r="576" spans="1:65" ht="11.15">
      <c r="A576" s="450"/>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0"/>
      <c r="AD576" s="450"/>
      <c r="AE576" s="450"/>
      <c r="AF576" s="450"/>
      <c r="AG576" s="450"/>
      <c r="AH576" s="450"/>
      <c r="AI576" s="450"/>
      <c r="AJ576" s="450"/>
      <c r="AK576" s="450"/>
      <c r="AL576" s="450"/>
      <c r="AM576" s="450"/>
      <c r="AN576" s="450"/>
      <c r="AO576" s="450"/>
      <c r="AP576" s="450"/>
      <c r="AQ576" s="450"/>
      <c r="AR576" s="450"/>
      <c r="AS576" s="450"/>
      <c r="AT576" s="450"/>
      <c r="AU576" s="450"/>
      <c r="AV576" s="450"/>
      <c r="AW576" s="450"/>
      <c r="AX576" s="450"/>
      <c r="AY576" s="450"/>
      <c r="AZ576" s="450"/>
      <c r="BA576" s="450"/>
      <c r="BB576" s="450"/>
      <c r="BC576" s="450"/>
      <c r="BD576" s="450"/>
      <c r="BE576" s="450"/>
      <c r="BF576" s="450"/>
      <c r="BG576" s="450"/>
      <c r="BH576" s="450"/>
      <c r="BI576" s="450"/>
      <c r="BJ576" s="450"/>
      <c r="BK576" s="450"/>
      <c r="BL576" s="450"/>
      <c r="BM576" s="450"/>
    </row>
    <row r="577" spans="1:65" ht="11.15">
      <c r="A577" s="450"/>
      <c r="B577" s="450"/>
      <c r="C577" s="450"/>
      <c r="D577" s="450"/>
      <c r="E577" s="450"/>
      <c r="F577" s="450"/>
      <c r="G577" s="450"/>
      <c r="H577" s="450"/>
      <c r="I577" s="450"/>
      <c r="J577" s="450"/>
      <c r="K577" s="450"/>
      <c r="L577" s="450"/>
      <c r="M577" s="450"/>
      <c r="N577" s="450"/>
      <c r="O577" s="450"/>
      <c r="P577" s="450"/>
      <c r="Q577" s="450"/>
      <c r="R577" s="450"/>
      <c r="S577" s="450"/>
      <c r="T577" s="450"/>
      <c r="U577" s="450"/>
      <c r="V577" s="450"/>
      <c r="W577" s="450"/>
      <c r="X577" s="450"/>
      <c r="Y577" s="450"/>
      <c r="Z577" s="450"/>
      <c r="AA577" s="450"/>
      <c r="AB577" s="450"/>
      <c r="AC577" s="450"/>
      <c r="AD577" s="450"/>
      <c r="AE577" s="450"/>
      <c r="AF577" s="450"/>
      <c r="AG577" s="450"/>
      <c r="AH577" s="450"/>
      <c r="AI577" s="450"/>
      <c r="AJ577" s="450"/>
      <c r="AK577" s="450"/>
      <c r="AL577" s="450"/>
      <c r="AM577" s="450"/>
      <c r="AN577" s="450"/>
      <c r="AO577" s="450"/>
      <c r="AP577" s="450"/>
      <c r="AQ577" s="450"/>
      <c r="AR577" s="450"/>
      <c r="AS577" s="450"/>
      <c r="AT577" s="450"/>
      <c r="AU577" s="450"/>
      <c r="AV577" s="450"/>
      <c r="AW577" s="450"/>
      <c r="AX577" s="450"/>
      <c r="AY577" s="450"/>
      <c r="AZ577" s="450"/>
      <c r="BA577" s="450"/>
      <c r="BB577" s="450"/>
      <c r="BC577" s="450"/>
      <c r="BD577" s="450"/>
      <c r="BE577" s="450"/>
      <c r="BF577" s="450"/>
      <c r="BG577" s="450"/>
      <c r="BH577" s="450"/>
      <c r="BI577" s="450"/>
      <c r="BJ577" s="450"/>
      <c r="BK577" s="450"/>
      <c r="BL577" s="450"/>
      <c r="BM577" s="450"/>
    </row>
    <row r="578" spans="1:65" ht="11.15">
      <c r="A578" s="450"/>
      <c r="B578" s="450"/>
      <c r="C578" s="450"/>
      <c r="D578" s="450"/>
      <c r="E578" s="450"/>
      <c r="F578" s="450"/>
      <c r="G578" s="450"/>
      <c r="H578" s="450"/>
      <c r="I578" s="450"/>
      <c r="J578" s="450"/>
      <c r="K578" s="450"/>
      <c r="L578" s="450"/>
      <c r="M578" s="450"/>
      <c r="N578" s="450"/>
      <c r="O578" s="450"/>
      <c r="P578" s="450"/>
      <c r="Q578" s="450"/>
      <c r="R578" s="450"/>
      <c r="S578" s="450"/>
      <c r="T578" s="450"/>
      <c r="U578" s="450"/>
      <c r="V578" s="450"/>
      <c r="W578" s="450"/>
      <c r="X578" s="450"/>
      <c r="Y578" s="450"/>
      <c r="Z578" s="450"/>
      <c r="AA578" s="450"/>
      <c r="AB578" s="450"/>
      <c r="AC578" s="450"/>
      <c r="AD578" s="450"/>
      <c r="AE578" s="450"/>
      <c r="AF578" s="450"/>
      <c r="AG578" s="450"/>
      <c r="AH578" s="450"/>
      <c r="AI578" s="450"/>
      <c r="AJ578" s="450"/>
      <c r="AK578" s="450"/>
      <c r="AL578" s="450"/>
      <c r="AM578" s="450"/>
      <c r="AN578" s="450"/>
      <c r="AO578" s="450"/>
      <c r="AP578" s="450"/>
      <c r="AQ578" s="450"/>
      <c r="AR578" s="450"/>
      <c r="AS578" s="450"/>
      <c r="AT578" s="450"/>
      <c r="AU578" s="450"/>
      <c r="AV578" s="450"/>
      <c r="AW578" s="450"/>
      <c r="AX578" s="450"/>
      <c r="AY578" s="450"/>
      <c r="AZ578" s="450"/>
      <c r="BA578" s="450"/>
      <c r="BB578" s="450"/>
      <c r="BC578" s="450"/>
      <c r="BD578" s="450"/>
      <c r="BE578" s="450"/>
      <c r="BF578" s="450"/>
      <c r="BG578" s="450"/>
      <c r="BH578" s="450"/>
      <c r="BI578" s="450"/>
      <c r="BJ578" s="450"/>
      <c r="BK578" s="450"/>
      <c r="BL578" s="450"/>
      <c r="BM578" s="450"/>
    </row>
    <row r="579" spans="1:65" ht="11.15">
      <c r="A579" s="450"/>
      <c r="B579" s="450"/>
      <c r="C579" s="450"/>
      <c r="D579" s="450"/>
      <c r="E579" s="450"/>
      <c r="F579" s="450"/>
      <c r="G579" s="450"/>
      <c r="H579" s="450"/>
      <c r="I579" s="450"/>
      <c r="J579" s="450"/>
      <c r="K579" s="450"/>
      <c r="L579" s="450"/>
      <c r="M579" s="450"/>
      <c r="N579" s="450"/>
      <c r="O579" s="450"/>
      <c r="P579" s="450"/>
      <c r="Q579" s="450"/>
      <c r="R579" s="450"/>
      <c r="S579" s="450"/>
      <c r="T579" s="450"/>
      <c r="U579" s="450"/>
      <c r="V579" s="450"/>
      <c r="W579" s="450"/>
      <c r="X579" s="450"/>
      <c r="Y579" s="450"/>
      <c r="Z579" s="450"/>
      <c r="AA579" s="450"/>
      <c r="AB579" s="450"/>
      <c r="AC579" s="450"/>
      <c r="AD579" s="450"/>
      <c r="AE579" s="450"/>
      <c r="AF579" s="450"/>
      <c r="AG579" s="450"/>
      <c r="AH579" s="450"/>
      <c r="AI579" s="450"/>
      <c r="AJ579" s="450"/>
      <c r="AK579" s="450"/>
      <c r="AL579" s="450"/>
      <c r="AM579" s="450"/>
      <c r="AN579" s="450"/>
      <c r="AO579" s="450"/>
      <c r="AP579" s="450"/>
      <c r="AQ579" s="450"/>
      <c r="AR579" s="450"/>
      <c r="AS579" s="450"/>
      <c r="AT579" s="450"/>
      <c r="AU579" s="450"/>
      <c r="AV579" s="450"/>
      <c r="AW579" s="450"/>
      <c r="AX579" s="450"/>
      <c r="AY579" s="450"/>
      <c r="AZ579" s="450"/>
      <c r="BA579" s="450"/>
      <c r="BB579" s="450"/>
      <c r="BC579" s="450"/>
      <c r="BD579" s="450"/>
      <c r="BE579" s="450"/>
      <c r="BF579" s="450"/>
      <c r="BG579" s="450"/>
      <c r="BH579" s="450"/>
      <c r="BI579" s="450"/>
      <c r="BJ579" s="450"/>
      <c r="BK579" s="450"/>
      <c r="BL579" s="450"/>
      <c r="BM579" s="450"/>
    </row>
    <row r="580" spans="1:65" ht="11.15">
      <c r="A580" s="450"/>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0"/>
      <c r="AD580" s="450"/>
      <c r="AE580" s="450"/>
      <c r="AF580" s="450"/>
      <c r="AG580" s="450"/>
      <c r="AH580" s="450"/>
      <c r="AI580" s="450"/>
      <c r="AJ580" s="450"/>
      <c r="AK580" s="450"/>
      <c r="AL580" s="450"/>
      <c r="AM580" s="450"/>
      <c r="AN580" s="450"/>
      <c r="AO580" s="450"/>
      <c r="AP580" s="450"/>
      <c r="AQ580" s="450"/>
      <c r="AR580" s="450"/>
      <c r="AS580" s="450"/>
      <c r="AT580" s="450"/>
      <c r="AU580" s="450"/>
      <c r="AV580" s="450"/>
      <c r="AW580" s="450"/>
      <c r="AX580" s="450"/>
      <c r="AY580" s="450"/>
      <c r="AZ580" s="450"/>
      <c r="BA580" s="450"/>
      <c r="BB580" s="450"/>
      <c r="BC580" s="450"/>
      <c r="BD580" s="450"/>
      <c r="BE580" s="450"/>
      <c r="BF580" s="450"/>
      <c r="BG580" s="450"/>
      <c r="BH580" s="450"/>
      <c r="BI580" s="450"/>
      <c r="BJ580" s="450"/>
      <c r="BK580" s="450"/>
      <c r="BL580" s="450"/>
      <c r="BM580" s="450"/>
    </row>
    <row r="581" spans="1:65" ht="11.15">
      <c r="A581" s="450"/>
      <c r="B581" s="450"/>
      <c r="C581" s="450"/>
      <c r="D581" s="450"/>
      <c r="E581" s="450"/>
      <c r="F581" s="450"/>
      <c r="G581" s="450"/>
      <c r="H581" s="450"/>
      <c r="I581" s="450"/>
      <c r="J581" s="450"/>
      <c r="K581" s="450"/>
      <c r="L581" s="450"/>
      <c r="M581" s="450"/>
      <c r="N581" s="450"/>
      <c r="O581" s="450"/>
      <c r="P581" s="450"/>
      <c r="Q581" s="450"/>
      <c r="R581" s="450"/>
      <c r="S581" s="450"/>
      <c r="T581" s="450"/>
      <c r="U581" s="450"/>
      <c r="V581" s="450"/>
      <c r="W581" s="450"/>
      <c r="X581" s="450"/>
      <c r="Y581" s="450"/>
      <c r="Z581" s="450"/>
      <c r="AA581" s="450"/>
      <c r="AB581" s="450"/>
      <c r="AC581" s="450"/>
      <c r="AD581" s="450"/>
      <c r="AE581" s="450"/>
      <c r="AF581" s="450"/>
      <c r="AG581" s="450"/>
      <c r="AH581" s="450"/>
      <c r="AI581" s="450"/>
      <c r="AJ581" s="450"/>
      <c r="AK581" s="450"/>
      <c r="AL581" s="450"/>
      <c r="AM581" s="450"/>
      <c r="AN581" s="450"/>
      <c r="AO581" s="450"/>
      <c r="AP581" s="450"/>
      <c r="AQ581" s="450"/>
      <c r="AR581" s="450"/>
      <c r="AS581" s="450"/>
      <c r="AT581" s="450"/>
      <c r="AU581" s="450"/>
      <c r="AV581" s="450"/>
      <c r="AW581" s="450"/>
      <c r="AX581" s="450"/>
      <c r="AY581" s="450"/>
      <c r="AZ581" s="450"/>
      <c r="BA581" s="450"/>
      <c r="BB581" s="450"/>
      <c r="BC581" s="450"/>
      <c r="BD581" s="450"/>
      <c r="BE581" s="450"/>
      <c r="BF581" s="450"/>
      <c r="BG581" s="450"/>
      <c r="BH581" s="450"/>
      <c r="BI581" s="450"/>
      <c r="BJ581" s="450"/>
      <c r="BK581" s="450"/>
      <c r="BL581" s="450"/>
      <c r="BM581" s="450"/>
    </row>
    <row r="582" spans="1:65" ht="11.15">
      <c r="A582" s="450"/>
      <c r="B582" s="450"/>
      <c r="C582" s="450"/>
      <c r="D582" s="450"/>
      <c r="E582" s="450"/>
      <c r="F582" s="450"/>
      <c r="G582" s="450"/>
      <c r="H582" s="450"/>
      <c r="I582" s="450"/>
      <c r="J582" s="450"/>
      <c r="K582" s="450"/>
      <c r="L582" s="450"/>
      <c r="M582" s="450"/>
      <c r="N582" s="450"/>
      <c r="O582" s="450"/>
      <c r="P582" s="450"/>
      <c r="Q582" s="450"/>
      <c r="R582" s="450"/>
      <c r="S582" s="450"/>
      <c r="T582" s="450"/>
      <c r="U582" s="450"/>
      <c r="V582" s="450"/>
      <c r="W582" s="450"/>
      <c r="X582" s="450"/>
      <c r="Y582" s="450"/>
      <c r="Z582" s="450"/>
      <c r="AA582" s="450"/>
      <c r="AB582" s="450"/>
      <c r="AC582" s="450"/>
      <c r="AD582" s="450"/>
      <c r="AE582" s="450"/>
      <c r="AF582" s="450"/>
      <c r="AG582" s="450"/>
      <c r="AH582" s="450"/>
      <c r="AI582" s="450"/>
      <c r="AJ582" s="450"/>
      <c r="AK582" s="450"/>
      <c r="AL582" s="450"/>
      <c r="AM582" s="450"/>
      <c r="AN582" s="450"/>
      <c r="AO582" s="450"/>
      <c r="AP582" s="450"/>
      <c r="AQ582" s="450"/>
      <c r="AR582" s="450"/>
      <c r="AS582" s="450"/>
      <c r="AT582" s="450"/>
      <c r="AU582" s="450"/>
      <c r="AV582" s="450"/>
      <c r="AW582" s="450"/>
      <c r="AX582" s="450"/>
      <c r="AY582" s="450"/>
      <c r="AZ582" s="450"/>
      <c r="BA582" s="450"/>
      <c r="BB582" s="450"/>
      <c r="BC582" s="450"/>
      <c r="BD582" s="450"/>
      <c r="BE582" s="450"/>
      <c r="BF582" s="450"/>
      <c r="BG582" s="450"/>
      <c r="BH582" s="450"/>
      <c r="BI582" s="450"/>
      <c r="BJ582" s="450"/>
      <c r="BK582" s="450"/>
      <c r="BL582" s="450"/>
      <c r="BM582" s="450"/>
    </row>
    <row r="583" spans="1:65" ht="11.15">
      <c r="A583" s="450"/>
      <c r="B583" s="450"/>
      <c r="C583" s="450"/>
      <c r="D583" s="450"/>
      <c r="E583" s="450"/>
      <c r="F583" s="450"/>
      <c r="G583" s="450"/>
      <c r="H583" s="450"/>
      <c r="I583" s="450"/>
      <c r="J583" s="450"/>
      <c r="K583" s="450"/>
      <c r="L583" s="450"/>
      <c r="M583" s="450"/>
      <c r="N583" s="450"/>
      <c r="O583" s="450"/>
      <c r="P583" s="450"/>
      <c r="Q583" s="450"/>
      <c r="R583" s="450"/>
      <c r="S583" s="450"/>
      <c r="T583" s="450"/>
      <c r="U583" s="450"/>
      <c r="V583" s="450"/>
      <c r="W583" s="450"/>
      <c r="X583" s="450"/>
      <c r="Y583" s="450"/>
      <c r="Z583" s="450"/>
      <c r="AA583" s="450"/>
      <c r="AB583" s="450"/>
      <c r="AC583" s="450"/>
      <c r="AD583" s="450"/>
      <c r="AE583" s="450"/>
      <c r="AF583" s="450"/>
      <c r="AG583" s="450"/>
      <c r="AH583" s="450"/>
      <c r="AI583" s="450"/>
      <c r="AJ583" s="450"/>
      <c r="AK583" s="450"/>
      <c r="AL583" s="450"/>
      <c r="AM583" s="450"/>
      <c r="AN583" s="450"/>
      <c r="AO583" s="450"/>
      <c r="AP583" s="450"/>
      <c r="AQ583" s="450"/>
      <c r="AR583" s="450"/>
      <c r="AS583" s="450"/>
      <c r="AT583" s="450"/>
      <c r="AU583" s="450"/>
      <c r="AV583" s="450"/>
      <c r="AW583" s="450"/>
      <c r="AX583" s="450"/>
      <c r="AY583" s="450"/>
      <c r="AZ583" s="450"/>
      <c r="BA583" s="450"/>
      <c r="BB583" s="450"/>
      <c r="BC583" s="450"/>
      <c r="BD583" s="450"/>
      <c r="BE583" s="450"/>
      <c r="BF583" s="450"/>
      <c r="BG583" s="450"/>
      <c r="BH583" s="450"/>
      <c r="BI583" s="450"/>
      <c r="BJ583" s="450"/>
      <c r="BK583" s="450"/>
      <c r="BL583" s="450"/>
      <c r="BM583" s="450"/>
    </row>
    <row r="584" spans="1:65" ht="11.15">
      <c r="A584" s="450"/>
      <c r="B584" s="450"/>
      <c r="C584" s="450"/>
      <c r="D584" s="450"/>
      <c r="E584" s="450"/>
      <c r="F584" s="450"/>
      <c r="G584" s="450"/>
      <c r="H584" s="450"/>
      <c r="I584" s="450"/>
      <c r="J584" s="450"/>
      <c r="K584" s="450"/>
      <c r="L584" s="450"/>
      <c r="M584" s="450"/>
      <c r="N584" s="450"/>
      <c r="O584" s="450"/>
      <c r="P584" s="450"/>
      <c r="Q584" s="450"/>
      <c r="R584" s="450"/>
      <c r="S584" s="450"/>
      <c r="T584" s="450"/>
      <c r="U584" s="450"/>
      <c r="V584" s="450"/>
      <c r="W584" s="450"/>
      <c r="X584" s="450"/>
      <c r="Y584" s="450"/>
      <c r="Z584" s="450"/>
      <c r="AA584" s="450"/>
      <c r="AB584" s="450"/>
      <c r="AC584" s="450"/>
      <c r="AD584" s="450"/>
      <c r="AE584" s="450"/>
      <c r="AF584" s="450"/>
      <c r="AG584" s="450"/>
      <c r="AH584" s="450"/>
      <c r="AI584" s="450"/>
      <c r="AJ584" s="450"/>
      <c r="AK584" s="450"/>
      <c r="AL584" s="450"/>
      <c r="AM584" s="450"/>
      <c r="AN584" s="450"/>
      <c r="AO584" s="450"/>
      <c r="AP584" s="450"/>
      <c r="AQ584" s="450"/>
      <c r="AR584" s="450"/>
      <c r="AS584" s="450"/>
      <c r="AT584" s="450"/>
      <c r="AU584" s="450"/>
      <c r="AV584" s="450"/>
      <c r="AW584" s="450"/>
      <c r="AX584" s="450"/>
      <c r="AY584" s="450"/>
      <c r="AZ584" s="450"/>
      <c r="BA584" s="450"/>
      <c r="BB584" s="450"/>
      <c r="BC584" s="450"/>
      <c r="BD584" s="450"/>
      <c r="BE584" s="450"/>
      <c r="BF584" s="450"/>
      <c r="BG584" s="450"/>
      <c r="BH584" s="450"/>
      <c r="BI584" s="450"/>
      <c r="BJ584" s="450"/>
      <c r="BK584" s="450"/>
      <c r="BL584" s="450"/>
      <c r="BM584" s="450"/>
    </row>
    <row r="585" spans="1:65" ht="11.15">
      <c r="A585" s="450"/>
      <c r="B585" s="450"/>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c r="Z585" s="450"/>
      <c r="AA585" s="450"/>
      <c r="AB585" s="450"/>
      <c r="AC585" s="450"/>
      <c r="AD585" s="450"/>
      <c r="AE585" s="450"/>
      <c r="AF585" s="450"/>
      <c r="AG585" s="450"/>
      <c r="AH585" s="450"/>
      <c r="AI585" s="450"/>
      <c r="AJ585" s="450"/>
      <c r="AK585" s="450"/>
      <c r="AL585" s="450"/>
      <c r="AM585" s="450"/>
      <c r="AN585" s="450"/>
      <c r="AO585" s="450"/>
      <c r="AP585" s="450"/>
      <c r="AQ585" s="450"/>
      <c r="AR585" s="450"/>
      <c r="AS585" s="450"/>
      <c r="AT585" s="450"/>
      <c r="AU585" s="450"/>
      <c r="AV585" s="450"/>
      <c r="AW585" s="450"/>
      <c r="AX585" s="450"/>
      <c r="AY585" s="450"/>
      <c r="AZ585" s="450"/>
      <c r="BA585" s="450"/>
      <c r="BB585" s="450"/>
      <c r="BC585" s="450"/>
      <c r="BD585" s="450"/>
      <c r="BE585" s="450"/>
      <c r="BF585" s="450"/>
      <c r="BG585" s="450"/>
      <c r="BH585" s="450"/>
      <c r="BI585" s="450"/>
      <c r="BJ585" s="450"/>
      <c r="BK585" s="450"/>
      <c r="BL585" s="450"/>
      <c r="BM585" s="450"/>
    </row>
    <row r="586" spans="1:65" ht="11.15">
      <c r="A586" s="450"/>
      <c r="B586" s="450"/>
      <c r="C586" s="450"/>
      <c r="D586" s="450"/>
      <c r="E586" s="450"/>
      <c r="F586" s="450"/>
      <c r="G586" s="450"/>
      <c r="H586" s="450"/>
      <c r="I586" s="450"/>
      <c r="J586" s="450"/>
      <c r="K586" s="450"/>
      <c r="L586" s="450"/>
      <c r="M586" s="450"/>
      <c r="N586" s="450"/>
      <c r="O586" s="450"/>
      <c r="P586" s="450"/>
      <c r="Q586" s="450"/>
      <c r="R586" s="450"/>
      <c r="S586" s="450"/>
      <c r="T586" s="450"/>
      <c r="U586" s="450"/>
      <c r="V586" s="450"/>
      <c r="W586" s="450"/>
      <c r="X586" s="450"/>
      <c r="Y586" s="450"/>
      <c r="Z586" s="450"/>
      <c r="AA586" s="450"/>
      <c r="AB586" s="450"/>
      <c r="AC586" s="450"/>
      <c r="AD586" s="450"/>
      <c r="AE586" s="450"/>
      <c r="AF586" s="450"/>
      <c r="AG586" s="450"/>
      <c r="AH586" s="450"/>
      <c r="AI586" s="450"/>
      <c r="AJ586" s="450"/>
      <c r="AK586" s="450"/>
      <c r="AL586" s="450"/>
      <c r="AM586" s="450"/>
      <c r="AN586" s="450"/>
      <c r="AO586" s="450"/>
      <c r="AP586" s="450"/>
      <c r="AQ586" s="450"/>
      <c r="AR586" s="450"/>
      <c r="AS586" s="450"/>
      <c r="AT586" s="450"/>
      <c r="AU586" s="450"/>
      <c r="AV586" s="450"/>
      <c r="AW586" s="450"/>
      <c r="AX586" s="450"/>
      <c r="AY586" s="450"/>
      <c r="AZ586" s="450"/>
      <c r="BA586" s="450"/>
      <c r="BB586" s="450"/>
      <c r="BC586" s="450"/>
      <c r="BD586" s="450"/>
      <c r="BE586" s="450"/>
      <c r="BF586" s="450"/>
      <c r="BG586" s="450"/>
      <c r="BH586" s="450"/>
      <c r="BI586" s="450"/>
      <c r="BJ586" s="450"/>
      <c r="BK586" s="450"/>
      <c r="BL586" s="450"/>
      <c r="BM586" s="450"/>
    </row>
    <row r="587" spans="1:65" ht="11.15">
      <c r="A587" s="450"/>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c r="Z587" s="450"/>
      <c r="AA587" s="450"/>
      <c r="AB587" s="450"/>
      <c r="AC587" s="450"/>
      <c r="AD587" s="450"/>
      <c r="AE587" s="450"/>
      <c r="AF587" s="450"/>
      <c r="AG587" s="450"/>
      <c r="AH587" s="450"/>
      <c r="AI587" s="450"/>
      <c r="AJ587" s="450"/>
      <c r="AK587" s="450"/>
      <c r="AL587" s="450"/>
      <c r="AM587" s="450"/>
      <c r="AN587" s="450"/>
      <c r="AO587" s="450"/>
      <c r="AP587" s="450"/>
      <c r="AQ587" s="450"/>
      <c r="AR587" s="450"/>
      <c r="AS587" s="450"/>
      <c r="AT587" s="450"/>
      <c r="AU587" s="450"/>
      <c r="AV587" s="450"/>
      <c r="AW587" s="450"/>
      <c r="AX587" s="450"/>
      <c r="AY587" s="450"/>
      <c r="AZ587" s="450"/>
      <c r="BA587" s="450"/>
      <c r="BB587" s="450"/>
      <c r="BC587" s="450"/>
      <c r="BD587" s="450"/>
      <c r="BE587" s="450"/>
      <c r="BF587" s="450"/>
      <c r="BG587" s="450"/>
      <c r="BH587" s="450"/>
      <c r="BI587" s="450"/>
      <c r="BJ587" s="450"/>
      <c r="BK587" s="450"/>
      <c r="BL587" s="450"/>
      <c r="BM587" s="450"/>
    </row>
    <row r="588" spans="1:65" ht="11.15">
      <c r="A588" s="450"/>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c r="Z588" s="450"/>
      <c r="AA588" s="450"/>
      <c r="AB588" s="450"/>
      <c r="AC588" s="450"/>
      <c r="AD588" s="450"/>
      <c r="AE588" s="450"/>
      <c r="AF588" s="450"/>
      <c r="AG588" s="450"/>
      <c r="AH588" s="450"/>
      <c r="AI588" s="450"/>
      <c r="AJ588" s="450"/>
      <c r="AK588" s="450"/>
      <c r="AL588" s="450"/>
      <c r="AM588" s="450"/>
      <c r="AN588" s="450"/>
      <c r="AO588" s="450"/>
      <c r="AP588" s="450"/>
      <c r="AQ588" s="450"/>
      <c r="AR588" s="450"/>
      <c r="AS588" s="450"/>
      <c r="AT588" s="450"/>
      <c r="AU588" s="450"/>
      <c r="AV588" s="450"/>
      <c r="AW588" s="450"/>
      <c r="AX588" s="450"/>
      <c r="AY588" s="450"/>
      <c r="AZ588" s="450"/>
      <c r="BA588" s="450"/>
      <c r="BB588" s="450"/>
      <c r="BC588" s="450"/>
      <c r="BD588" s="450"/>
      <c r="BE588" s="450"/>
      <c r="BF588" s="450"/>
      <c r="BG588" s="450"/>
      <c r="BH588" s="450"/>
      <c r="BI588" s="450"/>
      <c r="BJ588" s="450"/>
      <c r="BK588" s="450"/>
      <c r="BL588" s="450"/>
      <c r="BM588" s="450"/>
    </row>
    <row r="589" spans="1:65" ht="11.15">
      <c r="A589" s="450"/>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c r="Z589" s="450"/>
      <c r="AA589" s="450"/>
      <c r="AB589" s="450"/>
      <c r="AC589" s="450"/>
      <c r="AD589" s="450"/>
      <c r="AE589" s="450"/>
      <c r="AF589" s="450"/>
      <c r="AG589" s="450"/>
      <c r="AH589" s="450"/>
      <c r="AI589" s="450"/>
      <c r="AJ589" s="450"/>
      <c r="AK589" s="450"/>
      <c r="AL589" s="450"/>
      <c r="AM589" s="450"/>
      <c r="AN589" s="450"/>
      <c r="AO589" s="450"/>
      <c r="AP589" s="450"/>
      <c r="AQ589" s="450"/>
      <c r="AR589" s="450"/>
      <c r="AS589" s="450"/>
      <c r="AT589" s="450"/>
      <c r="AU589" s="450"/>
      <c r="AV589" s="450"/>
      <c r="AW589" s="450"/>
      <c r="AX589" s="450"/>
      <c r="AY589" s="450"/>
      <c r="AZ589" s="450"/>
      <c r="BA589" s="450"/>
      <c r="BB589" s="450"/>
      <c r="BC589" s="450"/>
      <c r="BD589" s="450"/>
      <c r="BE589" s="450"/>
      <c r="BF589" s="450"/>
      <c r="BG589" s="450"/>
      <c r="BH589" s="450"/>
      <c r="BI589" s="450"/>
      <c r="BJ589" s="450"/>
      <c r="BK589" s="450"/>
      <c r="BL589" s="450"/>
      <c r="BM589" s="450"/>
    </row>
    <row r="590" spans="1:65" ht="11.15">
      <c r="A590" s="450"/>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c r="Z590" s="450"/>
      <c r="AA590" s="450"/>
      <c r="AB590" s="450"/>
      <c r="AC590" s="450"/>
      <c r="AD590" s="450"/>
      <c r="AE590" s="450"/>
      <c r="AF590" s="450"/>
      <c r="AG590" s="450"/>
      <c r="AH590" s="450"/>
      <c r="AI590" s="450"/>
      <c r="AJ590" s="450"/>
      <c r="AK590" s="450"/>
      <c r="AL590" s="450"/>
      <c r="AM590" s="450"/>
      <c r="AN590" s="450"/>
      <c r="AO590" s="450"/>
      <c r="AP590" s="450"/>
      <c r="AQ590" s="450"/>
      <c r="AR590" s="450"/>
      <c r="AS590" s="450"/>
      <c r="AT590" s="450"/>
      <c r="AU590" s="450"/>
      <c r="AV590" s="450"/>
      <c r="AW590" s="450"/>
      <c r="AX590" s="450"/>
      <c r="AY590" s="450"/>
      <c r="AZ590" s="450"/>
      <c r="BA590" s="450"/>
      <c r="BB590" s="450"/>
      <c r="BC590" s="450"/>
      <c r="BD590" s="450"/>
      <c r="BE590" s="450"/>
      <c r="BF590" s="450"/>
      <c r="BG590" s="450"/>
      <c r="BH590" s="450"/>
      <c r="BI590" s="450"/>
      <c r="BJ590" s="450"/>
      <c r="BK590" s="450"/>
      <c r="BL590" s="450"/>
      <c r="BM590" s="450"/>
    </row>
    <row r="591" spans="1:65" ht="11.15">
      <c r="A591" s="450"/>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c r="Z591" s="450"/>
      <c r="AA591" s="450"/>
      <c r="AB591" s="450"/>
      <c r="AC591" s="450"/>
      <c r="AD591" s="450"/>
      <c r="AE591" s="450"/>
      <c r="AF591" s="450"/>
      <c r="AG591" s="450"/>
      <c r="AH591" s="450"/>
      <c r="AI591" s="450"/>
      <c r="AJ591" s="450"/>
      <c r="AK591" s="450"/>
      <c r="AL591" s="450"/>
      <c r="AM591" s="450"/>
      <c r="AN591" s="450"/>
      <c r="AO591" s="450"/>
      <c r="AP591" s="450"/>
      <c r="AQ591" s="450"/>
      <c r="AR591" s="450"/>
      <c r="AS591" s="450"/>
      <c r="AT591" s="450"/>
      <c r="AU591" s="450"/>
      <c r="AV591" s="450"/>
      <c r="AW591" s="450"/>
      <c r="AX591" s="450"/>
      <c r="AY591" s="450"/>
      <c r="AZ591" s="450"/>
      <c r="BA591" s="450"/>
      <c r="BB591" s="450"/>
      <c r="BC591" s="450"/>
      <c r="BD591" s="450"/>
      <c r="BE591" s="450"/>
      <c r="BF591" s="450"/>
      <c r="BG591" s="450"/>
      <c r="BH591" s="450"/>
      <c r="BI591" s="450"/>
      <c r="BJ591" s="450"/>
      <c r="BK591" s="450"/>
      <c r="BL591" s="450"/>
      <c r="BM591" s="450"/>
    </row>
    <row r="592" spans="1:65" ht="11.15">
      <c r="A592" s="450"/>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c r="Z592" s="450"/>
      <c r="AA592" s="450"/>
      <c r="AB592" s="450"/>
      <c r="AC592" s="450"/>
      <c r="AD592" s="450"/>
      <c r="AE592" s="450"/>
      <c r="AF592" s="450"/>
      <c r="AG592" s="450"/>
      <c r="AH592" s="450"/>
      <c r="AI592" s="450"/>
      <c r="AJ592" s="450"/>
      <c r="AK592" s="450"/>
      <c r="AL592" s="450"/>
      <c r="AM592" s="450"/>
      <c r="AN592" s="450"/>
      <c r="AO592" s="450"/>
      <c r="AP592" s="450"/>
      <c r="AQ592" s="450"/>
      <c r="AR592" s="450"/>
      <c r="AS592" s="450"/>
      <c r="AT592" s="450"/>
      <c r="AU592" s="450"/>
      <c r="AV592" s="450"/>
      <c r="AW592" s="450"/>
      <c r="AX592" s="450"/>
      <c r="AY592" s="450"/>
      <c r="AZ592" s="450"/>
      <c r="BA592" s="450"/>
      <c r="BB592" s="450"/>
      <c r="BC592" s="450"/>
      <c r="BD592" s="450"/>
      <c r="BE592" s="450"/>
      <c r="BF592" s="450"/>
      <c r="BG592" s="450"/>
      <c r="BH592" s="450"/>
      <c r="BI592" s="450"/>
      <c r="BJ592" s="450"/>
      <c r="BK592" s="450"/>
      <c r="BL592" s="450"/>
      <c r="BM592" s="450"/>
    </row>
    <row r="593" spans="1:65" ht="11.15">
      <c r="A593" s="450"/>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c r="Z593" s="450"/>
      <c r="AA593" s="450"/>
      <c r="AB593" s="450"/>
      <c r="AC593" s="450"/>
      <c r="AD593" s="450"/>
      <c r="AE593" s="450"/>
      <c r="AF593" s="450"/>
      <c r="AG593" s="450"/>
      <c r="AH593" s="450"/>
      <c r="AI593" s="450"/>
      <c r="AJ593" s="450"/>
      <c r="AK593" s="450"/>
      <c r="AL593" s="450"/>
      <c r="AM593" s="450"/>
      <c r="AN593" s="450"/>
      <c r="AO593" s="450"/>
      <c r="AP593" s="450"/>
      <c r="AQ593" s="450"/>
      <c r="AR593" s="450"/>
      <c r="AS593" s="450"/>
      <c r="AT593" s="450"/>
      <c r="AU593" s="450"/>
      <c r="AV593" s="450"/>
      <c r="AW593" s="450"/>
      <c r="AX593" s="450"/>
      <c r="AY593" s="450"/>
      <c r="AZ593" s="450"/>
      <c r="BA593" s="450"/>
      <c r="BB593" s="450"/>
      <c r="BC593" s="450"/>
      <c r="BD593" s="450"/>
      <c r="BE593" s="450"/>
      <c r="BF593" s="450"/>
      <c r="BG593" s="450"/>
      <c r="BH593" s="450"/>
      <c r="BI593" s="450"/>
      <c r="BJ593" s="450"/>
      <c r="BK593" s="450"/>
      <c r="BL593" s="450"/>
      <c r="BM593" s="450"/>
    </row>
    <row r="594" spans="1:65" ht="11.15">
      <c r="A594" s="450"/>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c r="Z594" s="450"/>
      <c r="AA594" s="450"/>
      <c r="AB594" s="450"/>
      <c r="AC594" s="450"/>
      <c r="AD594" s="450"/>
      <c r="AE594" s="450"/>
      <c r="AF594" s="450"/>
      <c r="AG594" s="450"/>
      <c r="AH594" s="450"/>
      <c r="AI594" s="450"/>
      <c r="AJ594" s="450"/>
      <c r="AK594" s="450"/>
      <c r="AL594" s="450"/>
      <c r="AM594" s="450"/>
      <c r="AN594" s="450"/>
      <c r="AO594" s="450"/>
      <c r="AP594" s="450"/>
      <c r="AQ594" s="450"/>
      <c r="AR594" s="450"/>
      <c r="AS594" s="450"/>
      <c r="AT594" s="450"/>
      <c r="AU594" s="450"/>
      <c r="AV594" s="450"/>
      <c r="AW594" s="450"/>
      <c r="AX594" s="450"/>
      <c r="AY594" s="450"/>
      <c r="AZ594" s="450"/>
      <c r="BA594" s="450"/>
      <c r="BB594" s="450"/>
      <c r="BC594" s="450"/>
      <c r="BD594" s="450"/>
      <c r="BE594" s="450"/>
      <c r="BF594" s="450"/>
      <c r="BG594" s="450"/>
      <c r="BH594" s="450"/>
      <c r="BI594" s="450"/>
      <c r="BJ594" s="450"/>
      <c r="BK594" s="450"/>
      <c r="BL594" s="450"/>
      <c r="BM594" s="450"/>
    </row>
    <row r="595" spans="1:65" ht="11.15">
      <c r="A595" s="450"/>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c r="Z595" s="450"/>
      <c r="AA595" s="450"/>
      <c r="AB595" s="450"/>
      <c r="AC595" s="450"/>
      <c r="AD595" s="450"/>
      <c r="AE595" s="450"/>
      <c r="AF595" s="450"/>
      <c r="AG595" s="450"/>
      <c r="AH595" s="450"/>
      <c r="AI595" s="450"/>
      <c r="AJ595" s="450"/>
      <c r="AK595" s="450"/>
      <c r="AL595" s="450"/>
      <c r="AM595" s="450"/>
      <c r="AN595" s="450"/>
      <c r="AO595" s="450"/>
      <c r="AP595" s="450"/>
      <c r="AQ595" s="450"/>
      <c r="AR595" s="450"/>
      <c r="AS595" s="450"/>
      <c r="AT595" s="450"/>
      <c r="AU595" s="450"/>
      <c r="AV595" s="450"/>
      <c r="AW595" s="450"/>
      <c r="AX595" s="450"/>
      <c r="AY595" s="450"/>
      <c r="AZ595" s="450"/>
      <c r="BA595" s="450"/>
      <c r="BB595" s="450"/>
      <c r="BC595" s="450"/>
      <c r="BD595" s="450"/>
      <c r="BE595" s="450"/>
      <c r="BF595" s="450"/>
      <c r="BG595" s="450"/>
      <c r="BH595" s="450"/>
      <c r="BI595" s="450"/>
      <c r="BJ595" s="450"/>
      <c r="BK595" s="450"/>
      <c r="BL595" s="450"/>
      <c r="BM595" s="450"/>
    </row>
    <row r="596" spans="1:65" ht="11.15">
      <c r="A596" s="450"/>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450"/>
      <c r="AE596" s="450"/>
      <c r="AF596" s="450"/>
      <c r="AG596" s="450"/>
      <c r="AH596" s="450"/>
      <c r="AI596" s="450"/>
      <c r="AJ596" s="450"/>
      <c r="AK596" s="450"/>
      <c r="AL596" s="450"/>
      <c r="AM596" s="450"/>
      <c r="AN596" s="450"/>
      <c r="AO596" s="450"/>
      <c r="AP596" s="450"/>
      <c r="AQ596" s="450"/>
      <c r="AR596" s="450"/>
      <c r="AS596" s="450"/>
      <c r="AT596" s="450"/>
      <c r="AU596" s="450"/>
      <c r="AV596" s="450"/>
      <c r="AW596" s="450"/>
      <c r="AX596" s="450"/>
      <c r="AY596" s="450"/>
      <c r="AZ596" s="450"/>
      <c r="BA596" s="450"/>
      <c r="BB596" s="450"/>
      <c r="BC596" s="450"/>
      <c r="BD596" s="450"/>
      <c r="BE596" s="450"/>
      <c r="BF596" s="450"/>
      <c r="BG596" s="450"/>
      <c r="BH596" s="450"/>
      <c r="BI596" s="450"/>
      <c r="BJ596" s="450"/>
      <c r="BK596" s="450"/>
      <c r="BL596" s="450"/>
      <c r="BM596" s="450"/>
    </row>
    <row r="597" spans="1:65" ht="11.15">
      <c r="A597" s="450"/>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c r="Z597" s="450"/>
      <c r="AA597" s="450"/>
      <c r="AB597" s="450"/>
      <c r="AC597" s="450"/>
      <c r="AD597" s="450"/>
      <c r="AE597" s="450"/>
      <c r="AF597" s="450"/>
      <c r="AG597" s="450"/>
      <c r="AH597" s="450"/>
      <c r="AI597" s="450"/>
      <c r="AJ597" s="450"/>
      <c r="AK597" s="450"/>
      <c r="AL597" s="450"/>
      <c r="AM597" s="450"/>
      <c r="AN597" s="450"/>
      <c r="AO597" s="450"/>
      <c r="AP597" s="450"/>
      <c r="AQ597" s="450"/>
      <c r="AR597" s="450"/>
      <c r="AS597" s="450"/>
      <c r="AT597" s="450"/>
      <c r="AU597" s="450"/>
      <c r="AV597" s="450"/>
      <c r="AW597" s="450"/>
      <c r="AX597" s="450"/>
      <c r="AY597" s="450"/>
      <c r="AZ597" s="450"/>
      <c r="BA597" s="450"/>
      <c r="BB597" s="450"/>
      <c r="BC597" s="450"/>
      <c r="BD597" s="450"/>
      <c r="BE597" s="450"/>
      <c r="BF597" s="450"/>
      <c r="BG597" s="450"/>
      <c r="BH597" s="450"/>
      <c r="BI597" s="450"/>
      <c r="BJ597" s="450"/>
      <c r="BK597" s="450"/>
      <c r="BL597" s="450"/>
      <c r="BM597" s="450"/>
    </row>
    <row r="598" spans="1:65" ht="11.15">
      <c r="A598" s="450"/>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c r="Z598" s="450"/>
      <c r="AA598" s="450"/>
      <c r="AB598" s="450"/>
      <c r="AC598" s="450"/>
      <c r="AD598" s="450"/>
      <c r="AE598" s="450"/>
      <c r="AF598" s="450"/>
      <c r="AG598" s="450"/>
      <c r="AH598" s="450"/>
      <c r="AI598" s="450"/>
      <c r="AJ598" s="450"/>
      <c r="AK598" s="450"/>
      <c r="AL598" s="450"/>
      <c r="AM598" s="450"/>
      <c r="AN598" s="450"/>
      <c r="AO598" s="450"/>
      <c r="AP598" s="450"/>
      <c r="AQ598" s="450"/>
      <c r="AR598" s="450"/>
      <c r="AS598" s="450"/>
      <c r="AT598" s="450"/>
      <c r="AU598" s="450"/>
      <c r="AV598" s="450"/>
      <c r="AW598" s="450"/>
      <c r="AX598" s="450"/>
      <c r="AY598" s="450"/>
      <c r="AZ598" s="450"/>
      <c r="BA598" s="450"/>
      <c r="BB598" s="450"/>
      <c r="BC598" s="450"/>
      <c r="BD598" s="450"/>
      <c r="BE598" s="450"/>
      <c r="BF598" s="450"/>
      <c r="BG598" s="450"/>
      <c r="BH598" s="450"/>
      <c r="BI598" s="450"/>
      <c r="BJ598" s="450"/>
      <c r="BK598" s="450"/>
      <c r="BL598" s="450"/>
      <c r="BM598" s="450"/>
    </row>
    <row r="599" spans="1:65" ht="11.15">
      <c r="A599" s="450"/>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c r="Z599" s="450"/>
      <c r="AA599" s="450"/>
      <c r="AB599" s="450"/>
      <c r="AC599" s="450"/>
      <c r="AD599" s="450"/>
      <c r="AE599" s="450"/>
      <c r="AF599" s="450"/>
      <c r="AG599" s="450"/>
      <c r="AH599" s="450"/>
      <c r="AI599" s="450"/>
      <c r="AJ599" s="450"/>
      <c r="AK599" s="450"/>
      <c r="AL599" s="450"/>
      <c r="AM599" s="450"/>
      <c r="AN599" s="450"/>
      <c r="AO599" s="450"/>
      <c r="AP599" s="450"/>
      <c r="AQ599" s="450"/>
      <c r="AR599" s="450"/>
      <c r="AS599" s="450"/>
      <c r="AT599" s="450"/>
      <c r="AU599" s="450"/>
      <c r="AV599" s="450"/>
      <c r="AW599" s="450"/>
      <c r="AX599" s="450"/>
      <c r="AY599" s="450"/>
      <c r="AZ599" s="450"/>
      <c r="BA599" s="450"/>
      <c r="BB599" s="450"/>
      <c r="BC599" s="450"/>
      <c r="BD599" s="450"/>
      <c r="BE599" s="450"/>
      <c r="BF599" s="450"/>
      <c r="BG599" s="450"/>
      <c r="BH599" s="450"/>
      <c r="BI599" s="450"/>
      <c r="BJ599" s="450"/>
      <c r="BK599" s="450"/>
      <c r="BL599" s="450"/>
      <c r="BM599" s="450"/>
    </row>
    <row r="600" spans="1:65" ht="11.15">
      <c r="A600" s="450"/>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c r="Z600" s="450"/>
      <c r="AA600" s="450"/>
      <c r="AB600" s="450"/>
      <c r="AC600" s="450"/>
      <c r="AD600" s="450"/>
      <c r="AE600" s="450"/>
      <c r="AF600" s="450"/>
      <c r="AG600" s="450"/>
      <c r="AH600" s="450"/>
      <c r="AI600" s="450"/>
      <c r="AJ600" s="450"/>
      <c r="AK600" s="450"/>
      <c r="AL600" s="450"/>
      <c r="AM600" s="450"/>
      <c r="AN600" s="450"/>
      <c r="AO600" s="450"/>
      <c r="AP600" s="450"/>
      <c r="AQ600" s="450"/>
      <c r="AR600" s="450"/>
      <c r="AS600" s="450"/>
      <c r="AT600" s="450"/>
      <c r="AU600" s="450"/>
      <c r="AV600" s="450"/>
      <c r="AW600" s="450"/>
      <c r="AX600" s="450"/>
      <c r="AY600" s="450"/>
      <c r="AZ600" s="450"/>
      <c r="BA600" s="450"/>
      <c r="BB600" s="450"/>
      <c r="BC600" s="450"/>
      <c r="BD600" s="450"/>
      <c r="BE600" s="450"/>
      <c r="BF600" s="450"/>
      <c r="BG600" s="450"/>
      <c r="BH600" s="450"/>
      <c r="BI600" s="450"/>
      <c r="BJ600" s="450"/>
      <c r="BK600" s="450"/>
      <c r="BL600" s="450"/>
      <c r="BM600" s="450"/>
    </row>
    <row r="601" spans="1:65" ht="11.15">
      <c r="A601" s="450"/>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c r="Z601" s="450"/>
      <c r="AA601" s="450"/>
      <c r="AB601" s="450"/>
      <c r="AC601" s="450"/>
      <c r="AD601" s="450"/>
      <c r="AE601" s="450"/>
      <c r="AF601" s="450"/>
      <c r="AG601" s="450"/>
      <c r="AH601" s="450"/>
      <c r="AI601" s="450"/>
      <c r="AJ601" s="450"/>
      <c r="AK601" s="450"/>
      <c r="AL601" s="450"/>
      <c r="AM601" s="450"/>
      <c r="AN601" s="450"/>
      <c r="AO601" s="450"/>
      <c r="AP601" s="450"/>
      <c r="AQ601" s="450"/>
      <c r="AR601" s="450"/>
      <c r="AS601" s="450"/>
      <c r="AT601" s="450"/>
      <c r="AU601" s="450"/>
      <c r="AV601" s="450"/>
      <c r="AW601" s="450"/>
      <c r="AX601" s="450"/>
      <c r="AY601" s="450"/>
      <c r="AZ601" s="450"/>
      <c r="BA601" s="450"/>
      <c r="BB601" s="450"/>
      <c r="BC601" s="450"/>
      <c r="BD601" s="450"/>
      <c r="BE601" s="450"/>
      <c r="BF601" s="450"/>
      <c r="BG601" s="450"/>
      <c r="BH601" s="450"/>
      <c r="BI601" s="450"/>
      <c r="BJ601" s="450"/>
      <c r="BK601" s="450"/>
      <c r="BL601" s="450"/>
      <c r="BM601" s="450"/>
    </row>
    <row r="602" spans="1:65" ht="11.15">
      <c r="A602" s="450"/>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c r="Z602" s="450"/>
      <c r="AA602" s="450"/>
      <c r="AB602" s="450"/>
      <c r="AC602" s="450"/>
      <c r="AD602" s="450"/>
      <c r="AE602" s="450"/>
      <c r="AF602" s="450"/>
      <c r="AG602" s="450"/>
      <c r="AH602" s="450"/>
      <c r="AI602" s="450"/>
      <c r="AJ602" s="450"/>
      <c r="AK602" s="450"/>
      <c r="AL602" s="450"/>
      <c r="AM602" s="450"/>
      <c r="AN602" s="450"/>
      <c r="AO602" s="450"/>
      <c r="AP602" s="450"/>
      <c r="AQ602" s="450"/>
      <c r="AR602" s="450"/>
      <c r="AS602" s="450"/>
      <c r="AT602" s="450"/>
      <c r="AU602" s="450"/>
      <c r="AV602" s="450"/>
      <c r="AW602" s="450"/>
      <c r="AX602" s="450"/>
      <c r="AY602" s="450"/>
      <c r="AZ602" s="450"/>
      <c r="BA602" s="450"/>
      <c r="BB602" s="450"/>
      <c r="BC602" s="450"/>
      <c r="BD602" s="450"/>
      <c r="BE602" s="450"/>
      <c r="BF602" s="450"/>
      <c r="BG602" s="450"/>
      <c r="BH602" s="450"/>
      <c r="BI602" s="450"/>
      <c r="BJ602" s="450"/>
      <c r="BK602" s="450"/>
      <c r="BL602" s="450"/>
      <c r="BM602" s="450"/>
    </row>
    <row r="603" spans="1:65" ht="11.15">
      <c r="A603" s="450"/>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c r="Z603" s="450"/>
      <c r="AA603" s="450"/>
      <c r="AB603" s="450"/>
      <c r="AC603" s="450"/>
      <c r="AD603" s="450"/>
      <c r="AE603" s="450"/>
      <c r="AF603" s="450"/>
      <c r="AG603" s="450"/>
      <c r="AH603" s="450"/>
      <c r="AI603" s="450"/>
      <c r="AJ603" s="450"/>
      <c r="AK603" s="450"/>
      <c r="AL603" s="450"/>
      <c r="AM603" s="450"/>
      <c r="AN603" s="450"/>
      <c r="AO603" s="450"/>
      <c r="AP603" s="450"/>
      <c r="AQ603" s="450"/>
      <c r="AR603" s="450"/>
      <c r="AS603" s="450"/>
      <c r="AT603" s="450"/>
      <c r="AU603" s="450"/>
      <c r="AV603" s="450"/>
      <c r="AW603" s="450"/>
      <c r="AX603" s="450"/>
      <c r="AY603" s="450"/>
      <c r="AZ603" s="450"/>
      <c r="BA603" s="450"/>
      <c r="BB603" s="450"/>
      <c r="BC603" s="450"/>
      <c r="BD603" s="450"/>
      <c r="BE603" s="450"/>
      <c r="BF603" s="450"/>
      <c r="BG603" s="450"/>
      <c r="BH603" s="450"/>
      <c r="BI603" s="450"/>
      <c r="BJ603" s="450"/>
      <c r="BK603" s="450"/>
      <c r="BL603" s="450"/>
      <c r="BM603" s="450"/>
    </row>
    <row r="604" spans="1:65" ht="11.15">
      <c r="A604" s="450"/>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c r="AA604" s="450"/>
      <c r="AB604" s="450"/>
      <c r="AC604" s="450"/>
      <c r="AD604" s="450"/>
      <c r="AE604" s="450"/>
      <c r="AF604" s="450"/>
      <c r="AG604" s="450"/>
      <c r="AH604" s="450"/>
      <c r="AI604" s="450"/>
      <c r="AJ604" s="450"/>
      <c r="AK604" s="450"/>
      <c r="AL604" s="450"/>
      <c r="AM604" s="450"/>
      <c r="AN604" s="450"/>
      <c r="AO604" s="450"/>
      <c r="AP604" s="450"/>
      <c r="AQ604" s="450"/>
      <c r="AR604" s="450"/>
      <c r="AS604" s="450"/>
      <c r="AT604" s="450"/>
      <c r="AU604" s="450"/>
      <c r="AV604" s="450"/>
      <c r="AW604" s="450"/>
      <c r="AX604" s="450"/>
      <c r="AY604" s="450"/>
      <c r="AZ604" s="450"/>
      <c r="BA604" s="450"/>
      <c r="BB604" s="450"/>
      <c r="BC604" s="450"/>
      <c r="BD604" s="450"/>
      <c r="BE604" s="450"/>
      <c r="BF604" s="450"/>
      <c r="BG604" s="450"/>
      <c r="BH604" s="450"/>
      <c r="BI604" s="450"/>
      <c r="BJ604" s="450"/>
      <c r="BK604" s="450"/>
      <c r="BL604" s="450"/>
      <c r="BM604" s="450"/>
    </row>
    <row r="605" spans="1:65" ht="11.15">
      <c r="A605" s="450"/>
      <c r="B605" s="450"/>
      <c r="C605" s="450"/>
      <c r="D605" s="450"/>
      <c r="E605" s="450"/>
      <c r="F605" s="450"/>
      <c r="G605" s="450"/>
      <c r="H605" s="450"/>
      <c r="I605" s="450"/>
      <c r="J605" s="450"/>
      <c r="K605" s="450"/>
      <c r="L605" s="450"/>
      <c r="M605" s="450"/>
      <c r="N605" s="450"/>
      <c r="O605" s="450"/>
      <c r="P605" s="450"/>
      <c r="Q605" s="450"/>
      <c r="R605" s="450"/>
      <c r="S605" s="450"/>
      <c r="T605" s="450"/>
      <c r="U605" s="450"/>
      <c r="V605" s="450"/>
      <c r="W605" s="450"/>
      <c r="X605" s="450"/>
      <c r="Y605" s="450"/>
      <c r="Z605" s="450"/>
      <c r="AA605" s="450"/>
      <c r="AB605" s="450"/>
      <c r="AC605" s="450"/>
      <c r="AD605" s="450"/>
      <c r="AE605" s="450"/>
      <c r="AF605" s="450"/>
      <c r="AG605" s="450"/>
      <c r="AH605" s="450"/>
      <c r="AI605" s="450"/>
      <c r="AJ605" s="450"/>
      <c r="AK605" s="450"/>
      <c r="AL605" s="450"/>
      <c r="AM605" s="450"/>
      <c r="AN605" s="450"/>
      <c r="AO605" s="450"/>
      <c r="AP605" s="450"/>
      <c r="AQ605" s="450"/>
      <c r="AR605" s="450"/>
      <c r="AS605" s="450"/>
      <c r="AT605" s="450"/>
      <c r="AU605" s="450"/>
      <c r="AV605" s="450"/>
      <c r="AW605" s="450"/>
      <c r="AX605" s="450"/>
      <c r="AY605" s="450"/>
      <c r="AZ605" s="450"/>
      <c r="BA605" s="450"/>
      <c r="BB605" s="450"/>
      <c r="BC605" s="450"/>
      <c r="BD605" s="450"/>
      <c r="BE605" s="450"/>
      <c r="BF605" s="450"/>
      <c r="BG605" s="450"/>
      <c r="BH605" s="450"/>
      <c r="BI605" s="450"/>
      <c r="BJ605" s="450"/>
      <c r="BK605" s="450"/>
      <c r="BL605" s="450"/>
      <c r="BM605" s="450"/>
    </row>
    <row r="606" spans="1:65" ht="11.15">
      <c r="A606" s="450"/>
      <c r="B606" s="450"/>
      <c r="C606" s="450"/>
      <c r="D606" s="450"/>
      <c r="E606" s="450"/>
      <c r="F606" s="450"/>
      <c r="G606" s="450"/>
      <c r="H606" s="450"/>
      <c r="I606" s="450"/>
      <c r="J606" s="450"/>
      <c r="K606" s="450"/>
      <c r="L606" s="450"/>
      <c r="M606" s="450"/>
      <c r="N606" s="450"/>
      <c r="O606" s="450"/>
      <c r="P606" s="450"/>
      <c r="Q606" s="450"/>
      <c r="R606" s="450"/>
      <c r="S606" s="450"/>
      <c r="T606" s="450"/>
      <c r="U606" s="450"/>
      <c r="V606" s="450"/>
      <c r="W606" s="450"/>
      <c r="X606" s="450"/>
      <c r="Y606" s="450"/>
      <c r="Z606" s="450"/>
      <c r="AA606" s="450"/>
      <c r="AB606" s="450"/>
      <c r="AC606" s="450"/>
      <c r="AD606" s="450"/>
      <c r="AE606" s="450"/>
      <c r="AF606" s="450"/>
      <c r="AG606" s="450"/>
      <c r="AH606" s="450"/>
      <c r="AI606" s="450"/>
      <c r="AJ606" s="450"/>
      <c r="AK606" s="450"/>
      <c r="AL606" s="450"/>
      <c r="AM606" s="450"/>
      <c r="AN606" s="450"/>
      <c r="AO606" s="450"/>
      <c r="AP606" s="450"/>
      <c r="AQ606" s="450"/>
      <c r="AR606" s="450"/>
      <c r="AS606" s="450"/>
      <c r="AT606" s="450"/>
      <c r="AU606" s="450"/>
      <c r="AV606" s="450"/>
      <c r="AW606" s="450"/>
      <c r="AX606" s="450"/>
      <c r="AY606" s="450"/>
      <c r="AZ606" s="450"/>
      <c r="BA606" s="450"/>
      <c r="BB606" s="450"/>
      <c r="BC606" s="450"/>
      <c r="BD606" s="450"/>
      <c r="BE606" s="450"/>
      <c r="BF606" s="450"/>
      <c r="BG606" s="450"/>
      <c r="BH606" s="450"/>
      <c r="BI606" s="450"/>
      <c r="BJ606" s="450"/>
      <c r="BK606" s="450"/>
      <c r="BL606" s="450"/>
      <c r="BM606" s="450"/>
    </row>
    <row r="607" spans="1:65" ht="11.15">
      <c r="A607" s="450"/>
      <c r="B607" s="450"/>
      <c r="C607" s="450"/>
      <c r="D607" s="450"/>
      <c r="E607" s="450"/>
      <c r="F607" s="450"/>
      <c r="G607" s="450"/>
      <c r="H607" s="450"/>
      <c r="I607" s="450"/>
      <c r="J607" s="450"/>
      <c r="K607" s="450"/>
      <c r="L607" s="450"/>
      <c r="M607" s="450"/>
      <c r="N607" s="450"/>
      <c r="O607" s="450"/>
      <c r="P607" s="450"/>
      <c r="Q607" s="450"/>
      <c r="R607" s="450"/>
      <c r="S607" s="450"/>
      <c r="T607" s="450"/>
      <c r="U607" s="450"/>
      <c r="V607" s="450"/>
      <c r="W607" s="450"/>
      <c r="X607" s="450"/>
      <c r="Y607" s="450"/>
      <c r="Z607" s="450"/>
      <c r="AA607" s="450"/>
      <c r="AB607" s="450"/>
      <c r="AC607" s="450"/>
      <c r="AD607" s="450"/>
      <c r="AE607" s="450"/>
      <c r="AF607" s="450"/>
      <c r="AG607" s="450"/>
      <c r="AH607" s="450"/>
      <c r="AI607" s="450"/>
      <c r="AJ607" s="450"/>
      <c r="AK607" s="450"/>
      <c r="AL607" s="450"/>
      <c r="AM607" s="450"/>
      <c r="AN607" s="450"/>
      <c r="AO607" s="450"/>
      <c r="AP607" s="450"/>
      <c r="AQ607" s="450"/>
      <c r="AR607" s="450"/>
      <c r="AS607" s="450"/>
      <c r="AT607" s="450"/>
      <c r="AU607" s="450"/>
      <c r="AV607" s="450"/>
      <c r="AW607" s="450"/>
      <c r="AX607" s="450"/>
      <c r="AY607" s="450"/>
      <c r="AZ607" s="450"/>
      <c r="BA607" s="450"/>
      <c r="BB607" s="450"/>
      <c r="BC607" s="450"/>
      <c r="BD607" s="450"/>
      <c r="BE607" s="450"/>
      <c r="BF607" s="450"/>
      <c r="BG607" s="450"/>
      <c r="BH607" s="450"/>
      <c r="BI607" s="450"/>
      <c r="BJ607" s="450"/>
      <c r="BK607" s="450"/>
      <c r="BL607" s="450"/>
      <c r="BM607" s="450"/>
    </row>
    <row r="608" spans="1:65" ht="11.15">
      <c r="A608" s="450"/>
      <c r="B608" s="450"/>
      <c r="C608" s="450"/>
      <c r="D608" s="450"/>
      <c r="E608" s="450"/>
      <c r="F608" s="450"/>
      <c r="G608" s="450"/>
      <c r="H608" s="450"/>
      <c r="I608" s="450"/>
      <c r="J608" s="450"/>
      <c r="K608" s="450"/>
      <c r="L608" s="450"/>
      <c r="M608" s="450"/>
      <c r="N608" s="450"/>
      <c r="O608" s="450"/>
      <c r="P608" s="450"/>
      <c r="Q608" s="450"/>
      <c r="R608" s="450"/>
      <c r="S608" s="450"/>
      <c r="T608" s="450"/>
      <c r="U608" s="450"/>
      <c r="V608" s="450"/>
      <c r="W608" s="450"/>
      <c r="X608" s="450"/>
      <c r="Y608" s="450"/>
      <c r="Z608" s="450"/>
      <c r="AA608" s="450"/>
      <c r="AB608" s="450"/>
      <c r="AC608" s="450"/>
      <c r="AD608" s="450"/>
      <c r="AE608" s="450"/>
      <c r="AF608" s="450"/>
      <c r="AG608" s="450"/>
      <c r="AH608" s="450"/>
      <c r="AI608" s="450"/>
      <c r="AJ608" s="450"/>
      <c r="AK608" s="450"/>
      <c r="AL608" s="450"/>
      <c r="AM608" s="450"/>
      <c r="AN608" s="450"/>
      <c r="AO608" s="450"/>
      <c r="AP608" s="450"/>
      <c r="AQ608" s="450"/>
      <c r="AR608" s="450"/>
      <c r="AS608" s="450"/>
      <c r="AT608" s="450"/>
      <c r="AU608" s="450"/>
      <c r="AV608" s="450"/>
      <c r="AW608" s="450"/>
      <c r="AX608" s="450"/>
      <c r="AY608" s="450"/>
      <c r="AZ608" s="450"/>
      <c r="BA608" s="450"/>
      <c r="BB608" s="450"/>
      <c r="BC608" s="450"/>
      <c r="BD608" s="450"/>
      <c r="BE608" s="450"/>
      <c r="BF608" s="450"/>
      <c r="BG608" s="450"/>
      <c r="BH608" s="450"/>
      <c r="BI608" s="450"/>
      <c r="BJ608" s="450"/>
      <c r="BK608" s="450"/>
      <c r="BL608" s="450"/>
      <c r="BM608" s="450"/>
    </row>
    <row r="609" spans="1:65" ht="11.15">
      <c r="A609" s="450"/>
      <c r="B609" s="450"/>
      <c r="C609" s="450"/>
      <c r="D609" s="450"/>
      <c r="E609" s="450"/>
      <c r="F609" s="450"/>
      <c r="G609" s="450"/>
      <c r="H609" s="450"/>
      <c r="I609" s="450"/>
      <c r="J609" s="450"/>
      <c r="K609" s="450"/>
      <c r="L609" s="450"/>
      <c r="M609" s="450"/>
      <c r="N609" s="450"/>
      <c r="O609" s="450"/>
      <c r="P609" s="450"/>
      <c r="Q609" s="450"/>
      <c r="R609" s="450"/>
      <c r="S609" s="450"/>
      <c r="T609" s="450"/>
      <c r="U609" s="450"/>
      <c r="V609" s="450"/>
      <c r="W609" s="450"/>
      <c r="X609" s="450"/>
      <c r="Y609" s="450"/>
      <c r="Z609" s="450"/>
      <c r="AA609" s="450"/>
      <c r="AB609" s="450"/>
      <c r="AC609" s="450"/>
      <c r="AD609" s="450"/>
      <c r="AE609" s="450"/>
      <c r="AF609" s="450"/>
      <c r="AG609" s="450"/>
      <c r="AH609" s="450"/>
      <c r="AI609" s="450"/>
      <c r="AJ609" s="450"/>
      <c r="AK609" s="450"/>
      <c r="AL609" s="450"/>
      <c r="AM609" s="450"/>
      <c r="AN609" s="450"/>
      <c r="AO609" s="450"/>
      <c r="AP609" s="450"/>
      <c r="AQ609" s="450"/>
      <c r="AR609" s="450"/>
      <c r="AS609" s="450"/>
      <c r="AT609" s="450"/>
      <c r="AU609" s="450"/>
      <c r="AV609" s="450"/>
      <c r="AW609" s="450"/>
      <c r="AX609" s="450"/>
      <c r="AY609" s="450"/>
      <c r="AZ609" s="450"/>
      <c r="BA609" s="450"/>
      <c r="BB609" s="450"/>
      <c r="BC609" s="450"/>
      <c r="BD609" s="450"/>
      <c r="BE609" s="450"/>
      <c r="BF609" s="450"/>
      <c r="BG609" s="450"/>
      <c r="BH609" s="450"/>
      <c r="BI609" s="450"/>
      <c r="BJ609" s="450"/>
      <c r="BK609" s="450"/>
      <c r="BL609" s="450"/>
      <c r="BM609" s="450"/>
    </row>
    <row r="610" spans="1:65" ht="11.15">
      <c r="A610" s="450"/>
      <c r="B610" s="450"/>
      <c r="C610" s="450"/>
      <c r="D610" s="450"/>
      <c r="E610" s="450"/>
      <c r="F610" s="450"/>
      <c r="G610" s="450"/>
      <c r="H610" s="450"/>
      <c r="I610" s="450"/>
      <c r="J610" s="450"/>
      <c r="K610" s="450"/>
      <c r="L610" s="450"/>
      <c r="M610" s="450"/>
      <c r="N610" s="450"/>
      <c r="O610" s="450"/>
      <c r="P610" s="450"/>
      <c r="Q610" s="450"/>
      <c r="R610" s="450"/>
      <c r="S610" s="450"/>
      <c r="T610" s="450"/>
      <c r="U610" s="450"/>
      <c r="V610" s="450"/>
      <c r="W610" s="450"/>
      <c r="X610" s="450"/>
      <c r="Y610" s="450"/>
      <c r="Z610" s="450"/>
      <c r="AA610" s="450"/>
      <c r="AB610" s="450"/>
      <c r="AC610" s="450"/>
      <c r="AD610" s="450"/>
      <c r="AE610" s="450"/>
      <c r="AF610" s="450"/>
      <c r="AG610" s="450"/>
      <c r="AH610" s="450"/>
      <c r="AI610" s="450"/>
      <c r="AJ610" s="450"/>
      <c r="AK610" s="450"/>
      <c r="AL610" s="450"/>
      <c r="AM610" s="450"/>
      <c r="AN610" s="450"/>
      <c r="AO610" s="450"/>
      <c r="AP610" s="450"/>
      <c r="AQ610" s="450"/>
      <c r="AR610" s="450"/>
      <c r="AS610" s="450"/>
      <c r="AT610" s="450"/>
      <c r="AU610" s="450"/>
      <c r="AV610" s="450"/>
      <c r="AW610" s="450"/>
      <c r="AX610" s="450"/>
      <c r="AY610" s="450"/>
      <c r="AZ610" s="450"/>
      <c r="BA610" s="450"/>
      <c r="BB610" s="450"/>
      <c r="BC610" s="450"/>
      <c r="BD610" s="450"/>
      <c r="BE610" s="450"/>
      <c r="BF610" s="450"/>
      <c r="BG610" s="450"/>
      <c r="BH610" s="450"/>
      <c r="BI610" s="450"/>
      <c r="BJ610" s="450"/>
      <c r="BK610" s="450"/>
      <c r="BL610" s="450"/>
      <c r="BM610" s="450"/>
    </row>
    <row r="611" spans="1:65" ht="11.15">
      <c r="A611" s="450"/>
      <c r="B611" s="450"/>
      <c r="C611" s="450"/>
      <c r="D611" s="450"/>
      <c r="E611" s="450"/>
      <c r="F611" s="450"/>
      <c r="G611" s="450"/>
      <c r="H611" s="450"/>
      <c r="I611" s="450"/>
      <c r="J611" s="450"/>
      <c r="K611" s="450"/>
      <c r="L611" s="450"/>
      <c r="M611" s="450"/>
      <c r="N611" s="450"/>
      <c r="O611" s="450"/>
      <c r="P611" s="450"/>
      <c r="Q611" s="450"/>
      <c r="R611" s="450"/>
      <c r="S611" s="450"/>
      <c r="T611" s="450"/>
      <c r="U611" s="450"/>
      <c r="V611" s="450"/>
      <c r="W611" s="450"/>
      <c r="X611" s="450"/>
      <c r="Y611" s="450"/>
      <c r="Z611" s="450"/>
      <c r="AA611" s="450"/>
      <c r="AB611" s="450"/>
      <c r="AC611" s="450"/>
      <c r="AD611" s="450"/>
      <c r="AE611" s="450"/>
      <c r="AF611" s="450"/>
      <c r="AG611" s="450"/>
      <c r="AH611" s="450"/>
      <c r="AI611" s="450"/>
      <c r="AJ611" s="450"/>
      <c r="AK611" s="450"/>
      <c r="AL611" s="450"/>
      <c r="AM611" s="450"/>
      <c r="AN611" s="450"/>
      <c r="AO611" s="450"/>
      <c r="AP611" s="450"/>
      <c r="AQ611" s="450"/>
      <c r="AR611" s="450"/>
      <c r="AS611" s="450"/>
      <c r="AT611" s="450"/>
      <c r="AU611" s="450"/>
      <c r="AV611" s="450"/>
      <c r="AW611" s="450"/>
      <c r="AX611" s="450"/>
      <c r="AY611" s="450"/>
      <c r="AZ611" s="450"/>
      <c r="BA611" s="450"/>
      <c r="BB611" s="450"/>
      <c r="BC611" s="450"/>
      <c r="BD611" s="450"/>
      <c r="BE611" s="450"/>
      <c r="BF611" s="450"/>
      <c r="BG611" s="450"/>
      <c r="BH611" s="450"/>
      <c r="BI611" s="450"/>
      <c r="BJ611" s="450"/>
      <c r="BK611" s="450"/>
      <c r="BL611" s="450"/>
      <c r="BM611" s="450"/>
    </row>
    <row r="612" spans="1:65" ht="11.15">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c r="Z612" s="450"/>
      <c r="AA612" s="450"/>
      <c r="AB612" s="450"/>
      <c r="AC612" s="450"/>
      <c r="AD612" s="450"/>
      <c r="AE612" s="450"/>
      <c r="AF612" s="450"/>
      <c r="AG612" s="450"/>
      <c r="AH612" s="450"/>
      <c r="AI612" s="450"/>
      <c r="AJ612" s="450"/>
      <c r="AK612" s="450"/>
      <c r="AL612" s="450"/>
      <c r="AM612" s="450"/>
      <c r="AN612" s="450"/>
      <c r="AO612" s="450"/>
      <c r="AP612" s="450"/>
      <c r="AQ612" s="450"/>
      <c r="AR612" s="450"/>
      <c r="AS612" s="450"/>
      <c r="AT612" s="450"/>
      <c r="AU612" s="450"/>
      <c r="AV612" s="450"/>
      <c r="AW612" s="450"/>
      <c r="AX612" s="450"/>
      <c r="AY612" s="450"/>
      <c r="AZ612" s="450"/>
      <c r="BA612" s="450"/>
      <c r="BB612" s="450"/>
      <c r="BC612" s="450"/>
      <c r="BD612" s="450"/>
      <c r="BE612" s="450"/>
      <c r="BF612" s="450"/>
      <c r="BG612" s="450"/>
      <c r="BH612" s="450"/>
      <c r="BI612" s="450"/>
      <c r="BJ612" s="450"/>
      <c r="BK612" s="450"/>
      <c r="BL612" s="450"/>
      <c r="BM612" s="450"/>
    </row>
    <row r="613" spans="1:65" ht="11.15">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c r="Y613" s="450"/>
      <c r="Z613" s="450"/>
      <c r="AA613" s="450"/>
      <c r="AB613" s="450"/>
      <c r="AC613" s="450"/>
      <c r="AD613" s="450"/>
      <c r="AE613" s="450"/>
      <c r="AF613" s="450"/>
      <c r="AG613" s="450"/>
      <c r="AH613" s="450"/>
      <c r="AI613" s="450"/>
      <c r="AJ613" s="450"/>
      <c r="AK613" s="450"/>
      <c r="AL613" s="450"/>
      <c r="AM613" s="450"/>
      <c r="AN613" s="450"/>
      <c r="AO613" s="450"/>
      <c r="AP613" s="450"/>
      <c r="AQ613" s="450"/>
      <c r="AR613" s="450"/>
      <c r="AS613" s="450"/>
      <c r="AT613" s="450"/>
      <c r="AU613" s="450"/>
      <c r="AV613" s="450"/>
      <c r="AW613" s="450"/>
      <c r="AX613" s="450"/>
      <c r="AY613" s="450"/>
      <c r="AZ613" s="450"/>
      <c r="BA613" s="450"/>
      <c r="BB613" s="450"/>
      <c r="BC613" s="450"/>
      <c r="BD613" s="450"/>
      <c r="BE613" s="450"/>
      <c r="BF613" s="450"/>
      <c r="BG613" s="450"/>
      <c r="BH613" s="450"/>
      <c r="BI613" s="450"/>
      <c r="BJ613" s="450"/>
      <c r="BK613" s="450"/>
      <c r="BL613" s="450"/>
      <c r="BM613" s="450"/>
    </row>
    <row r="614" spans="1:65" ht="11.15">
      <c r="A614" s="450"/>
      <c r="B614" s="450"/>
      <c r="C614" s="450"/>
      <c r="D614" s="450"/>
      <c r="E614" s="450"/>
      <c r="F614" s="450"/>
      <c r="G614" s="450"/>
      <c r="H614" s="450"/>
      <c r="I614" s="450"/>
      <c r="J614" s="450"/>
      <c r="K614" s="450"/>
      <c r="L614" s="450"/>
      <c r="M614" s="450"/>
      <c r="N614" s="450"/>
      <c r="O614" s="450"/>
      <c r="P614" s="450"/>
      <c r="Q614" s="450"/>
      <c r="R614" s="450"/>
      <c r="S614" s="450"/>
      <c r="T614" s="450"/>
      <c r="U614" s="450"/>
      <c r="V614" s="450"/>
      <c r="W614" s="450"/>
      <c r="X614" s="450"/>
      <c r="Y614" s="450"/>
      <c r="Z614" s="450"/>
      <c r="AA614" s="450"/>
      <c r="AB614" s="450"/>
      <c r="AC614" s="450"/>
      <c r="AD614" s="450"/>
      <c r="AE614" s="450"/>
      <c r="AF614" s="450"/>
      <c r="AG614" s="450"/>
      <c r="AH614" s="450"/>
      <c r="AI614" s="450"/>
      <c r="AJ614" s="450"/>
      <c r="AK614" s="450"/>
      <c r="AL614" s="450"/>
      <c r="AM614" s="450"/>
      <c r="AN614" s="450"/>
      <c r="AO614" s="450"/>
      <c r="AP614" s="450"/>
      <c r="AQ614" s="450"/>
      <c r="AR614" s="450"/>
      <c r="AS614" s="450"/>
      <c r="AT614" s="450"/>
      <c r="AU614" s="450"/>
      <c r="AV614" s="450"/>
      <c r="AW614" s="450"/>
      <c r="AX614" s="450"/>
      <c r="AY614" s="450"/>
      <c r="AZ614" s="450"/>
      <c r="BA614" s="450"/>
      <c r="BB614" s="450"/>
      <c r="BC614" s="450"/>
      <c r="BD614" s="450"/>
      <c r="BE614" s="450"/>
      <c r="BF614" s="450"/>
      <c r="BG614" s="450"/>
      <c r="BH614" s="450"/>
      <c r="BI614" s="450"/>
      <c r="BJ614" s="450"/>
      <c r="BK614" s="450"/>
      <c r="BL614" s="450"/>
      <c r="BM614" s="450"/>
    </row>
    <row r="615" spans="1:65" ht="11.15">
      <c r="A615" s="450"/>
      <c r="B615" s="450"/>
      <c r="C615" s="450"/>
      <c r="D615" s="450"/>
      <c r="E615" s="450"/>
      <c r="F615" s="450"/>
      <c r="G615" s="450"/>
      <c r="H615" s="450"/>
      <c r="I615" s="450"/>
      <c r="J615" s="450"/>
      <c r="K615" s="450"/>
      <c r="L615" s="450"/>
      <c r="M615" s="450"/>
      <c r="N615" s="450"/>
      <c r="O615" s="450"/>
      <c r="P615" s="450"/>
      <c r="Q615" s="450"/>
      <c r="R615" s="450"/>
      <c r="S615" s="450"/>
      <c r="T615" s="450"/>
      <c r="U615" s="450"/>
      <c r="V615" s="450"/>
      <c r="W615" s="450"/>
      <c r="X615" s="450"/>
      <c r="Y615" s="450"/>
      <c r="Z615" s="450"/>
      <c r="AA615" s="450"/>
      <c r="AB615" s="450"/>
      <c r="AC615" s="450"/>
      <c r="AD615" s="450"/>
      <c r="AE615" s="450"/>
      <c r="AF615" s="450"/>
      <c r="AG615" s="450"/>
      <c r="AH615" s="450"/>
      <c r="AI615" s="450"/>
      <c r="AJ615" s="450"/>
      <c r="AK615" s="450"/>
      <c r="AL615" s="450"/>
      <c r="AM615" s="450"/>
      <c r="AN615" s="450"/>
      <c r="AO615" s="450"/>
      <c r="AP615" s="450"/>
      <c r="AQ615" s="450"/>
      <c r="AR615" s="450"/>
      <c r="AS615" s="450"/>
      <c r="AT615" s="450"/>
      <c r="AU615" s="450"/>
      <c r="AV615" s="450"/>
      <c r="AW615" s="450"/>
      <c r="AX615" s="450"/>
      <c r="AY615" s="450"/>
      <c r="AZ615" s="450"/>
      <c r="BA615" s="450"/>
      <c r="BB615" s="450"/>
      <c r="BC615" s="450"/>
      <c r="BD615" s="450"/>
      <c r="BE615" s="450"/>
      <c r="BF615" s="450"/>
      <c r="BG615" s="450"/>
      <c r="BH615" s="450"/>
      <c r="BI615" s="450"/>
      <c r="BJ615" s="450"/>
      <c r="BK615" s="450"/>
      <c r="BL615" s="450"/>
      <c r="BM615" s="450"/>
    </row>
    <row r="616" spans="1:65" ht="11.15">
      <c r="A616" s="450"/>
      <c r="B616" s="450"/>
      <c r="C616" s="450"/>
      <c r="D616" s="450"/>
      <c r="E616" s="450"/>
      <c r="F616" s="450"/>
      <c r="G616" s="450"/>
      <c r="H616" s="450"/>
      <c r="I616" s="450"/>
      <c r="J616" s="450"/>
      <c r="K616" s="450"/>
      <c r="L616" s="450"/>
      <c r="M616" s="450"/>
      <c r="N616" s="450"/>
      <c r="O616" s="450"/>
      <c r="P616" s="450"/>
      <c r="Q616" s="450"/>
      <c r="R616" s="450"/>
      <c r="S616" s="450"/>
      <c r="T616" s="450"/>
      <c r="U616" s="450"/>
      <c r="V616" s="450"/>
      <c r="W616" s="450"/>
      <c r="X616" s="450"/>
      <c r="Y616" s="450"/>
      <c r="Z616" s="450"/>
      <c r="AA616" s="450"/>
      <c r="AB616" s="450"/>
      <c r="AC616" s="450"/>
      <c r="AD616" s="450"/>
      <c r="AE616" s="450"/>
      <c r="AF616" s="450"/>
      <c r="AG616" s="450"/>
      <c r="AH616" s="450"/>
      <c r="AI616" s="450"/>
      <c r="AJ616" s="450"/>
      <c r="AK616" s="450"/>
      <c r="AL616" s="450"/>
      <c r="AM616" s="450"/>
      <c r="AN616" s="450"/>
      <c r="AO616" s="450"/>
      <c r="AP616" s="450"/>
      <c r="AQ616" s="450"/>
      <c r="AR616" s="450"/>
      <c r="AS616" s="450"/>
      <c r="AT616" s="450"/>
      <c r="AU616" s="450"/>
      <c r="AV616" s="450"/>
      <c r="AW616" s="450"/>
      <c r="AX616" s="450"/>
      <c r="AY616" s="450"/>
      <c r="AZ616" s="450"/>
      <c r="BA616" s="450"/>
      <c r="BB616" s="450"/>
      <c r="BC616" s="450"/>
      <c r="BD616" s="450"/>
      <c r="BE616" s="450"/>
      <c r="BF616" s="450"/>
      <c r="BG616" s="450"/>
      <c r="BH616" s="450"/>
      <c r="BI616" s="450"/>
      <c r="BJ616" s="450"/>
      <c r="BK616" s="450"/>
      <c r="BL616" s="450"/>
      <c r="BM616" s="450"/>
    </row>
    <row r="617" spans="1:65" ht="11.15">
      <c r="A617" s="450"/>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0"/>
      <c r="AD617" s="450"/>
      <c r="AE617" s="450"/>
      <c r="AF617" s="450"/>
      <c r="AG617" s="450"/>
      <c r="AH617" s="450"/>
      <c r="AI617" s="450"/>
      <c r="AJ617" s="450"/>
      <c r="AK617" s="450"/>
      <c r="AL617" s="450"/>
      <c r="AM617" s="450"/>
      <c r="AN617" s="450"/>
      <c r="AO617" s="450"/>
      <c r="AP617" s="450"/>
      <c r="AQ617" s="450"/>
      <c r="AR617" s="450"/>
      <c r="AS617" s="450"/>
      <c r="AT617" s="450"/>
      <c r="AU617" s="450"/>
      <c r="AV617" s="450"/>
      <c r="AW617" s="450"/>
      <c r="AX617" s="450"/>
      <c r="AY617" s="450"/>
      <c r="AZ617" s="450"/>
      <c r="BA617" s="450"/>
      <c r="BB617" s="450"/>
      <c r="BC617" s="450"/>
      <c r="BD617" s="450"/>
      <c r="BE617" s="450"/>
      <c r="BF617" s="450"/>
      <c r="BG617" s="450"/>
      <c r="BH617" s="450"/>
      <c r="BI617" s="450"/>
      <c r="BJ617" s="450"/>
      <c r="BK617" s="450"/>
      <c r="BL617" s="450"/>
      <c r="BM617" s="450"/>
    </row>
    <row r="618" spans="1:65" ht="11.15">
      <c r="A618" s="450"/>
      <c r="B618" s="450"/>
      <c r="C618" s="450"/>
      <c r="D618" s="450"/>
      <c r="E618" s="450"/>
      <c r="F618" s="450"/>
      <c r="G618" s="450"/>
      <c r="H618" s="450"/>
      <c r="I618" s="450"/>
      <c r="J618" s="450"/>
      <c r="K618" s="450"/>
      <c r="L618" s="450"/>
      <c r="M618" s="450"/>
      <c r="N618" s="450"/>
      <c r="O618" s="450"/>
      <c r="P618" s="450"/>
      <c r="Q618" s="450"/>
      <c r="R618" s="450"/>
      <c r="S618" s="450"/>
      <c r="T618" s="450"/>
      <c r="U618" s="450"/>
      <c r="V618" s="450"/>
      <c r="W618" s="450"/>
      <c r="X618" s="450"/>
      <c r="Y618" s="450"/>
      <c r="Z618" s="450"/>
      <c r="AA618" s="450"/>
      <c r="AB618" s="450"/>
      <c r="AC618" s="450"/>
      <c r="AD618" s="450"/>
      <c r="AE618" s="450"/>
      <c r="AF618" s="450"/>
      <c r="AG618" s="450"/>
      <c r="AH618" s="450"/>
      <c r="AI618" s="450"/>
      <c r="AJ618" s="450"/>
      <c r="AK618" s="450"/>
      <c r="AL618" s="450"/>
      <c r="AM618" s="450"/>
      <c r="AN618" s="450"/>
      <c r="AO618" s="450"/>
      <c r="AP618" s="450"/>
      <c r="AQ618" s="450"/>
      <c r="AR618" s="450"/>
      <c r="AS618" s="450"/>
      <c r="AT618" s="450"/>
      <c r="AU618" s="450"/>
      <c r="AV618" s="450"/>
      <c r="AW618" s="450"/>
      <c r="AX618" s="450"/>
      <c r="AY618" s="450"/>
      <c r="AZ618" s="450"/>
      <c r="BA618" s="450"/>
      <c r="BB618" s="450"/>
      <c r="BC618" s="450"/>
      <c r="BD618" s="450"/>
      <c r="BE618" s="450"/>
      <c r="BF618" s="450"/>
      <c r="BG618" s="450"/>
      <c r="BH618" s="450"/>
      <c r="BI618" s="450"/>
      <c r="BJ618" s="450"/>
      <c r="BK618" s="450"/>
      <c r="BL618" s="450"/>
      <c r="BM618" s="450"/>
    </row>
    <row r="619" spans="1:65" ht="11.15">
      <c r="A619" s="450"/>
      <c r="B619" s="450"/>
      <c r="C619" s="450"/>
      <c r="D619" s="450"/>
      <c r="E619" s="450"/>
      <c r="F619" s="450"/>
      <c r="G619" s="450"/>
      <c r="H619" s="450"/>
      <c r="I619" s="450"/>
      <c r="J619" s="450"/>
      <c r="K619" s="450"/>
      <c r="L619" s="450"/>
      <c r="M619" s="450"/>
      <c r="N619" s="450"/>
      <c r="O619" s="450"/>
      <c r="P619" s="450"/>
      <c r="Q619" s="450"/>
      <c r="R619" s="450"/>
      <c r="S619" s="450"/>
      <c r="T619" s="450"/>
      <c r="U619" s="450"/>
      <c r="V619" s="450"/>
      <c r="W619" s="450"/>
      <c r="X619" s="450"/>
      <c r="Y619" s="450"/>
      <c r="Z619" s="450"/>
      <c r="AA619" s="450"/>
      <c r="AB619" s="450"/>
      <c r="AC619" s="450"/>
      <c r="AD619" s="450"/>
      <c r="AE619" s="450"/>
      <c r="AF619" s="450"/>
      <c r="AG619" s="450"/>
      <c r="AH619" s="450"/>
      <c r="AI619" s="450"/>
      <c r="AJ619" s="450"/>
      <c r="AK619" s="450"/>
      <c r="AL619" s="450"/>
      <c r="AM619" s="450"/>
      <c r="AN619" s="450"/>
      <c r="AO619" s="450"/>
      <c r="AP619" s="450"/>
      <c r="AQ619" s="450"/>
      <c r="AR619" s="450"/>
      <c r="AS619" s="450"/>
      <c r="AT619" s="450"/>
      <c r="AU619" s="450"/>
      <c r="AV619" s="450"/>
      <c r="AW619" s="450"/>
      <c r="AX619" s="450"/>
      <c r="AY619" s="450"/>
      <c r="AZ619" s="450"/>
      <c r="BA619" s="450"/>
      <c r="BB619" s="450"/>
      <c r="BC619" s="450"/>
      <c r="BD619" s="450"/>
      <c r="BE619" s="450"/>
      <c r="BF619" s="450"/>
      <c r="BG619" s="450"/>
      <c r="BH619" s="450"/>
      <c r="BI619" s="450"/>
      <c r="BJ619" s="450"/>
      <c r="BK619" s="450"/>
      <c r="BL619" s="450"/>
      <c r="BM619" s="450"/>
    </row>
    <row r="620" spans="1:65" ht="11.15">
      <c r="A620" s="450"/>
      <c r="B620" s="450"/>
      <c r="C620" s="450"/>
      <c r="D620" s="450"/>
      <c r="E620" s="450"/>
      <c r="F620" s="450"/>
      <c r="G620" s="450"/>
      <c r="H620" s="450"/>
      <c r="I620" s="450"/>
      <c r="J620" s="450"/>
      <c r="K620" s="450"/>
      <c r="L620" s="450"/>
      <c r="M620" s="450"/>
      <c r="N620" s="450"/>
      <c r="O620" s="450"/>
      <c r="P620" s="450"/>
      <c r="Q620" s="450"/>
      <c r="R620" s="450"/>
      <c r="S620" s="450"/>
      <c r="T620" s="450"/>
      <c r="U620" s="450"/>
      <c r="V620" s="450"/>
      <c r="W620" s="450"/>
      <c r="X620" s="450"/>
      <c r="Y620" s="450"/>
      <c r="Z620" s="450"/>
      <c r="AA620" s="450"/>
      <c r="AB620" s="450"/>
      <c r="AC620" s="450"/>
      <c r="AD620" s="450"/>
      <c r="AE620" s="450"/>
      <c r="AF620" s="450"/>
      <c r="AG620" s="450"/>
      <c r="AH620" s="450"/>
      <c r="AI620" s="450"/>
      <c r="AJ620" s="450"/>
      <c r="AK620" s="450"/>
      <c r="AL620" s="450"/>
      <c r="AM620" s="450"/>
      <c r="AN620" s="450"/>
      <c r="AO620" s="450"/>
      <c r="AP620" s="450"/>
      <c r="AQ620" s="450"/>
      <c r="AR620" s="450"/>
      <c r="AS620" s="450"/>
      <c r="AT620" s="450"/>
      <c r="AU620" s="450"/>
      <c r="AV620" s="450"/>
      <c r="AW620" s="450"/>
      <c r="AX620" s="450"/>
      <c r="AY620" s="450"/>
      <c r="AZ620" s="450"/>
      <c r="BA620" s="450"/>
      <c r="BB620" s="450"/>
      <c r="BC620" s="450"/>
      <c r="BD620" s="450"/>
      <c r="BE620" s="450"/>
      <c r="BF620" s="450"/>
      <c r="BG620" s="450"/>
      <c r="BH620" s="450"/>
      <c r="BI620" s="450"/>
      <c r="BJ620" s="450"/>
      <c r="BK620" s="450"/>
      <c r="BL620" s="450"/>
      <c r="BM620" s="450"/>
    </row>
    <row r="621" spans="1:65" ht="11.15">
      <c r="A621" s="450"/>
      <c r="B621" s="450"/>
      <c r="C621" s="450"/>
      <c r="D621" s="450"/>
      <c r="E621" s="450"/>
      <c r="F621" s="450"/>
      <c r="G621" s="450"/>
      <c r="H621" s="450"/>
      <c r="I621" s="450"/>
      <c r="J621" s="450"/>
      <c r="K621" s="450"/>
      <c r="L621" s="450"/>
      <c r="M621" s="450"/>
      <c r="N621" s="450"/>
      <c r="O621" s="450"/>
      <c r="P621" s="450"/>
      <c r="Q621" s="450"/>
      <c r="R621" s="450"/>
      <c r="S621" s="450"/>
      <c r="T621" s="450"/>
      <c r="U621" s="450"/>
      <c r="V621" s="450"/>
      <c r="W621" s="450"/>
      <c r="X621" s="450"/>
      <c r="Y621" s="450"/>
      <c r="Z621" s="450"/>
      <c r="AA621" s="450"/>
      <c r="AB621" s="450"/>
      <c r="AC621" s="450"/>
      <c r="AD621" s="450"/>
      <c r="AE621" s="450"/>
      <c r="AF621" s="450"/>
      <c r="AG621" s="450"/>
      <c r="AH621" s="450"/>
      <c r="AI621" s="450"/>
      <c r="AJ621" s="450"/>
      <c r="AK621" s="450"/>
      <c r="AL621" s="450"/>
      <c r="AM621" s="450"/>
      <c r="AN621" s="450"/>
      <c r="AO621" s="450"/>
      <c r="AP621" s="450"/>
      <c r="AQ621" s="450"/>
      <c r="AR621" s="450"/>
      <c r="AS621" s="450"/>
      <c r="AT621" s="450"/>
      <c r="AU621" s="450"/>
      <c r="AV621" s="450"/>
      <c r="AW621" s="450"/>
      <c r="AX621" s="450"/>
      <c r="AY621" s="450"/>
      <c r="AZ621" s="450"/>
      <c r="BA621" s="450"/>
      <c r="BB621" s="450"/>
      <c r="BC621" s="450"/>
      <c r="BD621" s="450"/>
      <c r="BE621" s="450"/>
      <c r="BF621" s="450"/>
      <c r="BG621" s="450"/>
      <c r="BH621" s="450"/>
      <c r="BI621" s="450"/>
      <c r="BJ621" s="450"/>
      <c r="BK621" s="450"/>
      <c r="BL621" s="450"/>
      <c r="BM621" s="450"/>
    </row>
    <row r="622" spans="1:65" ht="11.15">
      <c r="A622" s="450"/>
      <c r="B622" s="450"/>
      <c r="C622" s="450"/>
      <c r="D622" s="450"/>
      <c r="E622" s="450"/>
      <c r="F622" s="450"/>
      <c r="G622" s="450"/>
      <c r="H622" s="450"/>
      <c r="I622" s="450"/>
      <c r="J622" s="450"/>
      <c r="K622" s="450"/>
      <c r="L622" s="450"/>
      <c r="M622" s="450"/>
      <c r="N622" s="450"/>
      <c r="O622" s="450"/>
      <c r="P622" s="450"/>
      <c r="Q622" s="450"/>
      <c r="R622" s="450"/>
      <c r="S622" s="450"/>
      <c r="T622" s="450"/>
      <c r="U622" s="450"/>
      <c r="V622" s="450"/>
      <c r="W622" s="450"/>
      <c r="X622" s="450"/>
      <c r="Y622" s="450"/>
      <c r="Z622" s="450"/>
      <c r="AA622" s="450"/>
      <c r="AB622" s="450"/>
      <c r="AC622" s="450"/>
      <c r="AD622" s="450"/>
      <c r="AE622" s="450"/>
      <c r="AF622" s="450"/>
      <c r="AG622" s="450"/>
      <c r="AH622" s="450"/>
      <c r="AI622" s="450"/>
      <c r="AJ622" s="450"/>
      <c r="AK622" s="450"/>
      <c r="AL622" s="450"/>
      <c r="AM622" s="450"/>
      <c r="AN622" s="450"/>
      <c r="AO622" s="450"/>
      <c r="AP622" s="450"/>
      <c r="AQ622" s="450"/>
      <c r="AR622" s="450"/>
      <c r="AS622" s="450"/>
      <c r="AT622" s="450"/>
      <c r="AU622" s="450"/>
      <c r="AV622" s="450"/>
      <c r="AW622" s="450"/>
      <c r="AX622" s="450"/>
      <c r="AY622" s="450"/>
      <c r="AZ622" s="450"/>
      <c r="BA622" s="450"/>
      <c r="BB622" s="450"/>
      <c r="BC622" s="450"/>
      <c r="BD622" s="450"/>
      <c r="BE622" s="450"/>
      <c r="BF622" s="450"/>
      <c r="BG622" s="450"/>
      <c r="BH622" s="450"/>
      <c r="BI622" s="450"/>
      <c r="BJ622" s="450"/>
      <c r="BK622" s="450"/>
      <c r="BL622" s="450"/>
      <c r="BM622" s="450"/>
    </row>
    <row r="623" spans="1:65" ht="11.15">
      <c r="A623" s="450"/>
      <c r="B623" s="450"/>
      <c r="C623" s="450"/>
      <c r="D623" s="450"/>
      <c r="E623" s="450"/>
      <c r="F623" s="450"/>
      <c r="G623" s="450"/>
      <c r="H623" s="450"/>
      <c r="I623" s="450"/>
      <c r="J623" s="450"/>
      <c r="K623" s="450"/>
      <c r="L623" s="450"/>
      <c r="M623" s="450"/>
      <c r="N623" s="450"/>
      <c r="O623" s="450"/>
      <c r="P623" s="450"/>
      <c r="Q623" s="450"/>
      <c r="R623" s="450"/>
      <c r="S623" s="450"/>
      <c r="T623" s="450"/>
      <c r="U623" s="450"/>
      <c r="V623" s="450"/>
      <c r="W623" s="450"/>
      <c r="X623" s="450"/>
      <c r="Y623" s="450"/>
      <c r="Z623" s="450"/>
      <c r="AA623" s="450"/>
      <c r="AB623" s="450"/>
      <c r="AC623" s="450"/>
      <c r="AD623" s="450"/>
      <c r="AE623" s="450"/>
      <c r="AF623" s="450"/>
      <c r="AG623" s="450"/>
      <c r="AH623" s="450"/>
      <c r="AI623" s="450"/>
      <c r="AJ623" s="450"/>
      <c r="AK623" s="450"/>
      <c r="AL623" s="450"/>
      <c r="AM623" s="450"/>
      <c r="AN623" s="450"/>
      <c r="AO623" s="450"/>
      <c r="AP623" s="450"/>
      <c r="AQ623" s="450"/>
      <c r="AR623" s="450"/>
      <c r="AS623" s="450"/>
      <c r="AT623" s="450"/>
      <c r="AU623" s="450"/>
      <c r="AV623" s="450"/>
      <c r="AW623" s="450"/>
      <c r="AX623" s="450"/>
      <c r="AY623" s="450"/>
      <c r="AZ623" s="450"/>
      <c r="BA623" s="450"/>
      <c r="BB623" s="450"/>
      <c r="BC623" s="450"/>
      <c r="BD623" s="450"/>
      <c r="BE623" s="450"/>
      <c r="BF623" s="450"/>
      <c r="BG623" s="450"/>
      <c r="BH623" s="450"/>
      <c r="BI623" s="450"/>
      <c r="BJ623" s="450"/>
      <c r="BK623" s="450"/>
      <c r="BL623" s="450"/>
      <c r="BM623" s="450"/>
    </row>
    <row r="624" spans="1:65" ht="11.15">
      <c r="A624" s="450"/>
      <c r="B624" s="450"/>
      <c r="C624" s="450"/>
      <c r="D624" s="450"/>
      <c r="E624" s="450"/>
      <c r="F624" s="450"/>
      <c r="G624" s="450"/>
      <c r="H624" s="450"/>
      <c r="I624" s="450"/>
      <c r="J624" s="450"/>
      <c r="K624" s="450"/>
      <c r="L624" s="450"/>
      <c r="M624" s="450"/>
      <c r="N624" s="450"/>
      <c r="O624" s="450"/>
      <c r="P624" s="450"/>
      <c r="Q624" s="450"/>
      <c r="R624" s="450"/>
      <c r="S624" s="450"/>
      <c r="T624" s="450"/>
      <c r="U624" s="450"/>
      <c r="V624" s="450"/>
      <c r="W624" s="450"/>
      <c r="X624" s="450"/>
      <c r="Y624" s="450"/>
      <c r="Z624" s="450"/>
      <c r="AA624" s="450"/>
      <c r="AB624" s="450"/>
      <c r="AC624" s="450"/>
      <c r="AD624" s="450"/>
      <c r="AE624" s="450"/>
      <c r="AF624" s="450"/>
      <c r="AG624" s="450"/>
      <c r="AH624" s="450"/>
      <c r="AI624" s="450"/>
      <c r="AJ624" s="450"/>
      <c r="AK624" s="450"/>
      <c r="AL624" s="450"/>
      <c r="AM624" s="450"/>
      <c r="AN624" s="450"/>
      <c r="AO624" s="450"/>
      <c r="AP624" s="450"/>
      <c r="AQ624" s="450"/>
      <c r="AR624" s="450"/>
      <c r="AS624" s="450"/>
      <c r="AT624" s="450"/>
      <c r="AU624" s="450"/>
      <c r="AV624" s="450"/>
      <c r="AW624" s="450"/>
      <c r="AX624" s="450"/>
      <c r="AY624" s="450"/>
      <c r="AZ624" s="450"/>
      <c r="BA624" s="450"/>
      <c r="BB624" s="450"/>
      <c r="BC624" s="450"/>
      <c r="BD624" s="450"/>
      <c r="BE624" s="450"/>
      <c r="BF624" s="450"/>
      <c r="BG624" s="450"/>
      <c r="BH624" s="450"/>
      <c r="BI624" s="450"/>
      <c r="BJ624" s="450"/>
      <c r="BK624" s="450"/>
      <c r="BL624" s="450"/>
      <c r="BM624" s="450"/>
    </row>
    <row r="625" spans="1:65" ht="11.15">
      <c r="A625" s="450"/>
      <c r="B625" s="450"/>
      <c r="C625" s="450"/>
      <c r="D625" s="450"/>
      <c r="E625" s="450"/>
      <c r="F625" s="450"/>
      <c r="G625" s="450"/>
      <c r="H625" s="450"/>
      <c r="I625" s="450"/>
      <c r="J625" s="450"/>
      <c r="K625" s="450"/>
      <c r="L625" s="450"/>
      <c r="M625" s="450"/>
      <c r="N625" s="450"/>
      <c r="O625" s="450"/>
      <c r="P625" s="450"/>
      <c r="Q625" s="450"/>
      <c r="R625" s="450"/>
      <c r="S625" s="450"/>
      <c r="T625" s="450"/>
      <c r="U625" s="450"/>
      <c r="V625" s="450"/>
      <c r="W625" s="450"/>
      <c r="X625" s="450"/>
      <c r="Y625" s="450"/>
      <c r="Z625" s="450"/>
      <c r="AA625" s="450"/>
      <c r="AB625" s="450"/>
      <c r="AC625" s="450"/>
      <c r="AD625" s="450"/>
      <c r="AE625" s="450"/>
      <c r="AF625" s="450"/>
      <c r="AG625" s="450"/>
      <c r="AH625" s="450"/>
      <c r="AI625" s="450"/>
      <c r="AJ625" s="450"/>
      <c r="AK625" s="450"/>
      <c r="AL625" s="450"/>
      <c r="AM625" s="450"/>
      <c r="AN625" s="450"/>
      <c r="AO625" s="450"/>
      <c r="AP625" s="450"/>
      <c r="AQ625" s="450"/>
      <c r="AR625" s="450"/>
      <c r="AS625" s="450"/>
      <c r="AT625" s="450"/>
      <c r="AU625" s="450"/>
      <c r="AV625" s="450"/>
      <c r="AW625" s="450"/>
      <c r="AX625" s="450"/>
      <c r="AY625" s="450"/>
      <c r="AZ625" s="450"/>
      <c r="BA625" s="450"/>
      <c r="BB625" s="450"/>
      <c r="BC625" s="450"/>
      <c r="BD625" s="450"/>
      <c r="BE625" s="450"/>
      <c r="BF625" s="450"/>
      <c r="BG625" s="450"/>
      <c r="BH625" s="450"/>
      <c r="BI625" s="450"/>
      <c r="BJ625" s="450"/>
      <c r="BK625" s="450"/>
      <c r="BL625" s="450"/>
      <c r="BM625" s="450"/>
    </row>
    <row r="626" spans="1:65" ht="11.15">
      <c r="A626" s="450"/>
      <c r="B626" s="450"/>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c r="Z626" s="450"/>
      <c r="AA626" s="450"/>
      <c r="AB626" s="450"/>
      <c r="AC626" s="450"/>
      <c r="AD626" s="450"/>
      <c r="AE626" s="450"/>
      <c r="AF626" s="450"/>
      <c r="AG626" s="450"/>
      <c r="AH626" s="450"/>
      <c r="AI626" s="450"/>
      <c r="AJ626" s="450"/>
      <c r="AK626" s="450"/>
      <c r="AL626" s="450"/>
      <c r="AM626" s="450"/>
      <c r="AN626" s="450"/>
      <c r="AO626" s="450"/>
      <c r="AP626" s="450"/>
      <c r="AQ626" s="450"/>
      <c r="AR626" s="450"/>
      <c r="AS626" s="450"/>
      <c r="AT626" s="450"/>
      <c r="AU626" s="450"/>
      <c r="AV626" s="450"/>
      <c r="AW626" s="450"/>
      <c r="AX626" s="450"/>
      <c r="AY626" s="450"/>
      <c r="AZ626" s="450"/>
      <c r="BA626" s="450"/>
      <c r="BB626" s="450"/>
      <c r="BC626" s="450"/>
      <c r="BD626" s="450"/>
      <c r="BE626" s="450"/>
      <c r="BF626" s="450"/>
      <c r="BG626" s="450"/>
      <c r="BH626" s="450"/>
      <c r="BI626" s="450"/>
      <c r="BJ626" s="450"/>
      <c r="BK626" s="450"/>
      <c r="BL626" s="450"/>
      <c r="BM626" s="450"/>
    </row>
    <row r="627" spans="1:65" ht="11.15">
      <c r="A627" s="450"/>
      <c r="B627" s="450"/>
      <c r="C627" s="450"/>
      <c r="D627" s="450"/>
      <c r="E627" s="450"/>
      <c r="F627" s="450"/>
      <c r="G627" s="450"/>
      <c r="H627" s="450"/>
      <c r="I627" s="450"/>
      <c r="J627" s="450"/>
      <c r="K627" s="450"/>
      <c r="L627" s="450"/>
      <c r="M627" s="450"/>
      <c r="N627" s="450"/>
      <c r="O627" s="450"/>
      <c r="P627" s="450"/>
      <c r="Q627" s="450"/>
      <c r="R627" s="450"/>
      <c r="S627" s="450"/>
      <c r="T627" s="450"/>
      <c r="U627" s="450"/>
      <c r="V627" s="450"/>
      <c r="W627" s="450"/>
      <c r="X627" s="450"/>
      <c r="Y627" s="450"/>
      <c r="Z627" s="450"/>
      <c r="AA627" s="450"/>
      <c r="AB627" s="450"/>
      <c r="AC627" s="450"/>
      <c r="AD627" s="450"/>
      <c r="AE627" s="450"/>
      <c r="AF627" s="450"/>
      <c r="AG627" s="450"/>
      <c r="AH627" s="450"/>
      <c r="AI627" s="450"/>
      <c r="AJ627" s="450"/>
      <c r="AK627" s="450"/>
      <c r="AL627" s="450"/>
      <c r="AM627" s="450"/>
      <c r="AN627" s="450"/>
      <c r="AO627" s="450"/>
      <c r="AP627" s="450"/>
      <c r="AQ627" s="450"/>
      <c r="AR627" s="450"/>
      <c r="AS627" s="450"/>
      <c r="AT627" s="450"/>
      <c r="AU627" s="450"/>
      <c r="AV627" s="450"/>
      <c r="AW627" s="450"/>
      <c r="AX627" s="450"/>
      <c r="AY627" s="450"/>
      <c r="AZ627" s="450"/>
      <c r="BA627" s="450"/>
      <c r="BB627" s="450"/>
      <c r="BC627" s="450"/>
      <c r="BD627" s="450"/>
      <c r="BE627" s="450"/>
      <c r="BF627" s="450"/>
      <c r="BG627" s="450"/>
      <c r="BH627" s="450"/>
      <c r="BI627" s="450"/>
      <c r="BJ627" s="450"/>
      <c r="BK627" s="450"/>
      <c r="BL627" s="450"/>
      <c r="BM627" s="450"/>
    </row>
    <row r="628" spans="1:65" ht="11.15">
      <c r="A628" s="450"/>
      <c r="B628" s="450"/>
      <c r="C628" s="450"/>
      <c r="D628" s="450"/>
      <c r="E628" s="450"/>
      <c r="F628" s="450"/>
      <c r="G628" s="450"/>
      <c r="H628" s="450"/>
      <c r="I628" s="450"/>
      <c r="J628" s="450"/>
      <c r="K628" s="450"/>
      <c r="L628" s="450"/>
      <c r="M628" s="450"/>
      <c r="N628" s="450"/>
      <c r="O628" s="450"/>
      <c r="P628" s="450"/>
      <c r="Q628" s="450"/>
      <c r="R628" s="450"/>
      <c r="S628" s="450"/>
      <c r="T628" s="450"/>
      <c r="U628" s="450"/>
      <c r="V628" s="450"/>
      <c r="W628" s="450"/>
      <c r="X628" s="450"/>
      <c r="Y628" s="450"/>
      <c r="Z628" s="450"/>
      <c r="AA628" s="450"/>
      <c r="AB628" s="450"/>
      <c r="AC628" s="450"/>
      <c r="AD628" s="450"/>
      <c r="AE628" s="450"/>
      <c r="AF628" s="450"/>
      <c r="AG628" s="450"/>
      <c r="AH628" s="450"/>
      <c r="AI628" s="450"/>
      <c r="AJ628" s="450"/>
      <c r="AK628" s="450"/>
      <c r="AL628" s="450"/>
      <c r="AM628" s="450"/>
      <c r="AN628" s="450"/>
      <c r="AO628" s="450"/>
      <c r="AP628" s="450"/>
      <c r="AQ628" s="450"/>
      <c r="AR628" s="450"/>
      <c r="AS628" s="450"/>
      <c r="AT628" s="450"/>
      <c r="AU628" s="450"/>
      <c r="AV628" s="450"/>
      <c r="AW628" s="450"/>
      <c r="AX628" s="450"/>
      <c r="AY628" s="450"/>
      <c r="AZ628" s="450"/>
      <c r="BA628" s="450"/>
      <c r="BB628" s="450"/>
      <c r="BC628" s="450"/>
      <c r="BD628" s="450"/>
      <c r="BE628" s="450"/>
      <c r="BF628" s="450"/>
      <c r="BG628" s="450"/>
      <c r="BH628" s="450"/>
      <c r="BI628" s="450"/>
      <c r="BJ628" s="450"/>
      <c r="BK628" s="450"/>
      <c r="BL628" s="450"/>
      <c r="BM628" s="450"/>
    </row>
    <row r="629" spans="1:65" ht="11.15">
      <c r="A629" s="450"/>
      <c r="B629" s="450"/>
      <c r="C629" s="450"/>
      <c r="D629" s="450"/>
      <c r="E629" s="450"/>
      <c r="F629" s="450"/>
      <c r="G629" s="450"/>
      <c r="H629" s="450"/>
      <c r="I629" s="450"/>
      <c r="J629" s="450"/>
      <c r="K629" s="450"/>
      <c r="L629" s="450"/>
      <c r="M629" s="450"/>
      <c r="N629" s="450"/>
      <c r="O629" s="450"/>
      <c r="P629" s="450"/>
      <c r="Q629" s="450"/>
      <c r="R629" s="450"/>
      <c r="S629" s="450"/>
      <c r="T629" s="450"/>
      <c r="U629" s="450"/>
      <c r="V629" s="450"/>
      <c r="W629" s="450"/>
      <c r="X629" s="450"/>
      <c r="Y629" s="450"/>
      <c r="Z629" s="450"/>
      <c r="AA629" s="450"/>
      <c r="AB629" s="450"/>
      <c r="AC629" s="450"/>
      <c r="AD629" s="450"/>
      <c r="AE629" s="450"/>
      <c r="AF629" s="450"/>
      <c r="AG629" s="450"/>
      <c r="AH629" s="450"/>
      <c r="AI629" s="450"/>
      <c r="AJ629" s="450"/>
      <c r="AK629" s="450"/>
      <c r="AL629" s="450"/>
      <c r="AM629" s="450"/>
      <c r="AN629" s="450"/>
      <c r="AO629" s="450"/>
      <c r="AP629" s="450"/>
      <c r="AQ629" s="450"/>
      <c r="AR629" s="450"/>
      <c r="AS629" s="450"/>
      <c r="AT629" s="450"/>
      <c r="AU629" s="450"/>
      <c r="AV629" s="450"/>
      <c r="AW629" s="450"/>
      <c r="AX629" s="450"/>
      <c r="AY629" s="450"/>
      <c r="AZ629" s="450"/>
      <c r="BA629" s="450"/>
      <c r="BB629" s="450"/>
      <c r="BC629" s="450"/>
      <c r="BD629" s="450"/>
      <c r="BE629" s="450"/>
      <c r="BF629" s="450"/>
      <c r="BG629" s="450"/>
      <c r="BH629" s="450"/>
      <c r="BI629" s="450"/>
      <c r="BJ629" s="450"/>
      <c r="BK629" s="450"/>
      <c r="BL629" s="450"/>
      <c r="BM629" s="450"/>
    </row>
    <row r="630" spans="1:65" ht="11.15">
      <c r="A630" s="450"/>
      <c r="B630" s="450"/>
      <c r="C630" s="450"/>
      <c r="D630" s="450"/>
      <c r="E630" s="450"/>
      <c r="F630" s="450"/>
      <c r="G630" s="450"/>
      <c r="H630" s="450"/>
      <c r="I630" s="450"/>
      <c r="J630" s="450"/>
      <c r="K630" s="450"/>
      <c r="L630" s="450"/>
      <c r="M630" s="450"/>
      <c r="N630" s="450"/>
      <c r="O630" s="450"/>
      <c r="P630" s="450"/>
      <c r="Q630" s="450"/>
      <c r="R630" s="450"/>
      <c r="S630" s="450"/>
      <c r="T630" s="450"/>
      <c r="U630" s="450"/>
      <c r="V630" s="450"/>
      <c r="W630" s="450"/>
      <c r="X630" s="450"/>
      <c r="Y630" s="450"/>
      <c r="Z630" s="450"/>
      <c r="AA630" s="450"/>
      <c r="AB630" s="450"/>
      <c r="AC630" s="450"/>
      <c r="AD630" s="450"/>
      <c r="AE630" s="450"/>
      <c r="AF630" s="450"/>
      <c r="AG630" s="450"/>
      <c r="AH630" s="450"/>
      <c r="AI630" s="450"/>
      <c r="AJ630" s="450"/>
      <c r="AK630" s="450"/>
      <c r="AL630" s="450"/>
      <c r="AM630" s="450"/>
      <c r="AN630" s="450"/>
      <c r="AO630" s="450"/>
      <c r="AP630" s="450"/>
      <c r="AQ630" s="450"/>
      <c r="AR630" s="450"/>
      <c r="AS630" s="450"/>
      <c r="AT630" s="450"/>
      <c r="AU630" s="450"/>
      <c r="AV630" s="450"/>
      <c r="AW630" s="450"/>
      <c r="AX630" s="450"/>
      <c r="AY630" s="450"/>
      <c r="AZ630" s="450"/>
      <c r="BA630" s="450"/>
      <c r="BB630" s="450"/>
      <c r="BC630" s="450"/>
      <c r="BD630" s="450"/>
      <c r="BE630" s="450"/>
      <c r="BF630" s="450"/>
      <c r="BG630" s="450"/>
      <c r="BH630" s="450"/>
      <c r="BI630" s="450"/>
      <c r="BJ630" s="450"/>
      <c r="BK630" s="450"/>
      <c r="BL630" s="450"/>
      <c r="BM630" s="450"/>
    </row>
    <row r="631" spans="1:65" ht="11.15">
      <c r="A631" s="450"/>
      <c r="B631" s="450"/>
      <c r="C631" s="450"/>
      <c r="D631" s="450"/>
      <c r="E631" s="450"/>
      <c r="F631" s="450"/>
      <c r="G631" s="450"/>
      <c r="H631" s="450"/>
      <c r="I631" s="450"/>
      <c r="J631" s="450"/>
      <c r="K631" s="450"/>
      <c r="L631" s="450"/>
      <c r="M631" s="450"/>
      <c r="N631" s="450"/>
      <c r="O631" s="450"/>
      <c r="P631" s="450"/>
      <c r="Q631" s="450"/>
      <c r="R631" s="450"/>
      <c r="S631" s="450"/>
      <c r="T631" s="450"/>
      <c r="U631" s="450"/>
      <c r="V631" s="450"/>
      <c r="W631" s="450"/>
      <c r="X631" s="450"/>
      <c r="Y631" s="450"/>
      <c r="Z631" s="450"/>
      <c r="AA631" s="450"/>
      <c r="AB631" s="450"/>
      <c r="AC631" s="450"/>
      <c r="AD631" s="450"/>
      <c r="AE631" s="450"/>
      <c r="AF631" s="450"/>
      <c r="AG631" s="450"/>
      <c r="AH631" s="450"/>
      <c r="AI631" s="450"/>
      <c r="AJ631" s="450"/>
      <c r="AK631" s="450"/>
      <c r="AL631" s="450"/>
      <c r="AM631" s="450"/>
      <c r="AN631" s="450"/>
      <c r="AO631" s="450"/>
      <c r="AP631" s="450"/>
      <c r="AQ631" s="450"/>
      <c r="AR631" s="450"/>
      <c r="AS631" s="450"/>
      <c r="AT631" s="450"/>
      <c r="AU631" s="450"/>
      <c r="AV631" s="450"/>
      <c r="AW631" s="450"/>
      <c r="AX631" s="450"/>
      <c r="AY631" s="450"/>
      <c r="AZ631" s="450"/>
      <c r="BA631" s="450"/>
      <c r="BB631" s="450"/>
      <c r="BC631" s="450"/>
      <c r="BD631" s="450"/>
      <c r="BE631" s="450"/>
      <c r="BF631" s="450"/>
      <c r="BG631" s="450"/>
      <c r="BH631" s="450"/>
      <c r="BI631" s="450"/>
      <c r="BJ631" s="450"/>
      <c r="BK631" s="450"/>
      <c r="BL631" s="450"/>
      <c r="BM631" s="450"/>
    </row>
    <row r="632" spans="1:65" ht="11.15">
      <c r="A632" s="450"/>
      <c r="B632" s="450"/>
      <c r="C632" s="450"/>
      <c r="D632" s="450"/>
      <c r="E632" s="450"/>
      <c r="F632" s="450"/>
      <c r="G632" s="450"/>
      <c r="H632" s="450"/>
      <c r="I632" s="450"/>
      <c r="J632" s="450"/>
      <c r="K632" s="450"/>
      <c r="L632" s="450"/>
      <c r="M632" s="450"/>
      <c r="N632" s="450"/>
      <c r="O632" s="450"/>
      <c r="P632" s="450"/>
      <c r="Q632" s="450"/>
      <c r="R632" s="450"/>
      <c r="S632" s="450"/>
      <c r="T632" s="450"/>
      <c r="U632" s="450"/>
      <c r="V632" s="450"/>
      <c r="W632" s="450"/>
      <c r="X632" s="450"/>
      <c r="Y632" s="450"/>
      <c r="Z632" s="450"/>
      <c r="AA632" s="450"/>
      <c r="AB632" s="450"/>
      <c r="AC632" s="450"/>
      <c r="AD632" s="450"/>
      <c r="AE632" s="450"/>
      <c r="AF632" s="450"/>
      <c r="AG632" s="450"/>
      <c r="AH632" s="450"/>
      <c r="AI632" s="450"/>
      <c r="AJ632" s="450"/>
      <c r="AK632" s="450"/>
      <c r="AL632" s="450"/>
      <c r="AM632" s="450"/>
      <c r="AN632" s="450"/>
      <c r="AO632" s="450"/>
      <c r="AP632" s="450"/>
      <c r="AQ632" s="450"/>
      <c r="AR632" s="450"/>
      <c r="AS632" s="450"/>
      <c r="AT632" s="450"/>
      <c r="AU632" s="450"/>
      <c r="AV632" s="450"/>
      <c r="AW632" s="450"/>
      <c r="AX632" s="450"/>
      <c r="AY632" s="450"/>
      <c r="AZ632" s="450"/>
      <c r="BA632" s="450"/>
      <c r="BB632" s="450"/>
      <c r="BC632" s="450"/>
      <c r="BD632" s="450"/>
      <c r="BE632" s="450"/>
      <c r="BF632" s="450"/>
      <c r="BG632" s="450"/>
      <c r="BH632" s="450"/>
      <c r="BI632" s="450"/>
      <c r="BJ632" s="450"/>
      <c r="BK632" s="450"/>
      <c r="BL632" s="450"/>
      <c r="BM632" s="450"/>
    </row>
    <row r="633" spans="1:65" ht="11.15">
      <c r="A633" s="450"/>
      <c r="B633" s="450"/>
      <c r="C633" s="450"/>
      <c r="D633" s="450"/>
      <c r="E633" s="450"/>
      <c r="F633" s="450"/>
      <c r="G633" s="450"/>
      <c r="H633" s="450"/>
      <c r="I633" s="450"/>
      <c r="J633" s="450"/>
      <c r="K633" s="450"/>
      <c r="L633" s="450"/>
      <c r="M633" s="450"/>
      <c r="N633" s="450"/>
      <c r="O633" s="450"/>
      <c r="P633" s="450"/>
      <c r="Q633" s="450"/>
      <c r="R633" s="450"/>
      <c r="S633" s="450"/>
      <c r="T633" s="450"/>
      <c r="U633" s="450"/>
      <c r="V633" s="450"/>
      <c r="W633" s="450"/>
      <c r="X633" s="450"/>
      <c r="Y633" s="450"/>
      <c r="Z633" s="450"/>
      <c r="AA633" s="450"/>
      <c r="AB633" s="450"/>
      <c r="AC633" s="450"/>
      <c r="AD633" s="450"/>
      <c r="AE633" s="450"/>
      <c r="AF633" s="450"/>
      <c r="AG633" s="450"/>
      <c r="AH633" s="450"/>
      <c r="AI633" s="450"/>
      <c r="AJ633" s="450"/>
      <c r="AK633" s="450"/>
      <c r="AL633" s="450"/>
      <c r="AM633" s="450"/>
      <c r="AN633" s="450"/>
      <c r="AO633" s="450"/>
      <c r="AP633" s="450"/>
      <c r="AQ633" s="450"/>
      <c r="AR633" s="450"/>
      <c r="AS633" s="450"/>
      <c r="AT633" s="450"/>
      <c r="AU633" s="450"/>
      <c r="AV633" s="450"/>
      <c r="AW633" s="450"/>
      <c r="AX633" s="450"/>
      <c r="AY633" s="450"/>
      <c r="AZ633" s="450"/>
      <c r="BA633" s="450"/>
      <c r="BB633" s="450"/>
      <c r="BC633" s="450"/>
      <c r="BD633" s="450"/>
      <c r="BE633" s="450"/>
      <c r="BF633" s="450"/>
      <c r="BG633" s="450"/>
      <c r="BH633" s="450"/>
      <c r="BI633" s="450"/>
      <c r="BJ633" s="450"/>
      <c r="BK633" s="450"/>
      <c r="BL633" s="450"/>
      <c r="BM633" s="450"/>
    </row>
    <row r="634" spans="1:65" ht="11.15">
      <c r="A634" s="450"/>
      <c r="B634" s="450"/>
      <c r="C634" s="450"/>
      <c r="D634" s="450"/>
      <c r="E634" s="450"/>
      <c r="F634" s="450"/>
      <c r="G634" s="450"/>
      <c r="H634" s="450"/>
      <c r="I634" s="450"/>
      <c r="J634" s="450"/>
      <c r="K634" s="450"/>
      <c r="L634" s="450"/>
      <c r="M634" s="450"/>
      <c r="N634" s="450"/>
      <c r="O634" s="450"/>
      <c r="P634" s="450"/>
      <c r="Q634" s="450"/>
      <c r="R634" s="450"/>
      <c r="S634" s="450"/>
      <c r="T634" s="450"/>
      <c r="U634" s="450"/>
      <c r="V634" s="450"/>
      <c r="W634" s="450"/>
      <c r="X634" s="450"/>
      <c r="Y634" s="450"/>
      <c r="Z634" s="450"/>
      <c r="AA634" s="450"/>
      <c r="AB634" s="450"/>
      <c r="AC634" s="450"/>
      <c r="AD634" s="450"/>
      <c r="AE634" s="450"/>
      <c r="AF634" s="450"/>
      <c r="AG634" s="450"/>
      <c r="AH634" s="450"/>
      <c r="AI634" s="450"/>
      <c r="AJ634" s="450"/>
      <c r="AK634" s="450"/>
      <c r="AL634" s="450"/>
      <c r="AM634" s="450"/>
      <c r="AN634" s="450"/>
      <c r="AO634" s="450"/>
      <c r="AP634" s="450"/>
      <c r="AQ634" s="450"/>
      <c r="AR634" s="450"/>
      <c r="AS634" s="450"/>
      <c r="AT634" s="450"/>
      <c r="AU634" s="450"/>
      <c r="AV634" s="450"/>
      <c r="AW634" s="450"/>
      <c r="AX634" s="450"/>
      <c r="AY634" s="450"/>
      <c r="AZ634" s="450"/>
      <c r="BA634" s="450"/>
      <c r="BB634" s="450"/>
      <c r="BC634" s="450"/>
      <c r="BD634" s="450"/>
      <c r="BE634" s="450"/>
      <c r="BF634" s="450"/>
      <c r="BG634" s="450"/>
      <c r="BH634" s="450"/>
      <c r="BI634" s="450"/>
      <c r="BJ634" s="450"/>
      <c r="BK634" s="450"/>
      <c r="BL634" s="450"/>
      <c r="BM634" s="450"/>
    </row>
    <row r="635" spans="1:65" ht="11.15">
      <c r="A635" s="450"/>
      <c r="B635" s="450"/>
      <c r="C635" s="450"/>
      <c r="D635" s="450"/>
      <c r="E635" s="450"/>
      <c r="F635" s="450"/>
      <c r="G635" s="450"/>
      <c r="H635" s="450"/>
      <c r="I635" s="450"/>
      <c r="J635" s="450"/>
      <c r="K635" s="450"/>
      <c r="L635" s="450"/>
      <c r="M635" s="450"/>
      <c r="N635" s="450"/>
      <c r="O635" s="450"/>
      <c r="P635" s="450"/>
      <c r="Q635" s="450"/>
      <c r="R635" s="450"/>
      <c r="S635" s="450"/>
      <c r="T635" s="450"/>
      <c r="U635" s="450"/>
      <c r="V635" s="450"/>
      <c r="W635" s="450"/>
      <c r="X635" s="450"/>
      <c r="Y635" s="450"/>
      <c r="Z635" s="450"/>
      <c r="AA635" s="450"/>
      <c r="AB635" s="450"/>
      <c r="AC635" s="450"/>
      <c r="AD635" s="450"/>
      <c r="AE635" s="450"/>
      <c r="AF635" s="450"/>
      <c r="AG635" s="450"/>
      <c r="AH635" s="450"/>
      <c r="AI635" s="450"/>
      <c r="AJ635" s="450"/>
      <c r="AK635" s="450"/>
      <c r="AL635" s="450"/>
      <c r="AM635" s="450"/>
      <c r="AN635" s="450"/>
      <c r="AO635" s="450"/>
      <c r="AP635" s="450"/>
      <c r="AQ635" s="450"/>
      <c r="AR635" s="450"/>
      <c r="AS635" s="450"/>
      <c r="AT635" s="450"/>
      <c r="AU635" s="450"/>
      <c r="AV635" s="450"/>
      <c r="AW635" s="450"/>
      <c r="AX635" s="450"/>
      <c r="AY635" s="450"/>
      <c r="AZ635" s="450"/>
      <c r="BA635" s="450"/>
      <c r="BB635" s="450"/>
      <c r="BC635" s="450"/>
      <c r="BD635" s="450"/>
      <c r="BE635" s="450"/>
      <c r="BF635" s="450"/>
      <c r="BG635" s="450"/>
      <c r="BH635" s="450"/>
      <c r="BI635" s="450"/>
      <c r="BJ635" s="450"/>
      <c r="BK635" s="450"/>
      <c r="BL635" s="450"/>
      <c r="BM635" s="450"/>
    </row>
    <row r="636" spans="1:65" ht="11.15">
      <c r="A636" s="450"/>
      <c r="B636" s="450"/>
      <c r="C636" s="450"/>
      <c r="D636" s="450"/>
      <c r="E636" s="450"/>
      <c r="F636" s="450"/>
      <c r="G636" s="450"/>
      <c r="H636" s="450"/>
      <c r="I636" s="450"/>
      <c r="J636" s="450"/>
      <c r="K636" s="450"/>
      <c r="L636" s="450"/>
      <c r="M636" s="450"/>
      <c r="N636" s="450"/>
      <c r="O636" s="450"/>
      <c r="P636" s="450"/>
      <c r="Q636" s="450"/>
      <c r="R636" s="450"/>
      <c r="S636" s="450"/>
      <c r="T636" s="450"/>
      <c r="U636" s="450"/>
      <c r="V636" s="450"/>
      <c r="W636" s="450"/>
      <c r="X636" s="450"/>
      <c r="Y636" s="450"/>
      <c r="Z636" s="450"/>
      <c r="AA636" s="450"/>
      <c r="AB636" s="450"/>
      <c r="AC636" s="450"/>
      <c r="AD636" s="450"/>
      <c r="AE636" s="450"/>
      <c r="AF636" s="450"/>
      <c r="AG636" s="450"/>
      <c r="AH636" s="450"/>
      <c r="AI636" s="450"/>
      <c r="AJ636" s="450"/>
      <c r="AK636" s="450"/>
      <c r="AL636" s="450"/>
      <c r="AM636" s="450"/>
      <c r="AN636" s="450"/>
      <c r="AO636" s="450"/>
      <c r="AP636" s="450"/>
      <c r="AQ636" s="450"/>
      <c r="AR636" s="450"/>
      <c r="AS636" s="450"/>
      <c r="AT636" s="450"/>
      <c r="AU636" s="450"/>
      <c r="AV636" s="450"/>
      <c r="AW636" s="450"/>
      <c r="AX636" s="450"/>
      <c r="AY636" s="450"/>
      <c r="AZ636" s="450"/>
      <c r="BA636" s="450"/>
      <c r="BB636" s="450"/>
      <c r="BC636" s="450"/>
      <c r="BD636" s="450"/>
      <c r="BE636" s="450"/>
      <c r="BF636" s="450"/>
      <c r="BG636" s="450"/>
      <c r="BH636" s="450"/>
      <c r="BI636" s="450"/>
      <c r="BJ636" s="450"/>
      <c r="BK636" s="450"/>
      <c r="BL636" s="450"/>
      <c r="BM636" s="450"/>
    </row>
    <row r="637" spans="1:65" ht="11.15">
      <c r="A637" s="450"/>
      <c r="B637" s="450"/>
      <c r="C637" s="450"/>
      <c r="D637" s="450"/>
      <c r="E637" s="450"/>
      <c r="F637" s="450"/>
      <c r="G637" s="450"/>
      <c r="H637" s="450"/>
      <c r="I637" s="450"/>
      <c r="J637" s="450"/>
      <c r="K637" s="450"/>
      <c r="L637" s="450"/>
      <c r="M637" s="450"/>
      <c r="N637" s="450"/>
      <c r="O637" s="450"/>
      <c r="P637" s="450"/>
      <c r="Q637" s="450"/>
      <c r="R637" s="450"/>
      <c r="S637" s="450"/>
      <c r="T637" s="450"/>
      <c r="U637" s="450"/>
      <c r="V637" s="450"/>
      <c r="W637" s="450"/>
      <c r="X637" s="450"/>
      <c r="Y637" s="450"/>
      <c r="Z637" s="450"/>
      <c r="AA637" s="450"/>
      <c r="AB637" s="450"/>
      <c r="AC637" s="450"/>
      <c r="AD637" s="450"/>
      <c r="AE637" s="450"/>
      <c r="AF637" s="450"/>
      <c r="AG637" s="450"/>
      <c r="AH637" s="450"/>
      <c r="AI637" s="450"/>
      <c r="AJ637" s="450"/>
      <c r="AK637" s="450"/>
      <c r="AL637" s="450"/>
      <c r="AM637" s="450"/>
      <c r="AN637" s="450"/>
      <c r="AO637" s="450"/>
      <c r="AP637" s="450"/>
      <c r="AQ637" s="450"/>
      <c r="AR637" s="450"/>
      <c r="AS637" s="450"/>
      <c r="AT637" s="450"/>
      <c r="AU637" s="450"/>
      <c r="AV637" s="450"/>
      <c r="AW637" s="450"/>
      <c r="AX637" s="450"/>
      <c r="AY637" s="450"/>
      <c r="AZ637" s="450"/>
      <c r="BA637" s="450"/>
      <c r="BB637" s="450"/>
      <c r="BC637" s="450"/>
      <c r="BD637" s="450"/>
      <c r="BE637" s="450"/>
      <c r="BF637" s="450"/>
      <c r="BG637" s="450"/>
      <c r="BH637" s="450"/>
      <c r="BI637" s="450"/>
      <c r="BJ637" s="450"/>
      <c r="BK637" s="450"/>
      <c r="BL637" s="450"/>
      <c r="BM637" s="450"/>
    </row>
    <row r="638" spans="1:65" ht="11.15">
      <c r="A638" s="450"/>
      <c r="B638" s="450"/>
      <c r="C638" s="450"/>
      <c r="D638" s="450"/>
      <c r="E638" s="450"/>
      <c r="F638" s="450"/>
      <c r="G638" s="450"/>
      <c r="H638" s="450"/>
      <c r="I638" s="450"/>
      <c r="J638" s="450"/>
      <c r="K638" s="450"/>
      <c r="L638" s="450"/>
      <c r="M638" s="450"/>
      <c r="N638" s="450"/>
      <c r="O638" s="450"/>
      <c r="P638" s="450"/>
      <c r="Q638" s="450"/>
      <c r="R638" s="450"/>
      <c r="S638" s="450"/>
      <c r="T638" s="450"/>
      <c r="U638" s="450"/>
      <c r="V638" s="450"/>
      <c r="W638" s="450"/>
      <c r="X638" s="450"/>
      <c r="Y638" s="450"/>
      <c r="Z638" s="450"/>
      <c r="AA638" s="450"/>
      <c r="AB638" s="450"/>
      <c r="AC638" s="450"/>
      <c r="AD638" s="450"/>
      <c r="AE638" s="450"/>
      <c r="AF638" s="450"/>
      <c r="AG638" s="450"/>
      <c r="AH638" s="450"/>
      <c r="AI638" s="450"/>
      <c r="AJ638" s="450"/>
      <c r="AK638" s="450"/>
      <c r="AL638" s="450"/>
      <c r="AM638" s="450"/>
      <c r="AN638" s="450"/>
      <c r="AO638" s="450"/>
      <c r="AP638" s="450"/>
      <c r="AQ638" s="450"/>
      <c r="AR638" s="450"/>
      <c r="AS638" s="450"/>
      <c r="AT638" s="450"/>
      <c r="AU638" s="450"/>
      <c r="AV638" s="450"/>
      <c r="AW638" s="450"/>
      <c r="AX638" s="450"/>
      <c r="AY638" s="450"/>
      <c r="AZ638" s="450"/>
      <c r="BA638" s="450"/>
      <c r="BB638" s="450"/>
      <c r="BC638" s="450"/>
      <c r="BD638" s="450"/>
      <c r="BE638" s="450"/>
      <c r="BF638" s="450"/>
      <c r="BG638" s="450"/>
      <c r="BH638" s="450"/>
      <c r="BI638" s="450"/>
      <c r="BJ638" s="450"/>
      <c r="BK638" s="450"/>
      <c r="BL638" s="450"/>
      <c r="BM638" s="450"/>
    </row>
    <row r="639" spans="1:65" ht="11.15">
      <c r="A639" s="450"/>
      <c r="B639" s="450"/>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c r="Z639" s="450"/>
      <c r="AA639" s="450"/>
      <c r="AB639" s="450"/>
      <c r="AC639" s="450"/>
      <c r="AD639" s="450"/>
      <c r="AE639" s="450"/>
      <c r="AF639" s="450"/>
      <c r="AG639" s="450"/>
      <c r="AH639" s="450"/>
      <c r="AI639" s="450"/>
      <c r="AJ639" s="450"/>
      <c r="AK639" s="450"/>
      <c r="AL639" s="450"/>
      <c r="AM639" s="450"/>
      <c r="AN639" s="450"/>
      <c r="AO639" s="450"/>
      <c r="AP639" s="450"/>
      <c r="AQ639" s="450"/>
      <c r="AR639" s="450"/>
      <c r="AS639" s="450"/>
      <c r="AT639" s="450"/>
      <c r="AU639" s="450"/>
      <c r="AV639" s="450"/>
      <c r="AW639" s="450"/>
      <c r="AX639" s="450"/>
      <c r="AY639" s="450"/>
      <c r="AZ639" s="450"/>
      <c r="BA639" s="450"/>
      <c r="BB639" s="450"/>
      <c r="BC639" s="450"/>
      <c r="BD639" s="450"/>
      <c r="BE639" s="450"/>
      <c r="BF639" s="450"/>
      <c r="BG639" s="450"/>
      <c r="BH639" s="450"/>
      <c r="BI639" s="450"/>
      <c r="BJ639" s="450"/>
      <c r="BK639" s="450"/>
      <c r="BL639" s="450"/>
      <c r="BM639" s="450"/>
    </row>
    <row r="640" spans="1:65" ht="11.15">
      <c r="A640" s="450"/>
      <c r="B640" s="450"/>
      <c r="C640" s="450"/>
      <c r="D640" s="450"/>
      <c r="E640" s="450"/>
      <c r="F640" s="450"/>
      <c r="G640" s="450"/>
      <c r="H640" s="450"/>
      <c r="I640" s="450"/>
      <c r="J640" s="450"/>
      <c r="K640" s="450"/>
      <c r="L640" s="450"/>
      <c r="M640" s="450"/>
      <c r="N640" s="450"/>
      <c r="O640" s="450"/>
      <c r="P640" s="450"/>
      <c r="Q640" s="450"/>
      <c r="R640" s="450"/>
      <c r="S640" s="450"/>
      <c r="T640" s="450"/>
      <c r="U640" s="450"/>
      <c r="V640" s="450"/>
      <c r="W640" s="450"/>
      <c r="X640" s="450"/>
      <c r="Y640" s="450"/>
      <c r="Z640" s="450"/>
      <c r="AA640" s="450"/>
      <c r="AB640" s="450"/>
      <c r="AC640" s="450"/>
      <c r="AD640" s="450"/>
      <c r="AE640" s="450"/>
      <c r="AF640" s="450"/>
      <c r="AG640" s="450"/>
      <c r="AH640" s="450"/>
      <c r="AI640" s="450"/>
      <c r="AJ640" s="450"/>
      <c r="AK640" s="450"/>
      <c r="AL640" s="450"/>
      <c r="AM640" s="450"/>
      <c r="AN640" s="450"/>
      <c r="AO640" s="450"/>
      <c r="AP640" s="450"/>
      <c r="AQ640" s="450"/>
      <c r="AR640" s="450"/>
      <c r="AS640" s="450"/>
      <c r="AT640" s="450"/>
      <c r="AU640" s="450"/>
      <c r="AV640" s="450"/>
      <c r="AW640" s="450"/>
      <c r="AX640" s="450"/>
      <c r="AY640" s="450"/>
      <c r="AZ640" s="450"/>
      <c r="BA640" s="450"/>
      <c r="BB640" s="450"/>
      <c r="BC640" s="450"/>
      <c r="BD640" s="450"/>
      <c r="BE640" s="450"/>
      <c r="BF640" s="450"/>
      <c r="BG640" s="450"/>
      <c r="BH640" s="450"/>
      <c r="BI640" s="450"/>
      <c r="BJ640" s="450"/>
      <c r="BK640" s="450"/>
      <c r="BL640" s="450"/>
      <c r="BM640" s="450"/>
    </row>
    <row r="641" spans="1:65" ht="11.15">
      <c r="A641" s="450"/>
      <c r="B641" s="450"/>
      <c r="C641" s="450"/>
      <c r="D641" s="450"/>
      <c r="E641" s="450"/>
      <c r="F641" s="450"/>
      <c r="G641" s="450"/>
      <c r="H641" s="450"/>
      <c r="I641" s="450"/>
      <c r="J641" s="450"/>
      <c r="K641" s="450"/>
      <c r="L641" s="450"/>
      <c r="M641" s="450"/>
      <c r="N641" s="450"/>
      <c r="O641" s="450"/>
      <c r="P641" s="450"/>
      <c r="Q641" s="450"/>
      <c r="R641" s="450"/>
      <c r="S641" s="450"/>
      <c r="T641" s="450"/>
      <c r="U641" s="450"/>
      <c r="V641" s="450"/>
      <c r="W641" s="450"/>
      <c r="X641" s="450"/>
      <c r="Y641" s="450"/>
      <c r="Z641" s="450"/>
      <c r="AA641" s="450"/>
      <c r="AB641" s="450"/>
      <c r="AC641" s="450"/>
      <c r="AD641" s="450"/>
      <c r="AE641" s="450"/>
      <c r="AF641" s="450"/>
      <c r="AG641" s="450"/>
      <c r="AH641" s="450"/>
      <c r="AI641" s="450"/>
      <c r="AJ641" s="450"/>
      <c r="AK641" s="450"/>
      <c r="AL641" s="450"/>
      <c r="AM641" s="450"/>
      <c r="AN641" s="450"/>
      <c r="AO641" s="450"/>
      <c r="AP641" s="450"/>
      <c r="AQ641" s="450"/>
      <c r="AR641" s="450"/>
      <c r="AS641" s="450"/>
      <c r="AT641" s="450"/>
      <c r="AU641" s="450"/>
      <c r="AV641" s="450"/>
      <c r="AW641" s="450"/>
      <c r="AX641" s="450"/>
      <c r="AY641" s="450"/>
      <c r="AZ641" s="450"/>
      <c r="BA641" s="450"/>
      <c r="BB641" s="450"/>
      <c r="BC641" s="450"/>
      <c r="BD641" s="450"/>
      <c r="BE641" s="450"/>
      <c r="BF641" s="450"/>
      <c r="BG641" s="450"/>
      <c r="BH641" s="450"/>
      <c r="BI641" s="450"/>
      <c r="BJ641" s="450"/>
      <c r="BK641" s="450"/>
      <c r="BL641" s="450"/>
      <c r="BM641" s="450"/>
    </row>
    <row r="642" spans="1:65" ht="11.15">
      <c r="A642" s="450"/>
      <c r="B642" s="450"/>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c r="Z642" s="450"/>
      <c r="AA642" s="450"/>
      <c r="AB642" s="450"/>
      <c r="AC642" s="450"/>
      <c r="AD642" s="450"/>
      <c r="AE642" s="450"/>
      <c r="AF642" s="450"/>
      <c r="AG642" s="450"/>
      <c r="AH642" s="450"/>
      <c r="AI642" s="450"/>
      <c r="AJ642" s="450"/>
      <c r="AK642" s="450"/>
      <c r="AL642" s="450"/>
      <c r="AM642" s="450"/>
      <c r="AN642" s="450"/>
      <c r="AO642" s="450"/>
      <c r="AP642" s="450"/>
      <c r="AQ642" s="450"/>
      <c r="AR642" s="450"/>
      <c r="AS642" s="450"/>
      <c r="AT642" s="450"/>
      <c r="AU642" s="450"/>
      <c r="AV642" s="450"/>
      <c r="AW642" s="450"/>
      <c r="AX642" s="450"/>
      <c r="AY642" s="450"/>
      <c r="AZ642" s="450"/>
      <c r="BA642" s="450"/>
      <c r="BB642" s="450"/>
      <c r="BC642" s="450"/>
      <c r="BD642" s="450"/>
      <c r="BE642" s="450"/>
      <c r="BF642" s="450"/>
      <c r="BG642" s="450"/>
      <c r="BH642" s="450"/>
      <c r="BI642" s="450"/>
      <c r="BJ642" s="450"/>
      <c r="BK642" s="450"/>
      <c r="BL642" s="450"/>
      <c r="BM642" s="450"/>
    </row>
    <row r="643" spans="1:65" ht="11.15">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c r="Z643" s="450"/>
      <c r="AA643" s="450"/>
      <c r="AB643" s="450"/>
      <c r="AC643" s="450"/>
      <c r="AD643" s="450"/>
      <c r="AE643" s="450"/>
      <c r="AF643" s="450"/>
      <c r="AG643" s="450"/>
      <c r="AH643" s="450"/>
      <c r="AI643" s="450"/>
      <c r="AJ643" s="450"/>
      <c r="AK643" s="450"/>
      <c r="AL643" s="450"/>
      <c r="AM643" s="450"/>
      <c r="AN643" s="450"/>
      <c r="AO643" s="450"/>
      <c r="AP643" s="450"/>
      <c r="AQ643" s="450"/>
      <c r="AR643" s="450"/>
      <c r="AS643" s="450"/>
      <c r="AT643" s="450"/>
      <c r="AU643" s="450"/>
      <c r="AV643" s="450"/>
      <c r="AW643" s="450"/>
      <c r="AX643" s="450"/>
      <c r="AY643" s="450"/>
      <c r="AZ643" s="450"/>
      <c r="BA643" s="450"/>
      <c r="BB643" s="450"/>
      <c r="BC643" s="450"/>
      <c r="BD643" s="450"/>
      <c r="BE643" s="450"/>
      <c r="BF643" s="450"/>
      <c r="BG643" s="450"/>
      <c r="BH643" s="450"/>
      <c r="BI643" s="450"/>
      <c r="BJ643" s="450"/>
      <c r="BK643" s="450"/>
      <c r="BL643" s="450"/>
      <c r="BM643" s="450"/>
    </row>
    <row r="644" spans="1:65" ht="11.15">
      <c r="A644" s="450"/>
      <c r="B644" s="450"/>
      <c r="C644" s="450"/>
      <c r="D644" s="450"/>
      <c r="E644" s="450"/>
      <c r="F644" s="450"/>
      <c r="G644" s="450"/>
      <c r="H644" s="450"/>
      <c r="I644" s="450"/>
      <c r="J644" s="450"/>
      <c r="K644" s="450"/>
      <c r="L644" s="450"/>
      <c r="M644" s="450"/>
      <c r="N644" s="450"/>
      <c r="O644" s="450"/>
      <c r="P644" s="450"/>
      <c r="Q644" s="450"/>
      <c r="R644" s="450"/>
      <c r="S644" s="450"/>
      <c r="T644" s="450"/>
      <c r="U644" s="450"/>
      <c r="V644" s="450"/>
      <c r="W644" s="450"/>
      <c r="X644" s="450"/>
      <c r="Y644" s="450"/>
      <c r="Z644" s="450"/>
      <c r="AA644" s="450"/>
      <c r="AB644" s="450"/>
      <c r="AC644" s="450"/>
      <c r="AD644" s="450"/>
      <c r="AE644" s="450"/>
      <c r="AF644" s="450"/>
      <c r="AG644" s="450"/>
      <c r="AH644" s="450"/>
      <c r="AI644" s="450"/>
      <c r="AJ644" s="450"/>
      <c r="AK644" s="450"/>
      <c r="AL644" s="450"/>
      <c r="AM644" s="450"/>
      <c r="AN644" s="450"/>
      <c r="AO644" s="450"/>
      <c r="AP644" s="450"/>
      <c r="AQ644" s="450"/>
      <c r="AR644" s="450"/>
      <c r="AS644" s="450"/>
      <c r="AT644" s="450"/>
      <c r="AU644" s="450"/>
      <c r="AV644" s="450"/>
      <c r="AW644" s="450"/>
      <c r="AX644" s="450"/>
      <c r="AY644" s="450"/>
      <c r="AZ644" s="450"/>
      <c r="BA644" s="450"/>
      <c r="BB644" s="450"/>
      <c r="BC644" s="450"/>
      <c r="BD644" s="450"/>
      <c r="BE644" s="450"/>
      <c r="BF644" s="450"/>
      <c r="BG644" s="450"/>
      <c r="BH644" s="450"/>
      <c r="BI644" s="450"/>
      <c r="BJ644" s="450"/>
      <c r="BK644" s="450"/>
      <c r="BL644" s="450"/>
      <c r="BM644" s="450"/>
    </row>
    <row r="645" spans="1:65" ht="11.15">
      <c r="A645" s="450"/>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c r="AA645" s="450"/>
      <c r="AB645" s="450"/>
      <c r="AC645" s="450"/>
      <c r="AD645" s="450"/>
      <c r="AE645" s="450"/>
      <c r="AF645" s="450"/>
      <c r="AG645" s="450"/>
      <c r="AH645" s="450"/>
      <c r="AI645" s="450"/>
      <c r="AJ645" s="450"/>
      <c r="AK645" s="450"/>
      <c r="AL645" s="450"/>
      <c r="AM645" s="450"/>
      <c r="AN645" s="450"/>
      <c r="AO645" s="450"/>
      <c r="AP645" s="450"/>
      <c r="AQ645" s="450"/>
      <c r="AR645" s="450"/>
      <c r="AS645" s="450"/>
      <c r="AT645" s="450"/>
      <c r="AU645" s="450"/>
      <c r="AV645" s="450"/>
      <c r="AW645" s="450"/>
      <c r="AX645" s="450"/>
      <c r="AY645" s="450"/>
      <c r="AZ645" s="450"/>
      <c r="BA645" s="450"/>
      <c r="BB645" s="450"/>
      <c r="BC645" s="450"/>
      <c r="BD645" s="450"/>
      <c r="BE645" s="450"/>
      <c r="BF645" s="450"/>
      <c r="BG645" s="450"/>
      <c r="BH645" s="450"/>
      <c r="BI645" s="450"/>
      <c r="BJ645" s="450"/>
      <c r="BK645" s="450"/>
      <c r="BL645" s="450"/>
      <c r="BM645" s="450"/>
    </row>
    <row r="646" spans="1:65" ht="11.15">
      <c r="A646" s="450"/>
      <c r="B646" s="450"/>
      <c r="C646" s="450"/>
      <c r="D646" s="450"/>
      <c r="E646" s="450"/>
      <c r="F646" s="450"/>
      <c r="G646" s="450"/>
      <c r="H646" s="450"/>
      <c r="I646" s="450"/>
      <c r="J646" s="450"/>
      <c r="K646" s="450"/>
      <c r="L646" s="450"/>
      <c r="M646" s="450"/>
      <c r="N646" s="450"/>
      <c r="O646" s="450"/>
      <c r="P646" s="450"/>
      <c r="Q646" s="450"/>
      <c r="R646" s="450"/>
      <c r="S646" s="450"/>
      <c r="T646" s="450"/>
      <c r="U646" s="450"/>
      <c r="V646" s="450"/>
      <c r="W646" s="450"/>
      <c r="X646" s="450"/>
      <c r="Y646" s="450"/>
      <c r="Z646" s="450"/>
      <c r="AA646" s="450"/>
      <c r="AB646" s="450"/>
      <c r="AC646" s="450"/>
      <c r="AD646" s="450"/>
      <c r="AE646" s="450"/>
      <c r="AF646" s="450"/>
      <c r="AG646" s="450"/>
      <c r="AH646" s="450"/>
      <c r="AI646" s="450"/>
      <c r="AJ646" s="450"/>
      <c r="AK646" s="450"/>
      <c r="AL646" s="450"/>
      <c r="AM646" s="450"/>
      <c r="AN646" s="450"/>
      <c r="AO646" s="450"/>
      <c r="AP646" s="450"/>
      <c r="AQ646" s="450"/>
      <c r="AR646" s="450"/>
      <c r="AS646" s="450"/>
      <c r="AT646" s="450"/>
      <c r="AU646" s="450"/>
      <c r="AV646" s="450"/>
      <c r="AW646" s="450"/>
      <c r="AX646" s="450"/>
      <c r="AY646" s="450"/>
      <c r="AZ646" s="450"/>
      <c r="BA646" s="450"/>
      <c r="BB646" s="450"/>
      <c r="BC646" s="450"/>
      <c r="BD646" s="450"/>
      <c r="BE646" s="450"/>
      <c r="BF646" s="450"/>
      <c r="BG646" s="450"/>
      <c r="BH646" s="450"/>
      <c r="BI646" s="450"/>
      <c r="BJ646" s="450"/>
      <c r="BK646" s="450"/>
      <c r="BL646" s="450"/>
      <c r="BM646" s="450"/>
    </row>
    <row r="647" spans="1:65" ht="11.15">
      <c r="A647" s="450"/>
      <c r="B647" s="450"/>
      <c r="C647" s="450"/>
      <c r="D647" s="450"/>
      <c r="E647" s="450"/>
      <c r="F647" s="450"/>
      <c r="G647" s="450"/>
      <c r="H647" s="450"/>
      <c r="I647" s="450"/>
      <c r="J647" s="450"/>
      <c r="K647" s="450"/>
      <c r="L647" s="450"/>
      <c r="M647" s="450"/>
      <c r="N647" s="450"/>
      <c r="O647" s="450"/>
      <c r="P647" s="450"/>
      <c r="Q647" s="450"/>
      <c r="R647" s="450"/>
      <c r="S647" s="450"/>
      <c r="T647" s="450"/>
      <c r="U647" s="450"/>
      <c r="V647" s="450"/>
      <c r="W647" s="450"/>
      <c r="X647" s="450"/>
      <c r="Y647" s="450"/>
      <c r="Z647" s="450"/>
      <c r="AA647" s="450"/>
      <c r="AB647" s="450"/>
      <c r="AC647" s="450"/>
      <c r="AD647" s="450"/>
      <c r="AE647" s="450"/>
      <c r="AF647" s="450"/>
      <c r="AG647" s="450"/>
      <c r="AH647" s="450"/>
      <c r="AI647" s="450"/>
      <c r="AJ647" s="450"/>
      <c r="AK647" s="450"/>
      <c r="AL647" s="450"/>
      <c r="AM647" s="450"/>
      <c r="AN647" s="450"/>
      <c r="AO647" s="450"/>
      <c r="AP647" s="450"/>
      <c r="AQ647" s="450"/>
      <c r="AR647" s="450"/>
      <c r="AS647" s="450"/>
      <c r="AT647" s="450"/>
      <c r="AU647" s="450"/>
      <c r="AV647" s="450"/>
      <c r="AW647" s="450"/>
      <c r="AX647" s="450"/>
      <c r="AY647" s="450"/>
      <c r="AZ647" s="450"/>
      <c r="BA647" s="450"/>
      <c r="BB647" s="450"/>
      <c r="BC647" s="450"/>
      <c r="BD647" s="450"/>
      <c r="BE647" s="450"/>
      <c r="BF647" s="450"/>
      <c r="BG647" s="450"/>
      <c r="BH647" s="450"/>
      <c r="BI647" s="450"/>
      <c r="BJ647" s="450"/>
      <c r="BK647" s="450"/>
      <c r="BL647" s="450"/>
      <c r="BM647" s="450"/>
    </row>
    <row r="648" spans="1:65" ht="11.15">
      <c r="A648" s="450"/>
      <c r="B648" s="450"/>
      <c r="C648" s="450"/>
      <c r="D648" s="450"/>
      <c r="E648" s="450"/>
      <c r="F648" s="450"/>
      <c r="G648" s="450"/>
      <c r="H648" s="450"/>
      <c r="I648" s="450"/>
      <c r="J648" s="450"/>
      <c r="K648" s="450"/>
      <c r="L648" s="450"/>
      <c r="M648" s="450"/>
      <c r="N648" s="450"/>
      <c r="O648" s="450"/>
      <c r="P648" s="450"/>
      <c r="Q648" s="450"/>
      <c r="R648" s="450"/>
      <c r="S648" s="450"/>
      <c r="T648" s="450"/>
      <c r="U648" s="450"/>
      <c r="V648" s="450"/>
      <c r="W648" s="450"/>
      <c r="X648" s="450"/>
      <c r="Y648" s="450"/>
      <c r="Z648" s="450"/>
      <c r="AA648" s="450"/>
      <c r="AB648" s="450"/>
      <c r="AC648" s="450"/>
      <c r="AD648" s="450"/>
      <c r="AE648" s="450"/>
      <c r="AF648" s="450"/>
      <c r="AG648" s="450"/>
      <c r="AH648" s="450"/>
      <c r="AI648" s="450"/>
      <c r="AJ648" s="450"/>
      <c r="AK648" s="450"/>
      <c r="AL648" s="450"/>
      <c r="AM648" s="450"/>
      <c r="AN648" s="450"/>
      <c r="AO648" s="450"/>
      <c r="AP648" s="450"/>
      <c r="AQ648" s="450"/>
      <c r="AR648" s="450"/>
      <c r="AS648" s="450"/>
      <c r="AT648" s="450"/>
      <c r="AU648" s="450"/>
      <c r="AV648" s="450"/>
      <c r="AW648" s="450"/>
      <c r="AX648" s="450"/>
      <c r="AY648" s="450"/>
      <c r="AZ648" s="450"/>
      <c r="BA648" s="450"/>
      <c r="BB648" s="450"/>
      <c r="BC648" s="450"/>
      <c r="BD648" s="450"/>
      <c r="BE648" s="450"/>
      <c r="BF648" s="450"/>
      <c r="BG648" s="450"/>
      <c r="BH648" s="450"/>
      <c r="BI648" s="450"/>
      <c r="BJ648" s="450"/>
      <c r="BK648" s="450"/>
      <c r="BL648" s="450"/>
      <c r="BM648" s="450"/>
    </row>
    <row r="649" spans="1:65" ht="11.15">
      <c r="A649" s="450"/>
      <c r="B649" s="450"/>
      <c r="C649" s="450"/>
      <c r="D649" s="450"/>
      <c r="E649" s="450"/>
      <c r="F649" s="450"/>
      <c r="G649" s="450"/>
      <c r="H649" s="450"/>
      <c r="I649" s="450"/>
      <c r="J649" s="450"/>
      <c r="K649" s="450"/>
      <c r="L649" s="450"/>
      <c r="M649" s="450"/>
      <c r="N649" s="450"/>
      <c r="O649" s="450"/>
      <c r="P649" s="450"/>
      <c r="Q649" s="450"/>
      <c r="R649" s="450"/>
      <c r="S649" s="450"/>
      <c r="T649" s="450"/>
      <c r="U649" s="450"/>
      <c r="V649" s="450"/>
      <c r="W649" s="450"/>
      <c r="X649" s="450"/>
      <c r="Y649" s="450"/>
      <c r="Z649" s="450"/>
      <c r="AA649" s="450"/>
      <c r="AB649" s="450"/>
      <c r="AC649" s="450"/>
      <c r="AD649" s="450"/>
      <c r="AE649" s="450"/>
      <c r="AF649" s="450"/>
      <c r="AG649" s="450"/>
      <c r="AH649" s="450"/>
      <c r="AI649" s="450"/>
      <c r="AJ649" s="450"/>
      <c r="AK649" s="450"/>
      <c r="AL649" s="450"/>
      <c r="AM649" s="450"/>
      <c r="AN649" s="450"/>
      <c r="AO649" s="450"/>
      <c r="AP649" s="450"/>
      <c r="AQ649" s="450"/>
      <c r="AR649" s="450"/>
      <c r="AS649" s="450"/>
      <c r="AT649" s="450"/>
      <c r="AU649" s="450"/>
      <c r="AV649" s="450"/>
      <c r="AW649" s="450"/>
      <c r="AX649" s="450"/>
      <c r="AY649" s="450"/>
      <c r="AZ649" s="450"/>
      <c r="BA649" s="450"/>
      <c r="BB649" s="450"/>
      <c r="BC649" s="450"/>
      <c r="BD649" s="450"/>
      <c r="BE649" s="450"/>
      <c r="BF649" s="450"/>
      <c r="BG649" s="450"/>
      <c r="BH649" s="450"/>
      <c r="BI649" s="450"/>
      <c r="BJ649" s="450"/>
      <c r="BK649" s="450"/>
      <c r="BL649" s="450"/>
      <c r="BM649" s="450"/>
    </row>
    <row r="650" spans="1:65" ht="11.15">
      <c r="A650" s="450"/>
      <c r="B650" s="450"/>
      <c r="C650" s="450"/>
      <c r="D650" s="450"/>
      <c r="E650" s="450"/>
      <c r="F650" s="450"/>
      <c r="G650" s="450"/>
      <c r="H650" s="450"/>
      <c r="I650" s="450"/>
      <c r="J650" s="450"/>
      <c r="K650" s="450"/>
      <c r="L650" s="450"/>
      <c r="M650" s="450"/>
      <c r="N650" s="450"/>
      <c r="O650" s="450"/>
      <c r="P650" s="450"/>
      <c r="Q650" s="450"/>
      <c r="R650" s="450"/>
      <c r="S650" s="450"/>
      <c r="T650" s="450"/>
      <c r="U650" s="450"/>
      <c r="V650" s="450"/>
      <c r="W650" s="450"/>
      <c r="X650" s="450"/>
      <c r="Y650" s="450"/>
      <c r="Z650" s="450"/>
      <c r="AA650" s="450"/>
      <c r="AB650" s="450"/>
      <c r="AC650" s="450"/>
      <c r="AD650" s="450"/>
      <c r="AE650" s="450"/>
      <c r="AF650" s="450"/>
      <c r="AG650" s="450"/>
      <c r="AH650" s="450"/>
      <c r="AI650" s="450"/>
      <c r="AJ650" s="450"/>
      <c r="AK650" s="450"/>
      <c r="AL650" s="450"/>
      <c r="AM650" s="450"/>
      <c r="AN650" s="450"/>
      <c r="AO650" s="450"/>
      <c r="AP650" s="450"/>
      <c r="AQ650" s="450"/>
      <c r="AR650" s="450"/>
      <c r="AS650" s="450"/>
      <c r="AT650" s="450"/>
      <c r="AU650" s="450"/>
      <c r="AV650" s="450"/>
      <c r="AW650" s="450"/>
      <c r="AX650" s="450"/>
      <c r="AY650" s="450"/>
      <c r="AZ650" s="450"/>
      <c r="BA650" s="450"/>
      <c r="BB650" s="450"/>
      <c r="BC650" s="450"/>
      <c r="BD650" s="450"/>
      <c r="BE650" s="450"/>
      <c r="BF650" s="450"/>
      <c r="BG650" s="450"/>
      <c r="BH650" s="450"/>
      <c r="BI650" s="450"/>
      <c r="BJ650" s="450"/>
      <c r="BK650" s="450"/>
      <c r="BL650" s="450"/>
      <c r="BM650" s="450"/>
    </row>
    <row r="651" spans="1:65" ht="11.15">
      <c r="A651" s="450"/>
      <c r="B651" s="450"/>
      <c r="C651" s="450"/>
      <c r="D651" s="450"/>
      <c r="E651" s="450"/>
      <c r="F651" s="450"/>
      <c r="G651" s="450"/>
      <c r="H651" s="450"/>
      <c r="I651" s="450"/>
      <c r="J651" s="450"/>
      <c r="K651" s="450"/>
      <c r="L651" s="450"/>
      <c r="M651" s="450"/>
      <c r="N651" s="450"/>
      <c r="O651" s="450"/>
      <c r="P651" s="450"/>
      <c r="Q651" s="450"/>
      <c r="R651" s="450"/>
      <c r="S651" s="450"/>
      <c r="T651" s="450"/>
      <c r="U651" s="450"/>
      <c r="V651" s="450"/>
      <c r="W651" s="450"/>
      <c r="X651" s="450"/>
      <c r="Y651" s="450"/>
      <c r="Z651" s="450"/>
      <c r="AA651" s="450"/>
      <c r="AB651" s="450"/>
      <c r="AC651" s="450"/>
      <c r="AD651" s="450"/>
      <c r="AE651" s="450"/>
      <c r="AF651" s="450"/>
      <c r="AG651" s="450"/>
      <c r="AH651" s="450"/>
      <c r="AI651" s="450"/>
      <c r="AJ651" s="450"/>
      <c r="AK651" s="450"/>
      <c r="AL651" s="450"/>
      <c r="AM651" s="450"/>
      <c r="AN651" s="450"/>
      <c r="AO651" s="450"/>
      <c r="AP651" s="450"/>
      <c r="AQ651" s="450"/>
      <c r="AR651" s="450"/>
      <c r="AS651" s="450"/>
      <c r="AT651" s="450"/>
      <c r="AU651" s="450"/>
      <c r="AV651" s="450"/>
      <c r="AW651" s="450"/>
      <c r="AX651" s="450"/>
      <c r="AY651" s="450"/>
      <c r="AZ651" s="450"/>
      <c r="BA651" s="450"/>
      <c r="BB651" s="450"/>
      <c r="BC651" s="450"/>
      <c r="BD651" s="450"/>
      <c r="BE651" s="450"/>
      <c r="BF651" s="450"/>
      <c r="BG651" s="450"/>
      <c r="BH651" s="450"/>
      <c r="BI651" s="450"/>
      <c r="BJ651" s="450"/>
      <c r="BK651" s="450"/>
      <c r="BL651" s="450"/>
      <c r="BM651" s="450"/>
    </row>
    <row r="652" spans="1:65" ht="11.15">
      <c r="A652" s="450"/>
      <c r="B652" s="450"/>
      <c r="C652" s="450"/>
      <c r="D652" s="450"/>
      <c r="E652" s="450"/>
      <c r="F652" s="450"/>
      <c r="G652" s="450"/>
      <c r="H652" s="450"/>
      <c r="I652" s="450"/>
      <c r="J652" s="450"/>
      <c r="K652" s="450"/>
      <c r="L652" s="450"/>
      <c r="M652" s="450"/>
      <c r="N652" s="450"/>
      <c r="O652" s="450"/>
      <c r="P652" s="450"/>
      <c r="Q652" s="450"/>
      <c r="R652" s="450"/>
      <c r="S652" s="450"/>
      <c r="T652" s="450"/>
      <c r="U652" s="450"/>
      <c r="V652" s="450"/>
      <c r="W652" s="450"/>
      <c r="X652" s="450"/>
      <c r="Y652" s="450"/>
      <c r="Z652" s="450"/>
      <c r="AA652" s="450"/>
      <c r="AB652" s="450"/>
      <c r="AC652" s="450"/>
      <c r="AD652" s="450"/>
      <c r="AE652" s="450"/>
      <c r="AF652" s="450"/>
      <c r="AG652" s="450"/>
      <c r="AH652" s="450"/>
      <c r="AI652" s="450"/>
      <c r="AJ652" s="450"/>
      <c r="AK652" s="450"/>
      <c r="AL652" s="450"/>
      <c r="AM652" s="450"/>
      <c r="AN652" s="450"/>
      <c r="AO652" s="450"/>
      <c r="AP652" s="450"/>
      <c r="AQ652" s="450"/>
      <c r="AR652" s="450"/>
      <c r="AS652" s="450"/>
      <c r="AT652" s="450"/>
      <c r="AU652" s="450"/>
      <c r="AV652" s="450"/>
      <c r="AW652" s="450"/>
      <c r="AX652" s="450"/>
      <c r="AY652" s="450"/>
      <c r="AZ652" s="450"/>
      <c r="BA652" s="450"/>
      <c r="BB652" s="450"/>
      <c r="BC652" s="450"/>
      <c r="BD652" s="450"/>
      <c r="BE652" s="450"/>
      <c r="BF652" s="450"/>
      <c r="BG652" s="450"/>
      <c r="BH652" s="450"/>
      <c r="BI652" s="450"/>
      <c r="BJ652" s="450"/>
      <c r="BK652" s="450"/>
      <c r="BL652" s="450"/>
      <c r="BM652" s="450"/>
    </row>
    <row r="653" spans="1:65" ht="11.15">
      <c r="A653" s="450"/>
      <c r="B653" s="450"/>
      <c r="C653" s="450"/>
      <c r="D653" s="450"/>
      <c r="E653" s="450"/>
      <c r="F653" s="450"/>
      <c r="G653" s="450"/>
      <c r="H653" s="450"/>
      <c r="I653" s="450"/>
      <c r="J653" s="450"/>
      <c r="K653" s="450"/>
      <c r="L653" s="450"/>
      <c r="M653" s="450"/>
      <c r="N653" s="450"/>
      <c r="O653" s="450"/>
      <c r="P653" s="450"/>
      <c r="Q653" s="450"/>
      <c r="R653" s="450"/>
      <c r="S653" s="450"/>
      <c r="T653" s="450"/>
      <c r="U653" s="450"/>
      <c r="V653" s="450"/>
      <c r="W653" s="450"/>
      <c r="X653" s="450"/>
      <c r="Y653" s="450"/>
      <c r="Z653" s="450"/>
      <c r="AA653" s="450"/>
      <c r="AB653" s="450"/>
      <c r="AC653" s="450"/>
      <c r="AD653" s="450"/>
      <c r="AE653" s="450"/>
      <c r="AF653" s="450"/>
      <c r="AG653" s="450"/>
      <c r="AH653" s="450"/>
      <c r="AI653" s="450"/>
      <c r="AJ653" s="450"/>
      <c r="AK653" s="450"/>
      <c r="AL653" s="450"/>
      <c r="AM653" s="450"/>
      <c r="AN653" s="450"/>
      <c r="AO653" s="450"/>
      <c r="AP653" s="450"/>
      <c r="AQ653" s="450"/>
      <c r="AR653" s="450"/>
      <c r="AS653" s="450"/>
      <c r="AT653" s="450"/>
      <c r="AU653" s="450"/>
      <c r="AV653" s="450"/>
      <c r="AW653" s="450"/>
      <c r="AX653" s="450"/>
      <c r="AY653" s="450"/>
      <c r="AZ653" s="450"/>
      <c r="BA653" s="450"/>
      <c r="BB653" s="450"/>
      <c r="BC653" s="450"/>
      <c r="BD653" s="450"/>
      <c r="BE653" s="450"/>
      <c r="BF653" s="450"/>
      <c r="BG653" s="450"/>
      <c r="BH653" s="450"/>
      <c r="BI653" s="450"/>
      <c r="BJ653" s="450"/>
      <c r="BK653" s="450"/>
      <c r="BL653" s="450"/>
      <c r="BM653" s="450"/>
    </row>
    <row r="654" spans="1:65" ht="11.15">
      <c r="A654" s="450"/>
      <c r="B654" s="450"/>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c r="Z654" s="450"/>
      <c r="AA654" s="450"/>
      <c r="AB654" s="450"/>
      <c r="AC654" s="450"/>
      <c r="AD654" s="450"/>
      <c r="AE654" s="450"/>
      <c r="AF654" s="450"/>
      <c r="AG654" s="450"/>
      <c r="AH654" s="450"/>
      <c r="AI654" s="450"/>
      <c r="AJ654" s="450"/>
      <c r="AK654" s="450"/>
      <c r="AL654" s="450"/>
      <c r="AM654" s="450"/>
      <c r="AN654" s="450"/>
      <c r="AO654" s="450"/>
      <c r="AP654" s="450"/>
      <c r="AQ654" s="450"/>
      <c r="AR654" s="450"/>
      <c r="AS654" s="450"/>
      <c r="AT654" s="450"/>
      <c r="AU654" s="450"/>
      <c r="AV654" s="450"/>
      <c r="AW654" s="450"/>
      <c r="AX654" s="450"/>
      <c r="AY654" s="450"/>
      <c r="AZ654" s="450"/>
      <c r="BA654" s="450"/>
      <c r="BB654" s="450"/>
      <c r="BC654" s="450"/>
      <c r="BD654" s="450"/>
      <c r="BE654" s="450"/>
      <c r="BF654" s="450"/>
      <c r="BG654" s="450"/>
      <c r="BH654" s="450"/>
      <c r="BI654" s="450"/>
      <c r="BJ654" s="450"/>
      <c r="BK654" s="450"/>
      <c r="BL654" s="450"/>
      <c r="BM654" s="450"/>
    </row>
    <row r="655" spans="1:65" ht="11.15">
      <c r="A655" s="450"/>
      <c r="B655" s="450"/>
      <c r="C655" s="450"/>
      <c r="D655" s="450"/>
      <c r="E655" s="450"/>
      <c r="F655" s="450"/>
      <c r="G655" s="450"/>
      <c r="H655" s="450"/>
      <c r="I655" s="450"/>
      <c r="J655" s="450"/>
      <c r="K655" s="450"/>
      <c r="L655" s="450"/>
      <c r="M655" s="450"/>
      <c r="N655" s="450"/>
      <c r="O655" s="450"/>
      <c r="P655" s="450"/>
      <c r="Q655" s="450"/>
      <c r="R655" s="450"/>
      <c r="S655" s="450"/>
      <c r="T655" s="450"/>
      <c r="U655" s="450"/>
      <c r="V655" s="450"/>
      <c r="W655" s="450"/>
      <c r="X655" s="450"/>
      <c r="Y655" s="450"/>
      <c r="Z655" s="450"/>
      <c r="AA655" s="450"/>
      <c r="AB655" s="450"/>
      <c r="AC655" s="450"/>
      <c r="AD655" s="450"/>
      <c r="AE655" s="450"/>
      <c r="AF655" s="450"/>
      <c r="AG655" s="450"/>
      <c r="AH655" s="450"/>
      <c r="AI655" s="450"/>
      <c r="AJ655" s="450"/>
      <c r="AK655" s="450"/>
      <c r="AL655" s="450"/>
      <c r="AM655" s="450"/>
      <c r="AN655" s="450"/>
      <c r="AO655" s="450"/>
      <c r="AP655" s="450"/>
      <c r="AQ655" s="450"/>
      <c r="AR655" s="450"/>
      <c r="AS655" s="450"/>
      <c r="AT655" s="450"/>
      <c r="AU655" s="450"/>
      <c r="AV655" s="450"/>
      <c r="AW655" s="450"/>
      <c r="AX655" s="450"/>
      <c r="AY655" s="450"/>
      <c r="AZ655" s="450"/>
      <c r="BA655" s="450"/>
      <c r="BB655" s="450"/>
      <c r="BC655" s="450"/>
      <c r="BD655" s="450"/>
      <c r="BE655" s="450"/>
      <c r="BF655" s="450"/>
      <c r="BG655" s="450"/>
      <c r="BH655" s="450"/>
      <c r="BI655" s="450"/>
      <c r="BJ655" s="450"/>
      <c r="BK655" s="450"/>
      <c r="BL655" s="450"/>
      <c r="BM655" s="450"/>
    </row>
    <row r="656" spans="1:65" ht="11.15">
      <c r="A656" s="450"/>
      <c r="B656" s="450"/>
      <c r="C656" s="450"/>
      <c r="D656" s="450"/>
      <c r="E656" s="450"/>
      <c r="F656" s="450"/>
      <c r="G656" s="450"/>
      <c r="H656" s="450"/>
      <c r="I656" s="450"/>
      <c r="J656" s="450"/>
      <c r="K656" s="450"/>
      <c r="L656" s="450"/>
      <c r="M656" s="450"/>
      <c r="N656" s="450"/>
      <c r="O656" s="450"/>
      <c r="P656" s="450"/>
      <c r="Q656" s="450"/>
      <c r="R656" s="450"/>
      <c r="S656" s="450"/>
      <c r="T656" s="450"/>
      <c r="U656" s="450"/>
      <c r="V656" s="450"/>
      <c r="W656" s="450"/>
      <c r="X656" s="450"/>
      <c r="Y656" s="450"/>
      <c r="Z656" s="450"/>
      <c r="AA656" s="450"/>
      <c r="AB656" s="450"/>
      <c r="AC656" s="450"/>
      <c r="AD656" s="450"/>
      <c r="AE656" s="450"/>
      <c r="AF656" s="450"/>
      <c r="AG656" s="450"/>
      <c r="AH656" s="450"/>
      <c r="AI656" s="450"/>
      <c r="AJ656" s="450"/>
      <c r="AK656" s="450"/>
      <c r="AL656" s="450"/>
      <c r="AM656" s="450"/>
      <c r="AN656" s="450"/>
      <c r="AO656" s="450"/>
      <c r="AP656" s="450"/>
      <c r="AQ656" s="450"/>
      <c r="AR656" s="450"/>
      <c r="AS656" s="450"/>
      <c r="AT656" s="450"/>
      <c r="AU656" s="450"/>
      <c r="AV656" s="450"/>
      <c r="AW656" s="450"/>
      <c r="AX656" s="450"/>
      <c r="AY656" s="450"/>
      <c r="AZ656" s="450"/>
      <c r="BA656" s="450"/>
      <c r="BB656" s="450"/>
      <c r="BC656" s="450"/>
      <c r="BD656" s="450"/>
      <c r="BE656" s="450"/>
      <c r="BF656" s="450"/>
      <c r="BG656" s="450"/>
      <c r="BH656" s="450"/>
      <c r="BI656" s="450"/>
      <c r="BJ656" s="450"/>
      <c r="BK656" s="450"/>
      <c r="BL656" s="450"/>
      <c r="BM656" s="450"/>
    </row>
    <row r="657" spans="1:65" ht="11.15">
      <c r="A657" s="450"/>
      <c r="B657" s="450"/>
      <c r="C657" s="450"/>
      <c r="D657" s="450"/>
      <c r="E657" s="450"/>
      <c r="F657" s="450"/>
      <c r="G657" s="450"/>
      <c r="H657" s="450"/>
      <c r="I657" s="450"/>
      <c r="J657" s="450"/>
      <c r="K657" s="450"/>
      <c r="L657" s="450"/>
      <c r="M657" s="450"/>
      <c r="N657" s="450"/>
      <c r="O657" s="450"/>
      <c r="P657" s="450"/>
      <c r="Q657" s="450"/>
      <c r="R657" s="450"/>
      <c r="S657" s="450"/>
      <c r="T657" s="450"/>
      <c r="U657" s="450"/>
      <c r="V657" s="450"/>
      <c r="W657" s="450"/>
      <c r="X657" s="450"/>
      <c r="Y657" s="450"/>
      <c r="Z657" s="450"/>
      <c r="AA657" s="450"/>
      <c r="AB657" s="450"/>
      <c r="AC657" s="450"/>
      <c r="AD657" s="450"/>
      <c r="AE657" s="450"/>
      <c r="AF657" s="450"/>
      <c r="AG657" s="450"/>
      <c r="AH657" s="450"/>
      <c r="AI657" s="450"/>
      <c r="AJ657" s="450"/>
      <c r="AK657" s="450"/>
      <c r="AL657" s="450"/>
      <c r="AM657" s="450"/>
      <c r="AN657" s="450"/>
      <c r="AO657" s="450"/>
      <c r="AP657" s="450"/>
      <c r="AQ657" s="450"/>
      <c r="AR657" s="450"/>
      <c r="AS657" s="450"/>
      <c r="AT657" s="450"/>
      <c r="AU657" s="450"/>
      <c r="AV657" s="450"/>
      <c r="AW657" s="450"/>
      <c r="AX657" s="450"/>
      <c r="AY657" s="450"/>
      <c r="AZ657" s="450"/>
      <c r="BA657" s="450"/>
      <c r="BB657" s="450"/>
      <c r="BC657" s="450"/>
      <c r="BD657" s="450"/>
      <c r="BE657" s="450"/>
      <c r="BF657" s="450"/>
      <c r="BG657" s="450"/>
      <c r="BH657" s="450"/>
      <c r="BI657" s="450"/>
      <c r="BJ657" s="450"/>
      <c r="BK657" s="450"/>
      <c r="BL657" s="450"/>
      <c r="BM657" s="450"/>
    </row>
    <row r="658" spans="1:65" ht="11.15">
      <c r="A658" s="450"/>
      <c r="B658" s="450"/>
      <c r="C658" s="450"/>
      <c r="D658" s="450"/>
      <c r="E658" s="450"/>
      <c r="F658" s="450"/>
      <c r="G658" s="450"/>
      <c r="H658" s="450"/>
      <c r="I658" s="450"/>
      <c r="J658" s="450"/>
      <c r="K658" s="450"/>
      <c r="L658" s="450"/>
      <c r="M658" s="450"/>
      <c r="N658" s="450"/>
      <c r="O658" s="450"/>
      <c r="P658" s="450"/>
      <c r="Q658" s="450"/>
      <c r="R658" s="450"/>
      <c r="S658" s="450"/>
      <c r="T658" s="450"/>
      <c r="U658" s="450"/>
      <c r="V658" s="450"/>
      <c r="W658" s="450"/>
      <c r="X658" s="450"/>
      <c r="Y658" s="450"/>
      <c r="Z658" s="450"/>
      <c r="AA658" s="450"/>
      <c r="AB658" s="450"/>
      <c r="AC658" s="450"/>
      <c r="AD658" s="450"/>
      <c r="AE658" s="450"/>
      <c r="AF658" s="450"/>
      <c r="AG658" s="450"/>
      <c r="AH658" s="450"/>
      <c r="AI658" s="450"/>
      <c r="AJ658" s="450"/>
      <c r="AK658" s="450"/>
      <c r="AL658" s="450"/>
      <c r="AM658" s="450"/>
      <c r="AN658" s="450"/>
      <c r="AO658" s="450"/>
      <c r="AP658" s="450"/>
      <c r="AQ658" s="450"/>
      <c r="AR658" s="450"/>
      <c r="AS658" s="450"/>
      <c r="AT658" s="450"/>
      <c r="AU658" s="450"/>
      <c r="AV658" s="450"/>
      <c r="AW658" s="450"/>
      <c r="AX658" s="450"/>
      <c r="AY658" s="450"/>
      <c r="AZ658" s="450"/>
      <c r="BA658" s="450"/>
      <c r="BB658" s="450"/>
      <c r="BC658" s="450"/>
      <c r="BD658" s="450"/>
      <c r="BE658" s="450"/>
      <c r="BF658" s="450"/>
      <c r="BG658" s="450"/>
      <c r="BH658" s="450"/>
      <c r="BI658" s="450"/>
      <c r="BJ658" s="450"/>
      <c r="BK658" s="450"/>
      <c r="BL658" s="450"/>
      <c r="BM658" s="450"/>
    </row>
    <row r="659" spans="1:65" ht="11.15">
      <c r="A659" s="450"/>
      <c r="B659" s="450"/>
      <c r="C659" s="450"/>
      <c r="D659" s="450"/>
      <c r="E659" s="450"/>
      <c r="F659" s="450"/>
      <c r="G659" s="450"/>
      <c r="H659" s="450"/>
      <c r="I659" s="450"/>
      <c r="J659" s="450"/>
      <c r="K659" s="450"/>
      <c r="L659" s="450"/>
      <c r="M659" s="450"/>
      <c r="N659" s="450"/>
      <c r="O659" s="450"/>
      <c r="P659" s="450"/>
      <c r="Q659" s="450"/>
      <c r="R659" s="450"/>
      <c r="S659" s="450"/>
      <c r="T659" s="450"/>
      <c r="U659" s="450"/>
      <c r="V659" s="450"/>
      <c r="W659" s="450"/>
      <c r="X659" s="450"/>
      <c r="Y659" s="450"/>
      <c r="Z659" s="450"/>
      <c r="AA659" s="450"/>
      <c r="AB659" s="450"/>
      <c r="AC659" s="450"/>
      <c r="AD659" s="450"/>
      <c r="AE659" s="450"/>
      <c r="AF659" s="450"/>
      <c r="AG659" s="450"/>
      <c r="AH659" s="450"/>
      <c r="AI659" s="450"/>
      <c r="AJ659" s="450"/>
      <c r="AK659" s="450"/>
      <c r="AL659" s="450"/>
      <c r="AM659" s="450"/>
      <c r="AN659" s="450"/>
      <c r="AO659" s="450"/>
      <c r="AP659" s="450"/>
      <c r="AQ659" s="450"/>
      <c r="AR659" s="450"/>
      <c r="AS659" s="450"/>
      <c r="AT659" s="450"/>
      <c r="AU659" s="450"/>
      <c r="AV659" s="450"/>
      <c r="AW659" s="450"/>
      <c r="AX659" s="450"/>
      <c r="AY659" s="450"/>
      <c r="AZ659" s="450"/>
      <c r="BA659" s="450"/>
      <c r="BB659" s="450"/>
      <c r="BC659" s="450"/>
      <c r="BD659" s="450"/>
      <c r="BE659" s="450"/>
      <c r="BF659" s="450"/>
      <c r="BG659" s="450"/>
      <c r="BH659" s="450"/>
      <c r="BI659" s="450"/>
      <c r="BJ659" s="450"/>
      <c r="BK659" s="450"/>
      <c r="BL659" s="450"/>
      <c r="BM659" s="450"/>
    </row>
    <row r="660" spans="1:65" ht="11.15">
      <c r="A660" s="450"/>
      <c r="B660" s="450"/>
      <c r="C660" s="450"/>
      <c r="D660" s="450"/>
      <c r="E660" s="450"/>
      <c r="F660" s="450"/>
      <c r="G660" s="450"/>
      <c r="H660" s="450"/>
      <c r="I660" s="450"/>
      <c r="J660" s="450"/>
      <c r="K660" s="450"/>
      <c r="L660" s="450"/>
      <c r="M660" s="450"/>
      <c r="N660" s="450"/>
      <c r="O660" s="450"/>
      <c r="P660" s="450"/>
      <c r="Q660" s="450"/>
      <c r="R660" s="450"/>
      <c r="S660" s="450"/>
      <c r="T660" s="450"/>
      <c r="U660" s="450"/>
      <c r="V660" s="450"/>
      <c r="W660" s="450"/>
      <c r="X660" s="450"/>
      <c r="Y660" s="450"/>
      <c r="Z660" s="450"/>
      <c r="AA660" s="450"/>
      <c r="AB660" s="450"/>
      <c r="AC660" s="450"/>
      <c r="AD660" s="450"/>
      <c r="AE660" s="450"/>
      <c r="AF660" s="450"/>
      <c r="AG660" s="450"/>
      <c r="AH660" s="450"/>
      <c r="AI660" s="450"/>
      <c r="AJ660" s="450"/>
      <c r="AK660" s="450"/>
      <c r="AL660" s="450"/>
      <c r="AM660" s="450"/>
      <c r="AN660" s="450"/>
      <c r="AO660" s="450"/>
      <c r="AP660" s="450"/>
      <c r="AQ660" s="450"/>
      <c r="AR660" s="450"/>
      <c r="AS660" s="450"/>
      <c r="AT660" s="450"/>
      <c r="AU660" s="450"/>
      <c r="AV660" s="450"/>
      <c r="AW660" s="450"/>
      <c r="AX660" s="450"/>
      <c r="AY660" s="450"/>
      <c r="AZ660" s="450"/>
      <c r="BA660" s="450"/>
      <c r="BB660" s="450"/>
      <c r="BC660" s="450"/>
      <c r="BD660" s="450"/>
      <c r="BE660" s="450"/>
      <c r="BF660" s="450"/>
      <c r="BG660" s="450"/>
      <c r="BH660" s="450"/>
      <c r="BI660" s="450"/>
      <c r="BJ660" s="450"/>
      <c r="BK660" s="450"/>
      <c r="BL660" s="450"/>
      <c r="BM660" s="450"/>
    </row>
    <row r="661" spans="1:65" ht="11.15">
      <c r="A661" s="450"/>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0"/>
      <c r="AD661" s="450"/>
      <c r="AE661" s="450"/>
      <c r="AF661" s="450"/>
      <c r="AG661" s="450"/>
      <c r="AH661" s="450"/>
      <c r="AI661" s="450"/>
      <c r="AJ661" s="450"/>
      <c r="AK661" s="450"/>
      <c r="AL661" s="450"/>
      <c r="AM661" s="450"/>
      <c r="AN661" s="450"/>
      <c r="AO661" s="450"/>
      <c r="AP661" s="450"/>
      <c r="AQ661" s="450"/>
      <c r="AR661" s="450"/>
      <c r="AS661" s="450"/>
      <c r="AT661" s="450"/>
      <c r="AU661" s="450"/>
      <c r="AV661" s="450"/>
      <c r="AW661" s="450"/>
      <c r="AX661" s="450"/>
      <c r="AY661" s="450"/>
      <c r="AZ661" s="450"/>
      <c r="BA661" s="450"/>
      <c r="BB661" s="450"/>
      <c r="BC661" s="450"/>
      <c r="BD661" s="450"/>
      <c r="BE661" s="450"/>
      <c r="BF661" s="450"/>
      <c r="BG661" s="450"/>
      <c r="BH661" s="450"/>
      <c r="BI661" s="450"/>
      <c r="BJ661" s="450"/>
      <c r="BK661" s="450"/>
      <c r="BL661" s="450"/>
      <c r="BM661" s="450"/>
    </row>
    <row r="662" spans="1:65" ht="11.15">
      <c r="A662" s="450"/>
      <c r="B662" s="450"/>
      <c r="C662" s="450"/>
      <c r="D662" s="450"/>
      <c r="E662" s="450"/>
      <c r="F662" s="450"/>
      <c r="G662" s="450"/>
      <c r="H662" s="450"/>
      <c r="I662" s="450"/>
      <c r="J662" s="450"/>
      <c r="K662" s="450"/>
      <c r="L662" s="450"/>
      <c r="M662" s="450"/>
      <c r="N662" s="450"/>
      <c r="O662" s="450"/>
      <c r="P662" s="450"/>
      <c r="Q662" s="450"/>
      <c r="R662" s="450"/>
      <c r="S662" s="450"/>
      <c r="T662" s="450"/>
      <c r="U662" s="450"/>
      <c r="V662" s="450"/>
      <c r="W662" s="450"/>
      <c r="X662" s="450"/>
      <c r="Y662" s="450"/>
      <c r="Z662" s="450"/>
      <c r="AA662" s="450"/>
      <c r="AB662" s="450"/>
      <c r="AC662" s="450"/>
      <c r="AD662" s="450"/>
      <c r="AE662" s="450"/>
      <c r="AF662" s="450"/>
      <c r="AG662" s="450"/>
      <c r="AH662" s="450"/>
      <c r="AI662" s="450"/>
      <c r="AJ662" s="450"/>
      <c r="AK662" s="450"/>
      <c r="AL662" s="450"/>
      <c r="AM662" s="450"/>
      <c r="AN662" s="450"/>
      <c r="AO662" s="450"/>
      <c r="AP662" s="450"/>
      <c r="AQ662" s="450"/>
      <c r="AR662" s="450"/>
      <c r="AS662" s="450"/>
      <c r="AT662" s="450"/>
      <c r="AU662" s="450"/>
      <c r="AV662" s="450"/>
      <c r="AW662" s="450"/>
      <c r="AX662" s="450"/>
      <c r="AY662" s="450"/>
      <c r="AZ662" s="450"/>
      <c r="BA662" s="450"/>
      <c r="BB662" s="450"/>
      <c r="BC662" s="450"/>
      <c r="BD662" s="450"/>
      <c r="BE662" s="450"/>
      <c r="BF662" s="450"/>
      <c r="BG662" s="450"/>
      <c r="BH662" s="450"/>
      <c r="BI662" s="450"/>
      <c r="BJ662" s="450"/>
      <c r="BK662" s="450"/>
      <c r="BL662" s="450"/>
      <c r="BM662" s="450"/>
    </row>
    <row r="663" spans="1:65" ht="11.15">
      <c r="A663" s="450"/>
      <c r="B663" s="450"/>
      <c r="C663" s="450"/>
      <c r="D663" s="450"/>
      <c r="E663" s="450"/>
      <c r="F663" s="450"/>
      <c r="G663" s="450"/>
      <c r="H663" s="450"/>
      <c r="I663" s="450"/>
      <c r="J663" s="450"/>
      <c r="K663" s="450"/>
      <c r="L663" s="450"/>
      <c r="M663" s="450"/>
      <c r="N663" s="450"/>
      <c r="O663" s="450"/>
      <c r="P663" s="450"/>
      <c r="Q663" s="450"/>
      <c r="R663" s="450"/>
      <c r="S663" s="450"/>
      <c r="T663" s="450"/>
      <c r="U663" s="450"/>
      <c r="V663" s="450"/>
      <c r="W663" s="450"/>
      <c r="X663" s="450"/>
      <c r="Y663" s="450"/>
      <c r="Z663" s="450"/>
      <c r="AA663" s="450"/>
      <c r="AB663" s="450"/>
      <c r="AC663" s="450"/>
      <c r="AD663" s="450"/>
      <c r="AE663" s="450"/>
      <c r="AF663" s="450"/>
      <c r="AG663" s="450"/>
      <c r="AH663" s="450"/>
      <c r="AI663" s="450"/>
      <c r="AJ663" s="450"/>
      <c r="AK663" s="450"/>
      <c r="AL663" s="450"/>
      <c r="AM663" s="450"/>
      <c r="AN663" s="450"/>
      <c r="AO663" s="450"/>
      <c r="AP663" s="450"/>
      <c r="AQ663" s="450"/>
      <c r="AR663" s="450"/>
      <c r="AS663" s="450"/>
      <c r="AT663" s="450"/>
      <c r="AU663" s="450"/>
      <c r="AV663" s="450"/>
      <c r="AW663" s="450"/>
      <c r="AX663" s="450"/>
      <c r="AY663" s="450"/>
      <c r="AZ663" s="450"/>
      <c r="BA663" s="450"/>
      <c r="BB663" s="450"/>
      <c r="BC663" s="450"/>
      <c r="BD663" s="450"/>
      <c r="BE663" s="450"/>
      <c r="BF663" s="450"/>
      <c r="BG663" s="450"/>
      <c r="BH663" s="450"/>
      <c r="BI663" s="450"/>
      <c r="BJ663" s="450"/>
      <c r="BK663" s="450"/>
      <c r="BL663" s="450"/>
      <c r="BM663" s="450"/>
    </row>
    <row r="664" spans="1:65" ht="11.15">
      <c r="A664" s="450"/>
      <c r="B664" s="450"/>
      <c r="C664" s="450"/>
      <c r="D664" s="450"/>
      <c r="E664" s="450"/>
      <c r="F664" s="450"/>
      <c r="G664" s="450"/>
      <c r="H664" s="450"/>
      <c r="I664" s="450"/>
      <c r="J664" s="450"/>
      <c r="K664" s="450"/>
      <c r="L664" s="450"/>
      <c r="M664" s="450"/>
      <c r="N664" s="450"/>
      <c r="O664" s="450"/>
      <c r="P664" s="450"/>
      <c r="Q664" s="450"/>
      <c r="R664" s="450"/>
      <c r="S664" s="450"/>
      <c r="T664" s="450"/>
      <c r="U664" s="450"/>
      <c r="V664" s="450"/>
      <c r="W664" s="450"/>
      <c r="X664" s="450"/>
      <c r="Y664" s="450"/>
      <c r="Z664" s="450"/>
      <c r="AA664" s="450"/>
      <c r="AB664" s="450"/>
      <c r="AC664" s="450"/>
      <c r="AD664" s="450"/>
      <c r="AE664" s="450"/>
      <c r="AF664" s="450"/>
      <c r="AG664" s="450"/>
      <c r="AH664" s="450"/>
      <c r="AI664" s="450"/>
      <c r="AJ664" s="450"/>
      <c r="AK664" s="450"/>
      <c r="AL664" s="450"/>
      <c r="AM664" s="450"/>
      <c r="AN664" s="450"/>
      <c r="AO664" s="450"/>
      <c r="AP664" s="450"/>
      <c r="AQ664" s="450"/>
      <c r="AR664" s="450"/>
      <c r="AS664" s="450"/>
      <c r="AT664" s="450"/>
      <c r="AU664" s="450"/>
      <c r="AV664" s="450"/>
      <c r="AW664" s="450"/>
      <c r="AX664" s="450"/>
      <c r="AY664" s="450"/>
      <c r="AZ664" s="450"/>
      <c r="BA664" s="450"/>
      <c r="BB664" s="450"/>
      <c r="BC664" s="450"/>
      <c r="BD664" s="450"/>
      <c r="BE664" s="450"/>
      <c r="BF664" s="450"/>
      <c r="BG664" s="450"/>
      <c r="BH664" s="450"/>
      <c r="BI664" s="450"/>
      <c r="BJ664" s="450"/>
      <c r="BK664" s="450"/>
      <c r="BL664" s="450"/>
      <c r="BM664" s="450"/>
    </row>
    <row r="665" spans="1:65" ht="11.15">
      <c r="A665" s="450"/>
      <c r="B665" s="450"/>
      <c r="C665" s="450"/>
      <c r="D665" s="450"/>
      <c r="E665" s="450"/>
      <c r="F665" s="450"/>
      <c r="G665" s="450"/>
      <c r="H665" s="450"/>
      <c r="I665" s="450"/>
      <c r="J665" s="450"/>
      <c r="K665" s="450"/>
      <c r="L665" s="450"/>
      <c r="M665" s="450"/>
      <c r="N665" s="450"/>
      <c r="O665" s="450"/>
      <c r="P665" s="450"/>
      <c r="Q665" s="450"/>
      <c r="R665" s="450"/>
      <c r="S665" s="450"/>
      <c r="T665" s="450"/>
      <c r="U665" s="450"/>
      <c r="V665" s="450"/>
      <c r="W665" s="450"/>
      <c r="X665" s="450"/>
      <c r="Y665" s="450"/>
      <c r="Z665" s="450"/>
      <c r="AA665" s="450"/>
      <c r="AB665" s="450"/>
      <c r="AC665" s="450"/>
      <c r="AD665" s="450"/>
      <c r="AE665" s="450"/>
      <c r="AF665" s="450"/>
      <c r="AG665" s="450"/>
      <c r="AH665" s="450"/>
      <c r="AI665" s="450"/>
      <c r="AJ665" s="450"/>
      <c r="AK665" s="450"/>
      <c r="AL665" s="450"/>
      <c r="AM665" s="450"/>
      <c r="AN665" s="450"/>
      <c r="AO665" s="450"/>
      <c r="AP665" s="450"/>
      <c r="AQ665" s="450"/>
      <c r="AR665" s="450"/>
      <c r="AS665" s="450"/>
      <c r="AT665" s="450"/>
      <c r="AU665" s="450"/>
      <c r="AV665" s="450"/>
      <c r="AW665" s="450"/>
      <c r="AX665" s="450"/>
      <c r="AY665" s="450"/>
      <c r="AZ665" s="450"/>
      <c r="BA665" s="450"/>
      <c r="BB665" s="450"/>
      <c r="BC665" s="450"/>
      <c r="BD665" s="450"/>
      <c r="BE665" s="450"/>
      <c r="BF665" s="450"/>
      <c r="BG665" s="450"/>
      <c r="BH665" s="450"/>
      <c r="BI665" s="450"/>
      <c r="BJ665" s="450"/>
      <c r="BK665" s="450"/>
      <c r="BL665" s="450"/>
      <c r="BM665" s="450"/>
    </row>
    <row r="666" spans="1:65" ht="11.15">
      <c r="A666" s="450"/>
      <c r="B666" s="450"/>
      <c r="C666" s="450"/>
      <c r="D666" s="450"/>
      <c r="E666" s="450"/>
      <c r="F666" s="450"/>
      <c r="G666" s="450"/>
      <c r="H666" s="450"/>
      <c r="I666" s="450"/>
      <c r="J666" s="450"/>
      <c r="K666" s="450"/>
      <c r="L666" s="450"/>
      <c r="M666" s="450"/>
      <c r="N666" s="450"/>
      <c r="O666" s="450"/>
      <c r="P666" s="450"/>
      <c r="Q666" s="450"/>
      <c r="R666" s="450"/>
      <c r="S666" s="450"/>
      <c r="T666" s="450"/>
      <c r="U666" s="450"/>
      <c r="V666" s="450"/>
      <c r="W666" s="450"/>
      <c r="X666" s="450"/>
      <c r="Y666" s="450"/>
      <c r="Z666" s="450"/>
      <c r="AA666" s="450"/>
      <c r="AB666" s="450"/>
      <c r="AC666" s="450"/>
      <c r="AD666" s="450"/>
      <c r="AE666" s="450"/>
      <c r="AF666" s="450"/>
      <c r="AG666" s="450"/>
      <c r="AH666" s="450"/>
      <c r="AI666" s="450"/>
      <c r="AJ666" s="450"/>
      <c r="AK666" s="450"/>
      <c r="AL666" s="450"/>
      <c r="AM666" s="450"/>
      <c r="AN666" s="450"/>
      <c r="AO666" s="450"/>
      <c r="AP666" s="450"/>
      <c r="AQ666" s="450"/>
      <c r="AR666" s="450"/>
      <c r="AS666" s="450"/>
      <c r="AT666" s="450"/>
      <c r="AU666" s="450"/>
      <c r="AV666" s="450"/>
      <c r="AW666" s="450"/>
      <c r="AX666" s="450"/>
      <c r="AY666" s="450"/>
      <c r="AZ666" s="450"/>
      <c r="BA666" s="450"/>
      <c r="BB666" s="450"/>
      <c r="BC666" s="450"/>
      <c r="BD666" s="450"/>
      <c r="BE666" s="450"/>
      <c r="BF666" s="450"/>
      <c r="BG666" s="450"/>
      <c r="BH666" s="450"/>
      <c r="BI666" s="450"/>
      <c r="BJ666" s="450"/>
      <c r="BK666" s="450"/>
      <c r="BL666" s="450"/>
      <c r="BM666" s="450"/>
    </row>
    <row r="667" spans="1:65" ht="11.15">
      <c r="A667" s="450"/>
      <c r="B667" s="450"/>
      <c r="C667" s="450"/>
      <c r="D667" s="450"/>
      <c r="E667" s="450"/>
      <c r="F667" s="450"/>
      <c r="G667" s="450"/>
      <c r="H667" s="450"/>
      <c r="I667" s="450"/>
      <c r="J667" s="450"/>
      <c r="K667" s="450"/>
      <c r="L667" s="450"/>
      <c r="M667" s="450"/>
      <c r="N667" s="450"/>
      <c r="O667" s="450"/>
      <c r="P667" s="450"/>
      <c r="Q667" s="450"/>
      <c r="R667" s="450"/>
      <c r="S667" s="450"/>
      <c r="T667" s="450"/>
      <c r="U667" s="450"/>
      <c r="V667" s="450"/>
      <c r="W667" s="450"/>
      <c r="X667" s="450"/>
      <c r="Y667" s="450"/>
      <c r="Z667" s="450"/>
      <c r="AA667" s="450"/>
      <c r="AB667" s="450"/>
      <c r="AC667" s="450"/>
      <c r="AD667" s="450"/>
      <c r="AE667" s="450"/>
      <c r="AF667" s="450"/>
      <c r="AG667" s="450"/>
      <c r="AH667" s="450"/>
      <c r="AI667" s="450"/>
      <c r="AJ667" s="450"/>
      <c r="AK667" s="450"/>
      <c r="AL667" s="450"/>
      <c r="AM667" s="450"/>
      <c r="AN667" s="450"/>
      <c r="AO667" s="450"/>
      <c r="AP667" s="450"/>
      <c r="AQ667" s="450"/>
      <c r="AR667" s="450"/>
      <c r="AS667" s="450"/>
      <c r="AT667" s="450"/>
      <c r="AU667" s="450"/>
      <c r="AV667" s="450"/>
      <c r="AW667" s="450"/>
      <c r="AX667" s="450"/>
      <c r="AY667" s="450"/>
      <c r="AZ667" s="450"/>
      <c r="BA667" s="450"/>
      <c r="BB667" s="450"/>
      <c r="BC667" s="450"/>
      <c r="BD667" s="450"/>
      <c r="BE667" s="450"/>
      <c r="BF667" s="450"/>
      <c r="BG667" s="450"/>
      <c r="BH667" s="450"/>
      <c r="BI667" s="450"/>
      <c r="BJ667" s="450"/>
      <c r="BK667" s="450"/>
      <c r="BL667" s="450"/>
      <c r="BM667" s="450"/>
    </row>
    <row r="668" spans="1:65" ht="11.15">
      <c r="A668" s="450"/>
      <c r="B668" s="450"/>
      <c r="C668" s="450"/>
      <c r="D668" s="450"/>
      <c r="E668" s="450"/>
      <c r="F668" s="450"/>
      <c r="G668" s="450"/>
      <c r="H668" s="450"/>
      <c r="I668" s="450"/>
      <c r="J668" s="450"/>
      <c r="K668" s="450"/>
      <c r="L668" s="450"/>
      <c r="M668" s="450"/>
      <c r="N668" s="450"/>
      <c r="O668" s="450"/>
      <c r="P668" s="450"/>
      <c r="Q668" s="450"/>
      <c r="R668" s="450"/>
      <c r="S668" s="450"/>
      <c r="T668" s="450"/>
      <c r="U668" s="450"/>
      <c r="V668" s="450"/>
      <c r="W668" s="450"/>
      <c r="X668" s="450"/>
      <c r="Y668" s="450"/>
      <c r="Z668" s="450"/>
      <c r="AA668" s="450"/>
      <c r="AB668" s="450"/>
      <c r="AC668" s="450"/>
      <c r="AD668" s="450"/>
      <c r="AE668" s="450"/>
      <c r="AF668" s="450"/>
      <c r="AG668" s="450"/>
      <c r="AH668" s="450"/>
      <c r="AI668" s="450"/>
      <c r="AJ668" s="450"/>
      <c r="AK668" s="450"/>
      <c r="AL668" s="450"/>
      <c r="AM668" s="450"/>
      <c r="AN668" s="450"/>
      <c r="AO668" s="450"/>
      <c r="AP668" s="450"/>
      <c r="AQ668" s="450"/>
      <c r="AR668" s="450"/>
      <c r="AS668" s="450"/>
      <c r="AT668" s="450"/>
      <c r="AU668" s="450"/>
      <c r="AV668" s="450"/>
      <c r="AW668" s="450"/>
      <c r="AX668" s="450"/>
      <c r="AY668" s="450"/>
      <c r="AZ668" s="450"/>
      <c r="BA668" s="450"/>
      <c r="BB668" s="450"/>
      <c r="BC668" s="450"/>
      <c r="BD668" s="450"/>
      <c r="BE668" s="450"/>
      <c r="BF668" s="450"/>
      <c r="BG668" s="450"/>
      <c r="BH668" s="450"/>
      <c r="BI668" s="450"/>
      <c r="BJ668" s="450"/>
      <c r="BK668" s="450"/>
      <c r="BL668" s="450"/>
      <c r="BM668" s="450"/>
    </row>
    <row r="669" spans="1:65" ht="11.15">
      <c r="A669" s="450"/>
      <c r="B669" s="450"/>
      <c r="C669" s="450"/>
      <c r="D669" s="450"/>
      <c r="E669" s="450"/>
      <c r="F669" s="450"/>
      <c r="G669" s="450"/>
      <c r="H669" s="450"/>
      <c r="I669" s="450"/>
      <c r="J669" s="450"/>
      <c r="K669" s="450"/>
      <c r="L669" s="450"/>
      <c r="M669" s="450"/>
      <c r="N669" s="450"/>
      <c r="O669" s="450"/>
      <c r="P669" s="450"/>
      <c r="Q669" s="450"/>
      <c r="R669" s="450"/>
      <c r="S669" s="450"/>
      <c r="T669" s="450"/>
      <c r="U669" s="450"/>
      <c r="V669" s="450"/>
      <c r="W669" s="450"/>
      <c r="X669" s="450"/>
      <c r="Y669" s="450"/>
      <c r="Z669" s="450"/>
      <c r="AA669" s="450"/>
      <c r="AB669" s="450"/>
      <c r="AC669" s="450"/>
      <c r="AD669" s="450"/>
      <c r="AE669" s="450"/>
      <c r="AF669" s="450"/>
      <c r="AG669" s="450"/>
      <c r="AH669" s="450"/>
      <c r="AI669" s="450"/>
      <c r="AJ669" s="450"/>
      <c r="AK669" s="450"/>
      <c r="AL669" s="450"/>
      <c r="AM669" s="450"/>
      <c r="AN669" s="450"/>
      <c r="AO669" s="450"/>
      <c r="AP669" s="450"/>
      <c r="AQ669" s="450"/>
      <c r="AR669" s="450"/>
      <c r="AS669" s="450"/>
      <c r="AT669" s="450"/>
      <c r="AU669" s="450"/>
      <c r="AV669" s="450"/>
      <c r="AW669" s="450"/>
      <c r="AX669" s="450"/>
      <c r="AY669" s="450"/>
      <c r="AZ669" s="450"/>
      <c r="BA669" s="450"/>
      <c r="BB669" s="450"/>
      <c r="BC669" s="450"/>
      <c r="BD669" s="450"/>
      <c r="BE669" s="450"/>
      <c r="BF669" s="450"/>
      <c r="BG669" s="450"/>
      <c r="BH669" s="450"/>
      <c r="BI669" s="450"/>
      <c r="BJ669" s="450"/>
      <c r="BK669" s="450"/>
      <c r="BL669" s="450"/>
      <c r="BM669" s="450"/>
    </row>
    <row r="670" spans="1:65" ht="11.15">
      <c r="A670" s="450"/>
      <c r="B670" s="450"/>
      <c r="C670" s="450"/>
      <c r="D670" s="450"/>
      <c r="E670" s="450"/>
      <c r="F670" s="450"/>
      <c r="G670" s="450"/>
      <c r="H670" s="450"/>
      <c r="I670" s="450"/>
      <c r="J670" s="450"/>
      <c r="K670" s="450"/>
      <c r="L670" s="450"/>
      <c r="M670" s="450"/>
      <c r="N670" s="450"/>
      <c r="O670" s="450"/>
      <c r="P670" s="450"/>
      <c r="Q670" s="450"/>
      <c r="R670" s="450"/>
      <c r="S670" s="450"/>
      <c r="T670" s="450"/>
      <c r="U670" s="450"/>
      <c r="V670" s="450"/>
      <c r="W670" s="450"/>
      <c r="X670" s="450"/>
      <c r="Y670" s="450"/>
      <c r="Z670" s="450"/>
      <c r="AA670" s="450"/>
      <c r="AB670" s="450"/>
      <c r="AC670" s="450"/>
      <c r="AD670" s="450"/>
      <c r="AE670" s="450"/>
      <c r="AF670" s="450"/>
      <c r="AG670" s="450"/>
      <c r="AH670" s="450"/>
      <c r="AI670" s="450"/>
      <c r="AJ670" s="450"/>
      <c r="AK670" s="450"/>
      <c r="AL670" s="450"/>
      <c r="AM670" s="450"/>
      <c r="AN670" s="450"/>
      <c r="AO670" s="450"/>
      <c r="AP670" s="450"/>
      <c r="AQ670" s="450"/>
      <c r="AR670" s="450"/>
      <c r="AS670" s="450"/>
      <c r="AT670" s="450"/>
      <c r="AU670" s="450"/>
      <c r="AV670" s="450"/>
      <c r="AW670" s="450"/>
      <c r="AX670" s="450"/>
      <c r="AY670" s="450"/>
      <c r="AZ670" s="450"/>
      <c r="BA670" s="450"/>
      <c r="BB670" s="450"/>
      <c r="BC670" s="450"/>
      <c r="BD670" s="450"/>
      <c r="BE670" s="450"/>
      <c r="BF670" s="450"/>
      <c r="BG670" s="450"/>
      <c r="BH670" s="450"/>
      <c r="BI670" s="450"/>
      <c r="BJ670" s="450"/>
      <c r="BK670" s="450"/>
      <c r="BL670" s="450"/>
      <c r="BM670" s="450"/>
    </row>
    <row r="671" spans="1:65" ht="11.15">
      <c r="A671" s="450"/>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c r="AA671" s="450"/>
      <c r="AB671" s="450"/>
      <c r="AC671" s="450"/>
      <c r="AD671" s="450"/>
      <c r="AE671" s="450"/>
      <c r="AF671" s="450"/>
      <c r="AG671" s="450"/>
      <c r="AH671" s="450"/>
      <c r="AI671" s="450"/>
      <c r="AJ671" s="450"/>
      <c r="AK671" s="450"/>
      <c r="AL671" s="450"/>
      <c r="AM671" s="450"/>
      <c r="AN671" s="450"/>
      <c r="AO671" s="450"/>
      <c r="AP671" s="450"/>
      <c r="AQ671" s="450"/>
      <c r="AR671" s="450"/>
      <c r="AS671" s="450"/>
      <c r="AT671" s="450"/>
      <c r="AU671" s="450"/>
      <c r="AV671" s="450"/>
      <c r="AW671" s="450"/>
      <c r="AX671" s="450"/>
      <c r="AY671" s="450"/>
      <c r="AZ671" s="450"/>
      <c r="BA671" s="450"/>
      <c r="BB671" s="450"/>
      <c r="BC671" s="450"/>
      <c r="BD671" s="450"/>
      <c r="BE671" s="450"/>
      <c r="BF671" s="450"/>
      <c r="BG671" s="450"/>
      <c r="BH671" s="450"/>
      <c r="BI671" s="450"/>
      <c r="BJ671" s="450"/>
      <c r="BK671" s="450"/>
      <c r="BL671" s="450"/>
      <c r="BM671" s="450"/>
    </row>
    <row r="672" spans="1:65" ht="11.15">
      <c r="A672" s="450"/>
      <c r="B672" s="450"/>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c r="Z672" s="450"/>
      <c r="AA672" s="450"/>
      <c r="AB672" s="450"/>
      <c r="AC672" s="450"/>
      <c r="AD672" s="450"/>
      <c r="AE672" s="450"/>
      <c r="AF672" s="450"/>
      <c r="AG672" s="450"/>
      <c r="AH672" s="450"/>
      <c r="AI672" s="450"/>
      <c r="AJ672" s="450"/>
      <c r="AK672" s="450"/>
      <c r="AL672" s="450"/>
      <c r="AM672" s="450"/>
      <c r="AN672" s="450"/>
      <c r="AO672" s="450"/>
      <c r="AP672" s="450"/>
      <c r="AQ672" s="450"/>
      <c r="AR672" s="450"/>
      <c r="AS672" s="450"/>
      <c r="AT672" s="450"/>
      <c r="AU672" s="450"/>
      <c r="AV672" s="450"/>
      <c r="AW672" s="450"/>
      <c r="AX672" s="450"/>
      <c r="AY672" s="450"/>
      <c r="AZ672" s="450"/>
      <c r="BA672" s="450"/>
      <c r="BB672" s="450"/>
      <c r="BC672" s="450"/>
      <c r="BD672" s="450"/>
      <c r="BE672" s="450"/>
      <c r="BF672" s="450"/>
      <c r="BG672" s="450"/>
      <c r="BH672" s="450"/>
      <c r="BI672" s="450"/>
      <c r="BJ672" s="450"/>
      <c r="BK672" s="450"/>
      <c r="BL672" s="450"/>
      <c r="BM672" s="450"/>
    </row>
    <row r="673" spans="1:65" ht="11.15">
      <c r="A673" s="450"/>
      <c r="B673" s="450"/>
      <c r="C673" s="450"/>
      <c r="D673" s="450"/>
      <c r="E673" s="450"/>
      <c r="F673" s="450"/>
      <c r="G673" s="450"/>
      <c r="H673" s="450"/>
      <c r="I673" s="450"/>
      <c r="J673" s="450"/>
      <c r="K673" s="450"/>
      <c r="L673" s="450"/>
      <c r="M673" s="450"/>
      <c r="N673" s="450"/>
      <c r="O673" s="450"/>
      <c r="P673" s="450"/>
      <c r="Q673" s="450"/>
      <c r="R673" s="450"/>
      <c r="S673" s="450"/>
      <c r="T673" s="450"/>
      <c r="U673" s="450"/>
      <c r="V673" s="450"/>
      <c r="W673" s="450"/>
      <c r="X673" s="450"/>
      <c r="Y673" s="450"/>
      <c r="Z673" s="450"/>
      <c r="AA673" s="450"/>
      <c r="AB673" s="450"/>
      <c r="AC673" s="450"/>
      <c r="AD673" s="450"/>
      <c r="AE673" s="450"/>
      <c r="AF673" s="450"/>
      <c r="AG673" s="450"/>
      <c r="AH673" s="450"/>
      <c r="AI673" s="450"/>
      <c r="AJ673" s="450"/>
      <c r="AK673" s="450"/>
      <c r="AL673" s="450"/>
      <c r="AM673" s="450"/>
      <c r="AN673" s="450"/>
      <c r="AO673" s="450"/>
      <c r="AP673" s="450"/>
      <c r="AQ673" s="450"/>
      <c r="AR673" s="450"/>
      <c r="AS673" s="450"/>
      <c r="AT673" s="450"/>
      <c r="AU673" s="450"/>
      <c r="AV673" s="450"/>
      <c r="AW673" s="450"/>
      <c r="AX673" s="450"/>
      <c r="AY673" s="450"/>
      <c r="AZ673" s="450"/>
      <c r="BA673" s="450"/>
      <c r="BB673" s="450"/>
      <c r="BC673" s="450"/>
      <c r="BD673" s="450"/>
      <c r="BE673" s="450"/>
      <c r="BF673" s="450"/>
      <c r="BG673" s="450"/>
      <c r="BH673" s="450"/>
      <c r="BI673" s="450"/>
      <c r="BJ673" s="450"/>
      <c r="BK673" s="450"/>
      <c r="BL673" s="450"/>
      <c r="BM673" s="450"/>
    </row>
    <row r="674" spans="1:65" ht="11.15">
      <c r="A674" s="450"/>
      <c r="B674" s="450"/>
      <c r="C674" s="450"/>
      <c r="D674" s="450"/>
      <c r="E674" s="450"/>
      <c r="F674" s="450"/>
      <c r="G674" s="450"/>
      <c r="H674" s="450"/>
      <c r="I674" s="450"/>
      <c r="J674" s="450"/>
      <c r="K674" s="450"/>
      <c r="L674" s="450"/>
      <c r="M674" s="450"/>
      <c r="N674" s="450"/>
      <c r="O674" s="450"/>
      <c r="P674" s="450"/>
      <c r="Q674" s="450"/>
      <c r="R674" s="450"/>
      <c r="S674" s="450"/>
      <c r="T674" s="450"/>
      <c r="U674" s="450"/>
      <c r="V674" s="450"/>
      <c r="W674" s="450"/>
      <c r="X674" s="450"/>
      <c r="Y674" s="450"/>
      <c r="Z674" s="450"/>
      <c r="AA674" s="450"/>
      <c r="AB674" s="450"/>
      <c r="AC674" s="450"/>
      <c r="AD674" s="450"/>
      <c r="AE674" s="450"/>
      <c r="AF674" s="450"/>
      <c r="AG674" s="450"/>
      <c r="AH674" s="450"/>
      <c r="AI674" s="450"/>
      <c r="AJ674" s="450"/>
      <c r="AK674" s="450"/>
      <c r="AL674" s="450"/>
      <c r="AM674" s="450"/>
      <c r="AN674" s="450"/>
      <c r="AO674" s="450"/>
      <c r="AP674" s="450"/>
      <c r="AQ674" s="450"/>
      <c r="AR674" s="450"/>
      <c r="AS674" s="450"/>
      <c r="AT674" s="450"/>
      <c r="AU674" s="450"/>
      <c r="AV674" s="450"/>
      <c r="AW674" s="450"/>
      <c r="AX674" s="450"/>
      <c r="AY674" s="450"/>
      <c r="AZ674" s="450"/>
      <c r="BA674" s="450"/>
      <c r="BB674" s="450"/>
      <c r="BC674" s="450"/>
      <c r="BD674" s="450"/>
      <c r="BE674" s="450"/>
      <c r="BF674" s="450"/>
      <c r="BG674" s="450"/>
      <c r="BH674" s="450"/>
      <c r="BI674" s="450"/>
      <c r="BJ674" s="450"/>
      <c r="BK674" s="450"/>
      <c r="BL674" s="450"/>
      <c r="BM674" s="450"/>
    </row>
    <row r="675" spans="1:65" ht="11.15">
      <c r="A675" s="450"/>
      <c r="B675" s="450"/>
      <c r="C675" s="450"/>
      <c r="D675" s="450"/>
      <c r="E675" s="450"/>
      <c r="F675" s="450"/>
      <c r="G675" s="450"/>
      <c r="H675" s="450"/>
      <c r="I675" s="450"/>
      <c r="J675" s="450"/>
      <c r="K675" s="450"/>
      <c r="L675" s="450"/>
      <c r="M675" s="450"/>
      <c r="N675" s="450"/>
      <c r="O675" s="450"/>
      <c r="P675" s="450"/>
      <c r="Q675" s="450"/>
      <c r="R675" s="450"/>
      <c r="S675" s="450"/>
      <c r="T675" s="450"/>
      <c r="U675" s="450"/>
      <c r="V675" s="450"/>
      <c r="W675" s="450"/>
      <c r="X675" s="450"/>
      <c r="Y675" s="450"/>
      <c r="Z675" s="450"/>
      <c r="AA675" s="450"/>
      <c r="AB675" s="450"/>
      <c r="AC675" s="450"/>
      <c r="AD675" s="450"/>
      <c r="AE675" s="450"/>
      <c r="AF675" s="450"/>
      <c r="AG675" s="450"/>
      <c r="AH675" s="450"/>
      <c r="AI675" s="450"/>
      <c r="AJ675" s="450"/>
      <c r="AK675" s="450"/>
      <c r="AL675" s="450"/>
      <c r="AM675" s="450"/>
      <c r="AN675" s="450"/>
      <c r="AO675" s="450"/>
      <c r="AP675" s="450"/>
      <c r="AQ675" s="450"/>
      <c r="AR675" s="450"/>
      <c r="AS675" s="450"/>
      <c r="AT675" s="450"/>
      <c r="AU675" s="450"/>
      <c r="AV675" s="450"/>
      <c r="AW675" s="450"/>
      <c r="AX675" s="450"/>
      <c r="AY675" s="450"/>
      <c r="AZ675" s="450"/>
      <c r="BA675" s="450"/>
      <c r="BB675" s="450"/>
      <c r="BC675" s="450"/>
      <c r="BD675" s="450"/>
      <c r="BE675" s="450"/>
      <c r="BF675" s="450"/>
      <c r="BG675" s="450"/>
      <c r="BH675" s="450"/>
      <c r="BI675" s="450"/>
      <c r="BJ675" s="450"/>
      <c r="BK675" s="450"/>
      <c r="BL675" s="450"/>
      <c r="BM675" s="450"/>
    </row>
    <row r="676" spans="1:65" ht="11.15">
      <c r="A676" s="450"/>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c r="AA676" s="450"/>
      <c r="AB676" s="450"/>
      <c r="AC676" s="450"/>
      <c r="AD676" s="450"/>
      <c r="AE676" s="450"/>
      <c r="AF676" s="450"/>
      <c r="AG676" s="450"/>
      <c r="AH676" s="450"/>
      <c r="AI676" s="450"/>
      <c r="AJ676" s="450"/>
      <c r="AK676" s="450"/>
      <c r="AL676" s="450"/>
      <c r="AM676" s="450"/>
      <c r="AN676" s="450"/>
      <c r="AO676" s="450"/>
      <c r="AP676" s="450"/>
      <c r="AQ676" s="450"/>
      <c r="AR676" s="450"/>
      <c r="AS676" s="450"/>
      <c r="AT676" s="450"/>
      <c r="AU676" s="450"/>
      <c r="AV676" s="450"/>
      <c r="AW676" s="450"/>
      <c r="AX676" s="450"/>
      <c r="AY676" s="450"/>
      <c r="AZ676" s="450"/>
      <c r="BA676" s="450"/>
      <c r="BB676" s="450"/>
      <c r="BC676" s="450"/>
      <c r="BD676" s="450"/>
      <c r="BE676" s="450"/>
      <c r="BF676" s="450"/>
      <c r="BG676" s="450"/>
      <c r="BH676" s="450"/>
      <c r="BI676" s="450"/>
      <c r="BJ676" s="450"/>
      <c r="BK676" s="450"/>
      <c r="BL676" s="450"/>
      <c r="BM676" s="450"/>
    </row>
    <row r="677" spans="1:65" ht="11.15">
      <c r="A677" s="450"/>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c r="Z677" s="450"/>
      <c r="AA677" s="450"/>
      <c r="AB677" s="450"/>
      <c r="AC677" s="450"/>
      <c r="AD677" s="450"/>
      <c r="AE677" s="450"/>
      <c r="AF677" s="450"/>
      <c r="AG677" s="450"/>
      <c r="AH677" s="450"/>
      <c r="AI677" s="450"/>
      <c r="AJ677" s="450"/>
      <c r="AK677" s="450"/>
      <c r="AL677" s="450"/>
      <c r="AM677" s="450"/>
      <c r="AN677" s="450"/>
      <c r="AO677" s="450"/>
      <c r="AP677" s="450"/>
      <c r="AQ677" s="450"/>
      <c r="AR677" s="450"/>
      <c r="AS677" s="450"/>
      <c r="AT677" s="450"/>
      <c r="AU677" s="450"/>
      <c r="AV677" s="450"/>
      <c r="AW677" s="450"/>
      <c r="AX677" s="450"/>
      <c r="AY677" s="450"/>
      <c r="AZ677" s="450"/>
      <c r="BA677" s="450"/>
      <c r="BB677" s="450"/>
      <c r="BC677" s="450"/>
      <c r="BD677" s="450"/>
      <c r="BE677" s="450"/>
      <c r="BF677" s="450"/>
      <c r="BG677" s="450"/>
      <c r="BH677" s="450"/>
      <c r="BI677" s="450"/>
      <c r="BJ677" s="450"/>
      <c r="BK677" s="450"/>
      <c r="BL677" s="450"/>
      <c r="BM677" s="450"/>
    </row>
    <row r="678" spans="1:65" ht="11.15">
      <c r="A678" s="450"/>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c r="Z678" s="450"/>
      <c r="AA678" s="450"/>
      <c r="AB678" s="450"/>
      <c r="AC678" s="450"/>
      <c r="AD678" s="450"/>
      <c r="AE678" s="450"/>
      <c r="AF678" s="450"/>
      <c r="AG678" s="450"/>
      <c r="AH678" s="450"/>
      <c r="AI678" s="450"/>
      <c r="AJ678" s="450"/>
      <c r="AK678" s="450"/>
      <c r="AL678" s="450"/>
      <c r="AM678" s="450"/>
      <c r="AN678" s="450"/>
      <c r="AO678" s="450"/>
      <c r="AP678" s="450"/>
      <c r="AQ678" s="450"/>
      <c r="AR678" s="450"/>
      <c r="AS678" s="450"/>
      <c r="AT678" s="450"/>
      <c r="AU678" s="450"/>
      <c r="AV678" s="450"/>
      <c r="AW678" s="450"/>
      <c r="AX678" s="450"/>
      <c r="AY678" s="450"/>
      <c r="AZ678" s="450"/>
      <c r="BA678" s="450"/>
      <c r="BB678" s="450"/>
      <c r="BC678" s="450"/>
      <c r="BD678" s="450"/>
      <c r="BE678" s="450"/>
      <c r="BF678" s="450"/>
      <c r="BG678" s="450"/>
      <c r="BH678" s="450"/>
      <c r="BI678" s="450"/>
      <c r="BJ678" s="450"/>
      <c r="BK678" s="450"/>
      <c r="BL678" s="450"/>
      <c r="BM678" s="450"/>
    </row>
    <row r="679" spans="1:65" ht="11.15">
      <c r="A679" s="450"/>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c r="Z679" s="450"/>
      <c r="AA679" s="450"/>
      <c r="AB679" s="450"/>
      <c r="AC679" s="450"/>
      <c r="AD679" s="450"/>
      <c r="AE679" s="450"/>
      <c r="AF679" s="450"/>
      <c r="AG679" s="450"/>
      <c r="AH679" s="450"/>
      <c r="AI679" s="450"/>
      <c r="AJ679" s="450"/>
      <c r="AK679" s="450"/>
      <c r="AL679" s="450"/>
      <c r="AM679" s="450"/>
      <c r="AN679" s="450"/>
      <c r="AO679" s="450"/>
      <c r="AP679" s="450"/>
      <c r="AQ679" s="450"/>
      <c r="AR679" s="450"/>
      <c r="AS679" s="450"/>
      <c r="AT679" s="450"/>
      <c r="AU679" s="450"/>
      <c r="AV679" s="450"/>
      <c r="AW679" s="450"/>
      <c r="AX679" s="450"/>
      <c r="AY679" s="450"/>
      <c r="AZ679" s="450"/>
      <c r="BA679" s="450"/>
      <c r="BB679" s="450"/>
      <c r="BC679" s="450"/>
      <c r="BD679" s="450"/>
      <c r="BE679" s="450"/>
      <c r="BF679" s="450"/>
      <c r="BG679" s="450"/>
      <c r="BH679" s="450"/>
      <c r="BI679" s="450"/>
      <c r="BJ679" s="450"/>
      <c r="BK679" s="450"/>
      <c r="BL679" s="450"/>
      <c r="BM679" s="450"/>
    </row>
    <row r="680" spans="1:65" ht="11.15">
      <c r="A680" s="450"/>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c r="Z680" s="450"/>
      <c r="AA680" s="450"/>
      <c r="AB680" s="450"/>
      <c r="AC680" s="450"/>
      <c r="AD680" s="450"/>
      <c r="AE680" s="450"/>
      <c r="AF680" s="450"/>
      <c r="AG680" s="450"/>
      <c r="AH680" s="450"/>
      <c r="AI680" s="450"/>
      <c r="AJ680" s="450"/>
      <c r="AK680" s="450"/>
      <c r="AL680" s="450"/>
      <c r="AM680" s="450"/>
      <c r="AN680" s="450"/>
      <c r="AO680" s="450"/>
      <c r="AP680" s="450"/>
      <c r="AQ680" s="450"/>
      <c r="AR680" s="450"/>
      <c r="AS680" s="450"/>
      <c r="AT680" s="450"/>
      <c r="AU680" s="450"/>
      <c r="AV680" s="450"/>
      <c r="AW680" s="450"/>
      <c r="AX680" s="450"/>
      <c r="AY680" s="450"/>
      <c r="AZ680" s="450"/>
      <c r="BA680" s="450"/>
      <c r="BB680" s="450"/>
      <c r="BC680" s="450"/>
      <c r="BD680" s="450"/>
      <c r="BE680" s="450"/>
      <c r="BF680" s="450"/>
      <c r="BG680" s="450"/>
      <c r="BH680" s="450"/>
      <c r="BI680" s="450"/>
      <c r="BJ680" s="450"/>
      <c r="BK680" s="450"/>
      <c r="BL680" s="450"/>
      <c r="BM680" s="450"/>
    </row>
    <row r="681" spans="1:65" ht="11.15">
      <c r="A681" s="450"/>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c r="Z681" s="450"/>
      <c r="AA681" s="450"/>
      <c r="AB681" s="450"/>
      <c r="AC681" s="450"/>
      <c r="AD681" s="450"/>
      <c r="AE681" s="450"/>
      <c r="AF681" s="450"/>
      <c r="AG681" s="450"/>
      <c r="AH681" s="450"/>
      <c r="AI681" s="450"/>
      <c r="AJ681" s="450"/>
      <c r="AK681" s="450"/>
      <c r="AL681" s="450"/>
      <c r="AM681" s="450"/>
      <c r="AN681" s="450"/>
      <c r="AO681" s="450"/>
      <c r="AP681" s="450"/>
      <c r="AQ681" s="450"/>
      <c r="AR681" s="450"/>
      <c r="AS681" s="450"/>
      <c r="AT681" s="450"/>
      <c r="AU681" s="450"/>
      <c r="AV681" s="450"/>
      <c r="AW681" s="450"/>
      <c r="AX681" s="450"/>
      <c r="AY681" s="450"/>
      <c r="AZ681" s="450"/>
      <c r="BA681" s="450"/>
      <c r="BB681" s="450"/>
      <c r="BC681" s="450"/>
      <c r="BD681" s="450"/>
      <c r="BE681" s="450"/>
      <c r="BF681" s="450"/>
      <c r="BG681" s="450"/>
      <c r="BH681" s="450"/>
      <c r="BI681" s="450"/>
      <c r="BJ681" s="450"/>
      <c r="BK681" s="450"/>
      <c r="BL681" s="450"/>
      <c r="BM681" s="450"/>
    </row>
    <row r="682" spans="1:65" ht="11.15">
      <c r="A682" s="450"/>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c r="Z682" s="450"/>
      <c r="AA682" s="450"/>
      <c r="AB682" s="450"/>
      <c r="AC682" s="450"/>
      <c r="AD682" s="450"/>
      <c r="AE682" s="450"/>
      <c r="AF682" s="450"/>
      <c r="AG682" s="450"/>
      <c r="AH682" s="450"/>
      <c r="AI682" s="450"/>
      <c r="AJ682" s="450"/>
      <c r="AK682" s="450"/>
      <c r="AL682" s="450"/>
      <c r="AM682" s="450"/>
      <c r="AN682" s="450"/>
      <c r="AO682" s="450"/>
      <c r="AP682" s="450"/>
      <c r="AQ682" s="450"/>
      <c r="AR682" s="450"/>
      <c r="AS682" s="450"/>
      <c r="AT682" s="450"/>
      <c r="AU682" s="450"/>
      <c r="AV682" s="450"/>
      <c r="AW682" s="450"/>
      <c r="AX682" s="450"/>
      <c r="AY682" s="450"/>
      <c r="AZ682" s="450"/>
      <c r="BA682" s="450"/>
      <c r="BB682" s="450"/>
      <c r="BC682" s="450"/>
      <c r="BD682" s="450"/>
      <c r="BE682" s="450"/>
      <c r="BF682" s="450"/>
      <c r="BG682" s="450"/>
      <c r="BH682" s="450"/>
      <c r="BI682" s="450"/>
      <c r="BJ682" s="450"/>
      <c r="BK682" s="450"/>
      <c r="BL682" s="450"/>
      <c r="BM682" s="450"/>
    </row>
    <row r="683" spans="1:65" ht="11.15">
      <c r="A683" s="450"/>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c r="AA683" s="450"/>
      <c r="AB683" s="450"/>
      <c r="AC683" s="450"/>
      <c r="AD683" s="450"/>
      <c r="AE683" s="450"/>
      <c r="AF683" s="450"/>
      <c r="AG683" s="450"/>
      <c r="AH683" s="450"/>
      <c r="AI683" s="450"/>
      <c r="AJ683" s="450"/>
      <c r="AK683" s="450"/>
      <c r="AL683" s="450"/>
      <c r="AM683" s="450"/>
      <c r="AN683" s="450"/>
      <c r="AO683" s="450"/>
      <c r="AP683" s="450"/>
      <c r="AQ683" s="450"/>
      <c r="AR683" s="450"/>
      <c r="AS683" s="450"/>
      <c r="AT683" s="450"/>
      <c r="AU683" s="450"/>
      <c r="AV683" s="450"/>
      <c r="AW683" s="450"/>
      <c r="AX683" s="450"/>
      <c r="AY683" s="450"/>
      <c r="AZ683" s="450"/>
      <c r="BA683" s="450"/>
      <c r="BB683" s="450"/>
      <c r="BC683" s="450"/>
      <c r="BD683" s="450"/>
      <c r="BE683" s="450"/>
      <c r="BF683" s="450"/>
      <c r="BG683" s="450"/>
      <c r="BH683" s="450"/>
      <c r="BI683" s="450"/>
      <c r="BJ683" s="450"/>
      <c r="BK683" s="450"/>
      <c r="BL683" s="450"/>
      <c r="BM683" s="450"/>
    </row>
    <row r="684" spans="1:65" ht="11.15">
      <c r="A684" s="450"/>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c r="Z684" s="450"/>
      <c r="AA684" s="450"/>
      <c r="AB684" s="450"/>
      <c r="AC684" s="450"/>
      <c r="AD684" s="450"/>
      <c r="AE684" s="450"/>
      <c r="AF684" s="450"/>
      <c r="AG684" s="450"/>
      <c r="AH684" s="450"/>
      <c r="AI684" s="450"/>
      <c r="AJ684" s="450"/>
      <c r="AK684" s="450"/>
      <c r="AL684" s="450"/>
      <c r="AM684" s="450"/>
      <c r="AN684" s="450"/>
      <c r="AO684" s="450"/>
      <c r="AP684" s="450"/>
      <c r="AQ684" s="450"/>
      <c r="AR684" s="450"/>
      <c r="AS684" s="450"/>
      <c r="AT684" s="450"/>
      <c r="AU684" s="450"/>
      <c r="AV684" s="450"/>
      <c r="AW684" s="450"/>
      <c r="AX684" s="450"/>
      <c r="AY684" s="450"/>
      <c r="AZ684" s="450"/>
      <c r="BA684" s="450"/>
      <c r="BB684" s="450"/>
      <c r="BC684" s="450"/>
      <c r="BD684" s="450"/>
      <c r="BE684" s="450"/>
      <c r="BF684" s="450"/>
      <c r="BG684" s="450"/>
      <c r="BH684" s="450"/>
      <c r="BI684" s="450"/>
      <c r="BJ684" s="450"/>
      <c r="BK684" s="450"/>
      <c r="BL684" s="450"/>
      <c r="BM684" s="450"/>
    </row>
    <row r="685" spans="1:65" ht="11.15">
      <c r="A685" s="450"/>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450"/>
      <c r="AK685" s="450"/>
      <c r="AL685" s="450"/>
      <c r="AM685" s="450"/>
      <c r="AN685" s="450"/>
      <c r="AO685" s="450"/>
      <c r="AP685" s="450"/>
      <c r="AQ685" s="450"/>
      <c r="AR685" s="450"/>
      <c r="AS685" s="450"/>
      <c r="AT685" s="450"/>
      <c r="AU685" s="450"/>
      <c r="AV685" s="450"/>
      <c r="AW685" s="450"/>
      <c r="AX685" s="450"/>
      <c r="AY685" s="450"/>
      <c r="AZ685" s="450"/>
      <c r="BA685" s="450"/>
      <c r="BB685" s="450"/>
      <c r="BC685" s="450"/>
      <c r="BD685" s="450"/>
      <c r="BE685" s="450"/>
      <c r="BF685" s="450"/>
      <c r="BG685" s="450"/>
      <c r="BH685" s="450"/>
      <c r="BI685" s="450"/>
      <c r="BJ685" s="450"/>
      <c r="BK685" s="450"/>
      <c r="BL685" s="450"/>
      <c r="BM685" s="450"/>
    </row>
    <row r="686" spans="1:65" ht="11.15">
      <c r="A686" s="450"/>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c r="Z686" s="450"/>
      <c r="AA686" s="450"/>
      <c r="AB686" s="450"/>
      <c r="AC686" s="450"/>
      <c r="AD686" s="450"/>
      <c r="AE686" s="450"/>
      <c r="AF686" s="450"/>
      <c r="AG686" s="450"/>
      <c r="AH686" s="450"/>
      <c r="AI686" s="450"/>
      <c r="AJ686" s="450"/>
      <c r="AK686" s="450"/>
      <c r="AL686" s="450"/>
      <c r="AM686" s="450"/>
      <c r="AN686" s="450"/>
      <c r="AO686" s="450"/>
      <c r="AP686" s="450"/>
      <c r="AQ686" s="450"/>
      <c r="AR686" s="450"/>
      <c r="AS686" s="450"/>
      <c r="AT686" s="450"/>
      <c r="AU686" s="450"/>
      <c r="AV686" s="450"/>
      <c r="AW686" s="450"/>
      <c r="AX686" s="450"/>
      <c r="AY686" s="450"/>
      <c r="AZ686" s="450"/>
      <c r="BA686" s="450"/>
      <c r="BB686" s="450"/>
      <c r="BC686" s="450"/>
      <c r="BD686" s="450"/>
      <c r="BE686" s="450"/>
      <c r="BF686" s="450"/>
      <c r="BG686" s="450"/>
      <c r="BH686" s="450"/>
      <c r="BI686" s="450"/>
      <c r="BJ686" s="450"/>
      <c r="BK686" s="450"/>
      <c r="BL686" s="450"/>
      <c r="BM686" s="450"/>
    </row>
    <row r="687" spans="1:65" ht="11.15">
      <c r="A687" s="450"/>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c r="Z687" s="450"/>
      <c r="AA687" s="450"/>
      <c r="AB687" s="450"/>
      <c r="AC687" s="450"/>
      <c r="AD687" s="450"/>
      <c r="AE687" s="450"/>
      <c r="AF687" s="450"/>
      <c r="AG687" s="450"/>
      <c r="AH687" s="450"/>
      <c r="AI687" s="450"/>
      <c r="AJ687" s="450"/>
      <c r="AK687" s="450"/>
      <c r="AL687" s="450"/>
      <c r="AM687" s="450"/>
      <c r="AN687" s="450"/>
      <c r="AO687" s="450"/>
      <c r="AP687" s="450"/>
      <c r="AQ687" s="450"/>
      <c r="AR687" s="450"/>
      <c r="AS687" s="450"/>
      <c r="AT687" s="450"/>
      <c r="AU687" s="450"/>
      <c r="AV687" s="450"/>
      <c r="AW687" s="450"/>
      <c r="AX687" s="450"/>
      <c r="AY687" s="450"/>
      <c r="AZ687" s="450"/>
      <c r="BA687" s="450"/>
      <c r="BB687" s="450"/>
      <c r="BC687" s="450"/>
      <c r="BD687" s="450"/>
      <c r="BE687" s="450"/>
      <c r="BF687" s="450"/>
      <c r="BG687" s="450"/>
      <c r="BH687" s="450"/>
      <c r="BI687" s="450"/>
      <c r="BJ687" s="450"/>
      <c r="BK687" s="450"/>
      <c r="BL687" s="450"/>
      <c r="BM687" s="450"/>
    </row>
    <row r="688" spans="1:65" ht="11.15">
      <c r="A688" s="450"/>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c r="Z688" s="450"/>
      <c r="AA688" s="450"/>
      <c r="AB688" s="450"/>
      <c r="AC688" s="450"/>
      <c r="AD688" s="450"/>
      <c r="AE688" s="450"/>
      <c r="AF688" s="450"/>
      <c r="AG688" s="450"/>
      <c r="AH688" s="450"/>
      <c r="AI688" s="450"/>
      <c r="AJ688" s="450"/>
      <c r="AK688" s="450"/>
      <c r="AL688" s="450"/>
      <c r="AM688" s="450"/>
      <c r="AN688" s="450"/>
      <c r="AO688" s="450"/>
      <c r="AP688" s="450"/>
      <c r="AQ688" s="450"/>
      <c r="AR688" s="450"/>
      <c r="AS688" s="450"/>
      <c r="AT688" s="450"/>
      <c r="AU688" s="450"/>
      <c r="AV688" s="450"/>
      <c r="AW688" s="450"/>
      <c r="AX688" s="450"/>
      <c r="AY688" s="450"/>
      <c r="AZ688" s="450"/>
      <c r="BA688" s="450"/>
      <c r="BB688" s="450"/>
      <c r="BC688" s="450"/>
      <c r="BD688" s="450"/>
      <c r="BE688" s="450"/>
      <c r="BF688" s="450"/>
      <c r="BG688" s="450"/>
      <c r="BH688" s="450"/>
      <c r="BI688" s="450"/>
      <c r="BJ688" s="450"/>
      <c r="BK688" s="450"/>
      <c r="BL688" s="450"/>
      <c r="BM688" s="450"/>
    </row>
    <row r="689" spans="1:65" ht="11.15">
      <c r="A689" s="450"/>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c r="Z689" s="450"/>
      <c r="AA689" s="450"/>
      <c r="AB689" s="450"/>
      <c r="AC689" s="450"/>
      <c r="AD689" s="450"/>
      <c r="AE689" s="450"/>
      <c r="AF689" s="450"/>
      <c r="AG689" s="450"/>
      <c r="AH689" s="450"/>
      <c r="AI689" s="450"/>
      <c r="AJ689" s="450"/>
      <c r="AK689" s="450"/>
      <c r="AL689" s="450"/>
      <c r="AM689" s="450"/>
      <c r="AN689" s="450"/>
      <c r="AO689" s="450"/>
      <c r="AP689" s="450"/>
      <c r="AQ689" s="450"/>
      <c r="AR689" s="450"/>
      <c r="AS689" s="450"/>
      <c r="AT689" s="450"/>
      <c r="AU689" s="450"/>
      <c r="AV689" s="450"/>
      <c r="AW689" s="450"/>
      <c r="AX689" s="450"/>
      <c r="AY689" s="450"/>
      <c r="AZ689" s="450"/>
      <c r="BA689" s="450"/>
      <c r="BB689" s="450"/>
      <c r="BC689" s="450"/>
      <c r="BD689" s="450"/>
      <c r="BE689" s="450"/>
      <c r="BF689" s="450"/>
      <c r="BG689" s="450"/>
      <c r="BH689" s="450"/>
      <c r="BI689" s="450"/>
      <c r="BJ689" s="450"/>
      <c r="BK689" s="450"/>
      <c r="BL689" s="450"/>
      <c r="BM689" s="450"/>
    </row>
    <row r="690" spans="1:65" ht="11.15">
      <c r="A690" s="450"/>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c r="Z690" s="450"/>
      <c r="AA690" s="450"/>
      <c r="AB690" s="450"/>
      <c r="AC690" s="450"/>
      <c r="AD690" s="450"/>
      <c r="AE690" s="450"/>
      <c r="AF690" s="450"/>
      <c r="AG690" s="450"/>
      <c r="AH690" s="450"/>
      <c r="AI690" s="450"/>
      <c r="AJ690" s="450"/>
      <c r="AK690" s="450"/>
      <c r="AL690" s="450"/>
      <c r="AM690" s="450"/>
      <c r="AN690" s="450"/>
      <c r="AO690" s="450"/>
      <c r="AP690" s="450"/>
      <c r="AQ690" s="450"/>
      <c r="AR690" s="450"/>
      <c r="AS690" s="450"/>
      <c r="AT690" s="450"/>
      <c r="AU690" s="450"/>
      <c r="AV690" s="450"/>
      <c r="AW690" s="450"/>
      <c r="AX690" s="450"/>
      <c r="AY690" s="450"/>
      <c r="AZ690" s="450"/>
      <c r="BA690" s="450"/>
      <c r="BB690" s="450"/>
      <c r="BC690" s="450"/>
      <c r="BD690" s="450"/>
      <c r="BE690" s="450"/>
      <c r="BF690" s="450"/>
      <c r="BG690" s="450"/>
      <c r="BH690" s="450"/>
      <c r="BI690" s="450"/>
      <c r="BJ690" s="450"/>
      <c r="BK690" s="450"/>
      <c r="BL690" s="450"/>
      <c r="BM690" s="450"/>
    </row>
    <row r="691" spans="1:65" ht="11.15">
      <c r="A691" s="450"/>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c r="Z691" s="450"/>
      <c r="AA691" s="450"/>
      <c r="AB691" s="450"/>
      <c r="AC691" s="450"/>
      <c r="AD691" s="450"/>
      <c r="AE691" s="450"/>
      <c r="AF691" s="450"/>
      <c r="AG691" s="450"/>
      <c r="AH691" s="450"/>
      <c r="AI691" s="450"/>
      <c r="AJ691" s="450"/>
      <c r="AK691" s="450"/>
      <c r="AL691" s="450"/>
      <c r="AM691" s="450"/>
      <c r="AN691" s="450"/>
      <c r="AO691" s="450"/>
      <c r="AP691" s="450"/>
      <c r="AQ691" s="450"/>
      <c r="AR691" s="450"/>
      <c r="AS691" s="450"/>
      <c r="AT691" s="450"/>
      <c r="AU691" s="450"/>
      <c r="AV691" s="450"/>
      <c r="AW691" s="450"/>
      <c r="AX691" s="450"/>
      <c r="AY691" s="450"/>
      <c r="AZ691" s="450"/>
      <c r="BA691" s="450"/>
      <c r="BB691" s="450"/>
      <c r="BC691" s="450"/>
      <c r="BD691" s="450"/>
      <c r="BE691" s="450"/>
      <c r="BF691" s="450"/>
      <c r="BG691" s="450"/>
      <c r="BH691" s="450"/>
      <c r="BI691" s="450"/>
      <c r="BJ691" s="450"/>
      <c r="BK691" s="450"/>
      <c r="BL691" s="450"/>
      <c r="BM691" s="450"/>
    </row>
    <row r="692" spans="1:65" ht="11.15">
      <c r="A692" s="450"/>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c r="Z692" s="450"/>
      <c r="AA692" s="450"/>
      <c r="AB692" s="450"/>
      <c r="AC692" s="450"/>
      <c r="AD692" s="450"/>
      <c r="AE692" s="450"/>
      <c r="AF692" s="450"/>
      <c r="AG692" s="450"/>
      <c r="AH692" s="450"/>
      <c r="AI692" s="450"/>
      <c r="AJ692" s="450"/>
      <c r="AK692" s="450"/>
      <c r="AL692" s="450"/>
      <c r="AM692" s="450"/>
      <c r="AN692" s="450"/>
      <c r="AO692" s="450"/>
      <c r="AP692" s="450"/>
      <c r="AQ692" s="450"/>
      <c r="AR692" s="450"/>
      <c r="AS692" s="450"/>
      <c r="AT692" s="450"/>
      <c r="AU692" s="450"/>
      <c r="AV692" s="450"/>
      <c r="AW692" s="450"/>
      <c r="AX692" s="450"/>
      <c r="AY692" s="450"/>
      <c r="AZ692" s="450"/>
      <c r="BA692" s="450"/>
      <c r="BB692" s="450"/>
      <c r="BC692" s="450"/>
      <c r="BD692" s="450"/>
      <c r="BE692" s="450"/>
      <c r="BF692" s="450"/>
      <c r="BG692" s="450"/>
      <c r="BH692" s="450"/>
      <c r="BI692" s="450"/>
      <c r="BJ692" s="450"/>
      <c r="BK692" s="450"/>
      <c r="BL692" s="450"/>
      <c r="BM692" s="450"/>
    </row>
    <row r="693" spans="1:65" ht="11.15">
      <c r="A693" s="450"/>
      <c r="B693" s="450"/>
      <c r="C693" s="450"/>
      <c r="D693" s="450"/>
      <c r="E693" s="450"/>
      <c r="F693" s="450"/>
      <c r="G693" s="450"/>
      <c r="H693" s="450"/>
      <c r="I693" s="450"/>
      <c r="J693" s="450"/>
      <c r="K693" s="450"/>
      <c r="L693" s="450"/>
      <c r="M693" s="450"/>
      <c r="N693" s="450"/>
      <c r="O693" s="450"/>
      <c r="P693" s="450"/>
      <c r="Q693" s="450"/>
      <c r="R693" s="450"/>
      <c r="S693" s="450"/>
      <c r="T693" s="450"/>
      <c r="U693" s="450"/>
      <c r="V693" s="450"/>
      <c r="W693" s="450"/>
      <c r="X693" s="450"/>
      <c r="Y693" s="450"/>
      <c r="Z693" s="450"/>
      <c r="AA693" s="450"/>
      <c r="AB693" s="450"/>
      <c r="AC693" s="450"/>
      <c r="AD693" s="450"/>
      <c r="AE693" s="450"/>
      <c r="AF693" s="450"/>
      <c r="AG693" s="450"/>
      <c r="AH693" s="450"/>
      <c r="AI693" s="450"/>
      <c r="AJ693" s="450"/>
      <c r="AK693" s="450"/>
      <c r="AL693" s="450"/>
      <c r="AM693" s="450"/>
      <c r="AN693" s="450"/>
      <c r="AO693" s="450"/>
      <c r="AP693" s="450"/>
      <c r="AQ693" s="450"/>
      <c r="AR693" s="450"/>
      <c r="AS693" s="450"/>
      <c r="AT693" s="450"/>
      <c r="AU693" s="450"/>
      <c r="AV693" s="450"/>
      <c r="AW693" s="450"/>
      <c r="AX693" s="450"/>
      <c r="AY693" s="450"/>
      <c r="AZ693" s="450"/>
      <c r="BA693" s="450"/>
      <c r="BB693" s="450"/>
      <c r="BC693" s="450"/>
      <c r="BD693" s="450"/>
      <c r="BE693" s="450"/>
      <c r="BF693" s="450"/>
      <c r="BG693" s="450"/>
      <c r="BH693" s="450"/>
      <c r="BI693" s="450"/>
      <c r="BJ693" s="450"/>
      <c r="BK693" s="450"/>
      <c r="BL693" s="450"/>
      <c r="BM693" s="450"/>
    </row>
    <row r="694" spans="1:65" ht="11.15">
      <c r="A694" s="450"/>
      <c r="B694" s="450"/>
      <c r="C694" s="450"/>
      <c r="D694" s="450"/>
      <c r="E694" s="450"/>
      <c r="F694" s="450"/>
      <c r="G694" s="450"/>
      <c r="H694" s="450"/>
      <c r="I694" s="450"/>
      <c r="J694" s="450"/>
      <c r="K694" s="450"/>
      <c r="L694" s="450"/>
      <c r="M694" s="450"/>
      <c r="N694" s="450"/>
      <c r="O694" s="450"/>
      <c r="P694" s="450"/>
      <c r="Q694" s="450"/>
      <c r="R694" s="450"/>
      <c r="S694" s="450"/>
      <c r="T694" s="450"/>
      <c r="U694" s="450"/>
      <c r="V694" s="450"/>
      <c r="W694" s="450"/>
      <c r="X694" s="450"/>
      <c r="Y694" s="450"/>
      <c r="Z694" s="450"/>
      <c r="AA694" s="450"/>
      <c r="AB694" s="450"/>
      <c r="AC694" s="450"/>
      <c r="AD694" s="450"/>
      <c r="AE694" s="450"/>
      <c r="AF694" s="450"/>
      <c r="AG694" s="450"/>
      <c r="AH694" s="450"/>
      <c r="AI694" s="450"/>
      <c r="AJ694" s="450"/>
      <c r="AK694" s="450"/>
      <c r="AL694" s="450"/>
      <c r="AM694" s="450"/>
      <c r="AN694" s="450"/>
      <c r="AO694" s="450"/>
      <c r="AP694" s="450"/>
      <c r="AQ694" s="450"/>
      <c r="AR694" s="450"/>
      <c r="AS694" s="450"/>
      <c r="AT694" s="450"/>
      <c r="AU694" s="450"/>
      <c r="AV694" s="450"/>
      <c r="AW694" s="450"/>
      <c r="AX694" s="450"/>
      <c r="AY694" s="450"/>
      <c r="AZ694" s="450"/>
      <c r="BA694" s="450"/>
      <c r="BB694" s="450"/>
      <c r="BC694" s="450"/>
      <c r="BD694" s="450"/>
      <c r="BE694" s="450"/>
      <c r="BF694" s="450"/>
      <c r="BG694" s="450"/>
      <c r="BH694" s="450"/>
      <c r="BI694" s="450"/>
      <c r="BJ694" s="450"/>
      <c r="BK694" s="450"/>
      <c r="BL694" s="450"/>
      <c r="BM694" s="450"/>
    </row>
    <row r="695" spans="1:65" ht="11.15">
      <c r="A695" s="450"/>
      <c r="B695" s="450"/>
      <c r="C695" s="450"/>
      <c r="D695" s="450"/>
      <c r="E695" s="450"/>
      <c r="F695" s="450"/>
      <c r="G695" s="450"/>
      <c r="H695" s="450"/>
      <c r="I695" s="450"/>
      <c r="J695" s="450"/>
      <c r="K695" s="450"/>
      <c r="L695" s="450"/>
      <c r="M695" s="450"/>
      <c r="N695" s="450"/>
      <c r="O695" s="450"/>
      <c r="P695" s="450"/>
      <c r="Q695" s="450"/>
      <c r="R695" s="450"/>
      <c r="S695" s="450"/>
      <c r="T695" s="450"/>
      <c r="U695" s="450"/>
      <c r="V695" s="450"/>
      <c r="W695" s="450"/>
      <c r="X695" s="450"/>
      <c r="Y695" s="450"/>
      <c r="Z695" s="450"/>
      <c r="AA695" s="450"/>
      <c r="AB695" s="450"/>
      <c r="AC695" s="450"/>
      <c r="AD695" s="450"/>
      <c r="AE695" s="450"/>
      <c r="AF695" s="450"/>
      <c r="AG695" s="450"/>
      <c r="AH695" s="450"/>
      <c r="AI695" s="450"/>
      <c r="AJ695" s="450"/>
      <c r="AK695" s="450"/>
      <c r="AL695" s="450"/>
      <c r="AM695" s="450"/>
      <c r="AN695" s="450"/>
      <c r="AO695" s="450"/>
      <c r="AP695" s="450"/>
      <c r="AQ695" s="450"/>
      <c r="AR695" s="450"/>
      <c r="AS695" s="450"/>
      <c r="AT695" s="450"/>
      <c r="AU695" s="450"/>
      <c r="AV695" s="450"/>
      <c r="AW695" s="450"/>
      <c r="AX695" s="450"/>
      <c r="AY695" s="450"/>
      <c r="AZ695" s="450"/>
      <c r="BA695" s="450"/>
      <c r="BB695" s="450"/>
      <c r="BC695" s="450"/>
      <c r="BD695" s="450"/>
      <c r="BE695" s="450"/>
      <c r="BF695" s="450"/>
      <c r="BG695" s="450"/>
      <c r="BH695" s="450"/>
      <c r="BI695" s="450"/>
      <c r="BJ695" s="450"/>
      <c r="BK695" s="450"/>
      <c r="BL695" s="450"/>
      <c r="BM695" s="450"/>
    </row>
    <row r="696" spans="1:65" ht="11.15">
      <c r="A696" s="450"/>
      <c r="B696" s="450"/>
      <c r="C696" s="450"/>
      <c r="D696" s="450"/>
      <c r="E696" s="450"/>
      <c r="F696" s="450"/>
      <c r="G696" s="450"/>
      <c r="H696" s="450"/>
      <c r="I696" s="450"/>
      <c r="J696" s="450"/>
      <c r="K696" s="450"/>
      <c r="L696" s="450"/>
      <c r="M696" s="450"/>
      <c r="N696" s="450"/>
      <c r="O696" s="450"/>
      <c r="P696" s="450"/>
      <c r="Q696" s="450"/>
      <c r="R696" s="450"/>
      <c r="S696" s="450"/>
      <c r="T696" s="450"/>
      <c r="U696" s="450"/>
      <c r="V696" s="450"/>
      <c r="W696" s="450"/>
      <c r="X696" s="450"/>
      <c r="Y696" s="450"/>
      <c r="Z696" s="450"/>
      <c r="AA696" s="450"/>
      <c r="AB696" s="450"/>
      <c r="AC696" s="450"/>
      <c r="AD696" s="450"/>
      <c r="AE696" s="450"/>
      <c r="AF696" s="450"/>
      <c r="AG696" s="450"/>
      <c r="AH696" s="450"/>
      <c r="AI696" s="450"/>
      <c r="AJ696" s="450"/>
      <c r="AK696" s="450"/>
      <c r="AL696" s="450"/>
      <c r="AM696" s="450"/>
      <c r="AN696" s="450"/>
      <c r="AO696" s="450"/>
      <c r="AP696" s="450"/>
      <c r="AQ696" s="450"/>
      <c r="AR696" s="450"/>
      <c r="AS696" s="450"/>
      <c r="AT696" s="450"/>
      <c r="AU696" s="450"/>
      <c r="AV696" s="450"/>
      <c r="AW696" s="450"/>
      <c r="AX696" s="450"/>
      <c r="AY696" s="450"/>
      <c r="AZ696" s="450"/>
      <c r="BA696" s="450"/>
      <c r="BB696" s="450"/>
      <c r="BC696" s="450"/>
      <c r="BD696" s="450"/>
      <c r="BE696" s="450"/>
      <c r="BF696" s="450"/>
      <c r="BG696" s="450"/>
      <c r="BH696" s="450"/>
      <c r="BI696" s="450"/>
      <c r="BJ696" s="450"/>
      <c r="BK696" s="450"/>
      <c r="BL696" s="450"/>
      <c r="BM696" s="450"/>
    </row>
    <row r="697" spans="1:65" ht="11.15">
      <c r="A697" s="450"/>
      <c r="B697" s="450"/>
      <c r="C697" s="450"/>
      <c r="D697" s="450"/>
      <c r="E697" s="450"/>
      <c r="F697" s="450"/>
      <c r="G697" s="450"/>
      <c r="H697" s="450"/>
      <c r="I697" s="450"/>
      <c r="J697" s="450"/>
      <c r="K697" s="450"/>
      <c r="L697" s="450"/>
      <c r="M697" s="450"/>
      <c r="N697" s="450"/>
      <c r="O697" s="450"/>
      <c r="P697" s="450"/>
      <c r="Q697" s="450"/>
      <c r="R697" s="450"/>
      <c r="S697" s="450"/>
      <c r="T697" s="450"/>
      <c r="U697" s="450"/>
      <c r="V697" s="450"/>
      <c r="W697" s="450"/>
      <c r="X697" s="450"/>
      <c r="Y697" s="450"/>
      <c r="Z697" s="450"/>
      <c r="AA697" s="450"/>
      <c r="AB697" s="450"/>
      <c r="AC697" s="450"/>
      <c r="AD697" s="450"/>
      <c r="AE697" s="450"/>
      <c r="AF697" s="450"/>
      <c r="AG697" s="450"/>
      <c r="AH697" s="450"/>
      <c r="AI697" s="450"/>
      <c r="AJ697" s="450"/>
      <c r="AK697" s="450"/>
      <c r="AL697" s="450"/>
      <c r="AM697" s="450"/>
      <c r="AN697" s="450"/>
      <c r="AO697" s="450"/>
      <c r="AP697" s="450"/>
      <c r="AQ697" s="450"/>
      <c r="AR697" s="450"/>
      <c r="AS697" s="450"/>
      <c r="AT697" s="450"/>
      <c r="AU697" s="450"/>
      <c r="AV697" s="450"/>
      <c r="AW697" s="450"/>
      <c r="AX697" s="450"/>
      <c r="AY697" s="450"/>
      <c r="AZ697" s="450"/>
      <c r="BA697" s="450"/>
      <c r="BB697" s="450"/>
      <c r="BC697" s="450"/>
      <c r="BD697" s="450"/>
      <c r="BE697" s="450"/>
      <c r="BF697" s="450"/>
      <c r="BG697" s="450"/>
      <c r="BH697" s="450"/>
      <c r="BI697" s="450"/>
      <c r="BJ697" s="450"/>
      <c r="BK697" s="450"/>
      <c r="BL697" s="450"/>
      <c r="BM697" s="450"/>
    </row>
    <row r="698" spans="1:65" ht="11.15">
      <c r="A698" s="450"/>
      <c r="B698" s="450"/>
      <c r="C698" s="450"/>
      <c r="D698" s="450"/>
      <c r="E698" s="450"/>
      <c r="F698" s="450"/>
      <c r="G698" s="450"/>
      <c r="H698" s="450"/>
      <c r="I698" s="450"/>
      <c r="J698" s="450"/>
      <c r="K698" s="450"/>
      <c r="L698" s="450"/>
      <c r="M698" s="450"/>
      <c r="N698" s="450"/>
      <c r="O698" s="450"/>
      <c r="P698" s="450"/>
      <c r="Q698" s="450"/>
      <c r="R698" s="450"/>
      <c r="S698" s="450"/>
      <c r="T698" s="450"/>
      <c r="U698" s="450"/>
      <c r="V698" s="450"/>
      <c r="W698" s="450"/>
      <c r="X698" s="450"/>
      <c r="Y698" s="450"/>
      <c r="Z698" s="450"/>
      <c r="AA698" s="450"/>
      <c r="AB698" s="450"/>
      <c r="AC698" s="450"/>
      <c r="AD698" s="450"/>
      <c r="AE698" s="450"/>
      <c r="AF698" s="450"/>
      <c r="AG698" s="450"/>
      <c r="AH698" s="450"/>
      <c r="AI698" s="450"/>
      <c r="AJ698" s="450"/>
      <c r="AK698" s="450"/>
      <c r="AL698" s="450"/>
      <c r="AM698" s="450"/>
      <c r="AN698" s="450"/>
      <c r="AO698" s="450"/>
      <c r="AP698" s="450"/>
      <c r="AQ698" s="450"/>
      <c r="AR698" s="450"/>
      <c r="AS698" s="450"/>
      <c r="AT698" s="450"/>
      <c r="AU698" s="450"/>
      <c r="AV698" s="450"/>
      <c r="AW698" s="450"/>
      <c r="AX698" s="450"/>
      <c r="AY698" s="450"/>
      <c r="AZ698" s="450"/>
      <c r="BA698" s="450"/>
      <c r="BB698" s="450"/>
      <c r="BC698" s="450"/>
      <c r="BD698" s="450"/>
      <c r="BE698" s="450"/>
      <c r="BF698" s="450"/>
      <c r="BG698" s="450"/>
      <c r="BH698" s="450"/>
      <c r="BI698" s="450"/>
      <c r="BJ698" s="450"/>
      <c r="BK698" s="450"/>
      <c r="BL698" s="450"/>
      <c r="BM698" s="450"/>
    </row>
    <row r="699" spans="1:65" ht="11.15">
      <c r="A699" s="450"/>
      <c r="B699" s="450"/>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c r="Z699" s="450"/>
      <c r="AA699" s="450"/>
      <c r="AB699" s="450"/>
      <c r="AC699" s="450"/>
      <c r="AD699" s="450"/>
      <c r="AE699" s="450"/>
      <c r="AF699" s="450"/>
      <c r="AG699" s="450"/>
      <c r="AH699" s="450"/>
      <c r="AI699" s="450"/>
      <c r="AJ699" s="450"/>
      <c r="AK699" s="450"/>
      <c r="AL699" s="450"/>
      <c r="AM699" s="450"/>
      <c r="AN699" s="450"/>
      <c r="AO699" s="450"/>
      <c r="AP699" s="450"/>
      <c r="AQ699" s="450"/>
      <c r="AR699" s="450"/>
      <c r="AS699" s="450"/>
      <c r="AT699" s="450"/>
      <c r="AU699" s="450"/>
      <c r="AV699" s="450"/>
      <c r="AW699" s="450"/>
      <c r="AX699" s="450"/>
      <c r="AY699" s="450"/>
      <c r="AZ699" s="450"/>
      <c r="BA699" s="450"/>
      <c r="BB699" s="450"/>
      <c r="BC699" s="450"/>
      <c r="BD699" s="450"/>
      <c r="BE699" s="450"/>
      <c r="BF699" s="450"/>
      <c r="BG699" s="450"/>
      <c r="BH699" s="450"/>
      <c r="BI699" s="450"/>
      <c r="BJ699" s="450"/>
      <c r="BK699" s="450"/>
      <c r="BL699" s="450"/>
      <c r="BM699" s="450"/>
    </row>
    <row r="700" spans="1:65" ht="11.15">
      <c r="A700" s="450"/>
      <c r="B700" s="450"/>
      <c r="C700" s="450"/>
      <c r="D700" s="450"/>
      <c r="E700" s="450"/>
      <c r="F700" s="450"/>
      <c r="G700" s="450"/>
      <c r="H700" s="450"/>
      <c r="I700" s="450"/>
      <c r="J700" s="450"/>
      <c r="K700" s="450"/>
      <c r="L700" s="450"/>
      <c r="M700" s="450"/>
      <c r="N700" s="450"/>
      <c r="O700" s="450"/>
      <c r="P700" s="450"/>
      <c r="Q700" s="450"/>
      <c r="R700" s="450"/>
      <c r="S700" s="450"/>
      <c r="T700" s="450"/>
      <c r="U700" s="450"/>
      <c r="V700" s="450"/>
      <c r="W700" s="450"/>
      <c r="X700" s="450"/>
      <c r="Y700" s="450"/>
      <c r="Z700" s="450"/>
      <c r="AA700" s="450"/>
      <c r="AB700" s="450"/>
      <c r="AC700" s="450"/>
      <c r="AD700" s="450"/>
      <c r="AE700" s="450"/>
      <c r="AF700" s="450"/>
      <c r="AG700" s="450"/>
      <c r="AH700" s="450"/>
      <c r="AI700" s="450"/>
      <c r="AJ700" s="450"/>
      <c r="AK700" s="450"/>
      <c r="AL700" s="450"/>
      <c r="AM700" s="450"/>
      <c r="AN700" s="450"/>
      <c r="AO700" s="450"/>
      <c r="AP700" s="450"/>
      <c r="AQ700" s="450"/>
      <c r="AR700" s="450"/>
      <c r="AS700" s="450"/>
      <c r="AT700" s="450"/>
      <c r="AU700" s="450"/>
      <c r="AV700" s="450"/>
      <c r="AW700" s="450"/>
      <c r="AX700" s="450"/>
      <c r="AY700" s="450"/>
      <c r="AZ700" s="450"/>
      <c r="BA700" s="450"/>
      <c r="BB700" s="450"/>
      <c r="BC700" s="450"/>
      <c r="BD700" s="450"/>
      <c r="BE700" s="450"/>
      <c r="BF700" s="450"/>
      <c r="BG700" s="450"/>
      <c r="BH700" s="450"/>
      <c r="BI700" s="450"/>
      <c r="BJ700" s="450"/>
      <c r="BK700" s="450"/>
      <c r="BL700" s="450"/>
      <c r="BM700" s="450"/>
    </row>
    <row r="701" spans="1:65" ht="11.15">
      <c r="A701" s="450"/>
      <c r="B701" s="450"/>
      <c r="C701" s="450"/>
      <c r="D701" s="450"/>
      <c r="E701" s="450"/>
      <c r="F701" s="450"/>
      <c r="G701" s="450"/>
      <c r="H701" s="450"/>
      <c r="I701" s="450"/>
      <c r="J701" s="450"/>
      <c r="K701" s="450"/>
      <c r="L701" s="450"/>
      <c r="M701" s="450"/>
      <c r="N701" s="450"/>
      <c r="O701" s="450"/>
      <c r="P701" s="450"/>
      <c r="Q701" s="450"/>
      <c r="R701" s="450"/>
      <c r="S701" s="450"/>
      <c r="T701" s="450"/>
      <c r="U701" s="450"/>
      <c r="V701" s="450"/>
      <c r="W701" s="450"/>
      <c r="X701" s="450"/>
      <c r="Y701" s="450"/>
      <c r="Z701" s="450"/>
      <c r="AA701" s="450"/>
      <c r="AB701" s="450"/>
      <c r="AC701" s="450"/>
      <c r="AD701" s="450"/>
      <c r="AE701" s="450"/>
      <c r="AF701" s="450"/>
      <c r="AG701" s="450"/>
      <c r="AH701" s="450"/>
      <c r="AI701" s="450"/>
      <c r="AJ701" s="450"/>
      <c r="AK701" s="450"/>
      <c r="AL701" s="450"/>
      <c r="AM701" s="450"/>
      <c r="AN701" s="450"/>
      <c r="AO701" s="450"/>
      <c r="AP701" s="450"/>
      <c r="AQ701" s="450"/>
      <c r="AR701" s="450"/>
      <c r="AS701" s="450"/>
      <c r="AT701" s="450"/>
      <c r="AU701" s="450"/>
      <c r="AV701" s="450"/>
      <c r="AW701" s="450"/>
      <c r="AX701" s="450"/>
      <c r="AY701" s="450"/>
      <c r="AZ701" s="450"/>
      <c r="BA701" s="450"/>
      <c r="BB701" s="450"/>
      <c r="BC701" s="450"/>
      <c r="BD701" s="450"/>
      <c r="BE701" s="450"/>
      <c r="BF701" s="450"/>
      <c r="BG701" s="450"/>
      <c r="BH701" s="450"/>
      <c r="BI701" s="450"/>
      <c r="BJ701" s="450"/>
      <c r="BK701" s="450"/>
      <c r="BL701" s="450"/>
      <c r="BM701" s="450"/>
    </row>
    <row r="702" spans="1:65" ht="11.15">
      <c r="A702" s="450"/>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c r="AA702" s="450"/>
      <c r="AB702" s="450"/>
      <c r="AC702" s="450"/>
      <c r="AD702" s="450"/>
      <c r="AE702" s="450"/>
      <c r="AF702" s="450"/>
      <c r="AG702" s="450"/>
      <c r="AH702" s="450"/>
      <c r="AI702" s="450"/>
      <c r="AJ702" s="450"/>
      <c r="AK702" s="450"/>
      <c r="AL702" s="450"/>
      <c r="AM702" s="450"/>
      <c r="AN702" s="450"/>
      <c r="AO702" s="450"/>
      <c r="AP702" s="450"/>
      <c r="AQ702" s="450"/>
      <c r="AR702" s="450"/>
      <c r="AS702" s="450"/>
      <c r="AT702" s="450"/>
      <c r="AU702" s="450"/>
      <c r="AV702" s="450"/>
      <c r="AW702" s="450"/>
      <c r="AX702" s="450"/>
      <c r="AY702" s="450"/>
      <c r="AZ702" s="450"/>
      <c r="BA702" s="450"/>
      <c r="BB702" s="450"/>
      <c r="BC702" s="450"/>
      <c r="BD702" s="450"/>
      <c r="BE702" s="450"/>
      <c r="BF702" s="450"/>
      <c r="BG702" s="450"/>
      <c r="BH702" s="450"/>
      <c r="BI702" s="450"/>
      <c r="BJ702" s="450"/>
      <c r="BK702" s="450"/>
      <c r="BL702" s="450"/>
      <c r="BM702" s="450"/>
    </row>
    <row r="703" spans="1:65" ht="11.15">
      <c r="A703" s="450"/>
      <c r="B703" s="450"/>
      <c r="C703" s="450"/>
      <c r="D703" s="450"/>
      <c r="E703" s="450"/>
      <c r="F703" s="450"/>
      <c r="G703" s="450"/>
      <c r="H703" s="450"/>
      <c r="I703" s="450"/>
      <c r="J703" s="450"/>
      <c r="K703" s="450"/>
      <c r="L703" s="450"/>
      <c r="M703" s="450"/>
      <c r="N703" s="450"/>
      <c r="O703" s="450"/>
      <c r="P703" s="450"/>
      <c r="Q703" s="450"/>
      <c r="R703" s="450"/>
      <c r="S703" s="450"/>
      <c r="T703" s="450"/>
      <c r="U703" s="450"/>
      <c r="V703" s="450"/>
      <c r="W703" s="450"/>
      <c r="X703" s="450"/>
      <c r="Y703" s="450"/>
      <c r="Z703" s="450"/>
      <c r="AA703" s="450"/>
      <c r="AB703" s="450"/>
      <c r="AC703" s="450"/>
      <c r="AD703" s="450"/>
      <c r="AE703" s="450"/>
      <c r="AF703" s="450"/>
      <c r="AG703" s="450"/>
      <c r="AH703" s="450"/>
      <c r="AI703" s="450"/>
      <c r="AJ703" s="450"/>
      <c r="AK703" s="450"/>
      <c r="AL703" s="450"/>
      <c r="AM703" s="450"/>
      <c r="AN703" s="450"/>
      <c r="AO703" s="450"/>
      <c r="AP703" s="450"/>
      <c r="AQ703" s="450"/>
      <c r="AR703" s="450"/>
      <c r="AS703" s="450"/>
      <c r="AT703" s="450"/>
      <c r="AU703" s="450"/>
      <c r="AV703" s="450"/>
      <c r="AW703" s="450"/>
      <c r="AX703" s="450"/>
      <c r="AY703" s="450"/>
      <c r="AZ703" s="450"/>
      <c r="BA703" s="450"/>
      <c r="BB703" s="450"/>
      <c r="BC703" s="450"/>
      <c r="BD703" s="450"/>
      <c r="BE703" s="450"/>
      <c r="BF703" s="450"/>
      <c r="BG703" s="450"/>
      <c r="BH703" s="450"/>
      <c r="BI703" s="450"/>
      <c r="BJ703" s="450"/>
      <c r="BK703" s="450"/>
      <c r="BL703" s="450"/>
      <c r="BM703" s="450"/>
    </row>
    <row r="704" spans="1:65" ht="11.15">
      <c r="A704" s="450"/>
      <c r="B704" s="450"/>
      <c r="C704" s="450"/>
      <c r="D704" s="450"/>
      <c r="E704" s="450"/>
      <c r="F704" s="450"/>
      <c r="G704" s="450"/>
      <c r="H704" s="450"/>
      <c r="I704" s="450"/>
      <c r="J704" s="450"/>
      <c r="K704" s="450"/>
      <c r="L704" s="450"/>
      <c r="M704" s="450"/>
      <c r="N704" s="450"/>
      <c r="O704" s="450"/>
      <c r="P704" s="450"/>
      <c r="Q704" s="450"/>
      <c r="R704" s="450"/>
      <c r="S704" s="450"/>
      <c r="T704" s="450"/>
      <c r="U704" s="450"/>
      <c r="V704" s="450"/>
      <c r="W704" s="450"/>
      <c r="X704" s="450"/>
      <c r="Y704" s="450"/>
      <c r="Z704" s="450"/>
      <c r="AA704" s="450"/>
      <c r="AB704" s="450"/>
      <c r="AC704" s="450"/>
      <c r="AD704" s="450"/>
      <c r="AE704" s="450"/>
      <c r="AF704" s="450"/>
      <c r="AG704" s="450"/>
      <c r="AH704" s="450"/>
      <c r="AI704" s="450"/>
      <c r="AJ704" s="450"/>
      <c r="AK704" s="450"/>
      <c r="AL704" s="450"/>
      <c r="AM704" s="450"/>
      <c r="AN704" s="450"/>
      <c r="AO704" s="450"/>
      <c r="AP704" s="450"/>
      <c r="AQ704" s="450"/>
      <c r="AR704" s="450"/>
      <c r="AS704" s="450"/>
      <c r="AT704" s="450"/>
      <c r="AU704" s="450"/>
      <c r="AV704" s="450"/>
      <c r="AW704" s="450"/>
      <c r="AX704" s="450"/>
      <c r="AY704" s="450"/>
      <c r="AZ704" s="450"/>
      <c r="BA704" s="450"/>
      <c r="BB704" s="450"/>
      <c r="BC704" s="450"/>
      <c r="BD704" s="450"/>
      <c r="BE704" s="450"/>
      <c r="BF704" s="450"/>
      <c r="BG704" s="450"/>
      <c r="BH704" s="450"/>
      <c r="BI704" s="450"/>
      <c r="BJ704" s="450"/>
      <c r="BK704" s="450"/>
      <c r="BL704" s="450"/>
      <c r="BM704" s="450"/>
    </row>
    <row r="705" spans="1:65" ht="11.15">
      <c r="A705" s="450"/>
      <c r="B705" s="450"/>
      <c r="C705" s="450"/>
      <c r="D705" s="450"/>
      <c r="E705" s="450"/>
      <c r="F705" s="450"/>
      <c r="G705" s="450"/>
      <c r="H705" s="450"/>
      <c r="I705" s="450"/>
      <c r="J705" s="450"/>
      <c r="K705" s="450"/>
      <c r="L705" s="450"/>
      <c r="M705" s="450"/>
      <c r="N705" s="450"/>
      <c r="O705" s="450"/>
      <c r="P705" s="450"/>
      <c r="Q705" s="450"/>
      <c r="R705" s="450"/>
      <c r="S705" s="450"/>
      <c r="T705" s="450"/>
      <c r="U705" s="450"/>
      <c r="V705" s="450"/>
      <c r="W705" s="450"/>
      <c r="X705" s="450"/>
      <c r="Y705" s="450"/>
      <c r="Z705" s="450"/>
      <c r="AA705" s="450"/>
      <c r="AB705" s="450"/>
      <c r="AC705" s="450"/>
      <c r="AD705" s="450"/>
      <c r="AE705" s="450"/>
      <c r="AF705" s="450"/>
      <c r="AG705" s="450"/>
      <c r="AH705" s="450"/>
      <c r="AI705" s="450"/>
      <c r="AJ705" s="450"/>
      <c r="AK705" s="450"/>
      <c r="AL705" s="450"/>
      <c r="AM705" s="450"/>
      <c r="AN705" s="450"/>
      <c r="AO705" s="450"/>
      <c r="AP705" s="450"/>
      <c r="AQ705" s="450"/>
      <c r="AR705" s="450"/>
      <c r="AS705" s="450"/>
      <c r="AT705" s="450"/>
      <c r="AU705" s="450"/>
      <c r="AV705" s="450"/>
      <c r="AW705" s="450"/>
      <c r="AX705" s="450"/>
      <c r="AY705" s="450"/>
      <c r="AZ705" s="450"/>
      <c r="BA705" s="450"/>
      <c r="BB705" s="450"/>
      <c r="BC705" s="450"/>
      <c r="BD705" s="450"/>
      <c r="BE705" s="450"/>
      <c r="BF705" s="450"/>
      <c r="BG705" s="450"/>
      <c r="BH705" s="450"/>
      <c r="BI705" s="450"/>
      <c r="BJ705" s="450"/>
      <c r="BK705" s="450"/>
      <c r="BL705" s="450"/>
      <c r="BM705" s="450"/>
    </row>
    <row r="706" spans="1:65" ht="11.15">
      <c r="A706" s="450"/>
      <c r="B706" s="450"/>
      <c r="C706" s="450"/>
      <c r="D706" s="450"/>
      <c r="E706" s="450"/>
      <c r="F706" s="450"/>
      <c r="G706" s="450"/>
      <c r="H706" s="450"/>
      <c r="I706" s="450"/>
      <c r="J706" s="450"/>
      <c r="K706" s="450"/>
      <c r="L706" s="450"/>
      <c r="M706" s="450"/>
      <c r="N706" s="450"/>
      <c r="O706" s="450"/>
      <c r="P706" s="450"/>
      <c r="Q706" s="450"/>
      <c r="R706" s="450"/>
      <c r="S706" s="450"/>
      <c r="T706" s="450"/>
      <c r="U706" s="450"/>
      <c r="V706" s="450"/>
      <c r="W706" s="450"/>
      <c r="X706" s="450"/>
      <c r="Y706" s="450"/>
      <c r="Z706" s="450"/>
      <c r="AA706" s="450"/>
      <c r="AB706" s="450"/>
      <c r="AC706" s="450"/>
      <c r="AD706" s="450"/>
      <c r="AE706" s="450"/>
      <c r="AF706" s="450"/>
      <c r="AG706" s="450"/>
      <c r="AH706" s="450"/>
      <c r="AI706" s="450"/>
      <c r="AJ706" s="450"/>
      <c r="AK706" s="450"/>
      <c r="AL706" s="450"/>
      <c r="AM706" s="450"/>
      <c r="AN706" s="450"/>
      <c r="AO706" s="450"/>
      <c r="AP706" s="450"/>
      <c r="AQ706" s="450"/>
      <c r="AR706" s="450"/>
      <c r="AS706" s="450"/>
      <c r="AT706" s="450"/>
      <c r="AU706" s="450"/>
      <c r="AV706" s="450"/>
      <c r="AW706" s="450"/>
      <c r="AX706" s="450"/>
      <c r="AY706" s="450"/>
      <c r="AZ706" s="450"/>
      <c r="BA706" s="450"/>
      <c r="BB706" s="450"/>
      <c r="BC706" s="450"/>
      <c r="BD706" s="450"/>
      <c r="BE706" s="450"/>
      <c r="BF706" s="450"/>
      <c r="BG706" s="450"/>
      <c r="BH706" s="450"/>
      <c r="BI706" s="450"/>
      <c r="BJ706" s="450"/>
      <c r="BK706" s="450"/>
      <c r="BL706" s="450"/>
      <c r="BM706" s="450"/>
    </row>
    <row r="707" spans="1:65" ht="11.15">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c r="AA707" s="450"/>
      <c r="AB707" s="450"/>
      <c r="AC707" s="450"/>
      <c r="AD707" s="450"/>
      <c r="AE707" s="450"/>
      <c r="AF707" s="450"/>
      <c r="AG707" s="450"/>
      <c r="AH707" s="450"/>
      <c r="AI707" s="450"/>
      <c r="AJ707" s="450"/>
      <c r="AK707" s="450"/>
      <c r="AL707" s="450"/>
      <c r="AM707" s="450"/>
      <c r="AN707" s="450"/>
      <c r="AO707" s="450"/>
      <c r="AP707" s="450"/>
      <c r="AQ707" s="450"/>
      <c r="AR707" s="450"/>
      <c r="AS707" s="450"/>
      <c r="AT707" s="450"/>
      <c r="AU707" s="450"/>
      <c r="AV707" s="450"/>
      <c r="AW707" s="450"/>
      <c r="AX707" s="450"/>
      <c r="AY707" s="450"/>
      <c r="AZ707" s="450"/>
      <c r="BA707" s="450"/>
      <c r="BB707" s="450"/>
      <c r="BC707" s="450"/>
      <c r="BD707" s="450"/>
      <c r="BE707" s="450"/>
      <c r="BF707" s="450"/>
      <c r="BG707" s="450"/>
      <c r="BH707" s="450"/>
      <c r="BI707" s="450"/>
      <c r="BJ707" s="450"/>
      <c r="BK707" s="450"/>
      <c r="BL707" s="450"/>
      <c r="BM707" s="450"/>
    </row>
    <row r="708" spans="1:65" ht="11.15">
      <c r="A708" s="450"/>
      <c r="B708" s="450"/>
      <c r="C708" s="450"/>
      <c r="D708" s="450"/>
      <c r="E708" s="450"/>
      <c r="F708" s="450"/>
      <c r="G708" s="450"/>
      <c r="H708" s="450"/>
      <c r="I708" s="450"/>
      <c r="J708" s="450"/>
      <c r="K708" s="450"/>
      <c r="L708" s="450"/>
      <c r="M708" s="450"/>
      <c r="N708" s="450"/>
      <c r="O708" s="450"/>
      <c r="P708" s="450"/>
      <c r="Q708" s="450"/>
      <c r="R708" s="450"/>
      <c r="S708" s="450"/>
      <c r="T708" s="450"/>
      <c r="U708" s="450"/>
      <c r="V708" s="450"/>
      <c r="W708" s="450"/>
      <c r="X708" s="450"/>
      <c r="Y708" s="450"/>
      <c r="Z708" s="450"/>
      <c r="AA708" s="450"/>
      <c r="AB708" s="450"/>
      <c r="AC708" s="450"/>
      <c r="AD708" s="450"/>
      <c r="AE708" s="450"/>
      <c r="AF708" s="450"/>
      <c r="AG708" s="450"/>
      <c r="AH708" s="450"/>
      <c r="AI708" s="450"/>
      <c r="AJ708" s="450"/>
      <c r="AK708" s="450"/>
      <c r="AL708" s="450"/>
      <c r="AM708" s="450"/>
      <c r="AN708" s="450"/>
      <c r="AO708" s="450"/>
      <c r="AP708" s="450"/>
      <c r="AQ708" s="450"/>
      <c r="AR708" s="450"/>
      <c r="AS708" s="450"/>
      <c r="AT708" s="450"/>
      <c r="AU708" s="450"/>
      <c r="AV708" s="450"/>
      <c r="AW708" s="450"/>
      <c r="AX708" s="450"/>
      <c r="AY708" s="450"/>
      <c r="AZ708" s="450"/>
      <c r="BA708" s="450"/>
      <c r="BB708" s="450"/>
      <c r="BC708" s="450"/>
      <c r="BD708" s="450"/>
      <c r="BE708" s="450"/>
      <c r="BF708" s="450"/>
      <c r="BG708" s="450"/>
      <c r="BH708" s="450"/>
      <c r="BI708" s="450"/>
      <c r="BJ708" s="450"/>
      <c r="BK708" s="450"/>
      <c r="BL708" s="450"/>
      <c r="BM708" s="450"/>
    </row>
    <row r="709" spans="1:65" ht="11.15">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c r="Z709" s="450"/>
      <c r="AA709" s="450"/>
      <c r="AB709" s="450"/>
      <c r="AC709" s="450"/>
      <c r="AD709" s="450"/>
      <c r="AE709" s="450"/>
      <c r="AF709" s="450"/>
      <c r="AG709" s="450"/>
      <c r="AH709" s="450"/>
      <c r="AI709" s="450"/>
      <c r="AJ709" s="450"/>
      <c r="AK709" s="450"/>
      <c r="AL709" s="450"/>
      <c r="AM709" s="450"/>
      <c r="AN709" s="450"/>
      <c r="AO709" s="450"/>
      <c r="AP709" s="450"/>
      <c r="AQ709" s="450"/>
      <c r="AR709" s="450"/>
      <c r="AS709" s="450"/>
      <c r="AT709" s="450"/>
      <c r="AU709" s="450"/>
      <c r="AV709" s="450"/>
      <c r="AW709" s="450"/>
      <c r="AX709" s="450"/>
      <c r="AY709" s="450"/>
      <c r="AZ709" s="450"/>
      <c r="BA709" s="450"/>
      <c r="BB709" s="450"/>
      <c r="BC709" s="450"/>
      <c r="BD709" s="450"/>
      <c r="BE709" s="450"/>
      <c r="BF709" s="450"/>
      <c r="BG709" s="450"/>
      <c r="BH709" s="450"/>
      <c r="BI709" s="450"/>
      <c r="BJ709" s="450"/>
      <c r="BK709" s="450"/>
      <c r="BL709" s="450"/>
      <c r="BM709" s="450"/>
    </row>
    <row r="710" spans="1:65" ht="11.15">
      <c r="A710" s="450"/>
      <c r="B710" s="450"/>
      <c r="C710" s="450"/>
      <c r="D710" s="450"/>
      <c r="E710" s="450"/>
      <c r="F710" s="450"/>
      <c r="G710" s="450"/>
      <c r="H710" s="450"/>
      <c r="I710" s="450"/>
      <c r="J710" s="450"/>
      <c r="K710" s="450"/>
      <c r="L710" s="450"/>
      <c r="M710" s="450"/>
      <c r="N710" s="450"/>
      <c r="O710" s="450"/>
      <c r="P710" s="450"/>
      <c r="Q710" s="450"/>
      <c r="R710" s="450"/>
      <c r="S710" s="450"/>
      <c r="T710" s="450"/>
      <c r="U710" s="450"/>
      <c r="V710" s="450"/>
      <c r="W710" s="450"/>
      <c r="X710" s="450"/>
      <c r="Y710" s="450"/>
      <c r="Z710" s="450"/>
      <c r="AA710" s="450"/>
      <c r="AB710" s="450"/>
      <c r="AC710" s="450"/>
      <c r="AD710" s="450"/>
      <c r="AE710" s="450"/>
      <c r="AF710" s="450"/>
      <c r="AG710" s="450"/>
      <c r="AH710" s="450"/>
      <c r="AI710" s="450"/>
      <c r="AJ710" s="450"/>
      <c r="AK710" s="450"/>
      <c r="AL710" s="450"/>
      <c r="AM710" s="450"/>
      <c r="AN710" s="450"/>
      <c r="AO710" s="450"/>
      <c r="AP710" s="450"/>
      <c r="AQ710" s="450"/>
      <c r="AR710" s="450"/>
      <c r="AS710" s="450"/>
      <c r="AT710" s="450"/>
      <c r="AU710" s="450"/>
      <c r="AV710" s="450"/>
      <c r="AW710" s="450"/>
      <c r="AX710" s="450"/>
      <c r="AY710" s="450"/>
      <c r="AZ710" s="450"/>
      <c r="BA710" s="450"/>
      <c r="BB710" s="450"/>
      <c r="BC710" s="450"/>
      <c r="BD710" s="450"/>
      <c r="BE710" s="450"/>
      <c r="BF710" s="450"/>
      <c r="BG710" s="450"/>
      <c r="BH710" s="450"/>
      <c r="BI710" s="450"/>
      <c r="BJ710" s="450"/>
      <c r="BK710" s="450"/>
      <c r="BL710" s="450"/>
      <c r="BM710" s="450"/>
    </row>
    <row r="711" spans="1:65" ht="11.15">
      <c r="A711" s="450"/>
      <c r="B711" s="450"/>
      <c r="C711" s="450"/>
      <c r="D711" s="450"/>
      <c r="E711" s="450"/>
      <c r="F711" s="450"/>
      <c r="G711" s="450"/>
      <c r="H711" s="450"/>
      <c r="I711" s="450"/>
      <c r="J711" s="450"/>
      <c r="K711" s="450"/>
      <c r="L711" s="450"/>
      <c r="M711" s="450"/>
      <c r="N711" s="450"/>
      <c r="O711" s="450"/>
      <c r="P711" s="450"/>
      <c r="Q711" s="450"/>
      <c r="R711" s="450"/>
      <c r="S711" s="450"/>
      <c r="T711" s="450"/>
      <c r="U711" s="450"/>
      <c r="V711" s="450"/>
      <c r="W711" s="450"/>
      <c r="X711" s="450"/>
      <c r="Y711" s="450"/>
      <c r="Z711" s="450"/>
      <c r="AA711" s="450"/>
      <c r="AB711" s="450"/>
      <c r="AC711" s="450"/>
      <c r="AD711" s="450"/>
      <c r="AE711" s="450"/>
      <c r="AF711" s="450"/>
      <c r="AG711" s="450"/>
      <c r="AH711" s="450"/>
      <c r="AI711" s="450"/>
      <c r="AJ711" s="450"/>
      <c r="AK711" s="450"/>
      <c r="AL711" s="450"/>
      <c r="AM711" s="450"/>
      <c r="AN711" s="450"/>
      <c r="AO711" s="450"/>
      <c r="AP711" s="450"/>
      <c r="AQ711" s="450"/>
      <c r="AR711" s="450"/>
      <c r="AS711" s="450"/>
      <c r="AT711" s="450"/>
      <c r="AU711" s="450"/>
      <c r="AV711" s="450"/>
      <c r="AW711" s="450"/>
      <c r="AX711" s="450"/>
      <c r="AY711" s="450"/>
      <c r="AZ711" s="450"/>
      <c r="BA711" s="450"/>
      <c r="BB711" s="450"/>
      <c r="BC711" s="450"/>
      <c r="BD711" s="450"/>
      <c r="BE711" s="450"/>
      <c r="BF711" s="450"/>
      <c r="BG711" s="450"/>
      <c r="BH711" s="450"/>
      <c r="BI711" s="450"/>
      <c r="BJ711" s="450"/>
      <c r="BK711" s="450"/>
      <c r="BL711" s="450"/>
      <c r="BM711" s="450"/>
    </row>
    <row r="712" spans="1:65" ht="11.15">
      <c r="A712" s="450"/>
      <c r="B712" s="450"/>
      <c r="C712" s="450"/>
      <c r="D712" s="450"/>
      <c r="E712" s="450"/>
      <c r="F712" s="450"/>
      <c r="G712" s="450"/>
      <c r="H712" s="450"/>
      <c r="I712" s="450"/>
      <c r="J712" s="450"/>
      <c r="K712" s="450"/>
      <c r="L712" s="450"/>
      <c r="M712" s="450"/>
      <c r="N712" s="450"/>
      <c r="O712" s="450"/>
      <c r="P712" s="450"/>
      <c r="Q712" s="450"/>
      <c r="R712" s="450"/>
      <c r="S712" s="450"/>
      <c r="T712" s="450"/>
      <c r="U712" s="450"/>
      <c r="V712" s="450"/>
      <c r="W712" s="450"/>
      <c r="X712" s="450"/>
      <c r="Y712" s="450"/>
      <c r="Z712" s="450"/>
      <c r="AA712" s="450"/>
      <c r="AB712" s="450"/>
      <c r="AC712" s="450"/>
      <c r="AD712" s="450"/>
      <c r="AE712" s="450"/>
      <c r="AF712" s="450"/>
      <c r="AG712" s="450"/>
      <c r="AH712" s="450"/>
      <c r="AI712" s="450"/>
      <c r="AJ712" s="450"/>
      <c r="AK712" s="450"/>
      <c r="AL712" s="450"/>
      <c r="AM712" s="450"/>
      <c r="AN712" s="450"/>
      <c r="AO712" s="450"/>
      <c r="AP712" s="450"/>
      <c r="AQ712" s="450"/>
      <c r="AR712" s="450"/>
      <c r="AS712" s="450"/>
      <c r="AT712" s="450"/>
      <c r="AU712" s="450"/>
      <c r="AV712" s="450"/>
      <c r="AW712" s="450"/>
      <c r="AX712" s="450"/>
      <c r="AY712" s="450"/>
      <c r="AZ712" s="450"/>
      <c r="BA712" s="450"/>
      <c r="BB712" s="450"/>
      <c r="BC712" s="450"/>
      <c r="BD712" s="450"/>
      <c r="BE712" s="450"/>
      <c r="BF712" s="450"/>
      <c r="BG712" s="450"/>
      <c r="BH712" s="450"/>
      <c r="BI712" s="450"/>
      <c r="BJ712" s="450"/>
      <c r="BK712" s="450"/>
      <c r="BL712" s="450"/>
      <c r="BM712" s="450"/>
    </row>
    <row r="713" spans="1:65" ht="11.15">
      <c r="A713" s="450"/>
      <c r="B713" s="450"/>
      <c r="C713" s="450"/>
      <c r="D713" s="450"/>
      <c r="E713" s="450"/>
      <c r="F713" s="450"/>
      <c r="G713" s="450"/>
      <c r="H713" s="450"/>
      <c r="I713" s="450"/>
      <c r="J713" s="450"/>
      <c r="K713" s="450"/>
      <c r="L713" s="450"/>
      <c r="M713" s="450"/>
      <c r="N713" s="450"/>
      <c r="O713" s="450"/>
      <c r="P713" s="450"/>
      <c r="Q713" s="450"/>
      <c r="R713" s="450"/>
      <c r="S713" s="450"/>
      <c r="T713" s="450"/>
      <c r="U713" s="450"/>
      <c r="V713" s="450"/>
      <c r="W713" s="450"/>
      <c r="X713" s="450"/>
      <c r="Y713" s="450"/>
      <c r="Z713" s="450"/>
      <c r="AA713" s="450"/>
      <c r="AB713" s="450"/>
      <c r="AC713" s="450"/>
      <c r="AD713" s="450"/>
      <c r="AE713" s="450"/>
      <c r="AF713" s="450"/>
      <c r="AG713" s="450"/>
      <c r="AH713" s="450"/>
      <c r="AI713" s="450"/>
      <c r="AJ713" s="450"/>
      <c r="AK713" s="450"/>
      <c r="AL713" s="450"/>
      <c r="AM713" s="450"/>
      <c r="AN713" s="450"/>
      <c r="AO713" s="450"/>
      <c r="AP713" s="450"/>
      <c r="AQ713" s="450"/>
      <c r="AR713" s="450"/>
      <c r="AS713" s="450"/>
      <c r="AT713" s="450"/>
      <c r="AU713" s="450"/>
      <c r="AV713" s="450"/>
      <c r="AW713" s="450"/>
      <c r="AX713" s="450"/>
      <c r="AY713" s="450"/>
      <c r="AZ713" s="450"/>
      <c r="BA713" s="450"/>
      <c r="BB713" s="450"/>
      <c r="BC713" s="450"/>
      <c r="BD713" s="450"/>
      <c r="BE713" s="450"/>
      <c r="BF713" s="450"/>
      <c r="BG713" s="450"/>
      <c r="BH713" s="450"/>
      <c r="BI713" s="450"/>
      <c r="BJ713" s="450"/>
      <c r="BK713" s="450"/>
      <c r="BL713" s="450"/>
      <c r="BM713" s="450"/>
    </row>
    <row r="714" spans="1:65" ht="11.15">
      <c r="A714" s="450"/>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0"/>
      <c r="AD714" s="450"/>
      <c r="AE714" s="450"/>
      <c r="AF714" s="450"/>
      <c r="AG714" s="450"/>
      <c r="AH714" s="450"/>
      <c r="AI714" s="450"/>
      <c r="AJ714" s="450"/>
      <c r="AK714" s="450"/>
      <c r="AL714" s="450"/>
      <c r="AM714" s="450"/>
      <c r="AN714" s="450"/>
      <c r="AO714" s="450"/>
      <c r="AP714" s="450"/>
      <c r="AQ714" s="450"/>
      <c r="AR714" s="450"/>
      <c r="AS714" s="450"/>
      <c r="AT714" s="450"/>
      <c r="AU714" s="450"/>
      <c r="AV714" s="450"/>
      <c r="AW714" s="450"/>
      <c r="AX714" s="450"/>
      <c r="AY714" s="450"/>
      <c r="AZ714" s="450"/>
      <c r="BA714" s="450"/>
      <c r="BB714" s="450"/>
      <c r="BC714" s="450"/>
      <c r="BD714" s="450"/>
      <c r="BE714" s="450"/>
      <c r="BF714" s="450"/>
      <c r="BG714" s="450"/>
      <c r="BH714" s="450"/>
      <c r="BI714" s="450"/>
      <c r="BJ714" s="450"/>
      <c r="BK714" s="450"/>
      <c r="BL714" s="450"/>
      <c r="BM714" s="450"/>
    </row>
    <row r="715" spans="1:65" ht="11.15">
      <c r="A715" s="450"/>
      <c r="B715" s="450"/>
      <c r="C715" s="450"/>
      <c r="D715" s="450"/>
      <c r="E715" s="450"/>
      <c r="F715" s="450"/>
      <c r="G715" s="450"/>
      <c r="H715" s="450"/>
      <c r="I715" s="450"/>
      <c r="J715" s="450"/>
      <c r="K715" s="450"/>
      <c r="L715" s="450"/>
      <c r="M715" s="450"/>
      <c r="N715" s="450"/>
      <c r="O715" s="450"/>
      <c r="P715" s="450"/>
      <c r="Q715" s="450"/>
      <c r="R715" s="450"/>
      <c r="S715" s="450"/>
      <c r="T715" s="450"/>
      <c r="U715" s="450"/>
      <c r="V715" s="450"/>
      <c r="W715" s="450"/>
      <c r="X715" s="450"/>
      <c r="Y715" s="450"/>
      <c r="Z715" s="450"/>
      <c r="AA715" s="450"/>
      <c r="AB715" s="450"/>
      <c r="AC715" s="450"/>
      <c r="AD715" s="450"/>
      <c r="AE715" s="450"/>
      <c r="AF715" s="450"/>
      <c r="AG715" s="450"/>
      <c r="AH715" s="450"/>
      <c r="AI715" s="450"/>
      <c r="AJ715" s="450"/>
      <c r="AK715" s="450"/>
      <c r="AL715" s="450"/>
      <c r="AM715" s="450"/>
      <c r="AN715" s="450"/>
      <c r="AO715" s="450"/>
      <c r="AP715" s="450"/>
      <c r="AQ715" s="450"/>
      <c r="AR715" s="450"/>
      <c r="AS715" s="450"/>
      <c r="AT715" s="450"/>
      <c r="AU715" s="450"/>
      <c r="AV715" s="450"/>
      <c r="AW715" s="450"/>
      <c r="AX715" s="450"/>
      <c r="AY715" s="450"/>
      <c r="AZ715" s="450"/>
      <c r="BA715" s="450"/>
      <c r="BB715" s="450"/>
      <c r="BC715" s="450"/>
      <c r="BD715" s="450"/>
      <c r="BE715" s="450"/>
      <c r="BF715" s="450"/>
      <c r="BG715" s="450"/>
      <c r="BH715" s="450"/>
      <c r="BI715" s="450"/>
      <c r="BJ715" s="450"/>
      <c r="BK715" s="450"/>
      <c r="BL715" s="450"/>
      <c r="BM715" s="450"/>
    </row>
    <row r="716" spans="1:65" ht="11.15">
      <c r="A716" s="450"/>
      <c r="B716" s="450"/>
      <c r="C716" s="450"/>
      <c r="D716" s="450"/>
      <c r="E716" s="450"/>
      <c r="F716" s="450"/>
      <c r="G716" s="450"/>
      <c r="H716" s="450"/>
      <c r="I716" s="450"/>
      <c r="J716" s="450"/>
      <c r="K716" s="450"/>
      <c r="L716" s="450"/>
      <c r="M716" s="450"/>
      <c r="N716" s="450"/>
      <c r="O716" s="450"/>
      <c r="P716" s="450"/>
      <c r="Q716" s="450"/>
      <c r="R716" s="450"/>
      <c r="S716" s="450"/>
      <c r="T716" s="450"/>
      <c r="U716" s="450"/>
      <c r="V716" s="450"/>
      <c r="W716" s="450"/>
      <c r="X716" s="450"/>
      <c r="Y716" s="450"/>
      <c r="Z716" s="450"/>
      <c r="AA716" s="450"/>
      <c r="AB716" s="450"/>
      <c r="AC716" s="450"/>
      <c r="AD716" s="450"/>
      <c r="AE716" s="450"/>
      <c r="AF716" s="450"/>
      <c r="AG716" s="450"/>
      <c r="AH716" s="450"/>
      <c r="AI716" s="450"/>
      <c r="AJ716" s="450"/>
      <c r="AK716" s="450"/>
      <c r="AL716" s="450"/>
      <c r="AM716" s="450"/>
      <c r="AN716" s="450"/>
      <c r="AO716" s="450"/>
      <c r="AP716" s="450"/>
      <c r="AQ716" s="450"/>
      <c r="AR716" s="450"/>
      <c r="AS716" s="450"/>
      <c r="AT716" s="450"/>
      <c r="AU716" s="450"/>
      <c r="AV716" s="450"/>
      <c r="AW716" s="450"/>
      <c r="AX716" s="450"/>
      <c r="AY716" s="450"/>
      <c r="AZ716" s="450"/>
      <c r="BA716" s="450"/>
      <c r="BB716" s="450"/>
      <c r="BC716" s="450"/>
      <c r="BD716" s="450"/>
      <c r="BE716" s="450"/>
      <c r="BF716" s="450"/>
      <c r="BG716" s="450"/>
      <c r="BH716" s="450"/>
      <c r="BI716" s="450"/>
      <c r="BJ716" s="450"/>
      <c r="BK716" s="450"/>
      <c r="BL716" s="450"/>
      <c r="BM716" s="450"/>
    </row>
    <row r="717" spans="1:65" ht="11.15">
      <c r="A717" s="450"/>
      <c r="B717" s="450"/>
      <c r="C717" s="450"/>
      <c r="D717" s="450"/>
      <c r="E717" s="450"/>
      <c r="F717" s="450"/>
      <c r="G717" s="450"/>
      <c r="H717" s="450"/>
      <c r="I717" s="450"/>
      <c r="J717" s="450"/>
      <c r="K717" s="450"/>
      <c r="L717" s="450"/>
      <c r="M717" s="450"/>
      <c r="N717" s="450"/>
      <c r="O717" s="450"/>
      <c r="P717" s="450"/>
      <c r="Q717" s="450"/>
      <c r="R717" s="450"/>
      <c r="S717" s="450"/>
      <c r="T717" s="450"/>
      <c r="U717" s="450"/>
      <c r="V717" s="450"/>
      <c r="W717" s="450"/>
      <c r="X717" s="450"/>
      <c r="Y717" s="450"/>
      <c r="Z717" s="450"/>
      <c r="AA717" s="450"/>
      <c r="AB717" s="450"/>
      <c r="AC717" s="450"/>
      <c r="AD717" s="450"/>
      <c r="AE717" s="450"/>
      <c r="AF717" s="450"/>
      <c r="AG717" s="450"/>
      <c r="AH717" s="450"/>
      <c r="AI717" s="450"/>
      <c r="AJ717" s="450"/>
      <c r="AK717" s="450"/>
      <c r="AL717" s="450"/>
      <c r="AM717" s="450"/>
      <c r="AN717" s="450"/>
      <c r="AO717" s="450"/>
      <c r="AP717" s="450"/>
      <c r="AQ717" s="450"/>
      <c r="AR717" s="450"/>
      <c r="AS717" s="450"/>
      <c r="AT717" s="450"/>
      <c r="AU717" s="450"/>
      <c r="AV717" s="450"/>
      <c r="AW717" s="450"/>
      <c r="AX717" s="450"/>
      <c r="AY717" s="450"/>
      <c r="AZ717" s="450"/>
      <c r="BA717" s="450"/>
      <c r="BB717" s="450"/>
      <c r="BC717" s="450"/>
      <c r="BD717" s="450"/>
      <c r="BE717" s="450"/>
      <c r="BF717" s="450"/>
      <c r="BG717" s="450"/>
      <c r="BH717" s="450"/>
      <c r="BI717" s="450"/>
      <c r="BJ717" s="450"/>
      <c r="BK717" s="450"/>
      <c r="BL717" s="450"/>
      <c r="BM717" s="450"/>
    </row>
    <row r="718" spans="1:65" ht="11.15">
      <c r="A718" s="450"/>
      <c r="B718" s="450"/>
      <c r="C718" s="450"/>
      <c r="D718" s="450"/>
      <c r="E718" s="450"/>
      <c r="F718" s="450"/>
      <c r="G718" s="450"/>
      <c r="H718" s="450"/>
      <c r="I718" s="450"/>
      <c r="J718" s="450"/>
      <c r="K718" s="450"/>
      <c r="L718" s="450"/>
      <c r="M718" s="450"/>
      <c r="N718" s="450"/>
      <c r="O718" s="450"/>
      <c r="P718" s="450"/>
      <c r="Q718" s="450"/>
      <c r="R718" s="450"/>
      <c r="S718" s="450"/>
      <c r="T718" s="450"/>
      <c r="U718" s="450"/>
      <c r="V718" s="450"/>
      <c r="W718" s="450"/>
      <c r="X718" s="450"/>
      <c r="Y718" s="450"/>
      <c r="Z718" s="450"/>
      <c r="AA718" s="450"/>
      <c r="AB718" s="450"/>
      <c r="AC718" s="450"/>
      <c r="AD718" s="450"/>
      <c r="AE718" s="450"/>
      <c r="AF718" s="450"/>
      <c r="AG718" s="450"/>
      <c r="AH718" s="450"/>
      <c r="AI718" s="450"/>
      <c r="AJ718" s="450"/>
      <c r="AK718" s="450"/>
      <c r="AL718" s="450"/>
      <c r="AM718" s="450"/>
      <c r="AN718" s="450"/>
      <c r="AO718" s="450"/>
      <c r="AP718" s="450"/>
      <c r="AQ718" s="450"/>
      <c r="AR718" s="450"/>
      <c r="AS718" s="450"/>
      <c r="AT718" s="450"/>
      <c r="AU718" s="450"/>
      <c r="AV718" s="450"/>
      <c r="AW718" s="450"/>
      <c r="AX718" s="450"/>
      <c r="AY718" s="450"/>
      <c r="AZ718" s="450"/>
      <c r="BA718" s="450"/>
      <c r="BB718" s="450"/>
      <c r="BC718" s="450"/>
      <c r="BD718" s="450"/>
      <c r="BE718" s="450"/>
      <c r="BF718" s="450"/>
      <c r="BG718" s="450"/>
      <c r="BH718" s="450"/>
      <c r="BI718" s="450"/>
      <c r="BJ718" s="450"/>
      <c r="BK718" s="450"/>
      <c r="BL718" s="450"/>
      <c r="BM718" s="450"/>
    </row>
    <row r="719" spans="1:65" ht="11.15">
      <c r="A719" s="450"/>
      <c r="B719" s="450"/>
      <c r="C719" s="450"/>
      <c r="D719" s="450"/>
      <c r="E719" s="450"/>
      <c r="F719" s="450"/>
      <c r="G719" s="450"/>
      <c r="H719" s="450"/>
      <c r="I719" s="450"/>
      <c r="J719" s="450"/>
      <c r="K719" s="450"/>
      <c r="L719" s="450"/>
      <c r="M719" s="450"/>
      <c r="N719" s="450"/>
      <c r="O719" s="450"/>
      <c r="P719" s="450"/>
      <c r="Q719" s="450"/>
      <c r="R719" s="450"/>
      <c r="S719" s="450"/>
      <c r="T719" s="450"/>
      <c r="U719" s="450"/>
      <c r="V719" s="450"/>
      <c r="W719" s="450"/>
      <c r="X719" s="450"/>
      <c r="Y719" s="450"/>
      <c r="Z719" s="450"/>
      <c r="AA719" s="450"/>
      <c r="AB719" s="450"/>
      <c r="AC719" s="450"/>
      <c r="AD719" s="450"/>
      <c r="AE719" s="450"/>
      <c r="AF719" s="450"/>
      <c r="AG719" s="450"/>
      <c r="AH719" s="450"/>
      <c r="AI719" s="450"/>
      <c r="AJ719" s="450"/>
      <c r="AK719" s="450"/>
      <c r="AL719" s="450"/>
      <c r="AM719" s="450"/>
      <c r="AN719" s="450"/>
      <c r="AO719" s="450"/>
      <c r="AP719" s="450"/>
      <c r="AQ719" s="450"/>
      <c r="AR719" s="450"/>
      <c r="AS719" s="450"/>
      <c r="AT719" s="450"/>
      <c r="AU719" s="450"/>
      <c r="AV719" s="450"/>
      <c r="AW719" s="450"/>
      <c r="AX719" s="450"/>
      <c r="AY719" s="450"/>
      <c r="AZ719" s="450"/>
      <c r="BA719" s="450"/>
      <c r="BB719" s="450"/>
      <c r="BC719" s="450"/>
      <c r="BD719" s="450"/>
      <c r="BE719" s="450"/>
      <c r="BF719" s="450"/>
      <c r="BG719" s="450"/>
      <c r="BH719" s="450"/>
      <c r="BI719" s="450"/>
      <c r="BJ719" s="450"/>
      <c r="BK719" s="450"/>
      <c r="BL719" s="450"/>
      <c r="BM719" s="450"/>
    </row>
    <row r="720" spans="1:65" ht="11.15">
      <c r="A720" s="450"/>
      <c r="B720" s="450"/>
      <c r="C720" s="450"/>
      <c r="D720" s="450"/>
      <c r="E720" s="450"/>
      <c r="F720" s="450"/>
      <c r="G720" s="450"/>
      <c r="H720" s="450"/>
      <c r="I720" s="450"/>
      <c r="J720" s="450"/>
      <c r="K720" s="450"/>
      <c r="L720" s="450"/>
      <c r="M720" s="450"/>
      <c r="N720" s="450"/>
      <c r="O720" s="450"/>
      <c r="P720" s="450"/>
      <c r="Q720" s="450"/>
      <c r="R720" s="450"/>
      <c r="S720" s="450"/>
      <c r="T720" s="450"/>
      <c r="U720" s="450"/>
      <c r="V720" s="450"/>
      <c r="W720" s="450"/>
      <c r="X720" s="450"/>
      <c r="Y720" s="450"/>
      <c r="Z720" s="450"/>
      <c r="AA720" s="450"/>
      <c r="AB720" s="450"/>
      <c r="AC720" s="450"/>
      <c r="AD720" s="450"/>
      <c r="AE720" s="450"/>
      <c r="AF720" s="450"/>
      <c r="AG720" s="450"/>
      <c r="AH720" s="450"/>
      <c r="AI720" s="450"/>
      <c r="AJ720" s="450"/>
      <c r="AK720" s="450"/>
      <c r="AL720" s="450"/>
      <c r="AM720" s="450"/>
      <c r="AN720" s="450"/>
      <c r="AO720" s="450"/>
      <c r="AP720" s="450"/>
      <c r="AQ720" s="450"/>
      <c r="AR720" s="450"/>
      <c r="AS720" s="450"/>
      <c r="AT720" s="450"/>
      <c r="AU720" s="450"/>
      <c r="AV720" s="450"/>
      <c r="AW720" s="450"/>
      <c r="AX720" s="450"/>
      <c r="AY720" s="450"/>
      <c r="AZ720" s="450"/>
      <c r="BA720" s="450"/>
      <c r="BB720" s="450"/>
      <c r="BC720" s="450"/>
      <c r="BD720" s="450"/>
      <c r="BE720" s="450"/>
      <c r="BF720" s="450"/>
      <c r="BG720" s="450"/>
      <c r="BH720" s="450"/>
      <c r="BI720" s="450"/>
      <c r="BJ720" s="450"/>
      <c r="BK720" s="450"/>
      <c r="BL720" s="450"/>
      <c r="BM720" s="450"/>
    </row>
    <row r="721" spans="1:65" ht="11.15">
      <c r="A721" s="450"/>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c r="Z721" s="450"/>
      <c r="AA721" s="450"/>
      <c r="AB721" s="450"/>
      <c r="AC721" s="450"/>
      <c r="AD721" s="450"/>
      <c r="AE721" s="450"/>
      <c r="AF721" s="450"/>
      <c r="AG721" s="450"/>
      <c r="AH721" s="450"/>
      <c r="AI721" s="450"/>
      <c r="AJ721" s="450"/>
      <c r="AK721" s="450"/>
      <c r="AL721" s="450"/>
      <c r="AM721" s="450"/>
      <c r="AN721" s="450"/>
      <c r="AO721" s="450"/>
      <c r="AP721" s="450"/>
      <c r="AQ721" s="450"/>
      <c r="AR721" s="450"/>
      <c r="AS721" s="450"/>
      <c r="AT721" s="450"/>
      <c r="AU721" s="450"/>
      <c r="AV721" s="450"/>
      <c r="AW721" s="450"/>
      <c r="AX721" s="450"/>
      <c r="AY721" s="450"/>
      <c r="AZ721" s="450"/>
      <c r="BA721" s="450"/>
      <c r="BB721" s="450"/>
      <c r="BC721" s="450"/>
      <c r="BD721" s="450"/>
      <c r="BE721" s="450"/>
      <c r="BF721" s="450"/>
      <c r="BG721" s="450"/>
      <c r="BH721" s="450"/>
      <c r="BI721" s="450"/>
      <c r="BJ721" s="450"/>
      <c r="BK721" s="450"/>
      <c r="BL721" s="450"/>
      <c r="BM721" s="450"/>
    </row>
    <row r="722" spans="1:65" ht="11.15">
      <c r="A722" s="450"/>
      <c r="B722" s="450"/>
      <c r="C722" s="450"/>
      <c r="D722" s="450"/>
      <c r="E722" s="450"/>
      <c r="F722" s="450"/>
      <c r="G722" s="450"/>
      <c r="H722" s="450"/>
      <c r="I722" s="450"/>
      <c r="J722" s="450"/>
      <c r="K722" s="450"/>
      <c r="L722" s="450"/>
      <c r="M722" s="450"/>
      <c r="N722" s="450"/>
      <c r="O722" s="450"/>
      <c r="P722" s="450"/>
      <c r="Q722" s="450"/>
      <c r="R722" s="450"/>
      <c r="S722" s="450"/>
      <c r="T722" s="450"/>
      <c r="U722" s="450"/>
      <c r="V722" s="450"/>
      <c r="W722" s="450"/>
      <c r="X722" s="450"/>
      <c r="Y722" s="450"/>
      <c r="Z722" s="450"/>
      <c r="AA722" s="450"/>
      <c r="AB722" s="450"/>
      <c r="AC722" s="450"/>
      <c r="AD722" s="450"/>
      <c r="AE722" s="450"/>
      <c r="AF722" s="450"/>
      <c r="AG722" s="450"/>
      <c r="AH722" s="450"/>
      <c r="AI722" s="450"/>
      <c r="AJ722" s="450"/>
      <c r="AK722" s="450"/>
      <c r="AL722" s="450"/>
      <c r="AM722" s="450"/>
      <c r="AN722" s="450"/>
      <c r="AO722" s="450"/>
      <c r="AP722" s="450"/>
      <c r="AQ722" s="450"/>
      <c r="AR722" s="450"/>
      <c r="AS722" s="450"/>
      <c r="AT722" s="450"/>
      <c r="AU722" s="450"/>
      <c r="AV722" s="450"/>
      <c r="AW722" s="450"/>
      <c r="AX722" s="450"/>
      <c r="AY722" s="450"/>
      <c r="AZ722" s="450"/>
      <c r="BA722" s="450"/>
      <c r="BB722" s="450"/>
      <c r="BC722" s="450"/>
      <c r="BD722" s="450"/>
      <c r="BE722" s="450"/>
      <c r="BF722" s="450"/>
      <c r="BG722" s="450"/>
      <c r="BH722" s="450"/>
      <c r="BI722" s="450"/>
      <c r="BJ722" s="450"/>
      <c r="BK722" s="450"/>
      <c r="BL722" s="450"/>
      <c r="BM722" s="450"/>
    </row>
    <row r="723" spans="1:65" ht="11.15">
      <c r="A723" s="450"/>
      <c r="B723" s="450"/>
      <c r="C723" s="450"/>
      <c r="D723" s="450"/>
      <c r="E723" s="450"/>
      <c r="F723" s="450"/>
      <c r="G723" s="450"/>
      <c r="H723" s="450"/>
      <c r="I723" s="450"/>
      <c r="J723" s="450"/>
      <c r="K723" s="450"/>
      <c r="L723" s="450"/>
      <c r="M723" s="450"/>
      <c r="N723" s="450"/>
      <c r="O723" s="450"/>
      <c r="P723" s="450"/>
      <c r="Q723" s="450"/>
      <c r="R723" s="450"/>
      <c r="S723" s="450"/>
      <c r="T723" s="450"/>
      <c r="U723" s="450"/>
      <c r="V723" s="450"/>
      <c r="W723" s="450"/>
      <c r="X723" s="450"/>
      <c r="Y723" s="450"/>
      <c r="Z723" s="450"/>
      <c r="AA723" s="450"/>
      <c r="AB723" s="450"/>
      <c r="AC723" s="450"/>
      <c r="AD723" s="450"/>
      <c r="AE723" s="450"/>
      <c r="AF723" s="450"/>
      <c r="AG723" s="450"/>
      <c r="AH723" s="450"/>
      <c r="AI723" s="450"/>
      <c r="AJ723" s="450"/>
      <c r="AK723" s="450"/>
      <c r="AL723" s="450"/>
      <c r="AM723" s="450"/>
      <c r="AN723" s="450"/>
      <c r="AO723" s="450"/>
      <c r="AP723" s="450"/>
      <c r="AQ723" s="450"/>
      <c r="AR723" s="450"/>
      <c r="AS723" s="450"/>
      <c r="AT723" s="450"/>
      <c r="AU723" s="450"/>
      <c r="AV723" s="450"/>
      <c r="AW723" s="450"/>
      <c r="AX723" s="450"/>
      <c r="AY723" s="450"/>
      <c r="AZ723" s="450"/>
      <c r="BA723" s="450"/>
      <c r="BB723" s="450"/>
      <c r="BC723" s="450"/>
      <c r="BD723" s="450"/>
      <c r="BE723" s="450"/>
      <c r="BF723" s="450"/>
      <c r="BG723" s="450"/>
      <c r="BH723" s="450"/>
      <c r="BI723" s="450"/>
      <c r="BJ723" s="450"/>
      <c r="BK723" s="450"/>
      <c r="BL723" s="450"/>
      <c r="BM723" s="450"/>
    </row>
    <row r="724" spans="1:65" ht="11.15">
      <c r="A724" s="450"/>
      <c r="B724" s="450"/>
      <c r="C724" s="450"/>
      <c r="D724" s="450"/>
      <c r="E724" s="450"/>
      <c r="F724" s="450"/>
      <c r="G724" s="450"/>
      <c r="H724" s="450"/>
      <c r="I724" s="450"/>
      <c r="J724" s="450"/>
      <c r="K724" s="450"/>
      <c r="L724" s="450"/>
      <c r="M724" s="450"/>
      <c r="N724" s="450"/>
      <c r="O724" s="450"/>
      <c r="P724" s="450"/>
      <c r="Q724" s="450"/>
      <c r="R724" s="450"/>
      <c r="S724" s="450"/>
      <c r="T724" s="450"/>
      <c r="U724" s="450"/>
      <c r="V724" s="450"/>
      <c r="W724" s="450"/>
      <c r="X724" s="450"/>
      <c r="Y724" s="450"/>
      <c r="Z724" s="450"/>
      <c r="AA724" s="450"/>
      <c r="AB724" s="450"/>
      <c r="AC724" s="450"/>
      <c r="AD724" s="450"/>
      <c r="AE724" s="450"/>
      <c r="AF724" s="450"/>
      <c r="AG724" s="450"/>
      <c r="AH724" s="450"/>
      <c r="AI724" s="450"/>
      <c r="AJ724" s="450"/>
      <c r="AK724" s="450"/>
      <c r="AL724" s="450"/>
      <c r="AM724" s="450"/>
      <c r="AN724" s="450"/>
      <c r="AO724" s="450"/>
      <c r="AP724" s="450"/>
      <c r="AQ724" s="450"/>
      <c r="AR724" s="450"/>
      <c r="AS724" s="450"/>
      <c r="AT724" s="450"/>
      <c r="AU724" s="450"/>
      <c r="AV724" s="450"/>
      <c r="AW724" s="450"/>
      <c r="AX724" s="450"/>
      <c r="AY724" s="450"/>
      <c r="AZ724" s="450"/>
      <c r="BA724" s="450"/>
      <c r="BB724" s="450"/>
      <c r="BC724" s="450"/>
      <c r="BD724" s="450"/>
      <c r="BE724" s="450"/>
      <c r="BF724" s="450"/>
      <c r="BG724" s="450"/>
      <c r="BH724" s="450"/>
      <c r="BI724" s="450"/>
      <c r="BJ724" s="450"/>
      <c r="BK724" s="450"/>
      <c r="BL724" s="450"/>
      <c r="BM724" s="450"/>
    </row>
    <row r="725" spans="1:65" ht="11.15">
      <c r="A725" s="450"/>
      <c r="B725" s="450"/>
      <c r="C725" s="450"/>
      <c r="D725" s="450"/>
      <c r="E725" s="450"/>
      <c r="F725" s="450"/>
      <c r="G725" s="450"/>
      <c r="H725" s="450"/>
      <c r="I725" s="450"/>
      <c r="J725" s="450"/>
      <c r="K725" s="450"/>
      <c r="L725" s="450"/>
      <c r="M725" s="450"/>
      <c r="N725" s="450"/>
      <c r="O725" s="450"/>
      <c r="P725" s="450"/>
      <c r="Q725" s="450"/>
      <c r="R725" s="450"/>
      <c r="S725" s="450"/>
      <c r="T725" s="450"/>
      <c r="U725" s="450"/>
      <c r="V725" s="450"/>
      <c r="W725" s="450"/>
      <c r="X725" s="450"/>
      <c r="Y725" s="450"/>
      <c r="Z725" s="450"/>
      <c r="AA725" s="450"/>
      <c r="AB725" s="450"/>
      <c r="AC725" s="450"/>
      <c r="AD725" s="450"/>
      <c r="AE725" s="450"/>
      <c r="AF725" s="450"/>
      <c r="AG725" s="450"/>
      <c r="AH725" s="450"/>
      <c r="AI725" s="450"/>
      <c r="AJ725" s="450"/>
      <c r="AK725" s="450"/>
      <c r="AL725" s="450"/>
      <c r="AM725" s="450"/>
      <c r="AN725" s="450"/>
      <c r="AO725" s="450"/>
      <c r="AP725" s="450"/>
      <c r="AQ725" s="450"/>
      <c r="AR725" s="450"/>
      <c r="AS725" s="450"/>
      <c r="AT725" s="450"/>
      <c r="AU725" s="450"/>
      <c r="AV725" s="450"/>
      <c r="AW725" s="450"/>
      <c r="AX725" s="450"/>
      <c r="AY725" s="450"/>
      <c r="AZ725" s="450"/>
      <c r="BA725" s="450"/>
      <c r="BB725" s="450"/>
      <c r="BC725" s="450"/>
      <c r="BD725" s="450"/>
      <c r="BE725" s="450"/>
      <c r="BF725" s="450"/>
      <c r="BG725" s="450"/>
      <c r="BH725" s="450"/>
      <c r="BI725" s="450"/>
      <c r="BJ725" s="450"/>
      <c r="BK725" s="450"/>
      <c r="BL725" s="450"/>
      <c r="BM725" s="450"/>
    </row>
    <row r="726" spans="1:65" ht="11.15">
      <c r="A726" s="450"/>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c r="Z726" s="450"/>
      <c r="AA726" s="450"/>
      <c r="AB726" s="450"/>
      <c r="AC726" s="450"/>
      <c r="AD726" s="450"/>
      <c r="AE726" s="450"/>
      <c r="AF726" s="450"/>
      <c r="AG726" s="450"/>
      <c r="AH726" s="450"/>
      <c r="AI726" s="450"/>
      <c r="AJ726" s="450"/>
      <c r="AK726" s="450"/>
      <c r="AL726" s="450"/>
      <c r="AM726" s="450"/>
      <c r="AN726" s="450"/>
      <c r="AO726" s="450"/>
      <c r="AP726" s="450"/>
      <c r="AQ726" s="450"/>
      <c r="AR726" s="450"/>
      <c r="AS726" s="450"/>
      <c r="AT726" s="450"/>
      <c r="AU726" s="450"/>
      <c r="AV726" s="450"/>
      <c r="AW726" s="450"/>
      <c r="AX726" s="450"/>
      <c r="AY726" s="450"/>
      <c r="AZ726" s="450"/>
      <c r="BA726" s="450"/>
      <c r="BB726" s="450"/>
      <c r="BC726" s="450"/>
      <c r="BD726" s="450"/>
      <c r="BE726" s="450"/>
      <c r="BF726" s="450"/>
      <c r="BG726" s="450"/>
      <c r="BH726" s="450"/>
      <c r="BI726" s="450"/>
      <c r="BJ726" s="450"/>
      <c r="BK726" s="450"/>
      <c r="BL726" s="450"/>
      <c r="BM726" s="450"/>
    </row>
    <row r="727" spans="1:65" ht="11.15">
      <c r="A727" s="450"/>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c r="Z727" s="450"/>
      <c r="AA727" s="450"/>
      <c r="AB727" s="450"/>
      <c r="AC727" s="450"/>
      <c r="AD727" s="450"/>
      <c r="AE727" s="450"/>
      <c r="AF727" s="450"/>
      <c r="AG727" s="450"/>
      <c r="AH727" s="450"/>
      <c r="AI727" s="450"/>
      <c r="AJ727" s="450"/>
      <c r="AK727" s="450"/>
      <c r="AL727" s="450"/>
      <c r="AM727" s="450"/>
      <c r="AN727" s="450"/>
      <c r="AO727" s="450"/>
      <c r="AP727" s="450"/>
      <c r="AQ727" s="450"/>
      <c r="AR727" s="450"/>
      <c r="AS727" s="450"/>
      <c r="AT727" s="450"/>
      <c r="AU727" s="450"/>
      <c r="AV727" s="450"/>
      <c r="AW727" s="450"/>
      <c r="AX727" s="450"/>
      <c r="AY727" s="450"/>
      <c r="AZ727" s="450"/>
      <c r="BA727" s="450"/>
      <c r="BB727" s="450"/>
      <c r="BC727" s="450"/>
      <c r="BD727" s="450"/>
      <c r="BE727" s="450"/>
      <c r="BF727" s="450"/>
      <c r="BG727" s="450"/>
      <c r="BH727" s="450"/>
      <c r="BI727" s="450"/>
      <c r="BJ727" s="450"/>
      <c r="BK727" s="450"/>
      <c r="BL727" s="450"/>
      <c r="BM727" s="450"/>
    </row>
    <row r="728" spans="1:65" ht="11.15">
      <c r="A728" s="450"/>
      <c r="B728" s="450"/>
      <c r="C728" s="450"/>
      <c r="D728" s="450"/>
      <c r="E728" s="450"/>
      <c r="F728" s="450"/>
      <c r="G728" s="450"/>
      <c r="H728" s="450"/>
      <c r="I728" s="450"/>
      <c r="J728" s="450"/>
      <c r="K728" s="450"/>
      <c r="L728" s="450"/>
      <c r="M728" s="450"/>
      <c r="N728" s="450"/>
      <c r="O728" s="450"/>
      <c r="P728" s="450"/>
      <c r="Q728" s="450"/>
      <c r="R728" s="450"/>
      <c r="S728" s="450"/>
      <c r="T728" s="450"/>
      <c r="U728" s="450"/>
      <c r="V728" s="450"/>
      <c r="W728" s="450"/>
      <c r="X728" s="450"/>
      <c r="Y728" s="450"/>
      <c r="Z728" s="450"/>
      <c r="AA728" s="450"/>
      <c r="AB728" s="450"/>
      <c r="AC728" s="450"/>
      <c r="AD728" s="450"/>
      <c r="AE728" s="450"/>
      <c r="AF728" s="450"/>
      <c r="AG728" s="450"/>
      <c r="AH728" s="450"/>
      <c r="AI728" s="450"/>
      <c r="AJ728" s="450"/>
      <c r="AK728" s="450"/>
      <c r="AL728" s="450"/>
      <c r="AM728" s="450"/>
      <c r="AN728" s="450"/>
      <c r="AO728" s="450"/>
      <c r="AP728" s="450"/>
      <c r="AQ728" s="450"/>
      <c r="AR728" s="450"/>
      <c r="AS728" s="450"/>
      <c r="AT728" s="450"/>
      <c r="AU728" s="450"/>
      <c r="AV728" s="450"/>
      <c r="AW728" s="450"/>
      <c r="AX728" s="450"/>
      <c r="AY728" s="450"/>
      <c r="AZ728" s="450"/>
      <c r="BA728" s="450"/>
      <c r="BB728" s="450"/>
      <c r="BC728" s="450"/>
      <c r="BD728" s="450"/>
      <c r="BE728" s="450"/>
      <c r="BF728" s="450"/>
      <c r="BG728" s="450"/>
      <c r="BH728" s="450"/>
      <c r="BI728" s="450"/>
      <c r="BJ728" s="450"/>
      <c r="BK728" s="450"/>
      <c r="BL728" s="450"/>
      <c r="BM728" s="450"/>
    </row>
    <row r="729" spans="1:65" ht="11.15">
      <c r="A729" s="450"/>
      <c r="B729" s="450"/>
      <c r="C729" s="450"/>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c r="Z729" s="450"/>
      <c r="AA729" s="450"/>
      <c r="AB729" s="450"/>
      <c r="AC729" s="450"/>
      <c r="AD729" s="450"/>
      <c r="AE729" s="450"/>
      <c r="AF729" s="450"/>
      <c r="AG729" s="450"/>
      <c r="AH729" s="450"/>
      <c r="AI729" s="450"/>
      <c r="AJ729" s="450"/>
      <c r="AK729" s="450"/>
      <c r="AL729" s="450"/>
      <c r="AM729" s="450"/>
      <c r="AN729" s="450"/>
      <c r="AO729" s="450"/>
      <c r="AP729" s="450"/>
      <c r="AQ729" s="450"/>
      <c r="AR729" s="450"/>
      <c r="AS729" s="450"/>
      <c r="AT729" s="450"/>
      <c r="AU729" s="450"/>
      <c r="AV729" s="450"/>
      <c r="AW729" s="450"/>
      <c r="AX729" s="450"/>
      <c r="AY729" s="450"/>
      <c r="AZ729" s="450"/>
      <c r="BA729" s="450"/>
      <c r="BB729" s="450"/>
      <c r="BC729" s="450"/>
      <c r="BD729" s="450"/>
      <c r="BE729" s="450"/>
      <c r="BF729" s="450"/>
      <c r="BG729" s="450"/>
      <c r="BH729" s="450"/>
      <c r="BI729" s="450"/>
      <c r="BJ729" s="450"/>
      <c r="BK729" s="450"/>
      <c r="BL729" s="450"/>
      <c r="BM729" s="450"/>
    </row>
    <row r="730" spans="1:65" ht="11.15">
      <c r="A730" s="450"/>
      <c r="B730" s="450"/>
      <c r="C730" s="450"/>
      <c r="D730" s="450"/>
      <c r="E730" s="450"/>
      <c r="F730" s="450"/>
      <c r="G730" s="450"/>
      <c r="H730" s="450"/>
      <c r="I730" s="450"/>
      <c r="J730" s="450"/>
      <c r="K730" s="450"/>
      <c r="L730" s="450"/>
      <c r="M730" s="450"/>
      <c r="N730" s="450"/>
      <c r="O730" s="450"/>
      <c r="P730" s="450"/>
      <c r="Q730" s="450"/>
      <c r="R730" s="450"/>
      <c r="S730" s="450"/>
      <c r="T730" s="450"/>
      <c r="U730" s="450"/>
      <c r="V730" s="450"/>
      <c r="W730" s="450"/>
      <c r="X730" s="450"/>
      <c r="Y730" s="450"/>
      <c r="Z730" s="450"/>
      <c r="AA730" s="450"/>
      <c r="AB730" s="450"/>
      <c r="AC730" s="450"/>
      <c r="AD730" s="450"/>
      <c r="AE730" s="450"/>
      <c r="AF730" s="450"/>
      <c r="AG730" s="450"/>
      <c r="AH730" s="450"/>
      <c r="AI730" s="450"/>
      <c r="AJ730" s="450"/>
      <c r="AK730" s="450"/>
      <c r="AL730" s="450"/>
      <c r="AM730" s="450"/>
      <c r="AN730" s="450"/>
      <c r="AO730" s="450"/>
      <c r="AP730" s="450"/>
      <c r="AQ730" s="450"/>
      <c r="AR730" s="450"/>
      <c r="AS730" s="450"/>
      <c r="AT730" s="450"/>
      <c r="AU730" s="450"/>
      <c r="AV730" s="450"/>
      <c r="AW730" s="450"/>
      <c r="AX730" s="450"/>
      <c r="AY730" s="450"/>
      <c r="AZ730" s="450"/>
      <c r="BA730" s="450"/>
      <c r="BB730" s="450"/>
      <c r="BC730" s="450"/>
      <c r="BD730" s="450"/>
      <c r="BE730" s="450"/>
      <c r="BF730" s="450"/>
      <c r="BG730" s="450"/>
      <c r="BH730" s="450"/>
      <c r="BI730" s="450"/>
      <c r="BJ730" s="450"/>
      <c r="BK730" s="450"/>
      <c r="BL730" s="450"/>
      <c r="BM730" s="450"/>
    </row>
    <row r="731" spans="1:65" ht="11.15">
      <c r="A731" s="450"/>
      <c r="B731" s="450"/>
      <c r="C731" s="450"/>
      <c r="D731" s="450"/>
      <c r="E731" s="450"/>
      <c r="F731" s="450"/>
      <c r="G731" s="450"/>
      <c r="H731" s="450"/>
      <c r="I731" s="450"/>
      <c r="J731" s="450"/>
      <c r="K731" s="450"/>
      <c r="L731" s="450"/>
      <c r="M731" s="450"/>
      <c r="N731" s="450"/>
      <c r="O731" s="450"/>
      <c r="P731" s="450"/>
      <c r="Q731" s="450"/>
      <c r="R731" s="450"/>
      <c r="S731" s="450"/>
      <c r="T731" s="450"/>
      <c r="U731" s="450"/>
      <c r="V731" s="450"/>
      <c r="W731" s="450"/>
      <c r="X731" s="450"/>
      <c r="Y731" s="450"/>
      <c r="Z731" s="450"/>
      <c r="AA731" s="450"/>
      <c r="AB731" s="450"/>
      <c r="AC731" s="450"/>
      <c r="AD731" s="450"/>
      <c r="AE731" s="450"/>
      <c r="AF731" s="450"/>
      <c r="AG731" s="450"/>
      <c r="AH731" s="450"/>
      <c r="AI731" s="450"/>
      <c r="AJ731" s="450"/>
      <c r="AK731" s="450"/>
      <c r="AL731" s="450"/>
      <c r="AM731" s="450"/>
      <c r="AN731" s="450"/>
      <c r="AO731" s="450"/>
      <c r="AP731" s="450"/>
      <c r="AQ731" s="450"/>
      <c r="AR731" s="450"/>
      <c r="AS731" s="450"/>
      <c r="AT731" s="450"/>
      <c r="AU731" s="450"/>
      <c r="AV731" s="450"/>
      <c r="AW731" s="450"/>
      <c r="AX731" s="450"/>
      <c r="AY731" s="450"/>
      <c r="AZ731" s="450"/>
      <c r="BA731" s="450"/>
      <c r="BB731" s="450"/>
      <c r="BC731" s="450"/>
      <c r="BD731" s="450"/>
      <c r="BE731" s="450"/>
      <c r="BF731" s="450"/>
      <c r="BG731" s="450"/>
      <c r="BH731" s="450"/>
      <c r="BI731" s="450"/>
      <c r="BJ731" s="450"/>
      <c r="BK731" s="450"/>
      <c r="BL731" s="450"/>
      <c r="BM731" s="450"/>
    </row>
    <row r="732" spans="1:65" ht="11.15">
      <c r="A732" s="450"/>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c r="Z732" s="450"/>
      <c r="AA732" s="450"/>
      <c r="AB732" s="450"/>
      <c r="AC732" s="450"/>
      <c r="AD732" s="450"/>
      <c r="AE732" s="450"/>
      <c r="AF732" s="450"/>
      <c r="AG732" s="450"/>
      <c r="AH732" s="450"/>
      <c r="AI732" s="450"/>
      <c r="AJ732" s="450"/>
      <c r="AK732" s="450"/>
      <c r="AL732" s="450"/>
      <c r="AM732" s="450"/>
      <c r="AN732" s="450"/>
      <c r="AO732" s="450"/>
      <c r="AP732" s="450"/>
      <c r="AQ732" s="450"/>
      <c r="AR732" s="450"/>
      <c r="AS732" s="450"/>
      <c r="AT732" s="450"/>
      <c r="AU732" s="450"/>
      <c r="AV732" s="450"/>
      <c r="AW732" s="450"/>
      <c r="AX732" s="450"/>
      <c r="AY732" s="450"/>
      <c r="AZ732" s="450"/>
      <c r="BA732" s="450"/>
      <c r="BB732" s="450"/>
      <c r="BC732" s="450"/>
      <c r="BD732" s="450"/>
      <c r="BE732" s="450"/>
      <c r="BF732" s="450"/>
      <c r="BG732" s="450"/>
      <c r="BH732" s="450"/>
      <c r="BI732" s="450"/>
      <c r="BJ732" s="450"/>
      <c r="BK732" s="450"/>
      <c r="BL732" s="450"/>
      <c r="BM732" s="450"/>
    </row>
    <row r="733" spans="1:65" ht="11.15">
      <c r="A733" s="450"/>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450"/>
      <c r="AE733" s="450"/>
      <c r="AF733" s="450"/>
      <c r="AG733" s="450"/>
      <c r="AH733" s="450"/>
      <c r="AI733" s="450"/>
      <c r="AJ733" s="450"/>
      <c r="AK733" s="450"/>
      <c r="AL733" s="450"/>
      <c r="AM733" s="450"/>
      <c r="AN733" s="450"/>
      <c r="AO733" s="450"/>
      <c r="AP733" s="450"/>
      <c r="AQ733" s="450"/>
      <c r="AR733" s="450"/>
      <c r="AS733" s="450"/>
      <c r="AT733" s="450"/>
      <c r="AU733" s="450"/>
      <c r="AV733" s="450"/>
      <c r="AW733" s="450"/>
      <c r="AX733" s="450"/>
      <c r="AY733" s="450"/>
      <c r="AZ733" s="450"/>
      <c r="BA733" s="450"/>
      <c r="BB733" s="450"/>
      <c r="BC733" s="450"/>
      <c r="BD733" s="450"/>
      <c r="BE733" s="450"/>
      <c r="BF733" s="450"/>
      <c r="BG733" s="450"/>
      <c r="BH733" s="450"/>
      <c r="BI733" s="450"/>
      <c r="BJ733" s="450"/>
      <c r="BK733" s="450"/>
      <c r="BL733" s="450"/>
      <c r="BM733" s="450"/>
    </row>
    <row r="734" spans="1:65" ht="11.15">
      <c r="A734" s="450"/>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c r="Z734" s="450"/>
      <c r="AA734" s="450"/>
      <c r="AB734" s="450"/>
      <c r="AC734" s="450"/>
      <c r="AD734" s="450"/>
      <c r="AE734" s="450"/>
      <c r="AF734" s="450"/>
      <c r="AG734" s="450"/>
      <c r="AH734" s="450"/>
      <c r="AI734" s="450"/>
      <c r="AJ734" s="450"/>
      <c r="AK734" s="450"/>
      <c r="AL734" s="450"/>
      <c r="AM734" s="450"/>
      <c r="AN734" s="450"/>
      <c r="AO734" s="450"/>
      <c r="AP734" s="450"/>
      <c r="AQ734" s="450"/>
      <c r="AR734" s="450"/>
      <c r="AS734" s="450"/>
      <c r="AT734" s="450"/>
      <c r="AU734" s="450"/>
      <c r="AV734" s="450"/>
      <c r="AW734" s="450"/>
      <c r="AX734" s="450"/>
      <c r="AY734" s="450"/>
      <c r="AZ734" s="450"/>
      <c r="BA734" s="450"/>
      <c r="BB734" s="450"/>
      <c r="BC734" s="450"/>
      <c r="BD734" s="450"/>
      <c r="BE734" s="450"/>
      <c r="BF734" s="450"/>
      <c r="BG734" s="450"/>
      <c r="BH734" s="450"/>
      <c r="BI734" s="450"/>
      <c r="BJ734" s="450"/>
      <c r="BK734" s="450"/>
      <c r="BL734" s="450"/>
      <c r="BM734" s="450"/>
    </row>
    <row r="735" spans="1:65" ht="11.15">
      <c r="A735" s="450"/>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c r="AA735" s="450"/>
      <c r="AB735" s="450"/>
      <c r="AC735" s="450"/>
      <c r="AD735" s="450"/>
      <c r="AE735" s="450"/>
      <c r="AF735" s="450"/>
      <c r="AG735" s="450"/>
      <c r="AH735" s="450"/>
      <c r="AI735" s="450"/>
      <c r="AJ735" s="450"/>
      <c r="AK735" s="450"/>
      <c r="AL735" s="450"/>
      <c r="AM735" s="450"/>
      <c r="AN735" s="450"/>
      <c r="AO735" s="450"/>
      <c r="AP735" s="450"/>
      <c r="AQ735" s="450"/>
      <c r="AR735" s="450"/>
      <c r="AS735" s="450"/>
      <c r="AT735" s="450"/>
      <c r="AU735" s="450"/>
      <c r="AV735" s="450"/>
      <c r="AW735" s="450"/>
      <c r="AX735" s="450"/>
      <c r="AY735" s="450"/>
      <c r="AZ735" s="450"/>
      <c r="BA735" s="450"/>
      <c r="BB735" s="450"/>
      <c r="BC735" s="450"/>
      <c r="BD735" s="450"/>
      <c r="BE735" s="450"/>
      <c r="BF735" s="450"/>
      <c r="BG735" s="450"/>
      <c r="BH735" s="450"/>
      <c r="BI735" s="450"/>
      <c r="BJ735" s="450"/>
      <c r="BK735" s="450"/>
      <c r="BL735" s="450"/>
      <c r="BM735" s="450"/>
    </row>
    <row r="736" spans="1:65" ht="11.15">
      <c r="A736" s="450"/>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c r="Z736" s="450"/>
      <c r="AA736" s="450"/>
      <c r="AB736" s="450"/>
      <c r="AC736" s="450"/>
      <c r="AD736" s="450"/>
      <c r="AE736" s="450"/>
      <c r="AF736" s="450"/>
      <c r="AG736" s="450"/>
      <c r="AH736" s="450"/>
      <c r="AI736" s="450"/>
      <c r="AJ736" s="450"/>
      <c r="AK736" s="450"/>
      <c r="AL736" s="450"/>
      <c r="AM736" s="450"/>
      <c r="AN736" s="450"/>
      <c r="AO736" s="450"/>
      <c r="AP736" s="450"/>
      <c r="AQ736" s="450"/>
      <c r="AR736" s="450"/>
      <c r="AS736" s="450"/>
      <c r="AT736" s="450"/>
      <c r="AU736" s="450"/>
      <c r="AV736" s="450"/>
      <c r="AW736" s="450"/>
      <c r="AX736" s="450"/>
      <c r="AY736" s="450"/>
      <c r="AZ736" s="450"/>
      <c r="BA736" s="450"/>
      <c r="BB736" s="450"/>
      <c r="BC736" s="450"/>
      <c r="BD736" s="450"/>
      <c r="BE736" s="450"/>
      <c r="BF736" s="450"/>
      <c r="BG736" s="450"/>
      <c r="BH736" s="450"/>
      <c r="BI736" s="450"/>
      <c r="BJ736" s="450"/>
      <c r="BK736" s="450"/>
      <c r="BL736" s="450"/>
      <c r="BM736" s="450"/>
    </row>
    <row r="737" spans="1:65" ht="11.15">
      <c r="A737" s="450"/>
      <c r="B737" s="450"/>
      <c r="C737" s="450"/>
      <c r="D737" s="450"/>
      <c r="E737" s="450"/>
      <c r="F737" s="450"/>
      <c r="G737" s="450"/>
      <c r="H737" s="450"/>
      <c r="I737" s="450"/>
      <c r="J737" s="450"/>
      <c r="K737" s="450"/>
      <c r="L737" s="450"/>
      <c r="M737" s="450"/>
      <c r="N737" s="450"/>
      <c r="O737" s="450"/>
      <c r="P737" s="450"/>
      <c r="Q737" s="450"/>
      <c r="R737" s="450"/>
      <c r="S737" s="450"/>
      <c r="T737" s="450"/>
      <c r="U737" s="450"/>
      <c r="V737" s="450"/>
      <c r="W737" s="450"/>
      <c r="X737" s="450"/>
      <c r="Y737" s="450"/>
      <c r="Z737" s="450"/>
      <c r="AA737" s="450"/>
      <c r="AB737" s="450"/>
      <c r="AC737" s="450"/>
      <c r="AD737" s="450"/>
      <c r="AE737" s="450"/>
      <c r="AF737" s="450"/>
      <c r="AG737" s="450"/>
      <c r="AH737" s="450"/>
      <c r="AI737" s="450"/>
      <c r="AJ737" s="450"/>
      <c r="AK737" s="450"/>
      <c r="AL737" s="450"/>
      <c r="AM737" s="450"/>
      <c r="AN737" s="450"/>
      <c r="AO737" s="450"/>
      <c r="AP737" s="450"/>
      <c r="AQ737" s="450"/>
      <c r="AR737" s="450"/>
      <c r="AS737" s="450"/>
      <c r="AT737" s="450"/>
      <c r="AU737" s="450"/>
      <c r="AV737" s="450"/>
      <c r="AW737" s="450"/>
      <c r="AX737" s="450"/>
      <c r="AY737" s="450"/>
      <c r="AZ737" s="450"/>
      <c r="BA737" s="450"/>
      <c r="BB737" s="450"/>
      <c r="BC737" s="450"/>
      <c r="BD737" s="450"/>
      <c r="BE737" s="450"/>
      <c r="BF737" s="450"/>
      <c r="BG737" s="450"/>
      <c r="BH737" s="450"/>
      <c r="BI737" s="450"/>
      <c r="BJ737" s="450"/>
      <c r="BK737" s="450"/>
      <c r="BL737" s="450"/>
      <c r="BM737" s="450"/>
    </row>
    <row r="738" spans="1:65" ht="11.15">
      <c r="A738" s="450"/>
      <c r="B738" s="450"/>
      <c r="C738" s="450"/>
      <c r="D738" s="450"/>
      <c r="E738" s="450"/>
      <c r="F738" s="450"/>
      <c r="G738" s="450"/>
      <c r="H738" s="450"/>
      <c r="I738" s="450"/>
      <c r="J738" s="450"/>
      <c r="K738" s="450"/>
      <c r="L738" s="450"/>
      <c r="M738" s="450"/>
      <c r="N738" s="450"/>
      <c r="O738" s="450"/>
      <c r="P738" s="450"/>
      <c r="Q738" s="450"/>
      <c r="R738" s="450"/>
      <c r="S738" s="450"/>
      <c r="T738" s="450"/>
      <c r="U738" s="450"/>
      <c r="V738" s="450"/>
      <c r="W738" s="450"/>
      <c r="X738" s="450"/>
      <c r="Y738" s="450"/>
      <c r="Z738" s="450"/>
      <c r="AA738" s="450"/>
      <c r="AB738" s="450"/>
      <c r="AC738" s="450"/>
      <c r="AD738" s="450"/>
      <c r="AE738" s="450"/>
      <c r="AF738" s="450"/>
      <c r="AG738" s="450"/>
      <c r="AH738" s="450"/>
      <c r="AI738" s="450"/>
      <c r="AJ738" s="450"/>
      <c r="AK738" s="450"/>
      <c r="AL738" s="450"/>
      <c r="AM738" s="450"/>
      <c r="AN738" s="450"/>
      <c r="AO738" s="450"/>
      <c r="AP738" s="450"/>
      <c r="AQ738" s="450"/>
      <c r="AR738" s="450"/>
      <c r="AS738" s="450"/>
      <c r="AT738" s="450"/>
      <c r="AU738" s="450"/>
      <c r="AV738" s="450"/>
      <c r="AW738" s="450"/>
      <c r="AX738" s="450"/>
      <c r="AY738" s="450"/>
      <c r="AZ738" s="450"/>
      <c r="BA738" s="450"/>
      <c r="BB738" s="450"/>
      <c r="BC738" s="450"/>
      <c r="BD738" s="450"/>
      <c r="BE738" s="450"/>
      <c r="BF738" s="450"/>
      <c r="BG738" s="450"/>
      <c r="BH738" s="450"/>
      <c r="BI738" s="450"/>
      <c r="BJ738" s="450"/>
      <c r="BK738" s="450"/>
      <c r="BL738" s="450"/>
      <c r="BM738" s="450"/>
    </row>
    <row r="739" spans="1:65" ht="11.15">
      <c r="A739" s="450"/>
      <c r="B739" s="450"/>
      <c r="C739" s="450"/>
      <c r="D739" s="450"/>
      <c r="E739" s="450"/>
      <c r="F739" s="450"/>
      <c r="G739" s="450"/>
      <c r="H739" s="450"/>
      <c r="I739" s="450"/>
      <c r="J739" s="450"/>
      <c r="K739" s="450"/>
      <c r="L739" s="450"/>
      <c r="M739" s="450"/>
      <c r="N739" s="450"/>
      <c r="O739" s="450"/>
      <c r="P739" s="450"/>
      <c r="Q739" s="450"/>
      <c r="R739" s="450"/>
      <c r="S739" s="450"/>
      <c r="T739" s="450"/>
      <c r="U739" s="450"/>
      <c r="V739" s="450"/>
      <c r="W739" s="450"/>
      <c r="X739" s="450"/>
      <c r="Y739" s="450"/>
      <c r="Z739" s="450"/>
      <c r="AA739" s="450"/>
      <c r="AB739" s="450"/>
      <c r="AC739" s="450"/>
      <c r="AD739" s="450"/>
      <c r="AE739" s="450"/>
      <c r="AF739" s="450"/>
      <c r="AG739" s="450"/>
      <c r="AH739" s="450"/>
      <c r="AI739" s="450"/>
      <c r="AJ739" s="450"/>
      <c r="AK739" s="450"/>
      <c r="AL739" s="450"/>
      <c r="AM739" s="450"/>
      <c r="AN739" s="450"/>
      <c r="AO739" s="450"/>
      <c r="AP739" s="450"/>
      <c r="AQ739" s="450"/>
      <c r="AR739" s="450"/>
      <c r="AS739" s="450"/>
      <c r="AT739" s="450"/>
      <c r="AU739" s="450"/>
      <c r="AV739" s="450"/>
      <c r="AW739" s="450"/>
      <c r="AX739" s="450"/>
      <c r="AY739" s="450"/>
      <c r="AZ739" s="450"/>
      <c r="BA739" s="450"/>
      <c r="BB739" s="450"/>
      <c r="BC739" s="450"/>
      <c r="BD739" s="450"/>
      <c r="BE739" s="450"/>
      <c r="BF739" s="450"/>
      <c r="BG739" s="450"/>
      <c r="BH739" s="450"/>
      <c r="BI739" s="450"/>
      <c r="BJ739" s="450"/>
      <c r="BK739" s="450"/>
      <c r="BL739" s="450"/>
      <c r="BM739" s="450"/>
    </row>
    <row r="740" spans="1:65" ht="11.15">
      <c r="A740" s="450"/>
      <c r="B740" s="450"/>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c r="Z740" s="450"/>
      <c r="AA740" s="450"/>
      <c r="AB740" s="450"/>
      <c r="AC740" s="450"/>
      <c r="AD740" s="450"/>
      <c r="AE740" s="450"/>
      <c r="AF740" s="450"/>
      <c r="AG740" s="450"/>
      <c r="AH740" s="450"/>
      <c r="AI740" s="450"/>
      <c r="AJ740" s="450"/>
      <c r="AK740" s="450"/>
      <c r="AL740" s="450"/>
      <c r="AM740" s="450"/>
      <c r="AN740" s="450"/>
      <c r="AO740" s="450"/>
      <c r="AP740" s="450"/>
      <c r="AQ740" s="450"/>
      <c r="AR740" s="450"/>
      <c r="AS740" s="450"/>
      <c r="AT740" s="450"/>
      <c r="AU740" s="450"/>
      <c r="AV740" s="450"/>
      <c r="AW740" s="450"/>
      <c r="AX740" s="450"/>
      <c r="AY740" s="450"/>
      <c r="AZ740" s="450"/>
      <c r="BA740" s="450"/>
      <c r="BB740" s="450"/>
      <c r="BC740" s="450"/>
      <c r="BD740" s="450"/>
      <c r="BE740" s="450"/>
      <c r="BF740" s="450"/>
      <c r="BG740" s="450"/>
      <c r="BH740" s="450"/>
      <c r="BI740" s="450"/>
      <c r="BJ740" s="450"/>
      <c r="BK740" s="450"/>
      <c r="BL740" s="450"/>
      <c r="BM740" s="450"/>
    </row>
    <row r="741" spans="1:65" ht="11.15">
      <c r="A741" s="450"/>
      <c r="B741" s="450"/>
      <c r="C741" s="450"/>
      <c r="D741" s="450"/>
      <c r="E741" s="450"/>
      <c r="F741" s="450"/>
      <c r="G741" s="450"/>
      <c r="H741" s="450"/>
      <c r="I741" s="450"/>
      <c r="J741" s="450"/>
      <c r="K741" s="450"/>
      <c r="L741" s="450"/>
      <c r="M741" s="450"/>
      <c r="N741" s="450"/>
      <c r="O741" s="450"/>
      <c r="P741" s="450"/>
      <c r="Q741" s="450"/>
      <c r="R741" s="450"/>
      <c r="S741" s="450"/>
      <c r="T741" s="450"/>
      <c r="U741" s="450"/>
      <c r="V741" s="450"/>
      <c r="W741" s="450"/>
      <c r="X741" s="450"/>
      <c r="Y741" s="450"/>
      <c r="Z741" s="450"/>
      <c r="AA741" s="450"/>
      <c r="AB741" s="450"/>
      <c r="AC741" s="450"/>
      <c r="AD741" s="450"/>
      <c r="AE741" s="450"/>
      <c r="AF741" s="450"/>
      <c r="AG741" s="450"/>
      <c r="AH741" s="450"/>
      <c r="AI741" s="450"/>
      <c r="AJ741" s="450"/>
      <c r="AK741" s="450"/>
      <c r="AL741" s="450"/>
      <c r="AM741" s="450"/>
      <c r="AN741" s="450"/>
      <c r="AO741" s="450"/>
      <c r="AP741" s="450"/>
      <c r="AQ741" s="450"/>
      <c r="AR741" s="450"/>
      <c r="AS741" s="450"/>
      <c r="AT741" s="450"/>
      <c r="AU741" s="450"/>
      <c r="AV741" s="450"/>
      <c r="AW741" s="450"/>
      <c r="AX741" s="450"/>
      <c r="AY741" s="450"/>
      <c r="AZ741" s="450"/>
      <c r="BA741" s="450"/>
      <c r="BB741" s="450"/>
      <c r="BC741" s="450"/>
      <c r="BD741" s="450"/>
      <c r="BE741" s="450"/>
      <c r="BF741" s="450"/>
      <c r="BG741" s="450"/>
      <c r="BH741" s="450"/>
      <c r="BI741" s="450"/>
      <c r="BJ741" s="450"/>
      <c r="BK741" s="450"/>
      <c r="BL741" s="450"/>
      <c r="BM741" s="450"/>
    </row>
    <row r="742" spans="1:65" ht="11.15">
      <c r="A742" s="450"/>
      <c r="B742" s="450"/>
      <c r="C742" s="450"/>
      <c r="D742" s="450"/>
      <c r="E742" s="450"/>
      <c r="F742" s="450"/>
      <c r="G742" s="450"/>
      <c r="H742" s="450"/>
      <c r="I742" s="450"/>
      <c r="J742" s="450"/>
      <c r="K742" s="450"/>
      <c r="L742" s="450"/>
      <c r="M742" s="450"/>
      <c r="N742" s="450"/>
      <c r="O742" s="450"/>
      <c r="P742" s="450"/>
      <c r="Q742" s="450"/>
      <c r="R742" s="450"/>
      <c r="S742" s="450"/>
      <c r="T742" s="450"/>
      <c r="U742" s="450"/>
      <c r="V742" s="450"/>
      <c r="W742" s="450"/>
      <c r="X742" s="450"/>
      <c r="Y742" s="450"/>
      <c r="Z742" s="450"/>
      <c r="AA742" s="450"/>
      <c r="AB742" s="450"/>
      <c r="AC742" s="450"/>
      <c r="AD742" s="450"/>
      <c r="AE742" s="450"/>
      <c r="AF742" s="450"/>
      <c r="AG742" s="450"/>
      <c r="AH742" s="450"/>
      <c r="AI742" s="450"/>
      <c r="AJ742" s="450"/>
      <c r="AK742" s="450"/>
      <c r="AL742" s="450"/>
      <c r="AM742" s="450"/>
      <c r="AN742" s="450"/>
      <c r="AO742" s="450"/>
      <c r="AP742" s="450"/>
      <c r="AQ742" s="450"/>
      <c r="AR742" s="450"/>
      <c r="AS742" s="450"/>
      <c r="AT742" s="450"/>
      <c r="AU742" s="450"/>
      <c r="AV742" s="450"/>
      <c r="AW742" s="450"/>
      <c r="AX742" s="450"/>
      <c r="AY742" s="450"/>
      <c r="AZ742" s="450"/>
      <c r="BA742" s="450"/>
      <c r="BB742" s="450"/>
      <c r="BC742" s="450"/>
      <c r="BD742" s="450"/>
      <c r="BE742" s="450"/>
      <c r="BF742" s="450"/>
      <c r="BG742" s="450"/>
      <c r="BH742" s="450"/>
      <c r="BI742" s="450"/>
      <c r="BJ742" s="450"/>
      <c r="BK742" s="450"/>
      <c r="BL742" s="450"/>
      <c r="BM742" s="450"/>
    </row>
    <row r="743" spans="1:65" ht="11.15">
      <c r="A743" s="450"/>
      <c r="B743" s="450"/>
      <c r="C743" s="450"/>
      <c r="D743" s="450"/>
      <c r="E743" s="450"/>
      <c r="F743" s="450"/>
      <c r="G743" s="450"/>
      <c r="H743" s="450"/>
      <c r="I743" s="450"/>
      <c r="J743" s="450"/>
      <c r="K743" s="450"/>
      <c r="L743" s="450"/>
      <c r="M743" s="450"/>
      <c r="N743" s="450"/>
      <c r="O743" s="450"/>
      <c r="P743" s="450"/>
      <c r="Q743" s="450"/>
      <c r="R743" s="450"/>
      <c r="S743" s="450"/>
      <c r="T743" s="450"/>
      <c r="U743" s="450"/>
      <c r="V743" s="450"/>
      <c r="W743" s="450"/>
      <c r="X743" s="450"/>
      <c r="Y743" s="450"/>
      <c r="Z743" s="450"/>
      <c r="AA743" s="450"/>
      <c r="AB743" s="450"/>
      <c r="AC743" s="450"/>
      <c r="AD743" s="450"/>
      <c r="AE743" s="450"/>
      <c r="AF743" s="450"/>
      <c r="AG743" s="450"/>
      <c r="AH743" s="450"/>
      <c r="AI743" s="450"/>
      <c r="AJ743" s="450"/>
      <c r="AK743" s="450"/>
      <c r="AL743" s="450"/>
      <c r="AM743" s="450"/>
      <c r="AN743" s="450"/>
      <c r="AO743" s="450"/>
      <c r="AP743" s="450"/>
      <c r="AQ743" s="450"/>
      <c r="AR743" s="450"/>
      <c r="AS743" s="450"/>
      <c r="AT743" s="450"/>
      <c r="AU743" s="450"/>
      <c r="AV743" s="450"/>
      <c r="AW743" s="450"/>
      <c r="AX743" s="450"/>
      <c r="AY743" s="450"/>
      <c r="AZ743" s="450"/>
      <c r="BA743" s="450"/>
      <c r="BB743" s="450"/>
      <c r="BC743" s="450"/>
      <c r="BD743" s="450"/>
      <c r="BE743" s="450"/>
      <c r="BF743" s="450"/>
      <c r="BG743" s="450"/>
      <c r="BH743" s="450"/>
      <c r="BI743" s="450"/>
      <c r="BJ743" s="450"/>
      <c r="BK743" s="450"/>
      <c r="BL743" s="450"/>
      <c r="BM743" s="450"/>
    </row>
    <row r="744" spans="1:65" ht="11.15">
      <c r="A744" s="450"/>
      <c r="B744" s="450"/>
      <c r="C744" s="450"/>
      <c r="D744" s="450"/>
      <c r="E744" s="450"/>
      <c r="F744" s="450"/>
      <c r="G744" s="450"/>
      <c r="H744" s="450"/>
      <c r="I744" s="450"/>
      <c r="J744" s="450"/>
      <c r="K744" s="450"/>
      <c r="L744" s="450"/>
      <c r="M744" s="450"/>
      <c r="N744" s="450"/>
      <c r="O744" s="450"/>
      <c r="P744" s="450"/>
      <c r="Q744" s="450"/>
      <c r="R744" s="450"/>
      <c r="S744" s="450"/>
      <c r="T744" s="450"/>
      <c r="U744" s="450"/>
      <c r="V744" s="450"/>
      <c r="W744" s="450"/>
      <c r="X744" s="450"/>
      <c r="Y744" s="450"/>
      <c r="Z744" s="450"/>
      <c r="AA744" s="450"/>
      <c r="AB744" s="450"/>
      <c r="AC744" s="450"/>
      <c r="AD744" s="450"/>
      <c r="AE744" s="450"/>
      <c r="AF744" s="450"/>
      <c r="AG744" s="450"/>
      <c r="AH744" s="450"/>
      <c r="AI744" s="450"/>
      <c r="AJ744" s="450"/>
      <c r="AK744" s="450"/>
      <c r="AL744" s="450"/>
      <c r="AM744" s="450"/>
      <c r="AN744" s="450"/>
      <c r="AO744" s="450"/>
      <c r="AP744" s="450"/>
      <c r="AQ744" s="450"/>
      <c r="AR744" s="450"/>
      <c r="AS744" s="450"/>
      <c r="AT744" s="450"/>
      <c r="AU744" s="450"/>
      <c r="AV744" s="450"/>
      <c r="AW744" s="450"/>
      <c r="AX744" s="450"/>
      <c r="AY744" s="450"/>
      <c r="AZ744" s="450"/>
      <c r="BA744" s="450"/>
      <c r="BB744" s="450"/>
      <c r="BC744" s="450"/>
      <c r="BD744" s="450"/>
      <c r="BE744" s="450"/>
      <c r="BF744" s="450"/>
      <c r="BG744" s="450"/>
      <c r="BH744" s="450"/>
      <c r="BI744" s="450"/>
      <c r="BJ744" s="450"/>
      <c r="BK744" s="450"/>
      <c r="BL744" s="450"/>
      <c r="BM744" s="450"/>
    </row>
    <row r="745" spans="1:65" ht="11.15">
      <c r="A745" s="450"/>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c r="Z745" s="450"/>
      <c r="AA745" s="450"/>
      <c r="AB745" s="450"/>
      <c r="AC745" s="450"/>
      <c r="AD745" s="450"/>
      <c r="AE745" s="450"/>
      <c r="AF745" s="450"/>
      <c r="AG745" s="450"/>
      <c r="AH745" s="450"/>
      <c r="AI745" s="450"/>
      <c r="AJ745" s="450"/>
      <c r="AK745" s="450"/>
      <c r="AL745" s="450"/>
      <c r="AM745" s="450"/>
      <c r="AN745" s="450"/>
      <c r="AO745" s="450"/>
      <c r="AP745" s="450"/>
      <c r="AQ745" s="450"/>
      <c r="AR745" s="450"/>
      <c r="AS745" s="450"/>
      <c r="AT745" s="450"/>
      <c r="AU745" s="450"/>
      <c r="AV745" s="450"/>
      <c r="AW745" s="450"/>
      <c r="AX745" s="450"/>
      <c r="AY745" s="450"/>
      <c r="AZ745" s="450"/>
      <c r="BA745" s="450"/>
      <c r="BB745" s="450"/>
      <c r="BC745" s="450"/>
      <c r="BD745" s="450"/>
      <c r="BE745" s="450"/>
      <c r="BF745" s="450"/>
      <c r="BG745" s="450"/>
      <c r="BH745" s="450"/>
      <c r="BI745" s="450"/>
      <c r="BJ745" s="450"/>
      <c r="BK745" s="450"/>
      <c r="BL745" s="450"/>
      <c r="BM745" s="450"/>
    </row>
    <row r="746" spans="1:65" ht="11.15">
      <c r="A746" s="450"/>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c r="Z746" s="450"/>
      <c r="AA746" s="450"/>
      <c r="AB746" s="450"/>
      <c r="AC746" s="450"/>
      <c r="AD746" s="450"/>
      <c r="AE746" s="450"/>
      <c r="AF746" s="450"/>
      <c r="AG746" s="450"/>
      <c r="AH746" s="450"/>
      <c r="AI746" s="450"/>
      <c r="AJ746" s="450"/>
      <c r="AK746" s="450"/>
      <c r="AL746" s="450"/>
      <c r="AM746" s="450"/>
      <c r="AN746" s="450"/>
      <c r="AO746" s="450"/>
      <c r="AP746" s="450"/>
      <c r="AQ746" s="450"/>
      <c r="AR746" s="450"/>
      <c r="AS746" s="450"/>
      <c r="AT746" s="450"/>
      <c r="AU746" s="450"/>
      <c r="AV746" s="450"/>
      <c r="AW746" s="450"/>
      <c r="AX746" s="450"/>
      <c r="AY746" s="450"/>
      <c r="AZ746" s="450"/>
      <c r="BA746" s="450"/>
      <c r="BB746" s="450"/>
      <c r="BC746" s="450"/>
      <c r="BD746" s="450"/>
      <c r="BE746" s="450"/>
      <c r="BF746" s="450"/>
      <c r="BG746" s="450"/>
      <c r="BH746" s="450"/>
      <c r="BI746" s="450"/>
      <c r="BJ746" s="450"/>
      <c r="BK746" s="450"/>
      <c r="BL746" s="450"/>
      <c r="BM746" s="450"/>
    </row>
    <row r="747" spans="1:65" ht="11.15">
      <c r="A747" s="450"/>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c r="Z747" s="450"/>
      <c r="AA747" s="450"/>
      <c r="AB747" s="450"/>
      <c r="AC747" s="450"/>
      <c r="AD747" s="450"/>
      <c r="AE747" s="450"/>
      <c r="AF747" s="450"/>
      <c r="AG747" s="450"/>
      <c r="AH747" s="450"/>
      <c r="AI747" s="450"/>
      <c r="AJ747" s="450"/>
      <c r="AK747" s="450"/>
      <c r="AL747" s="450"/>
      <c r="AM747" s="450"/>
      <c r="AN747" s="450"/>
      <c r="AO747" s="450"/>
      <c r="AP747" s="450"/>
      <c r="AQ747" s="450"/>
      <c r="AR747" s="450"/>
      <c r="AS747" s="450"/>
      <c r="AT747" s="450"/>
      <c r="AU747" s="450"/>
      <c r="AV747" s="450"/>
      <c r="AW747" s="450"/>
      <c r="AX747" s="450"/>
      <c r="AY747" s="450"/>
      <c r="AZ747" s="450"/>
      <c r="BA747" s="450"/>
      <c r="BB747" s="450"/>
      <c r="BC747" s="450"/>
      <c r="BD747" s="450"/>
      <c r="BE747" s="450"/>
      <c r="BF747" s="450"/>
      <c r="BG747" s="450"/>
      <c r="BH747" s="450"/>
      <c r="BI747" s="450"/>
      <c r="BJ747" s="450"/>
      <c r="BK747" s="450"/>
      <c r="BL747" s="450"/>
      <c r="BM747" s="450"/>
    </row>
    <row r="748" spans="1:65" ht="11.15">
      <c r="A748" s="450"/>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c r="Z748" s="450"/>
      <c r="AA748" s="450"/>
      <c r="AB748" s="450"/>
      <c r="AC748" s="450"/>
      <c r="AD748" s="450"/>
      <c r="AE748" s="450"/>
      <c r="AF748" s="450"/>
      <c r="AG748" s="450"/>
      <c r="AH748" s="450"/>
      <c r="AI748" s="450"/>
      <c r="AJ748" s="450"/>
      <c r="AK748" s="450"/>
      <c r="AL748" s="450"/>
      <c r="AM748" s="450"/>
      <c r="AN748" s="450"/>
      <c r="AO748" s="450"/>
      <c r="AP748" s="450"/>
      <c r="AQ748" s="450"/>
      <c r="AR748" s="450"/>
      <c r="AS748" s="450"/>
      <c r="AT748" s="450"/>
      <c r="AU748" s="450"/>
      <c r="AV748" s="450"/>
      <c r="AW748" s="450"/>
      <c r="AX748" s="450"/>
      <c r="AY748" s="450"/>
      <c r="AZ748" s="450"/>
      <c r="BA748" s="450"/>
      <c r="BB748" s="450"/>
      <c r="BC748" s="450"/>
      <c r="BD748" s="450"/>
      <c r="BE748" s="450"/>
      <c r="BF748" s="450"/>
      <c r="BG748" s="450"/>
      <c r="BH748" s="450"/>
      <c r="BI748" s="450"/>
      <c r="BJ748" s="450"/>
      <c r="BK748" s="450"/>
      <c r="BL748" s="450"/>
      <c r="BM748" s="450"/>
    </row>
    <row r="749" spans="1:65" ht="11.15">
      <c r="A749" s="450"/>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c r="Z749" s="450"/>
      <c r="AA749" s="450"/>
      <c r="AB749" s="450"/>
      <c r="AC749" s="450"/>
      <c r="AD749" s="450"/>
      <c r="AE749" s="450"/>
      <c r="AF749" s="450"/>
      <c r="AG749" s="450"/>
      <c r="AH749" s="450"/>
      <c r="AI749" s="450"/>
      <c r="AJ749" s="450"/>
      <c r="AK749" s="450"/>
      <c r="AL749" s="450"/>
      <c r="AM749" s="450"/>
      <c r="AN749" s="450"/>
      <c r="AO749" s="450"/>
      <c r="AP749" s="450"/>
      <c r="AQ749" s="450"/>
      <c r="AR749" s="450"/>
      <c r="AS749" s="450"/>
      <c r="AT749" s="450"/>
      <c r="AU749" s="450"/>
      <c r="AV749" s="450"/>
      <c r="AW749" s="450"/>
      <c r="AX749" s="450"/>
      <c r="AY749" s="450"/>
      <c r="AZ749" s="450"/>
      <c r="BA749" s="450"/>
      <c r="BB749" s="450"/>
      <c r="BC749" s="450"/>
      <c r="BD749" s="450"/>
      <c r="BE749" s="450"/>
      <c r="BF749" s="450"/>
      <c r="BG749" s="450"/>
      <c r="BH749" s="450"/>
      <c r="BI749" s="450"/>
      <c r="BJ749" s="450"/>
      <c r="BK749" s="450"/>
      <c r="BL749" s="450"/>
      <c r="BM749" s="450"/>
    </row>
    <row r="750" spans="1:65" ht="11.15">
      <c r="A750" s="450"/>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c r="Z750" s="450"/>
      <c r="AA750" s="450"/>
      <c r="AB750" s="450"/>
      <c r="AC750" s="450"/>
      <c r="AD750" s="450"/>
      <c r="AE750" s="450"/>
      <c r="AF750" s="450"/>
      <c r="AG750" s="450"/>
      <c r="AH750" s="450"/>
      <c r="AI750" s="450"/>
      <c r="AJ750" s="450"/>
      <c r="AK750" s="450"/>
      <c r="AL750" s="450"/>
      <c r="AM750" s="450"/>
      <c r="AN750" s="450"/>
      <c r="AO750" s="450"/>
      <c r="AP750" s="450"/>
      <c r="AQ750" s="450"/>
      <c r="AR750" s="450"/>
      <c r="AS750" s="450"/>
      <c r="AT750" s="450"/>
      <c r="AU750" s="450"/>
      <c r="AV750" s="450"/>
      <c r="AW750" s="450"/>
      <c r="AX750" s="450"/>
      <c r="AY750" s="450"/>
      <c r="AZ750" s="450"/>
      <c r="BA750" s="450"/>
      <c r="BB750" s="450"/>
      <c r="BC750" s="450"/>
      <c r="BD750" s="450"/>
      <c r="BE750" s="450"/>
      <c r="BF750" s="450"/>
      <c r="BG750" s="450"/>
      <c r="BH750" s="450"/>
      <c r="BI750" s="450"/>
      <c r="BJ750" s="450"/>
      <c r="BK750" s="450"/>
      <c r="BL750" s="450"/>
      <c r="BM750" s="450"/>
    </row>
    <row r="751" spans="1:65" ht="11.15">
      <c r="A751" s="450"/>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c r="Z751" s="450"/>
      <c r="AA751" s="450"/>
      <c r="AB751" s="450"/>
      <c r="AC751" s="450"/>
      <c r="AD751" s="450"/>
      <c r="AE751" s="450"/>
      <c r="AF751" s="450"/>
      <c r="AG751" s="450"/>
      <c r="AH751" s="450"/>
      <c r="AI751" s="450"/>
      <c r="AJ751" s="450"/>
      <c r="AK751" s="450"/>
      <c r="AL751" s="450"/>
      <c r="AM751" s="450"/>
      <c r="AN751" s="450"/>
      <c r="AO751" s="450"/>
      <c r="AP751" s="450"/>
      <c r="AQ751" s="450"/>
      <c r="AR751" s="450"/>
      <c r="AS751" s="450"/>
      <c r="AT751" s="450"/>
      <c r="AU751" s="450"/>
      <c r="AV751" s="450"/>
      <c r="AW751" s="450"/>
      <c r="AX751" s="450"/>
      <c r="AY751" s="450"/>
      <c r="AZ751" s="450"/>
      <c r="BA751" s="450"/>
      <c r="BB751" s="450"/>
      <c r="BC751" s="450"/>
      <c r="BD751" s="450"/>
      <c r="BE751" s="450"/>
      <c r="BF751" s="450"/>
      <c r="BG751" s="450"/>
      <c r="BH751" s="450"/>
      <c r="BI751" s="450"/>
      <c r="BJ751" s="450"/>
      <c r="BK751" s="450"/>
      <c r="BL751" s="450"/>
      <c r="BM751" s="450"/>
    </row>
    <row r="752" spans="1:65" ht="11.15">
      <c r="A752" s="450"/>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c r="Z752" s="450"/>
      <c r="AA752" s="450"/>
      <c r="AB752" s="450"/>
      <c r="AC752" s="450"/>
      <c r="AD752" s="450"/>
      <c r="AE752" s="450"/>
      <c r="AF752" s="450"/>
      <c r="AG752" s="450"/>
      <c r="AH752" s="450"/>
      <c r="AI752" s="450"/>
      <c r="AJ752" s="450"/>
      <c r="AK752" s="450"/>
      <c r="AL752" s="450"/>
      <c r="AM752" s="450"/>
      <c r="AN752" s="450"/>
      <c r="AO752" s="450"/>
      <c r="AP752" s="450"/>
      <c r="AQ752" s="450"/>
      <c r="AR752" s="450"/>
      <c r="AS752" s="450"/>
      <c r="AT752" s="450"/>
      <c r="AU752" s="450"/>
      <c r="AV752" s="450"/>
      <c r="AW752" s="450"/>
      <c r="AX752" s="450"/>
      <c r="AY752" s="450"/>
      <c r="AZ752" s="450"/>
      <c r="BA752" s="450"/>
      <c r="BB752" s="450"/>
      <c r="BC752" s="450"/>
      <c r="BD752" s="450"/>
      <c r="BE752" s="450"/>
      <c r="BF752" s="450"/>
      <c r="BG752" s="450"/>
      <c r="BH752" s="450"/>
      <c r="BI752" s="450"/>
      <c r="BJ752" s="450"/>
      <c r="BK752" s="450"/>
      <c r="BL752" s="450"/>
      <c r="BM752" s="450"/>
    </row>
    <row r="753" spans="1:65" ht="11.15">
      <c r="A753" s="450"/>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c r="Z753" s="450"/>
      <c r="AA753" s="450"/>
      <c r="AB753" s="450"/>
      <c r="AC753" s="450"/>
      <c r="AD753" s="450"/>
      <c r="AE753" s="450"/>
      <c r="AF753" s="450"/>
      <c r="AG753" s="450"/>
      <c r="AH753" s="450"/>
      <c r="AI753" s="450"/>
      <c r="AJ753" s="450"/>
      <c r="AK753" s="450"/>
      <c r="AL753" s="450"/>
      <c r="AM753" s="450"/>
      <c r="AN753" s="450"/>
      <c r="AO753" s="450"/>
      <c r="AP753" s="450"/>
      <c r="AQ753" s="450"/>
      <c r="AR753" s="450"/>
      <c r="AS753" s="450"/>
      <c r="AT753" s="450"/>
      <c r="AU753" s="450"/>
      <c r="AV753" s="450"/>
      <c r="AW753" s="450"/>
      <c r="AX753" s="450"/>
      <c r="AY753" s="450"/>
      <c r="AZ753" s="450"/>
      <c r="BA753" s="450"/>
      <c r="BB753" s="450"/>
      <c r="BC753" s="450"/>
      <c r="BD753" s="450"/>
      <c r="BE753" s="450"/>
      <c r="BF753" s="450"/>
      <c r="BG753" s="450"/>
      <c r="BH753" s="450"/>
      <c r="BI753" s="450"/>
      <c r="BJ753" s="450"/>
      <c r="BK753" s="450"/>
      <c r="BL753" s="450"/>
      <c r="BM753" s="450"/>
    </row>
    <row r="754" spans="1:65" ht="11.15">
      <c r="A754" s="450"/>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c r="Z754" s="450"/>
      <c r="AA754" s="450"/>
      <c r="AB754" s="450"/>
      <c r="AC754" s="450"/>
      <c r="AD754" s="450"/>
      <c r="AE754" s="450"/>
      <c r="AF754" s="450"/>
      <c r="AG754" s="450"/>
      <c r="AH754" s="450"/>
      <c r="AI754" s="450"/>
      <c r="AJ754" s="450"/>
      <c r="AK754" s="450"/>
      <c r="AL754" s="450"/>
      <c r="AM754" s="450"/>
      <c r="AN754" s="450"/>
      <c r="AO754" s="450"/>
      <c r="AP754" s="450"/>
      <c r="AQ754" s="450"/>
      <c r="AR754" s="450"/>
      <c r="AS754" s="450"/>
      <c r="AT754" s="450"/>
      <c r="AU754" s="450"/>
      <c r="AV754" s="450"/>
      <c r="AW754" s="450"/>
      <c r="AX754" s="450"/>
      <c r="AY754" s="450"/>
      <c r="AZ754" s="450"/>
      <c r="BA754" s="450"/>
      <c r="BB754" s="450"/>
      <c r="BC754" s="450"/>
      <c r="BD754" s="450"/>
      <c r="BE754" s="450"/>
      <c r="BF754" s="450"/>
      <c r="BG754" s="450"/>
      <c r="BH754" s="450"/>
      <c r="BI754" s="450"/>
      <c r="BJ754" s="450"/>
      <c r="BK754" s="450"/>
      <c r="BL754" s="450"/>
      <c r="BM754" s="450"/>
    </row>
    <row r="755" spans="1:65" ht="11.15">
      <c r="A755" s="450"/>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c r="Z755" s="450"/>
      <c r="AA755" s="450"/>
      <c r="AB755" s="450"/>
      <c r="AC755" s="450"/>
      <c r="AD755" s="450"/>
      <c r="AE755" s="450"/>
      <c r="AF755" s="450"/>
      <c r="AG755" s="450"/>
      <c r="AH755" s="450"/>
      <c r="AI755" s="450"/>
      <c r="AJ755" s="450"/>
      <c r="AK755" s="450"/>
      <c r="AL755" s="450"/>
      <c r="AM755" s="450"/>
      <c r="AN755" s="450"/>
      <c r="AO755" s="450"/>
      <c r="AP755" s="450"/>
      <c r="AQ755" s="450"/>
      <c r="AR755" s="450"/>
      <c r="AS755" s="450"/>
      <c r="AT755" s="450"/>
      <c r="AU755" s="450"/>
      <c r="AV755" s="450"/>
      <c r="AW755" s="450"/>
      <c r="AX755" s="450"/>
      <c r="AY755" s="450"/>
      <c r="AZ755" s="450"/>
      <c r="BA755" s="450"/>
      <c r="BB755" s="450"/>
      <c r="BC755" s="450"/>
      <c r="BD755" s="450"/>
      <c r="BE755" s="450"/>
      <c r="BF755" s="450"/>
      <c r="BG755" s="450"/>
      <c r="BH755" s="450"/>
      <c r="BI755" s="450"/>
      <c r="BJ755" s="450"/>
      <c r="BK755" s="450"/>
      <c r="BL755" s="450"/>
      <c r="BM755" s="450"/>
    </row>
    <row r="756" spans="1:65" ht="11.15">
      <c r="A756" s="450"/>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c r="Z756" s="450"/>
      <c r="AA756" s="450"/>
      <c r="AB756" s="450"/>
      <c r="AC756" s="450"/>
      <c r="AD756" s="450"/>
      <c r="AE756" s="450"/>
      <c r="AF756" s="450"/>
      <c r="AG756" s="450"/>
      <c r="AH756" s="450"/>
      <c r="AI756" s="450"/>
      <c r="AJ756" s="450"/>
      <c r="AK756" s="450"/>
      <c r="AL756" s="450"/>
      <c r="AM756" s="450"/>
      <c r="AN756" s="450"/>
      <c r="AO756" s="450"/>
      <c r="AP756" s="450"/>
      <c r="AQ756" s="450"/>
      <c r="AR756" s="450"/>
      <c r="AS756" s="450"/>
      <c r="AT756" s="450"/>
      <c r="AU756" s="450"/>
      <c r="AV756" s="450"/>
      <c r="AW756" s="450"/>
      <c r="AX756" s="450"/>
      <c r="AY756" s="450"/>
      <c r="AZ756" s="450"/>
      <c r="BA756" s="450"/>
      <c r="BB756" s="450"/>
      <c r="BC756" s="450"/>
      <c r="BD756" s="450"/>
      <c r="BE756" s="450"/>
      <c r="BF756" s="450"/>
      <c r="BG756" s="450"/>
      <c r="BH756" s="450"/>
      <c r="BI756" s="450"/>
      <c r="BJ756" s="450"/>
      <c r="BK756" s="450"/>
      <c r="BL756" s="450"/>
      <c r="BM756" s="450"/>
    </row>
    <row r="757" spans="1:65" ht="11.15">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c r="AA757" s="450"/>
      <c r="AB757" s="450"/>
      <c r="AC757" s="450"/>
      <c r="AD757" s="450"/>
      <c r="AE757" s="450"/>
      <c r="AF757" s="450"/>
      <c r="AG757" s="450"/>
      <c r="AH757" s="450"/>
      <c r="AI757" s="450"/>
      <c r="AJ757" s="450"/>
      <c r="AK757" s="450"/>
      <c r="AL757" s="450"/>
      <c r="AM757" s="450"/>
      <c r="AN757" s="450"/>
      <c r="AO757" s="450"/>
      <c r="AP757" s="450"/>
      <c r="AQ757" s="450"/>
      <c r="AR757" s="450"/>
      <c r="AS757" s="450"/>
      <c r="AT757" s="450"/>
      <c r="AU757" s="450"/>
      <c r="AV757" s="450"/>
      <c r="AW757" s="450"/>
      <c r="AX757" s="450"/>
      <c r="AY757" s="450"/>
      <c r="AZ757" s="450"/>
      <c r="BA757" s="450"/>
      <c r="BB757" s="450"/>
      <c r="BC757" s="450"/>
      <c r="BD757" s="450"/>
      <c r="BE757" s="450"/>
      <c r="BF757" s="450"/>
      <c r="BG757" s="450"/>
      <c r="BH757" s="450"/>
      <c r="BI757" s="450"/>
      <c r="BJ757" s="450"/>
      <c r="BK757" s="450"/>
      <c r="BL757" s="450"/>
      <c r="BM757" s="450"/>
    </row>
    <row r="758" spans="1:65" ht="11.15">
      <c r="A758" s="450"/>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c r="Z758" s="450"/>
      <c r="AA758" s="450"/>
      <c r="AB758" s="450"/>
      <c r="AC758" s="450"/>
      <c r="AD758" s="450"/>
      <c r="AE758" s="450"/>
      <c r="AF758" s="450"/>
      <c r="AG758" s="450"/>
      <c r="AH758" s="450"/>
      <c r="AI758" s="450"/>
      <c r="AJ758" s="450"/>
      <c r="AK758" s="450"/>
      <c r="AL758" s="450"/>
      <c r="AM758" s="450"/>
      <c r="AN758" s="450"/>
      <c r="AO758" s="450"/>
      <c r="AP758" s="450"/>
      <c r="AQ758" s="450"/>
      <c r="AR758" s="450"/>
      <c r="AS758" s="450"/>
      <c r="AT758" s="450"/>
      <c r="AU758" s="450"/>
      <c r="AV758" s="450"/>
      <c r="AW758" s="450"/>
      <c r="AX758" s="450"/>
      <c r="AY758" s="450"/>
      <c r="AZ758" s="450"/>
      <c r="BA758" s="450"/>
      <c r="BB758" s="450"/>
      <c r="BC758" s="450"/>
      <c r="BD758" s="450"/>
      <c r="BE758" s="450"/>
      <c r="BF758" s="450"/>
      <c r="BG758" s="450"/>
      <c r="BH758" s="450"/>
      <c r="BI758" s="450"/>
      <c r="BJ758" s="450"/>
      <c r="BK758" s="450"/>
      <c r="BL758" s="450"/>
      <c r="BM758" s="450"/>
    </row>
    <row r="759" spans="1:65" ht="11.15">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c r="Z759" s="450"/>
      <c r="AA759" s="450"/>
      <c r="AB759" s="450"/>
      <c r="AC759" s="450"/>
      <c r="AD759" s="450"/>
      <c r="AE759" s="450"/>
      <c r="AF759" s="450"/>
      <c r="AG759" s="450"/>
      <c r="AH759" s="450"/>
      <c r="AI759" s="450"/>
      <c r="AJ759" s="450"/>
      <c r="AK759" s="450"/>
      <c r="AL759" s="450"/>
      <c r="AM759" s="450"/>
      <c r="AN759" s="450"/>
      <c r="AO759" s="450"/>
      <c r="AP759" s="450"/>
      <c r="AQ759" s="450"/>
      <c r="AR759" s="450"/>
      <c r="AS759" s="450"/>
      <c r="AT759" s="450"/>
      <c r="AU759" s="450"/>
      <c r="AV759" s="450"/>
      <c r="AW759" s="450"/>
      <c r="AX759" s="450"/>
      <c r="AY759" s="450"/>
      <c r="AZ759" s="450"/>
      <c r="BA759" s="450"/>
      <c r="BB759" s="450"/>
      <c r="BC759" s="450"/>
      <c r="BD759" s="450"/>
      <c r="BE759" s="450"/>
      <c r="BF759" s="450"/>
      <c r="BG759" s="450"/>
      <c r="BH759" s="450"/>
      <c r="BI759" s="450"/>
      <c r="BJ759" s="450"/>
      <c r="BK759" s="450"/>
      <c r="BL759" s="450"/>
      <c r="BM759" s="450"/>
    </row>
    <row r="760" spans="1:65" ht="11.15">
      <c r="A760" s="450"/>
      <c r="B760" s="450"/>
      <c r="C760" s="450"/>
      <c r="D760" s="450"/>
      <c r="E760" s="450"/>
      <c r="F760" s="450"/>
      <c r="G760" s="450"/>
      <c r="H760" s="450"/>
      <c r="I760" s="450"/>
      <c r="J760" s="450"/>
      <c r="K760" s="450"/>
      <c r="L760" s="450"/>
      <c r="M760" s="450"/>
      <c r="N760" s="450"/>
      <c r="O760" s="450"/>
      <c r="P760" s="450"/>
      <c r="Q760" s="450"/>
      <c r="R760" s="450"/>
      <c r="S760" s="450"/>
      <c r="T760" s="450"/>
      <c r="U760" s="450"/>
      <c r="V760" s="450"/>
      <c r="W760" s="450"/>
      <c r="X760" s="450"/>
      <c r="Y760" s="450"/>
      <c r="Z760" s="450"/>
      <c r="AA760" s="450"/>
      <c r="AB760" s="450"/>
      <c r="AC760" s="450"/>
      <c r="AD760" s="450"/>
      <c r="AE760" s="450"/>
      <c r="AF760" s="450"/>
      <c r="AG760" s="450"/>
      <c r="AH760" s="450"/>
      <c r="AI760" s="450"/>
      <c r="AJ760" s="450"/>
      <c r="AK760" s="450"/>
      <c r="AL760" s="450"/>
      <c r="AM760" s="450"/>
      <c r="AN760" s="450"/>
      <c r="AO760" s="450"/>
      <c r="AP760" s="450"/>
      <c r="AQ760" s="450"/>
      <c r="AR760" s="450"/>
      <c r="AS760" s="450"/>
      <c r="AT760" s="450"/>
      <c r="AU760" s="450"/>
      <c r="AV760" s="450"/>
      <c r="AW760" s="450"/>
      <c r="AX760" s="450"/>
      <c r="AY760" s="450"/>
      <c r="AZ760" s="450"/>
      <c r="BA760" s="450"/>
      <c r="BB760" s="450"/>
      <c r="BC760" s="450"/>
      <c r="BD760" s="450"/>
      <c r="BE760" s="450"/>
      <c r="BF760" s="450"/>
      <c r="BG760" s="450"/>
      <c r="BH760" s="450"/>
      <c r="BI760" s="450"/>
      <c r="BJ760" s="450"/>
      <c r="BK760" s="450"/>
      <c r="BL760" s="450"/>
      <c r="BM760" s="450"/>
    </row>
    <row r="761" spans="1:65" ht="11.15">
      <c r="A761" s="450"/>
      <c r="B761" s="450"/>
      <c r="C761" s="450"/>
      <c r="D761" s="450"/>
      <c r="E761" s="450"/>
      <c r="F761" s="450"/>
      <c r="G761" s="450"/>
      <c r="H761" s="450"/>
      <c r="I761" s="450"/>
      <c r="J761" s="450"/>
      <c r="K761" s="450"/>
      <c r="L761" s="450"/>
      <c r="M761" s="450"/>
      <c r="N761" s="450"/>
      <c r="O761" s="450"/>
      <c r="P761" s="450"/>
      <c r="Q761" s="450"/>
      <c r="R761" s="450"/>
      <c r="S761" s="450"/>
      <c r="T761" s="450"/>
      <c r="U761" s="450"/>
      <c r="V761" s="450"/>
      <c r="W761" s="450"/>
      <c r="X761" s="450"/>
      <c r="Y761" s="450"/>
      <c r="Z761" s="450"/>
      <c r="AA761" s="450"/>
      <c r="AB761" s="450"/>
      <c r="AC761" s="450"/>
      <c r="AD761" s="450"/>
      <c r="AE761" s="450"/>
      <c r="AF761" s="450"/>
      <c r="AG761" s="450"/>
      <c r="AH761" s="450"/>
      <c r="AI761" s="450"/>
      <c r="AJ761" s="450"/>
      <c r="AK761" s="450"/>
      <c r="AL761" s="450"/>
      <c r="AM761" s="450"/>
      <c r="AN761" s="450"/>
      <c r="AO761" s="450"/>
      <c r="AP761" s="450"/>
      <c r="AQ761" s="450"/>
      <c r="AR761" s="450"/>
      <c r="AS761" s="450"/>
      <c r="AT761" s="450"/>
      <c r="AU761" s="450"/>
      <c r="AV761" s="450"/>
      <c r="AW761" s="450"/>
      <c r="AX761" s="450"/>
      <c r="AY761" s="450"/>
      <c r="AZ761" s="450"/>
      <c r="BA761" s="450"/>
      <c r="BB761" s="450"/>
      <c r="BC761" s="450"/>
      <c r="BD761" s="450"/>
      <c r="BE761" s="450"/>
      <c r="BF761" s="450"/>
      <c r="BG761" s="450"/>
      <c r="BH761" s="450"/>
      <c r="BI761" s="450"/>
      <c r="BJ761" s="450"/>
      <c r="BK761" s="450"/>
      <c r="BL761" s="450"/>
      <c r="BM761" s="450"/>
    </row>
    <row r="762" spans="1:65" ht="11.15">
      <c r="A762" s="450"/>
      <c r="B762" s="450"/>
      <c r="C762" s="450"/>
      <c r="D762" s="450"/>
      <c r="E762" s="450"/>
      <c r="F762" s="450"/>
      <c r="G762" s="450"/>
      <c r="H762" s="450"/>
      <c r="I762" s="450"/>
      <c r="J762" s="450"/>
      <c r="K762" s="450"/>
      <c r="L762" s="450"/>
      <c r="M762" s="450"/>
      <c r="N762" s="450"/>
      <c r="O762" s="450"/>
      <c r="P762" s="450"/>
      <c r="Q762" s="450"/>
      <c r="R762" s="450"/>
      <c r="S762" s="450"/>
      <c r="T762" s="450"/>
      <c r="U762" s="450"/>
      <c r="V762" s="450"/>
      <c r="W762" s="450"/>
      <c r="X762" s="450"/>
      <c r="Y762" s="450"/>
      <c r="Z762" s="450"/>
      <c r="AA762" s="450"/>
      <c r="AB762" s="450"/>
      <c r="AC762" s="450"/>
      <c r="AD762" s="450"/>
      <c r="AE762" s="450"/>
      <c r="AF762" s="450"/>
      <c r="AG762" s="450"/>
      <c r="AH762" s="450"/>
      <c r="AI762" s="450"/>
      <c r="AJ762" s="450"/>
      <c r="AK762" s="450"/>
      <c r="AL762" s="450"/>
      <c r="AM762" s="450"/>
      <c r="AN762" s="450"/>
      <c r="AO762" s="450"/>
      <c r="AP762" s="450"/>
      <c r="AQ762" s="450"/>
      <c r="AR762" s="450"/>
      <c r="AS762" s="450"/>
      <c r="AT762" s="450"/>
      <c r="AU762" s="450"/>
      <c r="AV762" s="450"/>
      <c r="AW762" s="450"/>
      <c r="AX762" s="450"/>
      <c r="AY762" s="450"/>
      <c r="AZ762" s="450"/>
      <c r="BA762" s="450"/>
      <c r="BB762" s="450"/>
      <c r="BC762" s="450"/>
      <c r="BD762" s="450"/>
      <c r="BE762" s="450"/>
      <c r="BF762" s="450"/>
      <c r="BG762" s="450"/>
      <c r="BH762" s="450"/>
      <c r="BI762" s="450"/>
      <c r="BJ762" s="450"/>
      <c r="BK762" s="450"/>
      <c r="BL762" s="450"/>
      <c r="BM762" s="450"/>
    </row>
    <row r="763" spans="1:65" ht="11.15">
      <c r="A763" s="450"/>
      <c r="B763" s="450"/>
      <c r="C763" s="450"/>
      <c r="D763" s="450"/>
      <c r="E763" s="450"/>
      <c r="F763" s="450"/>
      <c r="G763" s="450"/>
      <c r="H763" s="450"/>
      <c r="I763" s="450"/>
      <c r="J763" s="450"/>
      <c r="K763" s="450"/>
      <c r="L763" s="450"/>
      <c r="M763" s="450"/>
      <c r="N763" s="450"/>
      <c r="O763" s="450"/>
      <c r="P763" s="450"/>
      <c r="Q763" s="450"/>
      <c r="R763" s="450"/>
      <c r="S763" s="450"/>
      <c r="T763" s="450"/>
      <c r="U763" s="450"/>
      <c r="V763" s="450"/>
      <c r="W763" s="450"/>
      <c r="X763" s="450"/>
      <c r="Y763" s="450"/>
      <c r="Z763" s="450"/>
      <c r="AA763" s="450"/>
      <c r="AB763" s="450"/>
      <c r="AC763" s="450"/>
      <c r="AD763" s="450"/>
      <c r="AE763" s="450"/>
      <c r="AF763" s="450"/>
      <c r="AG763" s="450"/>
      <c r="AH763" s="450"/>
      <c r="AI763" s="450"/>
      <c r="AJ763" s="450"/>
      <c r="AK763" s="450"/>
      <c r="AL763" s="450"/>
      <c r="AM763" s="450"/>
      <c r="AN763" s="450"/>
      <c r="AO763" s="450"/>
      <c r="AP763" s="450"/>
      <c r="AQ763" s="450"/>
      <c r="AR763" s="450"/>
      <c r="AS763" s="450"/>
      <c r="AT763" s="450"/>
      <c r="AU763" s="450"/>
      <c r="AV763" s="450"/>
      <c r="AW763" s="450"/>
      <c r="AX763" s="450"/>
      <c r="AY763" s="450"/>
      <c r="AZ763" s="450"/>
      <c r="BA763" s="450"/>
      <c r="BB763" s="450"/>
      <c r="BC763" s="450"/>
      <c r="BD763" s="450"/>
      <c r="BE763" s="450"/>
      <c r="BF763" s="450"/>
      <c r="BG763" s="450"/>
      <c r="BH763" s="450"/>
      <c r="BI763" s="450"/>
      <c r="BJ763" s="450"/>
      <c r="BK763" s="450"/>
      <c r="BL763" s="450"/>
      <c r="BM763" s="450"/>
    </row>
    <row r="764" spans="1:65" ht="11.15">
      <c r="A764" s="450"/>
      <c r="B764" s="450"/>
      <c r="C764" s="450"/>
      <c r="D764" s="450"/>
      <c r="E764" s="450"/>
      <c r="F764" s="450"/>
      <c r="G764" s="450"/>
      <c r="H764" s="450"/>
      <c r="I764" s="450"/>
      <c r="J764" s="450"/>
      <c r="K764" s="450"/>
      <c r="L764" s="450"/>
      <c r="M764" s="450"/>
      <c r="N764" s="450"/>
      <c r="O764" s="450"/>
      <c r="P764" s="450"/>
      <c r="Q764" s="450"/>
      <c r="R764" s="450"/>
      <c r="S764" s="450"/>
      <c r="T764" s="450"/>
      <c r="U764" s="450"/>
      <c r="V764" s="450"/>
      <c r="W764" s="450"/>
      <c r="X764" s="450"/>
      <c r="Y764" s="450"/>
      <c r="Z764" s="450"/>
      <c r="AA764" s="450"/>
      <c r="AB764" s="450"/>
      <c r="AC764" s="450"/>
      <c r="AD764" s="450"/>
      <c r="AE764" s="450"/>
      <c r="AF764" s="450"/>
      <c r="AG764" s="450"/>
      <c r="AH764" s="450"/>
      <c r="AI764" s="450"/>
      <c r="AJ764" s="450"/>
      <c r="AK764" s="450"/>
      <c r="AL764" s="450"/>
      <c r="AM764" s="450"/>
      <c r="AN764" s="450"/>
      <c r="AO764" s="450"/>
      <c r="AP764" s="450"/>
      <c r="AQ764" s="450"/>
      <c r="AR764" s="450"/>
      <c r="AS764" s="450"/>
      <c r="AT764" s="450"/>
      <c r="AU764" s="450"/>
      <c r="AV764" s="450"/>
      <c r="AW764" s="450"/>
      <c r="AX764" s="450"/>
      <c r="AY764" s="450"/>
      <c r="AZ764" s="450"/>
      <c r="BA764" s="450"/>
      <c r="BB764" s="450"/>
      <c r="BC764" s="450"/>
      <c r="BD764" s="450"/>
      <c r="BE764" s="450"/>
      <c r="BF764" s="450"/>
      <c r="BG764" s="450"/>
      <c r="BH764" s="450"/>
      <c r="BI764" s="450"/>
      <c r="BJ764" s="450"/>
      <c r="BK764" s="450"/>
      <c r="BL764" s="450"/>
      <c r="BM764" s="450"/>
    </row>
    <row r="765" spans="1:65" ht="11.15">
      <c r="A765" s="450"/>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c r="AA765" s="450"/>
      <c r="AB765" s="450"/>
      <c r="AC765" s="450"/>
      <c r="AD765" s="450"/>
      <c r="AE765" s="450"/>
      <c r="AF765" s="450"/>
      <c r="AG765" s="450"/>
      <c r="AH765" s="450"/>
      <c r="AI765" s="450"/>
      <c r="AJ765" s="450"/>
      <c r="AK765" s="450"/>
      <c r="AL765" s="450"/>
      <c r="AM765" s="450"/>
      <c r="AN765" s="450"/>
      <c r="AO765" s="450"/>
      <c r="AP765" s="450"/>
      <c r="AQ765" s="450"/>
      <c r="AR765" s="450"/>
      <c r="AS765" s="450"/>
      <c r="AT765" s="450"/>
      <c r="AU765" s="450"/>
      <c r="AV765" s="450"/>
      <c r="AW765" s="450"/>
      <c r="AX765" s="450"/>
      <c r="AY765" s="450"/>
      <c r="AZ765" s="450"/>
      <c r="BA765" s="450"/>
      <c r="BB765" s="450"/>
      <c r="BC765" s="450"/>
      <c r="BD765" s="450"/>
      <c r="BE765" s="450"/>
      <c r="BF765" s="450"/>
      <c r="BG765" s="450"/>
      <c r="BH765" s="450"/>
      <c r="BI765" s="450"/>
      <c r="BJ765" s="450"/>
      <c r="BK765" s="450"/>
      <c r="BL765" s="450"/>
      <c r="BM765" s="450"/>
    </row>
    <row r="766" spans="1:65" ht="11.15">
      <c r="A766" s="450"/>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0"/>
      <c r="AD766" s="450"/>
      <c r="AE766" s="450"/>
      <c r="AF766" s="450"/>
      <c r="AG766" s="450"/>
      <c r="AH766" s="450"/>
      <c r="AI766" s="450"/>
      <c r="AJ766" s="450"/>
      <c r="AK766" s="450"/>
      <c r="AL766" s="450"/>
      <c r="AM766" s="450"/>
      <c r="AN766" s="450"/>
      <c r="AO766" s="450"/>
      <c r="AP766" s="450"/>
      <c r="AQ766" s="450"/>
      <c r="AR766" s="450"/>
      <c r="AS766" s="450"/>
      <c r="AT766" s="450"/>
      <c r="AU766" s="450"/>
      <c r="AV766" s="450"/>
      <c r="AW766" s="450"/>
      <c r="AX766" s="450"/>
      <c r="AY766" s="450"/>
      <c r="AZ766" s="450"/>
      <c r="BA766" s="450"/>
      <c r="BB766" s="450"/>
      <c r="BC766" s="450"/>
      <c r="BD766" s="450"/>
      <c r="BE766" s="450"/>
      <c r="BF766" s="450"/>
      <c r="BG766" s="450"/>
      <c r="BH766" s="450"/>
      <c r="BI766" s="450"/>
      <c r="BJ766" s="450"/>
      <c r="BK766" s="450"/>
      <c r="BL766" s="450"/>
      <c r="BM766" s="450"/>
    </row>
    <row r="767" spans="1:65" ht="11.15">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c r="Z767" s="450"/>
      <c r="AA767" s="450"/>
      <c r="AB767" s="450"/>
      <c r="AC767" s="450"/>
      <c r="AD767" s="450"/>
      <c r="AE767" s="450"/>
      <c r="AF767" s="450"/>
      <c r="AG767" s="450"/>
      <c r="AH767" s="450"/>
      <c r="AI767" s="450"/>
      <c r="AJ767" s="450"/>
      <c r="AK767" s="450"/>
      <c r="AL767" s="450"/>
      <c r="AM767" s="450"/>
      <c r="AN767" s="450"/>
      <c r="AO767" s="450"/>
      <c r="AP767" s="450"/>
      <c r="AQ767" s="450"/>
      <c r="AR767" s="450"/>
      <c r="AS767" s="450"/>
      <c r="AT767" s="450"/>
      <c r="AU767" s="450"/>
      <c r="AV767" s="450"/>
      <c r="AW767" s="450"/>
      <c r="AX767" s="450"/>
      <c r="AY767" s="450"/>
      <c r="AZ767" s="450"/>
      <c r="BA767" s="450"/>
      <c r="BB767" s="450"/>
      <c r="BC767" s="450"/>
      <c r="BD767" s="450"/>
      <c r="BE767" s="450"/>
      <c r="BF767" s="450"/>
      <c r="BG767" s="450"/>
      <c r="BH767" s="450"/>
      <c r="BI767" s="450"/>
      <c r="BJ767" s="450"/>
      <c r="BK767" s="450"/>
      <c r="BL767" s="450"/>
      <c r="BM767" s="450"/>
    </row>
    <row r="768" spans="1:65" ht="11.15">
      <c r="A768" s="450"/>
      <c r="B768" s="450"/>
      <c r="C768" s="450"/>
      <c r="D768" s="450"/>
      <c r="E768" s="450"/>
      <c r="F768" s="450"/>
      <c r="G768" s="450"/>
      <c r="H768" s="450"/>
      <c r="I768" s="450"/>
      <c r="J768" s="450"/>
      <c r="K768" s="450"/>
      <c r="L768" s="450"/>
      <c r="M768" s="450"/>
      <c r="N768" s="450"/>
      <c r="O768" s="450"/>
      <c r="P768" s="450"/>
      <c r="Q768" s="450"/>
      <c r="R768" s="450"/>
      <c r="S768" s="450"/>
      <c r="T768" s="450"/>
      <c r="U768" s="450"/>
      <c r="V768" s="450"/>
      <c r="W768" s="450"/>
      <c r="X768" s="450"/>
      <c r="Y768" s="450"/>
      <c r="Z768" s="450"/>
      <c r="AA768" s="450"/>
      <c r="AB768" s="450"/>
      <c r="AC768" s="450"/>
      <c r="AD768" s="450"/>
      <c r="AE768" s="450"/>
      <c r="AF768" s="450"/>
      <c r="AG768" s="450"/>
      <c r="AH768" s="450"/>
      <c r="AI768" s="450"/>
      <c r="AJ768" s="450"/>
      <c r="AK768" s="450"/>
      <c r="AL768" s="450"/>
      <c r="AM768" s="450"/>
      <c r="AN768" s="450"/>
      <c r="AO768" s="450"/>
      <c r="AP768" s="450"/>
      <c r="AQ768" s="450"/>
      <c r="AR768" s="450"/>
      <c r="AS768" s="450"/>
      <c r="AT768" s="450"/>
      <c r="AU768" s="450"/>
      <c r="AV768" s="450"/>
      <c r="AW768" s="450"/>
      <c r="AX768" s="450"/>
      <c r="AY768" s="450"/>
      <c r="AZ768" s="450"/>
      <c r="BA768" s="450"/>
      <c r="BB768" s="450"/>
      <c r="BC768" s="450"/>
      <c r="BD768" s="450"/>
      <c r="BE768" s="450"/>
      <c r="BF768" s="450"/>
      <c r="BG768" s="450"/>
      <c r="BH768" s="450"/>
      <c r="BI768" s="450"/>
      <c r="BJ768" s="450"/>
      <c r="BK768" s="450"/>
      <c r="BL768" s="450"/>
      <c r="BM768" s="450"/>
    </row>
    <row r="769" spans="1:65" ht="11.15">
      <c r="A769" s="450"/>
      <c r="B769" s="450"/>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c r="Z769" s="450"/>
      <c r="AA769" s="450"/>
      <c r="AB769" s="450"/>
      <c r="AC769" s="450"/>
      <c r="AD769" s="450"/>
      <c r="AE769" s="450"/>
      <c r="AF769" s="450"/>
      <c r="AG769" s="450"/>
      <c r="AH769" s="450"/>
      <c r="AI769" s="450"/>
      <c r="AJ769" s="450"/>
      <c r="AK769" s="450"/>
      <c r="AL769" s="450"/>
      <c r="AM769" s="450"/>
      <c r="AN769" s="450"/>
      <c r="AO769" s="450"/>
      <c r="AP769" s="450"/>
      <c r="AQ769" s="450"/>
      <c r="AR769" s="450"/>
      <c r="AS769" s="450"/>
      <c r="AT769" s="450"/>
      <c r="AU769" s="450"/>
      <c r="AV769" s="450"/>
      <c r="AW769" s="450"/>
      <c r="AX769" s="450"/>
      <c r="AY769" s="450"/>
      <c r="AZ769" s="450"/>
      <c r="BA769" s="450"/>
      <c r="BB769" s="450"/>
      <c r="BC769" s="450"/>
      <c r="BD769" s="450"/>
      <c r="BE769" s="450"/>
      <c r="BF769" s="450"/>
      <c r="BG769" s="450"/>
      <c r="BH769" s="450"/>
      <c r="BI769" s="450"/>
      <c r="BJ769" s="450"/>
      <c r="BK769" s="450"/>
      <c r="BL769" s="450"/>
      <c r="BM769" s="450"/>
    </row>
    <row r="770" spans="1:65" ht="11.15">
      <c r="A770" s="450"/>
      <c r="B770" s="450"/>
      <c r="C770" s="450"/>
      <c r="D770" s="450"/>
      <c r="E770" s="450"/>
      <c r="F770" s="450"/>
      <c r="G770" s="450"/>
      <c r="H770" s="450"/>
      <c r="I770" s="450"/>
      <c r="J770" s="450"/>
      <c r="K770" s="450"/>
      <c r="L770" s="450"/>
      <c r="M770" s="450"/>
      <c r="N770" s="450"/>
      <c r="O770" s="450"/>
      <c r="P770" s="450"/>
      <c r="Q770" s="450"/>
      <c r="R770" s="450"/>
      <c r="S770" s="450"/>
      <c r="T770" s="450"/>
      <c r="U770" s="450"/>
      <c r="V770" s="450"/>
      <c r="W770" s="450"/>
      <c r="X770" s="450"/>
      <c r="Y770" s="450"/>
      <c r="Z770" s="450"/>
      <c r="AA770" s="450"/>
      <c r="AB770" s="450"/>
      <c r="AC770" s="450"/>
      <c r="AD770" s="450"/>
      <c r="AE770" s="450"/>
      <c r="AF770" s="450"/>
      <c r="AG770" s="450"/>
      <c r="AH770" s="450"/>
      <c r="AI770" s="450"/>
      <c r="AJ770" s="450"/>
      <c r="AK770" s="450"/>
      <c r="AL770" s="450"/>
      <c r="AM770" s="450"/>
      <c r="AN770" s="450"/>
      <c r="AO770" s="450"/>
      <c r="AP770" s="450"/>
      <c r="AQ770" s="450"/>
      <c r="AR770" s="450"/>
      <c r="AS770" s="450"/>
      <c r="AT770" s="450"/>
      <c r="AU770" s="450"/>
      <c r="AV770" s="450"/>
      <c r="AW770" s="450"/>
      <c r="AX770" s="450"/>
      <c r="AY770" s="450"/>
      <c r="AZ770" s="450"/>
      <c r="BA770" s="450"/>
      <c r="BB770" s="450"/>
      <c r="BC770" s="450"/>
      <c r="BD770" s="450"/>
      <c r="BE770" s="450"/>
      <c r="BF770" s="450"/>
      <c r="BG770" s="450"/>
      <c r="BH770" s="450"/>
      <c r="BI770" s="450"/>
      <c r="BJ770" s="450"/>
      <c r="BK770" s="450"/>
      <c r="BL770" s="450"/>
      <c r="BM770" s="450"/>
    </row>
    <row r="771" spans="1:65" ht="11.15">
      <c r="A771" s="450"/>
      <c r="B771" s="450"/>
      <c r="C771" s="450"/>
      <c r="D771" s="450"/>
      <c r="E771" s="450"/>
      <c r="F771" s="450"/>
      <c r="G771" s="450"/>
      <c r="H771" s="450"/>
      <c r="I771" s="450"/>
      <c r="J771" s="450"/>
      <c r="K771" s="450"/>
      <c r="L771" s="450"/>
      <c r="M771" s="450"/>
      <c r="N771" s="450"/>
      <c r="O771" s="450"/>
      <c r="P771" s="450"/>
      <c r="Q771" s="450"/>
      <c r="R771" s="450"/>
      <c r="S771" s="450"/>
      <c r="T771" s="450"/>
      <c r="U771" s="450"/>
      <c r="V771" s="450"/>
      <c r="W771" s="450"/>
      <c r="X771" s="450"/>
      <c r="Y771" s="450"/>
      <c r="Z771" s="450"/>
      <c r="AA771" s="450"/>
      <c r="AB771" s="450"/>
      <c r="AC771" s="450"/>
      <c r="AD771" s="450"/>
      <c r="AE771" s="450"/>
      <c r="AF771" s="450"/>
      <c r="AG771" s="450"/>
      <c r="AH771" s="450"/>
      <c r="AI771" s="450"/>
      <c r="AJ771" s="450"/>
      <c r="AK771" s="450"/>
      <c r="AL771" s="450"/>
      <c r="AM771" s="450"/>
      <c r="AN771" s="450"/>
      <c r="AO771" s="450"/>
      <c r="AP771" s="450"/>
      <c r="AQ771" s="450"/>
      <c r="AR771" s="450"/>
      <c r="AS771" s="450"/>
      <c r="AT771" s="450"/>
      <c r="AU771" s="450"/>
      <c r="AV771" s="450"/>
      <c r="AW771" s="450"/>
      <c r="AX771" s="450"/>
      <c r="AY771" s="450"/>
      <c r="AZ771" s="450"/>
      <c r="BA771" s="450"/>
      <c r="BB771" s="450"/>
      <c r="BC771" s="450"/>
      <c r="BD771" s="450"/>
      <c r="BE771" s="450"/>
      <c r="BF771" s="450"/>
      <c r="BG771" s="450"/>
      <c r="BH771" s="450"/>
      <c r="BI771" s="450"/>
      <c r="BJ771" s="450"/>
      <c r="BK771" s="450"/>
      <c r="BL771" s="450"/>
      <c r="BM771" s="450"/>
    </row>
    <row r="772" spans="1:65" ht="11.15">
      <c r="A772" s="450"/>
      <c r="B772" s="450"/>
      <c r="C772" s="450"/>
      <c r="D772" s="450"/>
      <c r="E772" s="450"/>
      <c r="F772" s="450"/>
      <c r="G772" s="450"/>
      <c r="H772" s="450"/>
      <c r="I772" s="450"/>
      <c r="J772" s="450"/>
      <c r="K772" s="450"/>
      <c r="L772" s="450"/>
      <c r="M772" s="450"/>
      <c r="N772" s="450"/>
      <c r="O772" s="450"/>
      <c r="P772" s="450"/>
      <c r="Q772" s="450"/>
      <c r="R772" s="450"/>
      <c r="S772" s="450"/>
      <c r="T772" s="450"/>
      <c r="U772" s="450"/>
      <c r="V772" s="450"/>
      <c r="W772" s="450"/>
      <c r="X772" s="450"/>
      <c r="Y772" s="450"/>
      <c r="Z772" s="450"/>
      <c r="AA772" s="450"/>
      <c r="AB772" s="450"/>
      <c r="AC772" s="450"/>
      <c r="AD772" s="450"/>
      <c r="AE772" s="450"/>
      <c r="AF772" s="450"/>
      <c r="AG772" s="450"/>
      <c r="AH772" s="450"/>
      <c r="AI772" s="450"/>
      <c r="AJ772" s="450"/>
      <c r="AK772" s="450"/>
      <c r="AL772" s="450"/>
      <c r="AM772" s="450"/>
      <c r="AN772" s="450"/>
      <c r="AO772" s="450"/>
      <c r="AP772" s="450"/>
      <c r="AQ772" s="450"/>
      <c r="AR772" s="450"/>
      <c r="AS772" s="450"/>
      <c r="AT772" s="450"/>
      <c r="AU772" s="450"/>
      <c r="AV772" s="450"/>
      <c r="AW772" s="450"/>
      <c r="AX772" s="450"/>
      <c r="AY772" s="450"/>
      <c r="AZ772" s="450"/>
      <c r="BA772" s="450"/>
      <c r="BB772" s="450"/>
      <c r="BC772" s="450"/>
      <c r="BD772" s="450"/>
      <c r="BE772" s="450"/>
      <c r="BF772" s="450"/>
      <c r="BG772" s="450"/>
      <c r="BH772" s="450"/>
      <c r="BI772" s="450"/>
      <c r="BJ772" s="450"/>
      <c r="BK772" s="450"/>
      <c r="BL772" s="450"/>
      <c r="BM772" s="450"/>
    </row>
    <row r="773" spans="1:65" ht="11.15">
      <c r="A773" s="450"/>
      <c r="B773" s="450"/>
      <c r="C773" s="450"/>
      <c r="D773" s="450"/>
      <c r="E773" s="450"/>
      <c r="F773" s="450"/>
      <c r="G773" s="450"/>
      <c r="H773" s="450"/>
      <c r="I773" s="450"/>
      <c r="J773" s="450"/>
      <c r="K773" s="450"/>
      <c r="L773" s="450"/>
      <c r="M773" s="450"/>
      <c r="N773" s="450"/>
      <c r="O773" s="450"/>
      <c r="P773" s="450"/>
      <c r="Q773" s="450"/>
      <c r="R773" s="450"/>
      <c r="S773" s="450"/>
      <c r="T773" s="450"/>
      <c r="U773" s="450"/>
      <c r="V773" s="450"/>
      <c r="W773" s="450"/>
      <c r="X773" s="450"/>
      <c r="Y773" s="450"/>
      <c r="Z773" s="450"/>
      <c r="AA773" s="450"/>
      <c r="AB773" s="450"/>
      <c r="AC773" s="450"/>
      <c r="AD773" s="450"/>
      <c r="AE773" s="450"/>
      <c r="AF773" s="450"/>
      <c r="AG773" s="450"/>
      <c r="AH773" s="450"/>
      <c r="AI773" s="450"/>
      <c r="AJ773" s="450"/>
      <c r="AK773" s="450"/>
      <c r="AL773" s="450"/>
      <c r="AM773" s="450"/>
      <c r="AN773" s="450"/>
      <c r="AO773" s="450"/>
      <c r="AP773" s="450"/>
      <c r="AQ773" s="450"/>
      <c r="AR773" s="450"/>
      <c r="AS773" s="450"/>
      <c r="AT773" s="450"/>
      <c r="AU773" s="450"/>
      <c r="AV773" s="450"/>
      <c r="AW773" s="450"/>
      <c r="AX773" s="450"/>
      <c r="AY773" s="450"/>
      <c r="AZ773" s="450"/>
      <c r="BA773" s="450"/>
      <c r="BB773" s="450"/>
      <c r="BC773" s="450"/>
      <c r="BD773" s="450"/>
      <c r="BE773" s="450"/>
      <c r="BF773" s="450"/>
      <c r="BG773" s="450"/>
      <c r="BH773" s="450"/>
      <c r="BI773" s="450"/>
      <c r="BJ773" s="450"/>
      <c r="BK773" s="450"/>
      <c r="BL773" s="450"/>
      <c r="BM773" s="450"/>
    </row>
    <row r="774" spans="1:65" ht="11.15">
      <c r="A774" s="450"/>
      <c r="B774" s="450"/>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c r="Z774" s="450"/>
      <c r="AA774" s="450"/>
      <c r="AB774" s="450"/>
      <c r="AC774" s="450"/>
      <c r="AD774" s="450"/>
      <c r="AE774" s="450"/>
      <c r="AF774" s="450"/>
      <c r="AG774" s="450"/>
      <c r="AH774" s="450"/>
      <c r="AI774" s="450"/>
      <c r="AJ774" s="450"/>
      <c r="AK774" s="450"/>
      <c r="AL774" s="450"/>
      <c r="AM774" s="450"/>
      <c r="AN774" s="450"/>
      <c r="AO774" s="450"/>
      <c r="AP774" s="450"/>
      <c r="AQ774" s="450"/>
      <c r="AR774" s="450"/>
      <c r="AS774" s="450"/>
      <c r="AT774" s="450"/>
      <c r="AU774" s="450"/>
      <c r="AV774" s="450"/>
      <c r="AW774" s="450"/>
      <c r="AX774" s="450"/>
      <c r="AY774" s="450"/>
      <c r="AZ774" s="450"/>
      <c r="BA774" s="450"/>
      <c r="BB774" s="450"/>
      <c r="BC774" s="450"/>
      <c r="BD774" s="450"/>
      <c r="BE774" s="450"/>
      <c r="BF774" s="450"/>
      <c r="BG774" s="450"/>
      <c r="BH774" s="450"/>
      <c r="BI774" s="450"/>
      <c r="BJ774" s="450"/>
      <c r="BK774" s="450"/>
      <c r="BL774" s="450"/>
      <c r="BM774" s="450"/>
    </row>
    <row r="775" spans="1:65" ht="11.15">
      <c r="A775" s="450"/>
      <c r="B775" s="450"/>
      <c r="C775" s="450"/>
      <c r="D775" s="450"/>
      <c r="E775" s="450"/>
      <c r="F775" s="450"/>
      <c r="G775" s="450"/>
      <c r="H775" s="450"/>
      <c r="I775" s="450"/>
      <c r="J775" s="450"/>
      <c r="K775" s="450"/>
      <c r="L775" s="450"/>
      <c r="M775" s="450"/>
      <c r="N775" s="450"/>
      <c r="O775" s="450"/>
      <c r="P775" s="450"/>
      <c r="Q775" s="450"/>
      <c r="R775" s="450"/>
      <c r="S775" s="450"/>
      <c r="T775" s="450"/>
      <c r="U775" s="450"/>
      <c r="V775" s="450"/>
      <c r="W775" s="450"/>
      <c r="X775" s="450"/>
      <c r="Y775" s="450"/>
      <c r="Z775" s="450"/>
      <c r="AA775" s="450"/>
      <c r="AB775" s="450"/>
      <c r="AC775" s="450"/>
      <c r="AD775" s="450"/>
      <c r="AE775" s="450"/>
      <c r="AF775" s="450"/>
      <c r="AG775" s="450"/>
      <c r="AH775" s="450"/>
      <c r="AI775" s="450"/>
      <c r="AJ775" s="450"/>
      <c r="AK775" s="450"/>
      <c r="AL775" s="450"/>
      <c r="AM775" s="450"/>
      <c r="AN775" s="450"/>
      <c r="AO775" s="450"/>
      <c r="AP775" s="450"/>
      <c r="AQ775" s="450"/>
      <c r="AR775" s="450"/>
      <c r="AS775" s="450"/>
      <c r="AT775" s="450"/>
      <c r="AU775" s="450"/>
      <c r="AV775" s="450"/>
      <c r="AW775" s="450"/>
      <c r="AX775" s="450"/>
      <c r="AY775" s="450"/>
      <c r="AZ775" s="450"/>
      <c r="BA775" s="450"/>
      <c r="BB775" s="450"/>
      <c r="BC775" s="450"/>
      <c r="BD775" s="450"/>
      <c r="BE775" s="450"/>
      <c r="BF775" s="450"/>
      <c r="BG775" s="450"/>
      <c r="BH775" s="450"/>
      <c r="BI775" s="450"/>
      <c r="BJ775" s="450"/>
      <c r="BK775" s="450"/>
      <c r="BL775" s="450"/>
      <c r="BM775" s="450"/>
    </row>
    <row r="776" spans="1:65" ht="11.15">
      <c r="A776" s="450"/>
      <c r="B776" s="450"/>
      <c r="C776" s="450"/>
      <c r="D776" s="450"/>
      <c r="E776" s="450"/>
      <c r="F776" s="450"/>
      <c r="G776" s="450"/>
      <c r="H776" s="450"/>
      <c r="I776" s="450"/>
      <c r="J776" s="450"/>
      <c r="K776" s="450"/>
      <c r="L776" s="450"/>
      <c r="M776" s="450"/>
      <c r="N776" s="450"/>
      <c r="O776" s="450"/>
      <c r="P776" s="450"/>
      <c r="Q776" s="450"/>
      <c r="R776" s="450"/>
      <c r="S776" s="450"/>
      <c r="T776" s="450"/>
      <c r="U776" s="450"/>
      <c r="V776" s="450"/>
      <c r="W776" s="450"/>
      <c r="X776" s="450"/>
      <c r="Y776" s="450"/>
      <c r="Z776" s="450"/>
      <c r="AA776" s="450"/>
      <c r="AB776" s="450"/>
      <c r="AC776" s="450"/>
      <c r="AD776" s="450"/>
      <c r="AE776" s="450"/>
      <c r="AF776" s="450"/>
      <c r="AG776" s="450"/>
      <c r="AH776" s="450"/>
      <c r="AI776" s="450"/>
      <c r="AJ776" s="450"/>
      <c r="AK776" s="450"/>
      <c r="AL776" s="450"/>
      <c r="AM776" s="450"/>
      <c r="AN776" s="450"/>
      <c r="AO776" s="450"/>
      <c r="AP776" s="450"/>
      <c r="AQ776" s="450"/>
      <c r="AR776" s="450"/>
      <c r="AS776" s="450"/>
      <c r="AT776" s="450"/>
      <c r="AU776" s="450"/>
      <c r="AV776" s="450"/>
      <c r="AW776" s="450"/>
      <c r="AX776" s="450"/>
      <c r="AY776" s="450"/>
      <c r="AZ776" s="450"/>
      <c r="BA776" s="450"/>
      <c r="BB776" s="450"/>
      <c r="BC776" s="450"/>
      <c r="BD776" s="450"/>
      <c r="BE776" s="450"/>
      <c r="BF776" s="450"/>
      <c r="BG776" s="450"/>
      <c r="BH776" s="450"/>
      <c r="BI776" s="450"/>
      <c r="BJ776" s="450"/>
      <c r="BK776" s="450"/>
      <c r="BL776" s="450"/>
      <c r="BM776" s="450"/>
    </row>
    <row r="777" spans="1:65" ht="11.15">
      <c r="A777" s="450"/>
      <c r="B777" s="450"/>
      <c r="C777" s="450"/>
      <c r="D777" s="450"/>
      <c r="E777" s="450"/>
      <c r="F777" s="450"/>
      <c r="G777" s="450"/>
      <c r="H777" s="450"/>
      <c r="I777" s="450"/>
      <c r="J777" s="450"/>
      <c r="K777" s="450"/>
      <c r="L777" s="450"/>
      <c r="M777" s="450"/>
      <c r="N777" s="450"/>
      <c r="O777" s="450"/>
      <c r="P777" s="450"/>
      <c r="Q777" s="450"/>
      <c r="R777" s="450"/>
      <c r="S777" s="450"/>
      <c r="T777" s="450"/>
      <c r="U777" s="450"/>
      <c r="V777" s="450"/>
      <c r="W777" s="450"/>
      <c r="X777" s="450"/>
      <c r="Y777" s="450"/>
      <c r="Z777" s="450"/>
      <c r="AA777" s="450"/>
      <c r="AB777" s="450"/>
      <c r="AC777" s="450"/>
      <c r="AD777" s="450"/>
      <c r="AE777" s="450"/>
      <c r="AF777" s="450"/>
      <c r="AG777" s="450"/>
      <c r="AH777" s="450"/>
      <c r="AI777" s="450"/>
      <c r="AJ777" s="450"/>
      <c r="AK777" s="450"/>
      <c r="AL777" s="450"/>
      <c r="AM777" s="450"/>
      <c r="AN777" s="450"/>
      <c r="AO777" s="450"/>
      <c r="AP777" s="450"/>
      <c r="AQ777" s="450"/>
      <c r="AR777" s="450"/>
      <c r="AS777" s="450"/>
      <c r="AT777" s="450"/>
      <c r="AU777" s="450"/>
      <c r="AV777" s="450"/>
      <c r="AW777" s="450"/>
      <c r="AX777" s="450"/>
      <c r="AY777" s="450"/>
      <c r="AZ777" s="450"/>
      <c r="BA777" s="450"/>
      <c r="BB777" s="450"/>
      <c r="BC777" s="450"/>
      <c r="BD777" s="450"/>
      <c r="BE777" s="450"/>
      <c r="BF777" s="450"/>
      <c r="BG777" s="450"/>
      <c r="BH777" s="450"/>
      <c r="BI777" s="450"/>
      <c r="BJ777" s="450"/>
      <c r="BK777" s="450"/>
      <c r="BL777" s="450"/>
      <c r="BM777" s="450"/>
    </row>
    <row r="778" spans="1:65" ht="11.15">
      <c r="A778" s="450"/>
      <c r="B778" s="450"/>
      <c r="C778" s="450"/>
      <c r="D778" s="450"/>
      <c r="E778" s="450"/>
      <c r="F778" s="450"/>
      <c r="G778" s="450"/>
      <c r="H778" s="450"/>
      <c r="I778" s="450"/>
      <c r="J778" s="450"/>
      <c r="K778" s="450"/>
      <c r="L778" s="450"/>
      <c r="M778" s="450"/>
      <c r="N778" s="450"/>
      <c r="O778" s="450"/>
      <c r="P778" s="450"/>
      <c r="Q778" s="450"/>
      <c r="R778" s="450"/>
      <c r="S778" s="450"/>
      <c r="T778" s="450"/>
      <c r="U778" s="450"/>
      <c r="V778" s="450"/>
      <c r="W778" s="450"/>
      <c r="X778" s="450"/>
      <c r="Y778" s="450"/>
      <c r="Z778" s="450"/>
      <c r="AA778" s="450"/>
      <c r="AB778" s="450"/>
      <c r="AC778" s="450"/>
      <c r="AD778" s="450"/>
      <c r="AE778" s="450"/>
      <c r="AF778" s="450"/>
      <c r="AG778" s="450"/>
      <c r="AH778" s="450"/>
      <c r="AI778" s="450"/>
      <c r="AJ778" s="450"/>
      <c r="AK778" s="450"/>
      <c r="AL778" s="450"/>
      <c r="AM778" s="450"/>
      <c r="AN778" s="450"/>
      <c r="AO778" s="450"/>
      <c r="AP778" s="450"/>
      <c r="AQ778" s="450"/>
      <c r="AR778" s="450"/>
      <c r="AS778" s="450"/>
      <c r="AT778" s="450"/>
      <c r="AU778" s="450"/>
      <c r="AV778" s="450"/>
      <c r="AW778" s="450"/>
      <c r="AX778" s="450"/>
      <c r="AY778" s="450"/>
      <c r="AZ778" s="450"/>
      <c r="BA778" s="450"/>
      <c r="BB778" s="450"/>
      <c r="BC778" s="450"/>
      <c r="BD778" s="450"/>
      <c r="BE778" s="450"/>
      <c r="BF778" s="450"/>
      <c r="BG778" s="450"/>
      <c r="BH778" s="450"/>
      <c r="BI778" s="450"/>
      <c r="BJ778" s="450"/>
      <c r="BK778" s="450"/>
      <c r="BL778" s="450"/>
      <c r="BM778" s="450"/>
    </row>
    <row r="779" spans="1:65" ht="11.15">
      <c r="A779" s="450"/>
      <c r="B779" s="450"/>
      <c r="C779" s="450"/>
      <c r="D779" s="450"/>
      <c r="E779" s="450"/>
      <c r="F779" s="450"/>
      <c r="G779" s="450"/>
      <c r="H779" s="450"/>
      <c r="I779" s="450"/>
      <c r="J779" s="450"/>
      <c r="K779" s="450"/>
      <c r="L779" s="450"/>
      <c r="M779" s="450"/>
      <c r="N779" s="450"/>
      <c r="O779" s="450"/>
      <c r="P779" s="450"/>
      <c r="Q779" s="450"/>
      <c r="R779" s="450"/>
      <c r="S779" s="450"/>
      <c r="T779" s="450"/>
      <c r="U779" s="450"/>
      <c r="V779" s="450"/>
      <c r="W779" s="450"/>
      <c r="X779" s="450"/>
      <c r="Y779" s="450"/>
      <c r="Z779" s="450"/>
      <c r="AA779" s="450"/>
      <c r="AB779" s="450"/>
      <c r="AC779" s="450"/>
      <c r="AD779" s="450"/>
      <c r="AE779" s="450"/>
      <c r="AF779" s="450"/>
      <c r="AG779" s="450"/>
      <c r="AH779" s="450"/>
      <c r="AI779" s="450"/>
      <c r="AJ779" s="450"/>
      <c r="AK779" s="450"/>
      <c r="AL779" s="450"/>
      <c r="AM779" s="450"/>
      <c r="AN779" s="450"/>
      <c r="AO779" s="450"/>
      <c r="AP779" s="450"/>
      <c r="AQ779" s="450"/>
      <c r="AR779" s="450"/>
      <c r="AS779" s="450"/>
      <c r="AT779" s="450"/>
      <c r="AU779" s="450"/>
      <c r="AV779" s="450"/>
      <c r="AW779" s="450"/>
      <c r="AX779" s="450"/>
      <c r="AY779" s="450"/>
      <c r="AZ779" s="450"/>
      <c r="BA779" s="450"/>
      <c r="BB779" s="450"/>
      <c r="BC779" s="450"/>
      <c r="BD779" s="450"/>
      <c r="BE779" s="450"/>
      <c r="BF779" s="450"/>
      <c r="BG779" s="450"/>
      <c r="BH779" s="450"/>
      <c r="BI779" s="450"/>
      <c r="BJ779" s="450"/>
      <c r="BK779" s="450"/>
      <c r="BL779" s="450"/>
      <c r="BM779" s="450"/>
    </row>
    <row r="780" spans="1:65" ht="11.15">
      <c r="A780" s="450"/>
      <c r="B780" s="450"/>
      <c r="C780" s="450"/>
      <c r="D780" s="450"/>
      <c r="E780" s="450"/>
      <c r="F780" s="450"/>
      <c r="G780" s="450"/>
      <c r="H780" s="450"/>
      <c r="I780" s="450"/>
      <c r="J780" s="450"/>
      <c r="K780" s="450"/>
      <c r="L780" s="450"/>
      <c r="M780" s="450"/>
      <c r="N780" s="450"/>
      <c r="O780" s="450"/>
      <c r="P780" s="450"/>
      <c r="Q780" s="450"/>
      <c r="R780" s="450"/>
      <c r="S780" s="450"/>
      <c r="T780" s="450"/>
      <c r="U780" s="450"/>
      <c r="V780" s="450"/>
      <c r="W780" s="450"/>
      <c r="X780" s="450"/>
      <c r="Y780" s="450"/>
      <c r="Z780" s="450"/>
      <c r="AA780" s="450"/>
      <c r="AB780" s="450"/>
      <c r="AC780" s="450"/>
      <c r="AD780" s="450"/>
      <c r="AE780" s="450"/>
      <c r="AF780" s="450"/>
      <c r="AG780" s="450"/>
      <c r="AH780" s="450"/>
      <c r="AI780" s="450"/>
      <c r="AJ780" s="450"/>
      <c r="AK780" s="450"/>
      <c r="AL780" s="450"/>
      <c r="AM780" s="450"/>
      <c r="AN780" s="450"/>
      <c r="AO780" s="450"/>
      <c r="AP780" s="450"/>
      <c r="AQ780" s="450"/>
      <c r="AR780" s="450"/>
      <c r="AS780" s="450"/>
      <c r="AT780" s="450"/>
      <c r="AU780" s="450"/>
      <c r="AV780" s="450"/>
      <c r="AW780" s="450"/>
      <c r="AX780" s="450"/>
      <c r="AY780" s="450"/>
      <c r="AZ780" s="450"/>
      <c r="BA780" s="450"/>
      <c r="BB780" s="450"/>
      <c r="BC780" s="450"/>
      <c r="BD780" s="450"/>
      <c r="BE780" s="450"/>
      <c r="BF780" s="450"/>
      <c r="BG780" s="450"/>
      <c r="BH780" s="450"/>
      <c r="BI780" s="450"/>
      <c r="BJ780" s="450"/>
      <c r="BK780" s="450"/>
      <c r="BL780" s="450"/>
      <c r="BM780" s="450"/>
    </row>
    <row r="781" spans="1:65" ht="11.15">
      <c r="A781" s="450"/>
      <c r="B781" s="450"/>
      <c r="C781" s="450"/>
      <c r="D781" s="450"/>
      <c r="E781" s="450"/>
      <c r="F781" s="450"/>
      <c r="G781" s="450"/>
      <c r="H781" s="450"/>
      <c r="I781" s="450"/>
      <c r="J781" s="450"/>
      <c r="K781" s="450"/>
      <c r="L781" s="450"/>
      <c r="M781" s="450"/>
      <c r="N781" s="450"/>
      <c r="O781" s="450"/>
      <c r="P781" s="450"/>
      <c r="Q781" s="450"/>
      <c r="R781" s="450"/>
      <c r="S781" s="450"/>
      <c r="T781" s="450"/>
      <c r="U781" s="450"/>
      <c r="V781" s="450"/>
      <c r="W781" s="450"/>
      <c r="X781" s="450"/>
      <c r="Y781" s="450"/>
      <c r="Z781" s="450"/>
      <c r="AA781" s="450"/>
      <c r="AB781" s="450"/>
      <c r="AC781" s="450"/>
      <c r="AD781" s="450"/>
      <c r="AE781" s="450"/>
      <c r="AF781" s="450"/>
      <c r="AG781" s="450"/>
      <c r="AH781" s="450"/>
      <c r="AI781" s="450"/>
      <c r="AJ781" s="450"/>
      <c r="AK781" s="450"/>
      <c r="AL781" s="450"/>
      <c r="AM781" s="450"/>
      <c r="AN781" s="450"/>
      <c r="AO781" s="450"/>
      <c r="AP781" s="450"/>
      <c r="AQ781" s="450"/>
      <c r="AR781" s="450"/>
      <c r="AS781" s="450"/>
      <c r="AT781" s="450"/>
      <c r="AU781" s="450"/>
      <c r="AV781" s="450"/>
      <c r="AW781" s="450"/>
      <c r="AX781" s="450"/>
      <c r="AY781" s="450"/>
      <c r="AZ781" s="450"/>
      <c r="BA781" s="450"/>
      <c r="BB781" s="450"/>
      <c r="BC781" s="450"/>
      <c r="BD781" s="450"/>
      <c r="BE781" s="450"/>
      <c r="BF781" s="450"/>
      <c r="BG781" s="450"/>
      <c r="BH781" s="450"/>
      <c r="BI781" s="450"/>
      <c r="BJ781" s="450"/>
      <c r="BK781" s="450"/>
      <c r="BL781" s="450"/>
      <c r="BM781" s="450"/>
    </row>
    <row r="782" spans="1:65" ht="11.15">
      <c r="A782" s="450"/>
      <c r="B782" s="450"/>
      <c r="C782" s="450"/>
      <c r="D782" s="450"/>
      <c r="E782" s="450"/>
      <c r="F782" s="450"/>
      <c r="G782" s="450"/>
      <c r="H782" s="450"/>
      <c r="I782" s="450"/>
      <c r="J782" s="450"/>
      <c r="K782" s="450"/>
      <c r="L782" s="450"/>
      <c r="M782" s="450"/>
      <c r="N782" s="450"/>
      <c r="O782" s="450"/>
      <c r="P782" s="450"/>
      <c r="Q782" s="450"/>
      <c r="R782" s="450"/>
      <c r="S782" s="450"/>
      <c r="T782" s="450"/>
      <c r="U782" s="450"/>
      <c r="V782" s="450"/>
      <c r="W782" s="450"/>
      <c r="X782" s="450"/>
      <c r="Y782" s="450"/>
      <c r="Z782" s="450"/>
      <c r="AA782" s="450"/>
      <c r="AB782" s="450"/>
      <c r="AC782" s="450"/>
      <c r="AD782" s="450"/>
      <c r="AE782" s="450"/>
      <c r="AF782" s="450"/>
      <c r="AG782" s="450"/>
      <c r="AH782" s="450"/>
      <c r="AI782" s="450"/>
      <c r="AJ782" s="450"/>
      <c r="AK782" s="450"/>
      <c r="AL782" s="450"/>
      <c r="AM782" s="450"/>
      <c r="AN782" s="450"/>
      <c r="AO782" s="450"/>
      <c r="AP782" s="450"/>
      <c r="AQ782" s="450"/>
      <c r="AR782" s="450"/>
      <c r="AS782" s="450"/>
      <c r="AT782" s="450"/>
      <c r="AU782" s="450"/>
      <c r="AV782" s="450"/>
      <c r="AW782" s="450"/>
      <c r="AX782" s="450"/>
      <c r="AY782" s="450"/>
      <c r="AZ782" s="450"/>
      <c r="BA782" s="450"/>
      <c r="BB782" s="450"/>
      <c r="BC782" s="450"/>
      <c r="BD782" s="450"/>
      <c r="BE782" s="450"/>
      <c r="BF782" s="450"/>
      <c r="BG782" s="450"/>
      <c r="BH782" s="450"/>
      <c r="BI782" s="450"/>
      <c r="BJ782" s="450"/>
      <c r="BK782" s="450"/>
      <c r="BL782" s="450"/>
      <c r="BM782" s="450"/>
    </row>
    <row r="783" spans="1:65" ht="11.15">
      <c r="A783" s="450"/>
      <c r="B783" s="450"/>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c r="Z783" s="450"/>
      <c r="AA783" s="450"/>
      <c r="AB783" s="450"/>
      <c r="AC783" s="450"/>
      <c r="AD783" s="450"/>
      <c r="AE783" s="450"/>
      <c r="AF783" s="450"/>
      <c r="AG783" s="450"/>
      <c r="AH783" s="450"/>
      <c r="AI783" s="450"/>
      <c r="AJ783" s="450"/>
      <c r="AK783" s="450"/>
      <c r="AL783" s="450"/>
      <c r="AM783" s="450"/>
      <c r="AN783" s="450"/>
      <c r="AO783" s="450"/>
      <c r="AP783" s="450"/>
      <c r="AQ783" s="450"/>
      <c r="AR783" s="450"/>
      <c r="AS783" s="450"/>
      <c r="AT783" s="450"/>
      <c r="AU783" s="450"/>
      <c r="AV783" s="450"/>
      <c r="AW783" s="450"/>
      <c r="AX783" s="450"/>
      <c r="AY783" s="450"/>
      <c r="AZ783" s="450"/>
      <c r="BA783" s="450"/>
      <c r="BB783" s="450"/>
      <c r="BC783" s="450"/>
      <c r="BD783" s="450"/>
      <c r="BE783" s="450"/>
      <c r="BF783" s="450"/>
      <c r="BG783" s="450"/>
      <c r="BH783" s="450"/>
      <c r="BI783" s="450"/>
      <c r="BJ783" s="450"/>
      <c r="BK783" s="450"/>
      <c r="BL783" s="450"/>
      <c r="BM783" s="450"/>
    </row>
    <row r="784" spans="1:65" ht="11.15">
      <c r="A784" s="450"/>
      <c r="B784" s="450"/>
      <c r="C784" s="450"/>
      <c r="D784" s="450"/>
      <c r="E784" s="450"/>
      <c r="F784" s="450"/>
      <c r="G784" s="450"/>
      <c r="H784" s="450"/>
      <c r="I784" s="450"/>
      <c r="J784" s="450"/>
      <c r="K784" s="450"/>
      <c r="L784" s="450"/>
      <c r="M784" s="450"/>
      <c r="N784" s="450"/>
      <c r="O784" s="450"/>
      <c r="P784" s="450"/>
      <c r="Q784" s="450"/>
      <c r="R784" s="450"/>
      <c r="S784" s="450"/>
      <c r="T784" s="450"/>
      <c r="U784" s="450"/>
      <c r="V784" s="450"/>
      <c r="W784" s="450"/>
      <c r="X784" s="450"/>
      <c r="Y784" s="450"/>
      <c r="Z784" s="450"/>
      <c r="AA784" s="450"/>
      <c r="AB784" s="450"/>
      <c r="AC784" s="450"/>
      <c r="AD784" s="450"/>
      <c r="AE784" s="450"/>
      <c r="AF784" s="450"/>
      <c r="AG784" s="450"/>
      <c r="AH784" s="450"/>
      <c r="AI784" s="450"/>
      <c r="AJ784" s="450"/>
      <c r="AK784" s="450"/>
      <c r="AL784" s="450"/>
      <c r="AM784" s="450"/>
      <c r="AN784" s="450"/>
      <c r="AO784" s="450"/>
      <c r="AP784" s="450"/>
      <c r="AQ784" s="450"/>
      <c r="AR784" s="450"/>
      <c r="AS784" s="450"/>
      <c r="AT784" s="450"/>
      <c r="AU784" s="450"/>
      <c r="AV784" s="450"/>
      <c r="AW784" s="450"/>
      <c r="AX784" s="450"/>
      <c r="AY784" s="450"/>
      <c r="AZ784" s="450"/>
      <c r="BA784" s="450"/>
      <c r="BB784" s="450"/>
      <c r="BC784" s="450"/>
      <c r="BD784" s="450"/>
      <c r="BE784" s="450"/>
      <c r="BF784" s="450"/>
      <c r="BG784" s="450"/>
      <c r="BH784" s="450"/>
      <c r="BI784" s="450"/>
      <c r="BJ784" s="450"/>
      <c r="BK784" s="450"/>
      <c r="BL784" s="450"/>
      <c r="BM784" s="450"/>
    </row>
    <row r="785" spans="1:65" ht="11.15">
      <c r="A785" s="450"/>
      <c r="B785" s="450"/>
      <c r="C785" s="450"/>
      <c r="D785" s="450"/>
      <c r="E785" s="450"/>
      <c r="F785" s="450"/>
      <c r="G785" s="450"/>
      <c r="H785" s="450"/>
      <c r="I785" s="450"/>
      <c r="J785" s="450"/>
      <c r="K785" s="450"/>
      <c r="L785" s="450"/>
      <c r="M785" s="450"/>
      <c r="N785" s="450"/>
      <c r="O785" s="450"/>
      <c r="P785" s="450"/>
      <c r="Q785" s="450"/>
      <c r="R785" s="450"/>
      <c r="S785" s="450"/>
      <c r="T785" s="450"/>
      <c r="U785" s="450"/>
      <c r="V785" s="450"/>
      <c r="W785" s="450"/>
      <c r="X785" s="450"/>
      <c r="Y785" s="450"/>
      <c r="Z785" s="450"/>
      <c r="AA785" s="450"/>
      <c r="AB785" s="450"/>
      <c r="AC785" s="450"/>
      <c r="AD785" s="450"/>
      <c r="AE785" s="450"/>
      <c r="AF785" s="450"/>
      <c r="AG785" s="450"/>
      <c r="AH785" s="450"/>
      <c r="AI785" s="450"/>
      <c r="AJ785" s="450"/>
      <c r="AK785" s="450"/>
      <c r="AL785" s="450"/>
      <c r="AM785" s="450"/>
      <c r="AN785" s="450"/>
      <c r="AO785" s="450"/>
      <c r="AP785" s="450"/>
      <c r="AQ785" s="450"/>
      <c r="AR785" s="450"/>
      <c r="AS785" s="450"/>
      <c r="AT785" s="450"/>
      <c r="AU785" s="450"/>
      <c r="AV785" s="450"/>
      <c r="AW785" s="450"/>
      <c r="AX785" s="450"/>
      <c r="AY785" s="450"/>
      <c r="AZ785" s="450"/>
      <c r="BA785" s="450"/>
      <c r="BB785" s="450"/>
      <c r="BC785" s="450"/>
      <c r="BD785" s="450"/>
      <c r="BE785" s="450"/>
      <c r="BF785" s="450"/>
      <c r="BG785" s="450"/>
      <c r="BH785" s="450"/>
      <c r="BI785" s="450"/>
      <c r="BJ785" s="450"/>
      <c r="BK785" s="450"/>
      <c r="BL785" s="450"/>
      <c r="BM785" s="450"/>
    </row>
    <row r="786" spans="1:65" ht="11.15">
      <c r="A786" s="450"/>
      <c r="B786" s="450"/>
      <c r="C786" s="450"/>
      <c r="D786" s="450"/>
      <c r="E786" s="450"/>
      <c r="F786" s="450"/>
      <c r="G786" s="450"/>
      <c r="H786" s="450"/>
      <c r="I786" s="450"/>
      <c r="J786" s="450"/>
      <c r="K786" s="450"/>
      <c r="L786" s="450"/>
      <c r="M786" s="450"/>
      <c r="N786" s="450"/>
      <c r="O786" s="450"/>
      <c r="P786" s="450"/>
      <c r="Q786" s="450"/>
      <c r="R786" s="450"/>
      <c r="S786" s="450"/>
      <c r="T786" s="450"/>
      <c r="U786" s="450"/>
      <c r="V786" s="450"/>
      <c r="W786" s="450"/>
      <c r="X786" s="450"/>
      <c r="Y786" s="450"/>
      <c r="Z786" s="450"/>
      <c r="AA786" s="450"/>
      <c r="AB786" s="450"/>
      <c r="AC786" s="450"/>
      <c r="AD786" s="450"/>
      <c r="AE786" s="450"/>
      <c r="AF786" s="450"/>
      <c r="AG786" s="450"/>
      <c r="AH786" s="450"/>
      <c r="AI786" s="450"/>
      <c r="AJ786" s="450"/>
      <c r="AK786" s="450"/>
      <c r="AL786" s="450"/>
      <c r="AM786" s="450"/>
      <c r="AN786" s="450"/>
      <c r="AO786" s="450"/>
      <c r="AP786" s="450"/>
      <c r="AQ786" s="450"/>
      <c r="AR786" s="450"/>
      <c r="AS786" s="450"/>
      <c r="AT786" s="450"/>
      <c r="AU786" s="450"/>
      <c r="AV786" s="450"/>
      <c r="AW786" s="450"/>
      <c r="AX786" s="450"/>
      <c r="AY786" s="450"/>
      <c r="AZ786" s="450"/>
      <c r="BA786" s="450"/>
      <c r="BB786" s="450"/>
      <c r="BC786" s="450"/>
      <c r="BD786" s="450"/>
      <c r="BE786" s="450"/>
      <c r="BF786" s="450"/>
      <c r="BG786" s="450"/>
      <c r="BH786" s="450"/>
      <c r="BI786" s="450"/>
      <c r="BJ786" s="450"/>
      <c r="BK786" s="450"/>
      <c r="BL786" s="450"/>
      <c r="BM786" s="450"/>
    </row>
    <row r="787" spans="1:65" ht="11.15">
      <c r="A787" s="450"/>
      <c r="B787" s="450"/>
      <c r="C787" s="450"/>
      <c r="D787" s="450"/>
      <c r="E787" s="450"/>
      <c r="F787" s="450"/>
      <c r="G787" s="450"/>
      <c r="H787" s="450"/>
      <c r="I787" s="450"/>
      <c r="J787" s="450"/>
      <c r="K787" s="450"/>
      <c r="L787" s="450"/>
      <c r="M787" s="450"/>
      <c r="N787" s="450"/>
      <c r="O787" s="450"/>
      <c r="P787" s="450"/>
      <c r="Q787" s="450"/>
      <c r="R787" s="450"/>
      <c r="S787" s="450"/>
      <c r="T787" s="450"/>
      <c r="U787" s="450"/>
      <c r="V787" s="450"/>
      <c r="W787" s="450"/>
      <c r="X787" s="450"/>
      <c r="Y787" s="450"/>
      <c r="Z787" s="450"/>
      <c r="AA787" s="450"/>
      <c r="AB787" s="450"/>
      <c r="AC787" s="450"/>
      <c r="AD787" s="450"/>
      <c r="AE787" s="450"/>
      <c r="AF787" s="450"/>
      <c r="AG787" s="450"/>
      <c r="AH787" s="450"/>
      <c r="AI787" s="450"/>
      <c r="AJ787" s="450"/>
      <c r="AK787" s="450"/>
      <c r="AL787" s="450"/>
      <c r="AM787" s="450"/>
      <c r="AN787" s="450"/>
      <c r="AO787" s="450"/>
      <c r="AP787" s="450"/>
      <c r="AQ787" s="450"/>
      <c r="AR787" s="450"/>
      <c r="AS787" s="450"/>
      <c r="AT787" s="450"/>
      <c r="AU787" s="450"/>
      <c r="AV787" s="450"/>
      <c r="AW787" s="450"/>
      <c r="AX787" s="450"/>
      <c r="AY787" s="450"/>
      <c r="AZ787" s="450"/>
      <c r="BA787" s="450"/>
      <c r="BB787" s="450"/>
      <c r="BC787" s="450"/>
      <c r="BD787" s="450"/>
      <c r="BE787" s="450"/>
      <c r="BF787" s="450"/>
      <c r="BG787" s="450"/>
      <c r="BH787" s="450"/>
      <c r="BI787" s="450"/>
      <c r="BJ787" s="450"/>
      <c r="BK787" s="450"/>
      <c r="BL787" s="450"/>
      <c r="BM787" s="450"/>
    </row>
    <row r="788" spans="1:65" ht="11.15">
      <c r="A788" s="450"/>
      <c r="B788" s="450"/>
      <c r="C788" s="450"/>
      <c r="D788" s="450"/>
      <c r="E788" s="450"/>
      <c r="F788" s="450"/>
      <c r="G788" s="450"/>
      <c r="H788" s="450"/>
      <c r="I788" s="450"/>
      <c r="J788" s="450"/>
      <c r="K788" s="450"/>
      <c r="L788" s="450"/>
      <c r="M788" s="450"/>
      <c r="N788" s="450"/>
      <c r="O788" s="450"/>
      <c r="P788" s="450"/>
      <c r="Q788" s="450"/>
      <c r="R788" s="450"/>
      <c r="S788" s="450"/>
      <c r="T788" s="450"/>
      <c r="U788" s="450"/>
      <c r="V788" s="450"/>
      <c r="W788" s="450"/>
      <c r="X788" s="450"/>
      <c r="Y788" s="450"/>
      <c r="Z788" s="450"/>
      <c r="AA788" s="450"/>
      <c r="AB788" s="450"/>
      <c r="AC788" s="450"/>
      <c r="AD788" s="450"/>
      <c r="AE788" s="450"/>
      <c r="AF788" s="450"/>
      <c r="AG788" s="450"/>
      <c r="AH788" s="450"/>
      <c r="AI788" s="450"/>
      <c r="AJ788" s="450"/>
      <c r="AK788" s="450"/>
      <c r="AL788" s="450"/>
      <c r="AM788" s="450"/>
      <c r="AN788" s="450"/>
      <c r="AO788" s="450"/>
      <c r="AP788" s="450"/>
      <c r="AQ788" s="450"/>
      <c r="AR788" s="450"/>
      <c r="AS788" s="450"/>
      <c r="AT788" s="450"/>
      <c r="AU788" s="450"/>
      <c r="AV788" s="450"/>
      <c r="AW788" s="450"/>
      <c r="AX788" s="450"/>
      <c r="AY788" s="450"/>
      <c r="AZ788" s="450"/>
      <c r="BA788" s="450"/>
      <c r="BB788" s="450"/>
      <c r="BC788" s="450"/>
      <c r="BD788" s="450"/>
      <c r="BE788" s="450"/>
      <c r="BF788" s="450"/>
      <c r="BG788" s="450"/>
      <c r="BH788" s="450"/>
      <c r="BI788" s="450"/>
      <c r="BJ788" s="450"/>
      <c r="BK788" s="450"/>
      <c r="BL788" s="450"/>
      <c r="BM788" s="450"/>
    </row>
    <row r="789" spans="1:65" ht="11.15">
      <c r="A789" s="450"/>
      <c r="B789" s="450"/>
      <c r="C789" s="450"/>
      <c r="D789" s="450"/>
      <c r="E789" s="450"/>
      <c r="F789" s="450"/>
      <c r="G789" s="450"/>
      <c r="H789" s="450"/>
      <c r="I789" s="450"/>
      <c r="J789" s="450"/>
      <c r="K789" s="450"/>
      <c r="L789" s="450"/>
      <c r="M789" s="450"/>
      <c r="N789" s="450"/>
      <c r="O789" s="450"/>
      <c r="P789" s="450"/>
      <c r="Q789" s="450"/>
      <c r="R789" s="450"/>
      <c r="S789" s="450"/>
      <c r="T789" s="450"/>
      <c r="U789" s="450"/>
      <c r="V789" s="450"/>
      <c r="W789" s="450"/>
      <c r="X789" s="450"/>
      <c r="Y789" s="450"/>
      <c r="Z789" s="450"/>
      <c r="AA789" s="450"/>
      <c r="AB789" s="450"/>
      <c r="AC789" s="450"/>
      <c r="AD789" s="450"/>
      <c r="AE789" s="450"/>
      <c r="AF789" s="450"/>
      <c r="AG789" s="450"/>
      <c r="AH789" s="450"/>
      <c r="AI789" s="450"/>
      <c r="AJ789" s="450"/>
      <c r="AK789" s="450"/>
      <c r="AL789" s="450"/>
      <c r="AM789" s="450"/>
      <c r="AN789" s="450"/>
      <c r="AO789" s="450"/>
      <c r="AP789" s="450"/>
      <c r="AQ789" s="450"/>
      <c r="AR789" s="450"/>
      <c r="AS789" s="450"/>
      <c r="AT789" s="450"/>
      <c r="AU789" s="450"/>
      <c r="AV789" s="450"/>
      <c r="AW789" s="450"/>
      <c r="AX789" s="450"/>
      <c r="AY789" s="450"/>
      <c r="AZ789" s="450"/>
      <c r="BA789" s="450"/>
      <c r="BB789" s="450"/>
      <c r="BC789" s="450"/>
      <c r="BD789" s="450"/>
      <c r="BE789" s="450"/>
      <c r="BF789" s="450"/>
      <c r="BG789" s="450"/>
      <c r="BH789" s="450"/>
      <c r="BI789" s="450"/>
      <c r="BJ789" s="450"/>
      <c r="BK789" s="450"/>
      <c r="BL789" s="450"/>
      <c r="BM789" s="450"/>
    </row>
    <row r="790" spans="1:65" ht="11.15">
      <c r="A790" s="450"/>
      <c r="B790" s="450"/>
      <c r="C790" s="450"/>
      <c r="D790" s="450"/>
      <c r="E790" s="450"/>
      <c r="F790" s="450"/>
      <c r="G790" s="450"/>
      <c r="H790" s="450"/>
      <c r="I790" s="450"/>
      <c r="J790" s="450"/>
      <c r="K790" s="450"/>
      <c r="L790" s="450"/>
      <c r="M790" s="450"/>
      <c r="N790" s="450"/>
      <c r="O790" s="450"/>
      <c r="P790" s="450"/>
      <c r="Q790" s="450"/>
      <c r="R790" s="450"/>
      <c r="S790" s="450"/>
      <c r="T790" s="450"/>
      <c r="U790" s="450"/>
      <c r="V790" s="450"/>
      <c r="W790" s="450"/>
      <c r="X790" s="450"/>
      <c r="Y790" s="450"/>
      <c r="Z790" s="450"/>
      <c r="AA790" s="450"/>
      <c r="AB790" s="450"/>
      <c r="AC790" s="450"/>
      <c r="AD790" s="450"/>
      <c r="AE790" s="450"/>
      <c r="AF790" s="450"/>
      <c r="AG790" s="450"/>
      <c r="AH790" s="450"/>
      <c r="AI790" s="450"/>
      <c r="AJ790" s="450"/>
      <c r="AK790" s="450"/>
      <c r="AL790" s="450"/>
      <c r="AM790" s="450"/>
      <c r="AN790" s="450"/>
      <c r="AO790" s="450"/>
      <c r="AP790" s="450"/>
      <c r="AQ790" s="450"/>
      <c r="AR790" s="450"/>
      <c r="AS790" s="450"/>
      <c r="AT790" s="450"/>
      <c r="AU790" s="450"/>
      <c r="AV790" s="450"/>
      <c r="AW790" s="450"/>
      <c r="AX790" s="450"/>
      <c r="AY790" s="450"/>
      <c r="AZ790" s="450"/>
      <c r="BA790" s="450"/>
      <c r="BB790" s="450"/>
      <c r="BC790" s="450"/>
      <c r="BD790" s="450"/>
      <c r="BE790" s="450"/>
      <c r="BF790" s="450"/>
      <c r="BG790" s="450"/>
      <c r="BH790" s="450"/>
      <c r="BI790" s="450"/>
      <c r="BJ790" s="450"/>
      <c r="BK790" s="450"/>
      <c r="BL790" s="450"/>
      <c r="BM790" s="450"/>
    </row>
    <row r="791" spans="1:65" ht="11.15">
      <c r="A791" s="450"/>
      <c r="B791" s="450"/>
      <c r="C791" s="450"/>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450"/>
      <c r="AE791" s="450"/>
      <c r="AF791" s="450"/>
      <c r="AG791" s="450"/>
      <c r="AH791" s="450"/>
      <c r="AI791" s="450"/>
      <c r="AJ791" s="450"/>
      <c r="AK791" s="450"/>
      <c r="AL791" s="450"/>
      <c r="AM791" s="450"/>
      <c r="AN791" s="450"/>
      <c r="AO791" s="450"/>
      <c r="AP791" s="450"/>
      <c r="AQ791" s="450"/>
      <c r="AR791" s="450"/>
      <c r="AS791" s="450"/>
      <c r="AT791" s="450"/>
      <c r="AU791" s="450"/>
      <c r="AV791" s="450"/>
      <c r="AW791" s="450"/>
      <c r="AX791" s="450"/>
      <c r="AY791" s="450"/>
      <c r="AZ791" s="450"/>
      <c r="BA791" s="450"/>
      <c r="BB791" s="450"/>
      <c r="BC791" s="450"/>
      <c r="BD791" s="450"/>
      <c r="BE791" s="450"/>
      <c r="BF791" s="450"/>
      <c r="BG791" s="450"/>
      <c r="BH791" s="450"/>
      <c r="BI791" s="450"/>
      <c r="BJ791" s="450"/>
      <c r="BK791" s="450"/>
      <c r="BL791" s="450"/>
      <c r="BM791" s="450"/>
    </row>
    <row r="792" spans="1:65" ht="11.15">
      <c r="A792" s="450"/>
      <c r="B792" s="450"/>
      <c r="C792" s="450"/>
      <c r="D792" s="450"/>
      <c r="E792" s="450"/>
      <c r="F792" s="450"/>
      <c r="G792" s="450"/>
      <c r="H792" s="450"/>
      <c r="I792" s="450"/>
      <c r="J792" s="450"/>
      <c r="K792" s="450"/>
      <c r="L792" s="450"/>
      <c r="M792" s="450"/>
      <c r="N792" s="450"/>
      <c r="O792" s="450"/>
      <c r="P792" s="450"/>
      <c r="Q792" s="450"/>
      <c r="R792" s="450"/>
      <c r="S792" s="450"/>
      <c r="T792" s="450"/>
      <c r="U792" s="450"/>
      <c r="V792" s="450"/>
      <c r="W792" s="450"/>
      <c r="X792" s="450"/>
      <c r="Y792" s="450"/>
      <c r="Z792" s="450"/>
      <c r="AA792" s="450"/>
      <c r="AB792" s="450"/>
      <c r="AC792" s="450"/>
      <c r="AD792" s="450"/>
      <c r="AE792" s="450"/>
      <c r="AF792" s="450"/>
      <c r="AG792" s="450"/>
      <c r="AH792" s="450"/>
      <c r="AI792" s="450"/>
      <c r="AJ792" s="450"/>
      <c r="AK792" s="450"/>
      <c r="AL792" s="450"/>
      <c r="AM792" s="450"/>
      <c r="AN792" s="450"/>
      <c r="AO792" s="450"/>
      <c r="AP792" s="450"/>
      <c r="AQ792" s="450"/>
      <c r="AR792" s="450"/>
      <c r="AS792" s="450"/>
      <c r="AT792" s="450"/>
      <c r="AU792" s="450"/>
      <c r="AV792" s="450"/>
      <c r="AW792" s="450"/>
      <c r="AX792" s="450"/>
      <c r="AY792" s="450"/>
      <c r="AZ792" s="450"/>
      <c r="BA792" s="450"/>
      <c r="BB792" s="450"/>
      <c r="BC792" s="450"/>
      <c r="BD792" s="450"/>
      <c r="BE792" s="450"/>
      <c r="BF792" s="450"/>
      <c r="BG792" s="450"/>
      <c r="BH792" s="450"/>
      <c r="BI792" s="450"/>
      <c r="BJ792" s="450"/>
      <c r="BK792" s="450"/>
      <c r="BL792" s="450"/>
      <c r="BM792" s="450"/>
    </row>
    <row r="793" spans="1:65" ht="11.15">
      <c r="A793" s="450"/>
      <c r="B793" s="450"/>
      <c r="C793" s="450"/>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450"/>
      <c r="AE793" s="450"/>
      <c r="AF793" s="450"/>
      <c r="AG793" s="450"/>
      <c r="AH793" s="450"/>
      <c r="AI793" s="450"/>
      <c r="AJ793" s="450"/>
      <c r="AK793" s="450"/>
      <c r="AL793" s="450"/>
      <c r="AM793" s="450"/>
      <c r="AN793" s="450"/>
      <c r="AO793" s="450"/>
      <c r="AP793" s="450"/>
      <c r="AQ793" s="450"/>
      <c r="AR793" s="450"/>
      <c r="AS793" s="450"/>
      <c r="AT793" s="450"/>
      <c r="AU793" s="450"/>
      <c r="AV793" s="450"/>
      <c r="AW793" s="450"/>
      <c r="AX793" s="450"/>
      <c r="AY793" s="450"/>
      <c r="AZ793" s="450"/>
      <c r="BA793" s="450"/>
      <c r="BB793" s="450"/>
      <c r="BC793" s="450"/>
      <c r="BD793" s="450"/>
      <c r="BE793" s="450"/>
      <c r="BF793" s="450"/>
      <c r="BG793" s="450"/>
      <c r="BH793" s="450"/>
      <c r="BI793" s="450"/>
      <c r="BJ793" s="450"/>
      <c r="BK793" s="450"/>
      <c r="BL793" s="450"/>
      <c r="BM793" s="450"/>
    </row>
    <row r="794" spans="1:65" ht="11.15">
      <c r="A794" s="450"/>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c r="AA794" s="450"/>
      <c r="AB794" s="450"/>
      <c r="AC794" s="450"/>
      <c r="AD794" s="450"/>
      <c r="AE794" s="450"/>
      <c r="AF794" s="450"/>
      <c r="AG794" s="450"/>
      <c r="AH794" s="450"/>
      <c r="AI794" s="450"/>
      <c r="AJ794" s="450"/>
      <c r="AK794" s="450"/>
      <c r="AL794" s="450"/>
      <c r="AM794" s="450"/>
      <c r="AN794" s="450"/>
      <c r="AO794" s="450"/>
      <c r="AP794" s="450"/>
      <c r="AQ794" s="450"/>
      <c r="AR794" s="450"/>
      <c r="AS794" s="450"/>
      <c r="AT794" s="450"/>
      <c r="AU794" s="450"/>
      <c r="AV794" s="450"/>
      <c r="AW794" s="450"/>
      <c r="AX794" s="450"/>
      <c r="AY794" s="450"/>
      <c r="AZ794" s="450"/>
      <c r="BA794" s="450"/>
      <c r="BB794" s="450"/>
      <c r="BC794" s="450"/>
      <c r="BD794" s="450"/>
      <c r="BE794" s="450"/>
      <c r="BF794" s="450"/>
      <c r="BG794" s="450"/>
      <c r="BH794" s="450"/>
      <c r="BI794" s="450"/>
      <c r="BJ794" s="450"/>
      <c r="BK794" s="450"/>
      <c r="BL794" s="450"/>
      <c r="BM794" s="450"/>
    </row>
    <row r="795" spans="1:65" ht="11.15">
      <c r="A795" s="450"/>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450"/>
      <c r="AD795" s="450"/>
      <c r="AE795" s="450"/>
      <c r="AF795" s="450"/>
      <c r="AG795" s="450"/>
      <c r="AH795" s="450"/>
      <c r="AI795" s="450"/>
      <c r="AJ795" s="450"/>
      <c r="AK795" s="450"/>
      <c r="AL795" s="450"/>
      <c r="AM795" s="450"/>
      <c r="AN795" s="450"/>
      <c r="AO795" s="450"/>
      <c r="AP795" s="450"/>
      <c r="AQ795" s="450"/>
      <c r="AR795" s="450"/>
      <c r="AS795" s="450"/>
      <c r="AT795" s="450"/>
      <c r="AU795" s="450"/>
      <c r="AV795" s="450"/>
      <c r="AW795" s="450"/>
      <c r="AX795" s="450"/>
      <c r="AY795" s="450"/>
      <c r="AZ795" s="450"/>
      <c r="BA795" s="450"/>
      <c r="BB795" s="450"/>
      <c r="BC795" s="450"/>
      <c r="BD795" s="450"/>
      <c r="BE795" s="450"/>
      <c r="BF795" s="450"/>
      <c r="BG795" s="450"/>
      <c r="BH795" s="450"/>
      <c r="BI795" s="450"/>
      <c r="BJ795" s="450"/>
      <c r="BK795" s="450"/>
      <c r="BL795" s="450"/>
      <c r="BM795" s="450"/>
    </row>
    <row r="796" spans="1:65" ht="11.15">
      <c r="A796" s="450"/>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c r="AN796" s="450"/>
      <c r="AO796" s="450"/>
      <c r="AP796" s="450"/>
      <c r="AQ796" s="450"/>
      <c r="AR796" s="450"/>
      <c r="AS796" s="450"/>
      <c r="AT796" s="450"/>
      <c r="AU796" s="450"/>
      <c r="AV796" s="450"/>
      <c r="AW796" s="450"/>
      <c r="AX796" s="450"/>
      <c r="AY796" s="450"/>
      <c r="AZ796" s="450"/>
      <c r="BA796" s="450"/>
      <c r="BB796" s="450"/>
      <c r="BC796" s="450"/>
      <c r="BD796" s="450"/>
      <c r="BE796" s="450"/>
      <c r="BF796" s="450"/>
      <c r="BG796" s="450"/>
      <c r="BH796" s="450"/>
      <c r="BI796" s="450"/>
      <c r="BJ796" s="450"/>
      <c r="BK796" s="450"/>
      <c r="BL796" s="450"/>
      <c r="BM796" s="450"/>
    </row>
    <row r="797" spans="1:65" ht="11.15">
      <c r="A797" s="450"/>
      <c r="B797" s="450"/>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c r="Z797" s="450"/>
      <c r="AA797" s="450"/>
      <c r="AB797" s="450"/>
      <c r="AC797" s="450"/>
      <c r="AD797" s="450"/>
      <c r="AE797" s="450"/>
      <c r="AF797" s="450"/>
      <c r="AG797" s="450"/>
      <c r="AH797" s="450"/>
      <c r="AI797" s="450"/>
      <c r="AJ797" s="450"/>
      <c r="AK797" s="450"/>
      <c r="AL797" s="450"/>
      <c r="AM797" s="450"/>
      <c r="AN797" s="450"/>
      <c r="AO797" s="450"/>
      <c r="AP797" s="450"/>
      <c r="AQ797" s="450"/>
      <c r="AR797" s="450"/>
      <c r="AS797" s="450"/>
      <c r="AT797" s="450"/>
      <c r="AU797" s="450"/>
      <c r="AV797" s="450"/>
      <c r="AW797" s="450"/>
      <c r="AX797" s="450"/>
      <c r="AY797" s="450"/>
      <c r="AZ797" s="450"/>
      <c r="BA797" s="450"/>
      <c r="BB797" s="450"/>
      <c r="BC797" s="450"/>
      <c r="BD797" s="450"/>
      <c r="BE797" s="450"/>
      <c r="BF797" s="450"/>
      <c r="BG797" s="450"/>
      <c r="BH797" s="450"/>
      <c r="BI797" s="450"/>
      <c r="BJ797" s="450"/>
      <c r="BK797" s="450"/>
      <c r="BL797" s="450"/>
      <c r="BM797" s="450"/>
    </row>
    <row r="798" spans="1:65" ht="11.15">
      <c r="A798" s="450"/>
      <c r="B798" s="450"/>
      <c r="C798" s="450"/>
      <c r="D798" s="450"/>
      <c r="E798" s="450"/>
      <c r="F798" s="450"/>
      <c r="G798" s="450"/>
      <c r="H798" s="450"/>
      <c r="I798" s="450"/>
      <c r="J798" s="450"/>
      <c r="K798" s="450"/>
      <c r="L798" s="450"/>
      <c r="M798" s="450"/>
      <c r="N798" s="450"/>
      <c r="O798" s="450"/>
      <c r="P798" s="450"/>
      <c r="Q798" s="450"/>
      <c r="R798" s="450"/>
      <c r="S798" s="450"/>
      <c r="T798" s="450"/>
      <c r="U798" s="450"/>
      <c r="V798" s="450"/>
      <c r="W798" s="450"/>
      <c r="X798" s="450"/>
      <c r="Y798" s="450"/>
      <c r="Z798" s="450"/>
      <c r="AA798" s="450"/>
      <c r="AB798" s="450"/>
      <c r="AC798" s="450"/>
      <c r="AD798" s="450"/>
      <c r="AE798" s="450"/>
      <c r="AF798" s="450"/>
      <c r="AG798" s="450"/>
      <c r="AH798" s="450"/>
      <c r="AI798" s="450"/>
      <c r="AJ798" s="450"/>
      <c r="AK798" s="450"/>
      <c r="AL798" s="450"/>
      <c r="AM798" s="450"/>
      <c r="AN798" s="450"/>
      <c r="AO798" s="450"/>
      <c r="AP798" s="450"/>
      <c r="AQ798" s="450"/>
      <c r="AR798" s="450"/>
      <c r="AS798" s="450"/>
      <c r="AT798" s="450"/>
      <c r="AU798" s="450"/>
      <c r="AV798" s="450"/>
      <c r="AW798" s="450"/>
      <c r="AX798" s="450"/>
      <c r="AY798" s="450"/>
      <c r="AZ798" s="450"/>
      <c r="BA798" s="450"/>
      <c r="BB798" s="450"/>
      <c r="BC798" s="450"/>
      <c r="BD798" s="450"/>
      <c r="BE798" s="450"/>
      <c r="BF798" s="450"/>
      <c r="BG798" s="450"/>
      <c r="BH798" s="450"/>
      <c r="BI798" s="450"/>
      <c r="BJ798" s="450"/>
      <c r="BK798" s="450"/>
      <c r="BL798" s="450"/>
      <c r="BM798" s="450"/>
    </row>
    <row r="799" spans="1:65" ht="11.15">
      <c r="A799" s="450"/>
      <c r="B799" s="450"/>
      <c r="C799" s="450"/>
      <c r="D799" s="450"/>
      <c r="E799" s="450"/>
      <c r="F799" s="450"/>
      <c r="G799" s="450"/>
      <c r="H799" s="450"/>
      <c r="I799" s="450"/>
      <c r="J799" s="450"/>
      <c r="K799" s="450"/>
      <c r="L799" s="450"/>
      <c r="M799" s="450"/>
      <c r="N799" s="450"/>
      <c r="O799" s="450"/>
      <c r="P799" s="450"/>
      <c r="Q799" s="450"/>
      <c r="R799" s="450"/>
      <c r="S799" s="450"/>
      <c r="T799" s="450"/>
      <c r="U799" s="450"/>
      <c r="V799" s="450"/>
      <c r="W799" s="450"/>
      <c r="X799" s="450"/>
      <c r="Y799" s="450"/>
      <c r="Z799" s="450"/>
      <c r="AA799" s="450"/>
      <c r="AB799" s="450"/>
      <c r="AC799" s="450"/>
      <c r="AD799" s="450"/>
      <c r="AE799" s="450"/>
      <c r="AF799" s="450"/>
      <c r="AG799" s="450"/>
      <c r="AH799" s="450"/>
      <c r="AI799" s="450"/>
      <c r="AJ799" s="450"/>
      <c r="AK799" s="450"/>
      <c r="AL799" s="450"/>
      <c r="AM799" s="450"/>
      <c r="AN799" s="450"/>
      <c r="AO799" s="450"/>
      <c r="AP799" s="450"/>
      <c r="AQ799" s="450"/>
      <c r="AR799" s="450"/>
      <c r="AS799" s="450"/>
      <c r="AT799" s="450"/>
      <c r="AU799" s="450"/>
      <c r="AV799" s="450"/>
      <c r="AW799" s="450"/>
      <c r="AX799" s="450"/>
      <c r="AY799" s="450"/>
      <c r="AZ799" s="450"/>
      <c r="BA799" s="450"/>
      <c r="BB799" s="450"/>
      <c r="BC799" s="450"/>
      <c r="BD799" s="450"/>
      <c r="BE799" s="450"/>
      <c r="BF799" s="450"/>
      <c r="BG799" s="450"/>
      <c r="BH799" s="450"/>
      <c r="BI799" s="450"/>
      <c r="BJ799" s="450"/>
      <c r="BK799" s="450"/>
      <c r="BL799" s="450"/>
      <c r="BM799" s="450"/>
    </row>
    <row r="800" spans="1:65" ht="11.15">
      <c r="A800" s="450"/>
      <c r="B800" s="450"/>
      <c r="C800" s="450"/>
      <c r="D800" s="450"/>
      <c r="E800" s="450"/>
      <c r="F800" s="450"/>
      <c r="G800" s="450"/>
      <c r="H800" s="450"/>
      <c r="I800" s="450"/>
      <c r="J800" s="450"/>
      <c r="K800" s="450"/>
      <c r="L800" s="450"/>
      <c r="M800" s="450"/>
      <c r="N800" s="450"/>
      <c r="O800" s="450"/>
      <c r="P800" s="450"/>
      <c r="Q800" s="450"/>
      <c r="R800" s="450"/>
      <c r="S800" s="450"/>
      <c r="T800" s="450"/>
      <c r="U800" s="450"/>
      <c r="V800" s="450"/>
      <c r="W800" s="450"/>
      <c r="X800" s="450"/>
      <c r="Y800" s="450"/>
      <c r="Z800" s="450"/>
      <c r="AA800" s="450"/>
      <c r="AB800" s="450"/>
      <c r="AC800" s="450"/>
      <c r="AD800" s="450"/>
      <c r="AE800" s="450"/>
      <c r="AF800" s="450"/>
      <c r="AG800" s="450"/>
      <c r="AH800" s="450"/>
      <c r="AI800" s="450"/>
      <c r="AJ800" s="450"/>
      <c r="AK800" s="450"/>
      <c r="AL800" s="450"/>
      <c r="AM800" s="450"/>
      <c r="AN800" s="450"/>
      <c r="AO800" s="450"/>
      <c r="AP800" s="450"/>
      <c r="AQ800" s="450"/>
      <c r="AR800" s="450"/>
      <c r="AS800" s="450"/>
      <c r="AT800" s="450"/>
      <c r="AU800" s="450"/>
      <c r="AV800" s="450"/>
      <c r="AW800" s="450"/>
      <c r="AX800" s="450"/>
      <c r="AY800" s="450"/>
      <c r="AZ800" s="450"/>
      <c r="BA800" s="450"/>
      <c r="BB800" s="450"/>
      <c r="BC800" s="450"/>
      <c r="BD800" s="450"/>
      <c r="BE800" s="450"/>
      <c r="BF800" s="450"/>
      <c r="BG800" s="450"/>
      <c r="BH800" s="450"/>
      <c r="BI800" s="450"/>
      <c r="BJ800" s="450"/>
      <c r="BK800" s="450"/>
      <c r="BL800" s="450"/>
      <c r="BM800" s="450"/>
    </row>
    <row r="801" spans="1:65" ht="11.15">
      <c r="A801" s="450"/>
      <c r="B801" s="450"/>
      <c r="C801" s="450"/>
      <c r="D801" s="450"/>
      <c r="E801" s="450"/>
      <c r="F801" s="450"/>
      <c r="G801" s="450"/>
      <c r="H801" s="450"/>
      <c r="I801" s="450"/>
      <c r="J801" s="450"/>
      <c r="K801" s="450"/>
      <c r="L801" s="450"/>
      <c r="M801" s="450"/>
      <c r="N801" s="450"/>
      <c r="O801" s="450"/>
      <c r="P801" s="450"/>
      <c r="Q801" s="450"/>
      <c r="R801" s="450"/>
      <c r="S801" s="450"/>
      <c r="T801" s="450"/>
      <c r="U801" s="450"/>
      <c r="V801" s="450"/>
      <c r="W801" s="450"/>
      <c r="X801" s="450"/>
      <c r="Y801" s="450"/>
      <c r="Z801" s="450"/>
      <c r="AA801" s="450"/>
      <c r="AB801" s="450"/>
      <c r="AC801" s="450"/>
      <c r="AD801" s="450"/>
      <c r="AE801" s="450"/>
      <c r="AF801" s="450"/>
      <c r="AG801" s="450"/>
      <c r="AH801" s="450"/>
      <c r="AI801" s="450"/>
      <c r="AJ801" s="450"/>
      <c r="AK801" s="450"/>
      <c r="AL801" s="450"/>
      <c r="AM801" s="450"/>
      <c r="AN801" s="450"/>
      <c r="AO801" s="450"/>
      <c r="AP801" s="450"/>
      <c r="AQ801" s="450"/>
      <c r="AR801" s="450"/>
      <c r="AS801" s="450"/>
      <c r="AT801" s="450"/>
      <c r="AU801" s="450"/>
      <c r="AV801" s="450"/>
      <c r="AW801" s="450"/>
      <c r="AX801" s="450"/>
      <c r="AY801" s="450"/>
      <c r="AZ801" s="450"/>
      <c r="BA801" s="450"/>
      <c r="BB801" s="450"/>
      <c r="BC801" s="450"/>
      <c r="BD801" s="450"/>
      <c r="BE801" s="450"/>
      <c r="BF801" s="450"/>
      <c r="BG801" s="450"/>
      <c r="BH801" s="450"/>
      <c r="BI801" s="450"/>
      <c r="BJ801" s="450"/>
      <c r="BK801" s="450"/>
      <c r="BL801" s="450"/>
      <c r="BM801" s="450"/>
    </row>
    <row r="802" spans="1:65" ht="11.15">
      <c r="A802" s="450"/>
      <c r="B802" s="450"/>
      <c r="C802" s="450"/>
      <c r="D802" s="450"/>
      <c r="E802" s="450"/>
      <c r="F802" s="450"/>
      <c r="G802" s="450"/>
      <c r="H802" s="450"/>
      <c r="I802" s="450"/>
      <c r="J802" s="450"/>
      <c r="K802" s="450"/>
      <c r="L802" s="450"/>
      <c r="M802" s="450"/>
      <c r="N802" s="450"/>
      <c r="O802" s="450"/>
      <c r="P802" s="450"/>
      <c r="Q802" s="450"/>
      <c r="R802" s="450"/>
      <c r="S802" s="450"/>
      <c r="T802" s="450"/>
      <c r="U802" s="450"/>
      <c r="V802" s="450"/>
      <c r="W802" s="450"/>
      <c r="X802" s="450"/>
      <c r="Y802" s="450"/>
      <c r="Z802" s="450"/>
      <c r="AA802" s="450"/>
      <c r="AB802" s="450"/>
      <c r="AC802" s="450"/>
      <c r="AD802" s="450"/>
      <c r="AE802" s="450"/>
      <c r="AF802" s="450"/>
      <c r="AG802" s="450"/>
      <c r="AH802" s="450"/>
      <c r="AI802" s="450"/>
      <c r="AJ802" s="450"/>
      <c r="AK802" s="450"/>
      <c r="AL802" s="450"/>
      <c r="AM802" s="450"/>
      <c r="AN802" s="450"/>
      <c r="AO802" s="450"/>
      <c r="AP802" s="450"/>
      <c r="AQ802" s="450"/>
      <c r="AR802" s="450"/>
      <c r="AS802" s="450"/>
      <c r="AT802" s="450"/>
      <c r="AU802" s="450"/>
      <c r="AV802" s="450"/>
      <c r="AW802" s="450"/>
      <c r="AX802" s="450"/>
      <c r="AY802" s="450"/>
      <c r="AZ802" s="450"/>
      <c r="BA802" s="450"/>
      <c r="BB802" s="450"/>
      <c r="BC802" s="450"/>
      <c r="BD802" s="450"/>
      <c r="BE802" s="450"/>
      <c r="BF802" s="450"/>
      <c r="BG802" s="450"/>
      <c r="BH802" s="450"/>
      <c r="BI802" s="450"/>
      <c r="BJ802" s="450"/>
      <c r="BK802" s="450"/>
      <c r="BL802" s="450"/>
      <c r="BM802" s="450"/>
    </row>
    <row r="803" spans="1:65" ht="11.15">
      <c r="A803" s="450"/>
      <c r="B803" s="450"/>
      <c r="C803" s="450"/>
      <c r="D803" s="450"/>
      <c r="E803" s="450"/>
      <c r="F803" s="450"/>
      <c r="G803" s="450"/>
      <c r="H803" s="450"/>
      <c r="I803" s="450"/>
      <c r="J803" s="450"/>
      <c r="K803" s="450"/>
      <c r="L803" s="450"/>
      <c r="M803" s="450"/>
      <c r="N803" s="450"/>
      <c r="O803" s="450"/>
      <c r="P803" s="450"/>
      <c r="Q803" s="450"/>
      <c r="R803" s="450"/>
      <c r="S803" s="450"/>
      <c r="T803" s="450"/>
      <c r="U803" s="450"/>
      <c r="V803" s="450"/>
      <c r="W803" s="450"/>
      <c r="X803" s="450"/>
      <c r="Y803" s="450"/>
      <c r="Z803" s="450"/>
      <c r="AA803" s="450"/>
      <c r="AB803" s="450"/>
      <c r="AC803" s="450"/>
      <c r="AD803" s="450"/>
      <c r="AE803" s="450"/>
      <c r="AF803" s="450"/>
      <c r="AG803" s="450"/>
      <c r="AH803" s="450"/>
      <c r="AI803" s="450"/>
      <c r="AJ803" s="450"/>
      <c r="AK803" s="450"/>
      <c r="AL803" s="450"/>
      <c r="AM803" s="450"/>
      <c r="AN803" s="450"/>
      <c r="AO803" s="450"/>
      <c r="AP803" s="450"/>
      <c r="AQ803" s="450"/>
      <c r="AR803" s="450"/>
      <c r="AS803" s="450"/>
      <c r="AT803" s="450"/>
      <c r="AU803" s="450"/>
      <c r="AV803" s="450"/>
      <c r="AW803" s="450"/>
      <c r="AX803" s="450"/>
      <c r="AY803" s="450"/>
      <c r="AZ803" s="450"/>
      <c r="BA803" s="450"/>
      <c r="BB803" s="450"/>
      <c r="BC803" s="450"/>
      <c r="BD803" s="450"/>
      <c r="BE803" s="450"/>
      <c r="BF803" s="450"/>
      <c r="BG803" s="450"/>
      <c r="BH803" s="450"/>
      <c r="BI803" s="450"/>
      <c r="BJ803" s="450"/>
      <c r="BK803" s="450"/>
      <c r="BL803" s="450"/>
      <c r="BM803" s="450"/>
    </row>
    <row r="804" spans="1:65" ht="11.15">
      <c r="A804" s="450"/>
      <c r="B804" s="450"/>
      <c r="C804" s="450"/>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450"/>
      <c r="AE804" s="450"/>
      <c r="AF804" s="450"/>
      <c r="AG804" s="450"/>
      <c r="AH804" s="450"/>
      <c r="AI804" s="450"/>
      <c r="AJ804" s="450"/>
      <c r="AK804" s="450"/>
      <c r="AL804" s="450"/>
      <c r="AM804" s="450"/>
      <c r="AN804" s="450"/>
      <c r="AO804" s="450"/>
      <c r="AP804" s="450"/>
      <c r="AQ804" s="450"/>
      <c r="AR804" s="450"/>
      <c r="AS804" s="450"/>
      <c r="AT804" s="450"/>
      <c r="AU804" s="450"/>
      <c r="AV804" s="450"/>
      <c r="AW804" s="450"/>
      <c r="AX804" s="450"/>
      <c r="AY804" s="450"/>
      <c r="AZ804" s="450"/>
      <c r="BA804" s="450"/>
      <c r="BB804" s="450"/>
      <c r="BC804" s="450"/>
      <c r="BD804" s="450"/>
      <c r="BE804" s="450"/>
      <c r="BF804" s="450"/>
      <c r="BG804" s="450"/>
      <c r="BH804" s="450"/>
      <c r="BI804" s="450"/>
      <c r="BJ804" s="450"/>
      <c r="BK804" s="450"/>
      <c r="BL804" s="450"/>
      <c r="BM804" s="450"/>
    </row>
    <row r="805" spans="1:65" ht="11.15">
      <c r="A805" s="450"/>
      <c r="B805" s="450"/>
      <c r="C805" s="450"/>
      <c r="D805" s="450"/>
      <c r="E805" s="450"/>
      <c r="F805" s="450"/>
      <c r="G805" s="450"/>
      <c r="H805" s="450"/>
      <c r="I805" s="450"/>
      <c r="J805" s="450"/>
      <c r="K805" s="450"/>
      <c r="L805" s="450"/>
      <c r="M805" s="450"/>
      <c r="N805" s="450"/>
      <c r="O805" s="450"/>
      <c r="P805" s="450"/>
      <c r="Q805" s="450"/>
      <c r="R805" s="450"/>
      <c r="S805" s="450"/>
      <c r="T805" s="450"/>
      <c r="U805" s="450"/>
      <c r="V805" s="450"/>
      <c r="W805" s="450"/>
      <c r="X805" s="450"/>
      <c r="Y805" s="450"/>
      <c r="Z805" s="450"/>
      <c r="AA805" s="450"/>
      <c r="AB805" s="450"/>
      <c r="AC805" s="450"/>
      <c r="AD805" s="450"/>
      <c r="AE805" s="450"/>
      <c r="AF805" s="450"/>
      <c r="AG805" s="450"/>
      <c r="AH805" s="450"/>
      <c r="AI805" s="450"/>
      <c r="AJ805" s="450"/>
      <c r="AK805" s="450"/>
      <c r="AL805" s="450"/>
      <c r="AM805" s="450"/>
      <c r="AN805" s="450"/>
      <c r="AO805" s="450"/>
      <c r="AP805" s="450"/>
      <c r="AQ805" s="450"/>
      <c r="AR805" s="450"/>
      <c r="AS805" s="450"/>
      <c r="AT805" s="450"/>
      <c r="AU805" s="450"/>
      <c r="AV805" s="450"/>
      <c r="AW805" s="450"/>
      <c r="AX805" s="450"/>
      <c r="AY805" s="450"/>
      <c r="AZ805" s="450"/>
      <c r="BA805" s="450"/>
      <c r="BB805" s="450"/>
      <c r="BC805" s="450"/>
      <c r="BD805" s="450"/>
      <c r="BE805" s="450"/>
      <c r="BF805" s="450"/>
      <c r="BG805" s="450"/>
      <c r="BH805" s="450"/>
      <c r="BI805" s="450"/>
      <c r="BJ805" s="450"/>
      <c r="BK805" s="450"/>
      <c r="BL805" s="450"/>
      <c r="BM805" s="450"/>
    </row>
    <row r="806" spans="1:65" ht="11.15">
      <c r="A806" s="450"/>
      <c r="B806" s="450"/>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450"/>
      <c r="AE806" s="450"/>
      <c r="AF806" s="450"/>
      <c r="AG806" s="450"/>
      <c r="AH806" s="450"/>
      <c r="AI806" s="450"/>
      <c r="AJ806" s="450"/>
      <c r="AK806" s="450"/>
      <c r="AL806" s="450"/>
      <c r="AM806" s="450"/>
      <c r="AN806" s="450"/>
      <c r="AO806" s="450"/>
      <c r="AP806" s="450"/>
      <c r="AQ806" s="450"/>
      <c r="AR806" s="450"/>
      <c r="AS806" s="450"/>
      <c r="AT806" s="450"/>
      <c r="AU806" s="450"/>
      <c r="AV806" s="450"/>
      <c r="AW806" s="450"/>
      <c r="AX806" s="450"/>
      <c r="AY806" s="450"/>
      <c r="AZ806" s="450"/>
      <c r="BA806" s="450"/>
      <c r="BB806" s="450"/>
      <c r="BC806" s="450"/>
      <c r="BD806" s="450"/>
      <c r="BE806" s="450"/>
      <c r="BF806" s="450"/>
      <c r="BG806" s="450"/>
      <c r="BH806" s="450"/>
      <c r="BI806" s="450"/>
      <c r="BJ806" s="450"/>
      <c r="BK806" s="450"/>
      <c r="BL806" s="450"/>
      <c r="BM806" s="450"/>
    </row>
    <row r="807" spans="1:65" ht="11.15">
      <c r="A807" s="450"/>
      <c r="B807" s="450"/>
      <c r="C807" s="450"/>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450"/>
      <c r="AE807" s="450"/>
      <c r="AF807" s="450"/>
      <c r="AG807" s="450"/>
      <c r="AH807" s="450"/>
      <c r="AI807" s="450"/>
      <c r="AJ807" s="450"/>
      <c r="AK807" s="450"/>
      <c r="AL807" s="450"/>
      <c r="AM807" s="450"/>
      <c r="AN807" s="450"/>
      <c r="AO807" s="450"/>
      <c r="AP807" s="450"/>
      <c r="AQ807" s="450"/>
      <c r="AR807" s="450"/>
      <c r="AS807" s="450"/>
      <c r="AT807" s="450"/>
      <c r="AU807" s="450"/>
      <c r="AV807" s="450"/>
      <c r="AW807" s="450"/>
      <c r="AX807" s="450"/>
      <c r="AY807" s="450"/>
      <c r="AZ807" s="450"/>
      <c r="BA807" s="450"/>
      <c r="BB807" s="450"/>
      <c r="BC807" s="450"/>
      <c r="BD807" s="450"/>
      <c r="BE807" s="450"/>
      <c r="BF807" s="450"/>
      <c r="BG807" s="450"/>
      <c r="BH807" s="450"/>
      <c r="BI807" s="450"/>
      <c r="BJ807" s="450"/>
      <c r="BK807" s="450"/>
      <c r="BL807" s="450"/>
      <c r="BM807" s="450"/>
    </row>
    <row r="808" spans="1:65" ht="11.15">
      <c r="A808" s="450"/>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450"/>
      <c r="AE808" s="450"/>
      <c r="AF808" s="450"/>
      <c r="AG808" s="450"/>
      <c r="AH808" s="450"/>
      <c r="AI808" s="450"/>
      <c r="AJ808" s="450"/>
      <c r="AK808" s="450"/>
      <c r="AL808" s="450"/>
      <c r="AM808" s="450"/>
      <c r="AN808" s="450"/>
      <c r="AO808" s="450"/>
      <c r="AP808" s="450"/>
      <c r="AQ808" s="450"/>
      <c r="AR808" s="450"/>
      <c r="AS808" s="450"/>
      <c r="AT808" s="450"/>
      <c r="AU808" s="450"/>
      <c r="AV808" s="450"/>
      <c r="AW808" s="450"/>
      <c r="AX808" s="450"/>
      <c r="AY808" s="450"/>
      <c r="AZ808" s="450"/>
      <c r="BA808" s="450"/>
      <c r="BB808" s="450"/>
      <c r="BC808" s="450"/>
      <c r="BD808" s="450"/>
      <c r="BE808" s="450"/>
      <c r="BF808" s="450"/>
      <c r="BG808" s="450"/>
      <c r="BH808" s="450"/>
      <c r="BI808" s="450"/>
      <c r="BJ808" s="450"/>
      <c r="BK808" s="450"/>
      <c r="BL808" s="450"/>
      <c r="BM808" s="450"/>
    </row>
    <row r="809" spans="1:65" ht="11.15">
      <c r="A809" s="450"/>
      <c r="B809" s="450"/>
      <c r="C809" s="450"/>
      <c r="D809" s="450"/>
      <c r="E809" s="450"/>
      <c r="F809" s="450"/>
      <c r="G809" s="450"/>
      <c r="H809" s="450"/>
      <c r="I809" s="450"/>
      <c r="J809" s="450"/>
      <c r="K809" s="450"/>
      <c r="L809" s="450"/>
      <c r="M809" s="450"/>
      <c r="N809" s="450"/>
      <c r="O809" s="450"/>
      <c r="P809" s="450"/>
      <c r="Q809" s="450"/>
      <c r="R809" s="450"/>
      <c r="S809" s="450"/>
      <c r="T809" s="450"/>
      <c r="U809" s="450"/>
      <c r="V809" s="450"/>
      <c r="W809" s="450"/>
      <c r="X809" s="450"/>
      <c r="Y809" s="450"/>
      <c r="Z809" s="450"/>
      <c r="AA809" s="450"/>
      <c r="AB809" s="450"/>
      <c r="AC809" s="450"/>
      <c r="AD809" s="450"/>
      <c r="AE809" s="450"/>
      <c r="AF809" s="450"/>
      <c r="AG809" s="450"/>
      <c r="AH809" s="450"/>
      <c r="AI809" s="450"/>
      <c r="AJ809" s="450"/>
      <c r="AK809" s="450"/>
      <c r="AL809" s="450"/>
      <c r="AM809" s="450"/>
      <c r="AN809" s="450"/>
      <c r="AO809" s="450"/>
      <c r="AP809" s="450"/>
      <c r="AQ809" s="450"/>
      <c r="AR809" s="450"/>
      <c r="AS809" s="450"/>
      <c r="AT809" s="450"/>
      <c r="AU809" s="450"/>
      <c r="AV809" s="450"/>
      <c r="AW809" s="450"/>
      <c r="AX809" s="450"/>
      <c r="AY809" s="450"/>
      <c r="AZ809" s="450"/>
      <c r="BA809" s="450"/>
      <c r="BB809" s="450"/>
      <c r="BC809" s="450"/>
      <c r="BD809" s="450"/>
      <c r="BE809" s="450"/>
      <c r="BF809" s="450"/>
      <c r="BG809" s="450"/>
      <c r="BH809" s="450"/>
      <c r="BI809" s="450"/>
      <c r="BJ809" s="450"/>
      <c r="BK809" s="450"/>
      <c r="BL809" s="450"/>
      <c r="BM809" s="450"/>
    </row>
    <row r="810" spans="1:65" ht="11.15">
      <c r="A810" s="450"/>
      <c r="B810" s="450"/>
      <c r="C810" s="450"/>
      <c r="D810" s="450"/>
      <c r="E810" s="450"/>
      <c r="F810" s="450"/>
      <c r="G810" s="450"/>
      <c r="H810" s="450"/>
      <c r="I810" s="450"/>
      <c r="J810" s="450"/>
      <c r="K810" s="450"/>
      <c r="L810" s="450"/>
      <c r="M810" s="450"/>
      <c r="N810" s="450"/>
      <c r="O810" s="450"/>
      <c r="P810" s="450"/>
      <c r="Q810" s="450"/>
      <c r="R810" s="450"/>
      <c r="S810" s="450"/>
      <c r="T810" s="450"/>
      <c r="U810" s="450"/>
      <c r="V810" s="450"/>
      <c r="W810" s="450"/>
      <c r="X810" s="450"/>
      <c r="Y810" s="450"/>
      <c r="Z810" s="450"/>
      <c r="AA810" s="450"/>
      <c r="AB810" s="450"/>
      <c r="AC810" s="450"/>
      <c r="AD810" s="450"/>
      <c r="AE810" s="450"/>
      <c r="AF810" s="450"/>
      <c r="AG810" s="450"/>
      <c r="AH810" s="450"/>
      <c r="AI810" s="450"/>
      <c r="AJ810" s="450"/>
      <c r="AK810" s="450"/>
      <c r="AL810" s="450"/>
      <c r="AM810" s="450"/>
      <c r="AN810" s="450"/>
      <c r="AO810" s="450"/>
      <c r="AP810" s="450"/>
      <c r="AQ810" s="450"/>
      <c r="AR810" s="450"/>
      <c r="AS810" s="450"/>
      <c r="AT810" s="450"/>
      <c r="AU810" s="450"/>
      <c r="AV810" s="450"/>
      <c r="AW810" s="450"/>
      <c r="AX810" s="450"/>
      <c r="AY810" s="450"/>
      <c r="AZ810" s="450"/>
      <c r="BA810" s="450"/>
      <c r="BB810" s="450"/>
      <c r="BC810" s="450"/>
      <c r="BD810" s="450"/>
      <c r="BE810" s="450"/>
      <c r="BF810" s="450"/>
      <c r="BG810" s="450"/>
      <c r="BH810" s="450"/>
      <c r="BI810" s="450"/>
      <c r="BJ810" s="450"/>
      <c r="BK810" s="450"/>
      <c r="BL810" s="450"/>
      <c r="BM810" s="450"/>
    </row>
    <row r="811" spans="1:65" ht="11.15">
      <c r="A811" s="450"/>
      <c r="B811" s="450"/>
      <c r="C811" s="450"/>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450"/>
      <c r="AE811" s="450"/>
      <c r="AF811" s="450"/>
      <c r="AG811" s="450"/>
      <c r="AH811" s="450"/>
      <c r="AI811" s="450"/>
      <c r="AJ811" s="450"/>
      <c r="AK811" s="450"/>
      <c r="AL811" s="450"/>
      <c r="AM811" s="450"/>
      <c r="AN811" s="450"/>
      <c r="AO811" s="450"/>
      <c r="AP811" s="450"/>
      <c r="AQ811" s="450"/>
      <c r="AR811" s="450"/>
      <c r="AS811" s="450"/>
      <c r="AT811" s="450"/>
      <c r="AU811" s="450"/>
      <c r="AV811" s="450"/>
      <c r="AW811" s="450"/>
      <c r="AX811" s="450"/>
      <c r="AY811" s="450"/>
      <c r="AZ811" s="450"/>
      <c r="BA811" s="450"/>
      <c r="BB811" s="450"/>
      <c r="BC811" s="450"/>
      <c r="BD811" s="450"/>
      <c r="BE811" s="450"/>
      <c r="BF811" s="450"/>
      <c r="BG811" s="450"/>
      <c r="BH811" s="450"/>
      <c r="BI811" s="450"/>
      <c r="BJ811" s="450"/>
      <c r="BK811" s="450"/>
      <c r="BL811" s="450"/>
      <c r="BM811" s="450"/>
    </row>
    <row r="812" spans="1:65" ht="11.15">
      <c r="A812" s="450"/>
      <c r="B812" s="450"/>
      <c r="C812" s="450"/>
      <c r="D812" s="450"/>
      <c r="E812" s="450"/>
      <c r="F812" s="450"/>
      <c r="G812" s="450"/>
      <c r="H812" s="450"/>
      <c r="I812" s="450"/>
      <c r="J812" s="450"/>
      <c r="K812" s="450"/>
      <c r="L812" s="450"/>
      <c r="M812" s="450"/>
      <c r="N812" s="450"/>
      <c r="O812" s="450"/>
      <c r="P812" s="450"/>
      <c r="Q812" s="450"/>
      <c r="R812" s="450"/>
      <c r="S812" s="450"/>
      <c r="T812" s="450"/>
      <c r="U812" s="450"/>
      <c r="V812" s="450"/>
      <c r="W812" s="450"/>
      <c r="X812" s="450"/>
      <c r="Y812" s="450"/>
      <c r="Z812" s="450"/>
      <c r="AA812" s="450"/>
      <c r="AB812" s="450"/>
      <c r="AC812" s="450"/>
      <c r="AD812" s="450"/>
      <c r="AE812" s="450"/>
      <c r="AF812" s="450"/>
      <c r="AG812" s="450"/>
      <c r="AH812" s="450"/>
      <c r="AI812" s="450"/>
      <c r="AJ812" s="450"/>
      <c r="AK812" s="450"/>
      <c r="AL812" s="450"/>
      <c r="AM812" s="450"/>
      <c r="AN812" s="450"/>
      <c r="AO812" s="450"/>
      <c r="AP812" s="450"/>
      <c r="AQ812" s="450"/>
      <c r="AR812" s="450"/>
      <c r="AS812" s="450"/>
      <c r="AT812" s="450"/>
      <c r="AU812" s="450"/>
      <c r="AV812" s="450"/>
      <c r="AW812" s="450"/>
      <c r="AX812" s="450"/>
      <c r="AY812" s="450"/>
      <c r="AZ812" s="450"/>
      <c r="BA812" s="450"/>
      <c r="BB812" s="450"/>
      <c r="BC812" s="450"/>
      <c r="BD812" s="450"/>
      <c r="BE812" s="450"/>
      <c r="BF812" s="450"/>
      <c r="BG812" s="450"/>
      <c r="BH812" s="450"/>
      <c r="BI812" s="450"/>
      <c r="BJ812" s="450"/>
      <c r="BK812" s="450"/>
      <c r="BL812" s="450"/>
      <c r="BM812" s="450"/>
    </row>
    <row r="813" spans="1:65" ht="11.15">
      <c r="A813" s="450"/>
      <c r="B813" s="450"/>
      <c r="C813" s="450"/>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450"/>
      <c r="AE813" s="450"/>
      <c r="AF813" s="450"/>
      <c r="AG813" s="450"/>
      <c r="AH813" s="450"/>
      <c r="AI813" s="450"/>
      <c r="AJ813" s="450"/>
      <c r="AK813" s="450"/>
      <c r="AL813" s="450"/>
      <c r="AM813" s="450"/>
      <c r="AN813" s="450"/>
      <c r="AO813" s="450"/>
      <c r="AP813" s="450"/>
      <c r="AQ813" s="450"/>
      <c r="AR813" s="450"/>
      <c r="AS813" s="450"/>
      <c r="AT813" s="450"/>
      <c r="AU813" s="450"/>
      <c r="AV813" s="450"/>
      <c r="AW813" s="450"/>
      <c r="AX813" s="450"/>
      <c r="AY813" s="450"/>
      <c r="AZ813" s="450"/>
      <c r="BA813" s="450"/>
      <c r="BB813" s="450"/>
      <c r="BC813" s="450"/>
      <c r="BD813" s="450"/>
      <c r="BE813" s="450"/>
      <c r="BF813" s="450"/>
      <c r="BG813" s="450"/>
      <c r="BH813" s="450"/>
      <c r="BI813" s="450"/>
      <c r="BJ813" s="450"/>
      <c r="BK813" s="450"/>
      <c r="BL813" s="450"/>
      <c r="BM813" s="450"/>
    </row>
    <row r="814" spans="1:65" ht="11.15">
      <c r="A814" s="450"/>
      <c r="B814" s="450"/>
      <c r="C814" s="450"/>
      <c r="D814" s="450"/>
      <c r="E814" s="450"/>
      <c r="F814" s="450"/>
      <c r="G814" s="450"/>
      <c r="H814" s="450"/>
      <c r="I814" s="450"/>
      <c r="J814" s="450"/>
      <c r="K814" s="450"/>
      <c r="L814" s="450"/>
      <c r="M814" s="450"/>
      <c r="N814" s="450"/>
      <c r="O814" s="450"/>
      <c r="P814" s="450"/>
      <c r="Q814" s="450"/>
      <c r="R814" s="450"/>
      <c r="S814" s="450"/>
      <c r="T814" s="450"/>
      <c r="U814" s="450"/>
      <c r="V814" s="450"/>
      <c r="W814" s="450"/>
      <c r="X814" s="450"/>
      <c r="Y814" s="450"/>
      <c r="Z814" s="450"/>
      <c r="AA814" s="450"/>
      <c r="AB814" s="450"/>
      <c r="AC814" s="450"/>
      <c r="AD814" s="450"/>
      <c r="AE814" s="450"/>
      <c r="AF814" s="450"/>
      <c r="AG814" s="450"/>
      <c r="AH814" s="450"/>
      <c r="AI814" s="450"/>
      <c r="AJ814" s="450"/>
      <c r="AK814" s="450"/>
      <c r="AL814" s="450"/>
      <c r="AM814" s="450"/>
      <c r="AN814" s="450"/>
      <c r="AO814" s="450"/>
      <c r="AP814" s="450"/>
      <c r="AQ814" s="450"/>
      <c r="AR814" s="450"/>
      <c r="AS814" s="450"/>
      <c r="AT814" s="450"/>
      <c r="AU814" s="450"/>
      <c r="AV814" s="450"/>
      <c r="AW814" s="450"/>
      <c r="AX814" s="450"/>
      <c r="AY814" s="450"/>
      <c r="AZ814" s="450"/>
      <c r="BA814" s="450"/>
      <c r="BB814" s="450"/>
      <c r="BC814" s="450"/>
      <c r="BD814" s="450"/>
      <c r="BE814" s="450"/>
      <c r="BF814" s="450"/>
      <c r="BG814" s="450"/>
      <c r="BH814" s="450"/>
      <c r="BI814" s="450"/>
      <c r="BJ814" s="450"/>
      <c r="BK814" s="450"/>
      <c r="BL814" s="450"/>
      <c r="BM814" s="450"/>
    </row>
    <row r="815" spans="1:65" ht="11.15">
      <c r="A815" s="450"/>
      <c r="B815" s="450"/>
      <c r="C815" s="450"/>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450"/>
      <c r="AE815" s="450"/>
      <c r="AF815" s="450"/>
      <c r="AG815" s="450"/>
      <c r="AH815" s="450"/>
      <c r="AI815" s="450"/>
      <c r="AJ815" s="450"/>
      <c r="AK815" s="450"/>
      <c r="AL815" s="450"/>
      <c r="AM815" s="450"/>
      <c r="AN815" s="450"/>
      <c r="AO815" s="450"/>
      <c r="AP815" s="450"/>
      <c r="AQ815" s="450"/>
      <c r="AR815" s="450"/>
      <c r="AS815" s="450"/>
      <c r="AT815" s="450"/>
      <c r="AU815" s="450"/>
      <c r="AV815" s="450"/>
      <c r="AW815" s="450"/>
      <c r="AX815" s="450"/>
      <c r="AY815" s="450"/>
      <c r="AZ815" s="450"/>
      <c r="BA815" s="450"/>
      <c r="BB815" s="450"/>
      <c r="BC815" s="450"/>
      <c r="BD815" s="450"/>
      <c r="BE815" s="450"/>
      <c r="BF815" s="450"/>
      <c r="BG815" s="450"/>
      <c r="BH815" s="450"/>
      <c r="BI815" s="450"/>
      <c r="BJ815" s="450"/>
      <c r="BK815" s="450"/>
      <c r="BL815" s="450"/>
      <c r="BM815" s="450"/>
    </row>
    <row r="816" spans="1:65" ht="11.15">
      <c r="A816" s="450"/>
      <c r="B816" s="450"/>
      <c r="C816" s="450"/>
      <c r="D816" s="450"/>
      <c r="E816" s="450"/>
      <c r="F816" s="450"/>
      <c r="G816" s="450"/>
      <c r="H816" s="450"/>
      <c r="I816" s="450"/>
      <c r="J816" s="450"/>
      <c r="K816" s="450"/>
      <c r="L816" s="450"/>
      <c r="M816" s="450"/>
      <c r="N816" s="450"/>
      <c r="O816" s="450"/>
      <c r="P816" s="450"/>
      <c r="Q816" s="450"/>
      <c r="R816" s="450"/>
      <c r="S816" s="450"/>
      <c r="T816" s="450"/>
      <c r="U816" s="450"/>
      <c r="V816" s="450"/>
      <c r="W816" s="450"/>
      <c r="X816" s="450"/>
      <c r="Y816" s="450"/>
      <c r="Z816" s="450"/>
      <c r="AA816" s="450"/>
      <c r="AB816" s="450"/>
      <c r="AC816" s="450"/>
      <c r="AD816" s="450"/>
      <c r="AE816" s="450"/>
      <c r="AF816" s="450"/>
      <c r="AG816" s="450"/>
      <c r="AH816" s="450"/>
      <c r="AI816" s="450"/>
      <c r="AJ816" s="450"/>
      <c r="AK816" s="450"/>
      <c r="AL816" s="450"/>
      <c r="AM816" s="450"/>
      <c r="AN816" s="450"/>
      <c r="AO816" s="450"/>
      <c r="AP816" s="450"/>
      <c r="AQ816" s="450"/>
      <c r="AR816" s="450"/>
      <c r="AS816" s="450"/>
      <c r="AT816" s="450"/>
      <c r="AU816" s="450"/>
      <c r="AV816" s="450"/>
      <c r="AW816" s="450"/>
      <c r="AX816" s="450"/>
      <c r="AY816" s="450"/>
      <c r="AZ816" s="450"/>
      <c r="BA816" s="450"/>
      <c r="BB816" s="450"/>
      <c r="BC816" s="450"/>
      <c r="BD816" s="450"/>
      <c r="BE816" s="450"/>
      <c r="BF816" s="450"/>
      <c r="BG816" s="450"/>
      <c r="BH816" s="450"/>
      <c r="BI816" s="450"/>
      <c r="BJ816" s="450"/>
      <c r="BK816" s="450"/>
      <c r="BL816" s="450"/>
      <c r="BM816" s="450"/>
    </row>
    <row r="817" spans="1:65" ht="11.15">
      <c r="A817" s="450"/>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450"/>
      <c r="AD817" s="450"/>
      <c r="AE817" s="450"/>
      <c r="AF817" s="450"/>
      <c r="AG817" s="450"/>
      <c r="AH817" s="450"/>
      <c r="AI817" s="450"/>
      <c r="AJ817" s="450"/>
      <c r="AK817" s="450"/>
      <c r="AL817" s="450"/>
      <c r="AM817" s="450"/>
      <c r="AN817" s="450"/>
      <c r="AO817" s="450"/>
      <c r="AP817" s="450"/>
      <c r="AQ817" s="450"/>
      <c r="AR817" s="450"/>
      <c r="AS817" s="450"/>
      <c r="AT817" s="450"/>
      <c r="AU817" s="450"/>
      <c r="AV817" s="450"/>
      <c r="AW817" s="450"/>
      <c r="AX817" s="450"/>
      <c r="AY817" s="450"/>
      <c r="AZ817" s="450"/>
      <c r="BA817" s="450"/>
      <c r="BB817" s="450"/>
      <c r="BC817" s="450"/>
      <c r="BD817" s="450"/>
      <c r="BE817" s="450"/>
      <c r="BF817" s="450"/>
      <c r="BG817" s="450"/>
      <c r="BH817" s="450"/>
      <c r="BI817" s="450"/>
      <c r="BJ817" s="450"/>
      <c r="BK817" s="450"/>
      <c r="BL817" s="450"/>
      <c r="BM817" s="450"/>
    </row>
    <row r="818" spans="1:65" ht="11.15">
      <c r="A818" s="450"/>
      <c r="B818" s="450"/>
      <c r="C818" s="450"/>
      <c r="D818" s="450"/>
      <c r="E818" s="450"/>
      <c r="F818" s="450"/>
      <c r="G818" s="450"/>
      <c r="H818" s="450"/>
      <c r="I818" s="450"/>
      <c r="J818" s="450"/>
      <c r="K818" s="450"/>
      <c r="L818" s="450"/>
      <c r="M818" s="450"/>
      <c r="N818" s="450"/>
      <c r="O818" s="450"/>
      <c r="P818" s="450"/>
      <c r="Q818" s="450"/>
      <c r="R818" s="450"/>
      <c r="S818" s="450"/>
      <c r="T818" s="450"/>
      <c r="U818" s="450"/>
      <c r="V818" s="450"/>
      <c r="W818" s="450"/>
      <c r="X818" s="450"/>
      <c r="Y818" s="450"/>
      <c r="Z818" s="450"/>
      <c r="AA818" s="450"/>
      <c r="AB818" s="450"/>
      <c r="AC818" s="450"/>
      <c r="AD818" s="450"/>
      <c r="AE818" s="450"/>
      <c r="AF818" s="450"/>
      <c r="AG818" s="450"/>
      <c r="AH818" s="450"/>
      <c r="AI818" s="450"/>
      <c r="AJ818" s="450"/>
      <c r="AK818" s="450"/>
      <c r="AL818" s="450"/>
      <c r="AM818" s="450"/>
      <c r="AN818" s="450"/>
      <c r="AO818" s="450"/>
      <c r="AP818" s="450"/>
      <c r="AQ818" s="450"/>
      <c r="AR818" s="450"/>
      <c r="AS818" s="450"/>
      <c r="AT818" s="450"/>
      <c r="AU818" s="450"/>
      <c r="AV818" s="450"/>
      <c r="AW818" s="450"/>
      <c r="AX818" s="450"/>
      <c r="AY818" s="450"/>
      <c r="AZ818" s="450"/>
      <c r="BA818" s="450"/>
      <c r="BB818" s="450"/>
      <c r="BC818" s="450"/>
      <c r="BD818" s="450"/>
      <c r="BE818" s="450"/>
      <c r="BF818" s="450"/>
      <c r="BG818" s="450"/>
      <c r="BH818" s="450"/>
      <c r="BI818" s="450"/>
      <c r="BJ818" s="450"/>
      <c r="BK818" s="450"/>
      <c r="BL818" s="450"/>
      <c r="BM818" s="450"/>
    </row>
    <row r="819" spans="1:65" ht="11.15">
      <c r="A819" s="450"/>
      <c r="B819" s="450"/>
      <c r="C819" s="450"/>
      <c r="D819" s="450"/>
      <c r="E819" s="450"/>
      <c r="F819" s="450"/>
      <c r="G819" s="450"/>
      <c r="H819" s="450"/>
      <c r="I819" s="450"/>
      <c r="J819" s="450"/>
      <c r="K819" s="450"/>
      <c r="L819" s="450"/>
      <c r="M819" s="450"/>
      <c r="N819" s="450"/>
      <c r="O819" s="450"/>
      <c r="P819" s="450"/>
      <c r="Q819" s="450"/>
      <c r="R819" s="450"/>
      <c r="S819" s="450"/>
      <c r="T819" s="450"/>
      <c r="U819" s="450"/>
      <c r="V819" s="450"/>
      <c r="W819" s="450"/>
      <c r="X819" s="450"/>
      <c r="Y819" s="450"/>
      <c r="Z819" s="450"/>
      <c r="AA819" s="450"/>
      <c r="AB819" s="450"/>
      <c r="AC819" s="450"/>
      <c r="AD819" s="450"/>
      <c r="AE819" s="450"/>
      <c r="AF819" s="450"/>
      <c r="AG819" s="450"/>
      <c r="AH819" s="450"/>
      <c r="AI819" s="450"/>
      <c r="AJ819" s="450"/>
      <c r="AK819" s="450"/>
      <c r="AL819" s="450"/>
      <c r="AM819" s="450"/>
      <c r="AN819" s="450"/>
      <c r="AO819" s="450"/>
      <c r="AP819" s="450"/>
      <c r="AQ819" s="450"/>
      <c r="AR819" s="450"/>
      <c r="AS819" s="450"/>
      <c r="AT819" s="450"/>
      <c r="AU819" s="450"/>
      <c r="AV819" s="450"/>
      <c r="AW819" s="450"/>
      <c r="AX819" s="450"/>
      <c r="AY819" s="450"/>
      <c r="AZ819" s="450"/>
      <c r="BA819" s="450"/>
      <c r="BB819" s="450"/>
      <c r="BC819" s="450"/>
      <c r="BD819" s="450"/>
      <c r="BE819" s="450"/>
      <c r="BF819" s="450"/>
      <c r="BG819" s="450"/>
      <c r="BH819" s="450"/>
      <c r="BI819" s="450"/>
      <c r="BJ819" s="450"/>
      <c r="BK819" s="450"/>
      <c r="BL819" s="450"/>
      <c r="BM819" s="450"/>
    </row>
    <row r="820" spans="1:65" ht="11.15">
      <c r="A820" s="450"/>
      <c r="B820" s="450"/>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c r="Z820" s="450"/>
      <c r="AA820" s="450"/>
      <c r="AB820" s="450"/>
      <c r="AC820" s="450"/>
      <c r="AD820" s="450"/>
      <c r="AE820" s="450"/>
      <c r="AF820" s="450"/>
      <c r="AG820" s="450"/>
      <c r="AH820" s="450"/>
      <c r="AI820" s="450"/>
      <c r="AJ820" s="450"/>
      <c r="AK820" s="450"/>
      <c r="AL820" s="450"/>
      <c r="AM820" s="450"/>
      <c r="AN820" s="450"/>
      <c r="AO820" s="450"/>
      <c r="AP820" s="450"/>
      <c r="AQ820" s="450"/>
      <c r="AR820" s="450"/>
      <c r="AS820" s="450"/>
      <c r="AT820" s="450"/>
      <c r="AU820" s="450"/>
      <c r="AV820" s="450"/>
      <c r="AW820" s="450"/>
      <c r="AX820" s="450"/>
      <c r="AY820" s="450"/>
      <c r="AZ820" s="450"/>
      <c r="BA820" s="450"/>
      <c r="BB820" s="450"/>
      <c r="BC820" s="450"/>
      <c r="BD820" s="450"/>
      <c r="BE820" s="450"/>
      <c r="BF820" s="450"/>
      <c r="BG820" s="450"/>
      <c r="BH820" s="450"/>
      <c r="BI820" s="450"/>
      <c r="BJ820" s="450"/>
      <c r="BK820" s="450"/>
      <c r="BL820" s="450"/>
      <c r="BM820" s="450"/>
    </row>
    <row r="821" spans="1:65" ht="11.15">
      <c r="A821" s="450"/>
      <c r="B821" s="450"/>
      <c r="C821" s="450"/>
      <c r="D821" s="450"/>
      <c r="E821" s="450"/>
      <c r="F821" s="450"/>
      <c r="G821" s="450"/>
      <c r="H821" s="450"/>
      <c r="I821" s="450"/>
      <c r="J821" s="450"/>
      <c r="K821" s="450"/>
      <c r="L821" s="450"/>
      <c r="M821" s="450"/>
      <c r="N821" s="450"/>
      <c r="O821" s="450"/>
      <c r="P821" s="450"/>
      <c r="Q821" s="450"/>
      <c r="R821" s="450"/>
      <c r="S821" s="450"/>
      <c r="T821" s="450"/>
      <c r="U821" s="450"/>
      <c r="V821" s="450"/>
      <c r="W821" s="450"/>
      <c r="X821" s="450"/>
      <c r="Y821" s="450"/>
      <c r="Z821" s="450"/>
      <c r="AA821" s="450"/>
      <c r="AB821" s="450"/>
      <c r="AC821" s="450"/>
      <c r="AD821" s="450"/>
      <c r="AE821" s="450"/>
      <c r="AF821" s="450"/>
      <c r="AG821" s="450"/>
      <c r="AH821" s="450"/>
      <c r="AI821" s="450"/>
      <c r="AJ821" s="450"/>
      <c r="AK821" s="450"/>
      <c r="AL821" s="450"/>
      <c r="AM821" s="450"/>
      <c r="AN821" s="450"/>
      <c r="AO821" s="450"/>
      <c r="AP821" s="450"/>
      <c r="AQ821" s="450"/>
      <c r="AR821" s="450"/>
      <c r="AS821" s="450"/>
      <c r="AT821" s="450"/>
      <c r="AU821" s="450"/>
      <c r="AV821" s="450"/>
      <c r="AW821" s="450"/>
      <c r="AX821" s="450"/>
      <c r="AY821" s="450"/>
      <c r="AZ821" s="450"/>
      <c r="BA821" s="450"/>
      <c r="BB821" s="450"/>
      <c r="BC821" s="450"/>
      <c r="BD821" s="450"/>
      <c r="BE821" s="450"/>
      <c r="BF821" s="450"/>
      <c r="BG821" s="450"/>
      <c r="BH821" s="450"/>
      <c r="BI821" s="450"/>
      <c r="BJ821" s="450"/>
      <c r="BK821" s="450"/>
      <c r="BL821" s="450"/>
      <c r="BM821" s="450"/>
    </row>
    <row r="822" spans="1:65" ht="11.15">
      <c r="A822" s="450"/>
      <c r="B822" s="450"/>
      <c r="C822" s="450"/>
      <c r="D822" s="450"/>
      <c r="E822" s="450"/>
      <c r="F822" s="450"/>
      <c r="G822" s="450"/>
      <c r="H822" s="450"/>
      <c r="I822" s="450"/>
      <c r="J822" s="450"/>
      <c r="K822" s="450"/>
      <c r="L822" s="450"/>
      <c r="M822" s="450"/>
      <c r="N822" s="450"/>
      <c r="O822" s="450"/>
      <c r="P822" s="450"/>
      <c r="Q822" s="450"/>
      <c r="R822" s="450"/>
      <c r="S822" s="450"/>
      <c r="T822" s="450"/>
      <c r="U822" s="450"/>
      <c r="V822" s="450"/>
      <c r="W822" s="450"/>
      <c r="X822" s="450"/>
      <c r="Y822" s="450"/>
      <c r="Z822" s="450"/>
      <c r="AA822" s="450"/>
      <c r="AB822" s="450"/>
      <c r="AC822" s="450"/>
      <c r="AD822" s="450"/>
      <c r="AE822" s="450"/>
      <c r="AF822" s="450"/>
      <c r="AG822" s="450"/>
      <c r="AH822" s="450"/>
      <c r="AI822" s="450"/>
      <c r="AJ822" s="450"/>
      <c r="AK822" s="450"/>
      <c r="AL822" s="450"/>
      <c r="AM822" s="450"/>
      <c r="AN822" s="450"/>
      <c r="AO822" s="450"/>
      <c r="AP822" s="450"/>
      <c r="AQ822" s="450"/>
      <c r="AR822" s="450"/>
      <c r="AS822" s="450"/>
      <c r="AT822" s="450"/>
      <c r="AU822" s="450"/>
      <c r="AV822" s="450"/>
      <c r="AW822" s="450"/>
      <c r="AX822" s="450"/>
      <c r="AY822" s="450"/>
      <c r="AZ822" s="450"/>
      <c r="BA822" s="450"/>
      <c r="BB822" s="450"/>
      <c r="BC822" s="450"/>
      <c r="BD822" s="450"/>
      <c r="BE822" s="450"/>
      <c r="BF822" s="450"/>
      <c r="BG822" s="450"/>
      <c r="BH822" s="450"/>
      <c r="BI822" s="450"/>
      <c r="BJ822" s="450"/>
      <c r="BK822" s="450"/>
      <c r="BL822" s="450"/>
      <c r="BM822" s="450"/>
    </row>
    <row r="823" spans="1:65" ht="11.15">
      <c r="A823" s="450"/>
      <c r="B823" s="450"/>
      <c r="C823" s="450"/>
      <c r="D823" s="450"/>
      <c r="E823" s="450"/>
      <c r="F823" s="450"/>
      <c r="G823" s="450"/>
      <c r="H823" s="450"/>
      <c r="I823" s="450"/>
      <c r="J823" s="450"/>
      <c r="K823" s="450"/>
      <c r="L823" s="450"/>
      <c r="M823" s="450"/>
      <c r="N823" s="450"/>
      <c r="O823" s="450"/>
      <c r="P823" s="450"/>
      <c r="Q823" s="450"/>
      <c r="R823" s="450"/>
      <c r="S823" s="450"/>
      <c r="T823" s="450"/>
      <c r="U823" s="450"/>
      <c r="V823" s="450"/>
      <c r="W823" s="450"/>
      <c r="X823" s="450"/>
      <c r="Y823" s="450"/>
      <c r="Z823" s="450"/>
      <c r="AA823" s="450"/>
      <c r="AB823" s="450"/>
      <c r="AC823" s="450"/>
      <c r="AD823" s="450"/>
      <c r="AE823" s="450"/>
      <c r="AF823" s="450"/>
      <c r="AG823" s="450"/>
      <c r="AH823" s="450"/>
      <c r="AI823" s="450"/>
      <c r="AJ823" s="450"/>
      <c r="AK823" s="450"/>
      <c r="AL823" s="450"/>
      <c r="AM823" s="450"/>
      <c r="AN823" s="450"/>
      <c r="AO823" s="450"/>
      <c r="AP823" s="450"/>
      <c r="AQ823" s="450"/>
      <c r="AR823" s="450"/>
      <c r="AS823" s="450"/>
      <c r="AT823" s="450"/>
      <c r="AU823" s="450"/>
      <c r="AV823" s="450"/>
      <c r="AW823" s="450"/>
      <c r="AX823" s="450"/>
      <c r="AY823" s="450"/>
      <c r="AZ823" s="450"/>
      <c r="BA823" s="450"/>
      <c r="BB823" s="450"/>
      <c r="BC823" s="450"/>
      <c r="BD823" s="450"/>
      <c r="BE823" s="450"/>
      <c r="BF823" s="450"/>
      <c r="BG823" s="450"/>
      <c r="BH823" s="450"/>
      <c r="BI823" s="450"/>
      <c r="BJ823" s="450"/>
      <c r="BK823" s="450"/>
      <c r="BL823" s="450"/>
      <c r="BM823" s="450"/>
    </row>
    <row r="824" spans="1:65" ht="11.15">
      <c r="A824" s="450"/>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c r="AA824" s="450"/>
      <c r="AB824" s="450"/>
      <c r="AC824" s="450"/>
      <c r="AD824" s="450"/>
      <c r="AE824" s="450"/>
      <c r="AF824" s="450"/>
      <c r="AG824" s="450"/>
      <c r="AH824" s="450"/>
      <c r="AI824" s="450"/>
      <c r="AJ824" s="450"/>
      <c r="AK824" s="450"/>
      <c r="AL824" s="450"/>
      <c r="AM824" s="450"/>
      <c r="AN824" s="450"/>
      <c r="AO824" s="450"/>
      <c r="AP824" s="450"/>
      <c r="AQ824" s="450"/>
      <c r="AR824" s="450"/>
      <c r="AS824" s="450"/>
      <c r="AT824" s="450"/>
      <c r="AU824" s="450"/>
      <c r="AV824" s="450"/>
      <c r="AW824" s="450"/>
      <c r="AX824" s="450"/>
      <c r="AY824" s="450"/>
      <c r="AZ824" s="450"/>
      <c r="BA824" s="450"/>
      <c r="BB824" s="450"/>
      <c r="BC824" s="450"/>
      <c r="BD824" s="450"/>
      <c r="BE824" s="450"/>
      <c r="BF824" s="450"/>
      <c r="BG824" s="450"/>
      <c r="BH824" s="450"/>
      <c r="BI824" s="450"/>
      <c r="BJ824" s="450"/>
      <c r="BK824" s="450"/>
      <c r="BL824" s="450"/>
      <c r="BM824" s="450"/>
    </row>
    <row r="825" spans="1:65" ht="11.15">
      <c r="A825" s="450"/>
      <c r="B825" s="450"/>
      <c r="C825" s="450"/>
      <c r="D825" s="450"/>
      <c r="E825" s="450"/>
      <c r="F825" s="450"/>
      <c r="G825" s="450"/>
      <c r="H825" s="450"/>
      <c r="I825" s="450"/>
      <c r="J825" s="450"/>
      <c r="K825" s="450"/>
      <c r="L825" s="450"/>
      <c r="M825" s="450"/>
      <c r="N825" s="450"/>
      <c r="O825" s="450"/>
      <c r="P825" s="450"/>
      <c r="Q825" s="450"/>
      <c r="R825" s="450"/>
      <c r="S825" s="450"/>
      <c r="T825" s="450"/>
      <c r="U825" s="450"/>
      <c r="V825" s="450"/>
      <c r="W825" s="450"/>
      <c r="X825" s="450"/>
      <c r="Y825" s="450"/>
      <c r="Z825" s="450"/>
      <c r="AA825" s="450"/>
      <c r="AB825" s="450"/>
      <c r="AC825" s="450"/>
      <c r="AD825" s="450"/>
      <c r="AE825" s="450"/>
      <c r="AF825" s="450"/>
      <c r="AG825" s="450"/>
      <c r="AH825" s="450"/>
      <c r="AI825" s="450"/>
      <c r="AJ825" s="450"/>
      <c r="AK825" s="450"/>
      <c r="AL825" s="450"/>
      <c r="AM825" s="450"/>
      <c r="AN825" s="450"/>
      <c r="AO825" s="450"/>
      <c r="AP825" s="450"/>
      <c r="AQ825" s="450"/>
      <c r="AR825" s="450"/>
      <c r="AS825" s="450"/>
      <c r="AT825" s="450"/>
      <c r="AU825" s="450"/>
      <c r="AV825" s="450"/>
      <c r="AW825" s="450"/>
      <c r="AX825" s="450"/>
      <c r="AY825" s="450"/>
      <c r="AZ825" s="450"/>
      <c r="BA825" s="450"/>
      <c r="BB825" s="450"/>
      <c r="BC825" s="450"/>
      <c r="BD825" s="450"/>
      <c r="BE825" s="450"/>
      <c r="BF825" s="450"/>
      <c r="BG825" s="450"/>
      <c r="BH825" s="450"/>
      <c r="BI825" s="450"/>
      <c r="BJ825" s="450"/>
      <c r="BK825" s="450"/>
      <c r="BL825" s="450"/>
      <c r="BM825" s="450"/>
    </row>
    <row r="826" spans="1:65" ht="11.15">
      <c r="A826" s="450"/>
      <c r="B826" s="450"/>
      <c r="C826" s="450"/>
      <c r="D826" s="450"/>
      <c r="E826" s="450"/>
      <c r="F826" s="450"/>
      <c r="G826" s="450"/>
      <c r="H826" s="450"/>
      <c r="I826" s="450"/>
      <c r="J826" s="450"/>
      <c r="K826" s="450"/>
      <c r="L826" s="450"/>
      <c r="M826" s="450"/>
      <c r="N826" s="450"/>
      <c r="O826" s="450"/>
      <c r="P826" s="450"/>
      <c r="Q826" s="450"/>
      <c r="R826" s="450"/>
      <c r="S826" s="450"/>
      <c r="T826" s="450"/>
      <c r="U826" s="450"/>
      <c r="V826" s="450"/>
      <c r="W826" s="450"/>
      <c r="X826" s="450"/>
      <c r="Y826" s="450"/>
      <c r="Z826" s="450"/>
      <c r="AA826" s="450"/>
      <c r="AB826" s="450"/>
      <c r="AC826" s="450"/>
      <c r="AD826" s="450"/>
      <c r="AE826" s="450"/>
      <c r="AF826" s="450"/>
      <c r="AG826" s="450"/>
      <c r="AH826" s="450"/>
      <c r="AI826" s="450"/>
      <c r="AJ826" s="450"/>
      <c r="AK826" s="450"/>
      <c r="AL826" s="450"/>
      <c r="AM826" s="450"/>
      <c r="AN826" s="450"/>
      <c r="AO826" s="450"/>
      <c r="AP826" s="450"/>
      <c r="AQ826" s="450"/>
      <c r="AR826" s="450"/>
      <c r="AS826" s="450"/>
      <c r="AT826" s="450"/>
      <c r="AU826" s="450"/>
      <c r="AV826" s="450"/>
      <c r="AW826" s="450"/>
      <c r="AX826" s="450"/>
      <c r="AY826" s="450"/>
      <c r="AZ826" s="450"/>
      <c r="BA826" s="450"/>
      <c r="BB826" s="450"/>
      <c r="BC826" s="450"/>
      <c r="BD826" s="450"/>
      <c r="BE826" s="450"/>
      <c r="BF826" s="450"/>
      <c r="BG826" s="450"/>
      <c r="BH826" s="450"/>
      <c r="BI826" s="450"/>
      <c r="BJ826" s="450"/>
      <c r="BK826" s="450"/>
      <c r="BL826" s="450"/>
      <c r="BM826" s="450"/>
    </row>
    <row r="827" spans="1:65" ht="11.15">
      <c r="A827" s="450"/>
      <c r="B827" s="450"/>
      <c r="C827" s="450"/>
      <c r="D827" s="450"/>
      <c r="E827" s="450"/>
      <c r="F827" s="450"/>
      <c r="G827" s="450"/>
      <c r="H827" s="450"/>
      <c r="I827" s="450"/>
      <c r="J827" s="450"/>
      <c r="K827" s="450"/>
      <c r="L827" s="450"/>
      <c r="M827" s="450"/>
      <c r="N827" s="450"/>
      <c r="O827" s="450"/>
      <c r="P827" s="450"/>
      <c r="Q827" s="450"/>
      <c r="R827" s="450"/>
      <c r="S827" s="450"/>
      <c r="T827" s="450"/>
      <c r="U827" s="450"/>
      <c r="V827" s="450"/>
      <c r="W827" s="450"/>
      <c r="X827" s="450"/>
      <c r="Y827" s="450"/>
      <c r="Z827" s="450"/>
      <c r="AA827" s="450"/>
      <c r="AB827" s="450"/>
      <c r="AC827" s="450"/>
      <c r="AD827" s="450"/>
      <c r="AE827" s="450"/>
      <c r="AF827" s="450"/>
      <c r="AG827" s="450"/>
      <c r="AH827" s="450"/>
      <c r="AI827" s="450"/>
      <c r="AJ827" s="450"/>
      <c r="AK827" s="450"/>
      <c r="AL827" s="450"/>
      <c r="AM827" s="450"/>
      <c r="AN827" s="450"/>
      <c r="AO827" s="450"/>
      <c r="AP827" s="450"/>
      <c r="AQ827" s="450"/>
      <c r="AR827" s="450"/>
      <c r="AS827" s="450"/>
      <c r="AT827" s="450"/>
      <c r="AU827" s="450"/>
      <c r="AV827" s="450"/>
      <c r="AW827" s="450"/>
      <c r="AX827" s="450"/>
      <c r="AY827" s="450"/>
      <c r="AZ827" s="450"/>
      <c r="BA827" s="450"/>
      <c r="BB827" s="450"/>
      <c r="BC827" s="450"/>
      <c r="BD827" s="450"/>
      <c r="BE827" s="450"/>
      <c r="BF827" s="450"/>
      <c r="BG827" s="450"/>
      <c r="BH827" s="450"/>
      <c r="BI827" s="450"/>
      <c r="BJ827" s="450"/>
      <c r="BK827" s="450"/>
      <c r="BL827" s="450"/>
      <c r="BM827" s="450"/>
    </row>
    <row r="828" spans="1:65" ht="11.15">
      <c r="A828" s="450"/>
      <c r="B828" s="450"/>
      <c r="C828" s="450"/>
      <c r="D828" s="450"/>
      <c r="E828" s="450"/>
      <c r="F828" s="450"/>
      <c r="G828" s="450"/>
      <c r="H828" s="450"/>
      <c r="I828" s="450"/>
      <c r="J828" s="450"/>
      <c r="K828" s="450"/>
      <c r="L828" s="450"/>
      <c r="M828" s="450"/>
      <c r="N828" s="450"/>
      <c r="O828" s="450"/>
      <c r="P828" s="450"/>
      <c r="Q828" s="450"/>
      <c r="R828" s="450"/>
      <c r="S828" s="450"/>
      <c r="T828" s="450"/>
      <c r="U828" s="450"/>
      <c r="V828" s="450"/>
      <c r="W828" s="450"/>
      <c r="X828" s="450"/>
      <c r="Y828" s="450"/>
      <c r="Z828" s="450"/>
      <c r="AA828" s="450"/>
      <c r="AB828" s="450"/>
      <c r="AC828" s="450"/>
      <c r="AD828" s="450"/>
      <c r="AE828" s="450"/>
      <c r="AF828" s="450"/>
      <c r="AG828" s="450"/>
      <c r="AH828" s="450"/>
      <c r="AI828" s="450"/>
      <c r="AJ828" s="450"/>
      <c r="AK828" s="450"/>
      <c r="AL828" s="450"/>
      <c r="AM828" s="450"/>
      <c r="AN828" s="450"/>
      <c r="AO828" s="450"/>
      <c r="AP828" s="450"/>
      <c r="AQ828" s="450"/>
      <c r="AR828" s="450"/>
      <c r="AS828" s="450"/>
      <c r="AT828" s="450"/>
      <c r="AU828" s="450"/>
      <c r="AV828" s="450"/>
      <c r="AW828" s="450"/>
      <c r="AX828" s="450"/>
      <c r="AY828" s="450"/>
      <c r="AZ828" s="450"/>
      <c r="BA828" s="450"/>
      <c r="BB828" s="450"/>
      <c r="BC828" s="450"/>
      <c r="BD828" s="450"/>
      <c r="BE828" s="450"/>
      <c r="BF828" s="450"/>
      <c r="BG828" s="450"/>
      <c r="BH828" s="450"/>
      <c r="BI828" s="450"/>
      <c r="BJ828" s="450"/>
      <c r="BK828" s="450"/>
      <c r="BL828" s="450"/>
      <c r="BM828" s="450"/>
    </row>
    <row r="829" spans="1:65" ht="11.15">
      <c r="A829" s="450"/>
      <c r="B829" s="450"/>
      <c r="C829" s="450"/>
      <c r="D829" s="450"/>
      <c r="E829" s="450"/>
      <c r="F829" s="450"/>
      <c r="G829" s="450"/>
      <c r="H829" s="450"/>
      <c r="I829" s="450"/>
      <c r="J829" s="450"/>
      <c r="K829" s="450"/>
      <c r="L829" s="450"/>
      <c r="M829" s="450"/>
      <c r="N829" s="450"/>
      <c r="O829" s="450"/>
      <c r="P829" s="450"/>
      <c r="Q829" s="450"/>
      <c r="R829" s="450"/>
      <c r="S829" s="450"/>
      <c r="T829" s="450"/>
      <c r="U829" s="450"/>
      <c r="V829" s="450"/>
      <c r="W829" s="450"/>
      <c r="X829" s="450"/>
      <c r="Y829" s="450"/>
      <c r="Z829" s="450"/>
      <c r="AA829" s="450"/>
      <c r="AB829" s="450"/>
      <c r="AC829" s="450"/>
      <c r="AD829" s="450"/>
      <c r="AE829" s="450"/>
      <c r="AF829" s="450"/>
      <c r="AG829" s="450"/>
      <c r="AH829" s="450"/>
      <c r="AI829" s="450"/>
      <c r="AJ829" s="450"/>
      <c r="AK829" s="450"/>
      <c r="AL829" s="450"/>
      <c r="AM829" s="450"/>
      <c r="AN829" s="450"/>
      <c r="AO829" s="450"/>
      <c r="AP829" s="450"/>
      <c r="AQ829" s="450"/>
      <c r="AR829" s="450"/>
      <c r="AS829" s="450"/>
      <c r="AT829" s="450"/>
      <c r="AU829" s="450"/>
      <c r="AV829" s="450"/>
      <c r="AW829" s="450"/>
      <c r="AX829" s="450"/>
      <c r="AY829" s="450"/>
      <c r="AZ829" s="450"/>
      <c r="BA829" s="450"/>
      <c r="BB829" s="450"/>
      <c r="BC829" s="450"/>
      <c r="BD829" s="450"/>
      <c r="BE829" s="450"/>
      <c r="BF829" s="450"/>
      <c r="BG829" s="450"/>
      <c r="BH829" s="450"/>
      <c r="BI829" s="450"/>
      <c r="BJ829" s="450"/>
      <c r="BK829" s="450"/>
      <c r="BL829" s="450"/>
      <c r="BM829" s="450"/>
    </row>
    <row r="830" spans="1:65" ht="11.15">
      <c r="A830" s="450"/>
      <c r="B830" s="450"/>
      <c r="C830" s="450"/>
      <c r="D830" s="450"/>
      <c r="E830" s="450"/>
      <c r="F830" s="450"/>
      <c r="G830" s="450"/>
      <c r="H830" s="450"/>
      <c r="I830" s="450"/>
      <c r="J830" s="450"/>
      <c r="K830" s="450"/>
      <c r="L830" s="450"/>
      <c r="M830" s="450"/>
      <c r="N830" s="450"/>
      <c r="O830" s="450"/>
      <c r="P830" s="450"/>
      <c r="Q830" s="450"/>
      <c r="R830" s="450"/>
      <c r="S830" s="450"/>
      <c r="T830" s="450"/>
      <c r="U830" s="450"/>
      <c r="V830" s="450"/>
      <c r="W830" s="450"/>
      <c r="X830" s="450"/>
      <c r="Y830" s="450"/>
      <c r="Z830" s="450"/>
      <c r="AA830" s="450"/>
      <c r="AB830" s="450"/>
      <c r="AC830" s="450"/>
      <c r="AD830" s="450"/>
      <c r="AE830" s="450"/>
      <c r="AF830" s="450"/>
      <c r="AG830" s="450"/>
      <c r="AH830" s="450"/>
      <c r="AI830" s="450"/>
      <c r="AJ830" s="450"/>
      <c r="AK830" s="450"/>
      <c r="AL830" s="450"/>
      <c r="AM830" s="450"/>
      <c r="AN830" s="450"/>
      <c r="AO830" s="450"/>
      <c r="AP830" s="450"/>
      <c r="AQ830" s="450"/>
      <c r="AR830" s="450"/>
      <c r="AS830" s="450"/>
      <c r="AT830" s="450"/>
      <c r="AU830" s="450"/>
      <c r="AV830" s="450"/>
      <c r="AW830" s="450"/>
      <c r="AX830" s="450"/>
      <c r="AY830" s="450"/>
      <c r="AZ830" s="450"/>
      <c r="BA830" s="450"/>
      <c r="BB830" s="450"/>
      <c r="BC830" s="450"/>
      <c r="BD830" s="450"/>
      <c r="BE830" s="450"/>
      <c r="BF830" s="450"/>
      <c r="BG830" s="450"/>
      <c r="BH830" s="450"/>
      <c r="BI830" s="450"/>
      <c r="BJ830" s="450"/>
      <c r="BK830" s="450"/>
      <c r="BL830" s="450"/>
      <c r="BM830" s="450"/>
    </row>
    <row r="831" spans="1:65" ht="11.15">
      <c r="A831" s="450"/>
      <c r="B831" s="450"/>
      <c r="C831" s="450"/>
      <c r="D831" s="450"/>
      <c r="E831" s="450"/>
      <c r="F831" s="450"/>
      <c r="G831" s="450"/>
      <c r="H831" s="450"/>
      <c r="I831" s="450"/>
      <c r="J831" s="450"/>
      <c r="K831" s="450"/>
      <c r="L831" s="450"/>
      <c r="M831" s="450"/>
      <c r="N831" s="450"/>
      <c r="O831" s="450"/>
      <c r="P831" s="450"/>
      <c r="Q831" s="450"/>
      <c r="R831" s="450"/>
      <c r="S831" s="450"/>
      <c r="T831" s="450"/>
      <c r="U831" s="450"/>
      <c r="V831" s="450"/>
      <c r="W831" s="450"/>
      <c r="X831" s="450"/>
      <c r="Y831" s="450"/>
      <c r="Z831" s="450"/>
      <c r="AA831" s="450"/>
      <c r="AB831" s="450"/>
      <c r="AC831" s="450"/>
      <c r="AD831" s="450"/>
      <c r="AE831" s="450"/>
      <c r="AF831" s="450"/>
      <c r="AG831" s="450"/>
      <c r="AH831" s="450"/>
      <c r="AI831" s="450"/>
      <c r="AJ831" s="450"/>
      <c r="AK831" s="450"/>
      <c r="AL831" s="450"/>
      <c r="AM831" s="450"/>
      <c r="AN831" s="450"/>
      <c r="AO831" s="450"/>
      <c r="AP831" s="450"/>
      <c r="AQ831" s="450"/>
      <c r="AR831" s="450"/>
      <c r="AS831" s="450"/>
      <c r="AT831" s="450"/>
      <c r="AU831" s="450"/>
      <c r="AV831" s="450"/>
      <c r="AW831" s="450"/>
      <c r="AX831" s="450"/>
      <c r="AY831" s="450"/>
      <c r="AZ831" s="450"/>
      <c r="BA831" s="450"/>
      <c r="BB831" s="450"/>
      <c r="BC831" s="450"/>
      <c r="BD831" s="450"/>
      <c r="BE831" s="450"/>
      <c r="BF831" s="450"/>
      <c r="BG831" s="450"/>
      <c r="BH831" s="450"/>
      <c r="BI831" s="450"/>
      <c r="BJ831" s="450"/>
      <c r="BK831" s="450"/>
      <c r="BL831" s="450"/>
      <c r="BM831" s="450"/>
    </row>
    <row r="832" spans="1:65" ht="11.15">
      <c r="A832" s="450"/>
      <c r="B832" s="450"/>
      <c r="C832" s="450"/>
      <c r="D832" s="450"/>
      <c r="E832" s="450"/>
      <c r="F832" s="450"/>
      <c r="G832" s="450"/>
      <c r="H832" s="450"/>
      <c r="I832" s="450"/>
      <c r="J832" s="450"/>
      <c r="K832" s="450"/>
      <c r="L832" s="450"/>
      <c r="M832" s="450"/>
      <c r="N832" s="450"/>
      <c r="O832" s="450"/>
      <c r="P832" s="450"/>
      <c r="Q832" s="450"/>
      <c r="R832" s="450"/>
      <c r="S832" s="450"/>
      <c r="T832" s="450"/>
      <c r="U832" s="450"/>
      <c r="V832" s="450"/>
      <c r="W832" s="450"/>
      <c r="X832" s="450"/>
      <c r="Y832" s="450"/>
      <c r="Z832" s="450"/>
      <c r="AA832" s="450"/>
      <c r="AB832" s="450"/>
      <c r="AC832" s="450"/>
      <c r="AD832" s="450"/>
      <c r="AE832" s="450"/>
      <c r="AF832" s="450"/>
      <c r="AG832" s="450"/>
      <c r="AH832" s="450"/>
      <c r="AI832" s="450"/>
      <c r="AJ832" s="450"/>
      <c r="AK832" s="450"/>
      <c r="AL832" s="450"/>
      <c r="AM832" s="450"/>
      <c r="AN832" s="450"/>
      <c r="AO832" s="450"/>
      <c r="AP832" s="450"/>
      <c r="AQ832" s="450"/>
      <c r="AR832" s="450"/>
      <c r="AS832" s="450"/>
      <c r="AT832" s="450"/>
      <c r="AU832" s="450"/>
      <c r="AV832" s="450"/>
      <c r="AW832" s="450"/>
      <c r="AX832" s="450"/>
      <c r="AY832" s="450"/>
      <c r="AZ832" s="450"/>
      <c r="BA832" s="450"/>
      <c r="BB832" s="450"/>
      <c r="BC832" s="450"/>
      <c r="BD832" s="450"/>
      <c r="BE832" s="450"/>
      <c r="BF832" s="450"/>
      <c r="BG832" s="450"/>
      <c r="BH832" s="450"/>
      <c r="BI832" s="450"/>
      <c r="BJ832" s="450"/>
      <c r="BK832" s="450"/>
      <c r="BL832" s="450"/>
      <c r="BM832" s="450"/>
    </row>
    <row r="833" spans="1:65" ht="11.15">
      <c r="A833" s="450"/>
      <c r="B833" s="450"/>
      <c r="C833" s="450"/>
      <c r="D833" s="450"/>
      <c r="E833" s="450"/>
      <c r="F833" s="450"/>
      <c r="G833" s="450"/>
      <c r="H833" s="450"/>
      <c r="I833" s="450"/>
      <c r="J833" s="450"/>
      <c r="K833" s="450"/>
      <c r="L833" s="450"/>
      <c r="M833" s="450"/>
      <c r="N833" s="450"/>
      <c r="O833" s="450"/>
      <c r="P833" s="450"/>
      <c r="Q833" s="450"/>
      <c r="R833" s="450"/>
      <c r="S833" s="450"/>
      <c r="T833" s="450"/>
      <c r="U833" s="450"/>
      <c r="V833" s="450"/>
      <c r="W833" s="450"/>
      <c r="X833" s="450"/>
      <c r="Y833" s="450"/>
      <c r="Z833" s="450"/>
      <c r="AA833" s="450"/>
      <c r="AB833" s="450"/>
      <c r="AC833" s="450"/>
      <c r="AD833" s="450"/>
      <c r="AE833" s="450"/>
      <c r="AF833" s="450"/>
      <c r="AG833" s="450"/>
      <c r="AH833" s="450"/>
      <c r="AI833" s="450"/>
      <c r="AJ833" s="450"/>
      <c r="AK833" s="450"/>
      <c r="AL833" s="450"/>
      <c r="AM833" s="450"/>
      <c r="AN833" s="450"/>
      <c r="AO833" s="450"/>
      <c r="AP833" s="450"/>
      <c r="AQ833" s="450"/>
      <c r="AR833" s="450"/>
      <c r="AS833" s="450"/>
      <c r="AT833" s="450"/>
      <c r="AU833" s="450"/>
      <c r="AV833" s="450"/>
      <c r="AW833" s="450"/>
      <c r="AX833" s="450"/>
      <c r="AY833" s="450"/>
      <c r="AZ833" s="450"/>
      <c r="BA833" s="450"/>
      <c r="BB833" s="450"/>
      <c r="BC833" s="450"/>
      <c r="BD833" s="450"/>
      <c r="BE833" s="450"/>
      <c r="BF833" s="450"/>
      <c r="BG833" s="450"/>
      <c r="BH833" s="450"/>
      <c r="BI833" s="450"/>
      <c r="BJ833" s="450"/>
      <c r="BK833" s="450"/>
      <c r="BL833" s="450"/>
      <c r="BM833" s="450"/>
    </row>
    <row r="834" spans="1:65" ht="11.15">
      <c r="A834" s="450"/>
      <c r="B834" s="450"/>
      <c r="C834" s="450"/>
      <c r="D834" s="450"/>
      <c r="E834" s="450"/>
      <c r="F834" s="450"/>
      <c r="G834" s="450"/>
      <c r="H834" s="450"/>
      <c r="I834" s="450"/>
      <c r="J834" s="450"/>
      <c r="K834" s="450"/>
      <c r="L834" s="450"/>
      <c r="M834" s="450"/>
      <c r="N834" s="450"/>
      <c r="O834" s="450"/>
      <c r="P834" s="450"/>
      <c r="Q834" s="450"/>
      <c r="R834" s="450"/>
      <c r="S834" s="450"/>
      <c r="T834" s="450"/>
      <c r="U834" s="450"/>
      <c r="V834" s="450"/>
      <c r="W834" s="450"/>
      <c r="X834" s="450"/>
      <c r="Y834" s="450"/>
      <c r="Z834" s="450"/>
      <c r="AA834" s="450"/>
      <c r="AB834" s="450"/>
      <c r="AC834" s="450"/>
      <c r="AD834" s="450"/>
      <c r="AE834" s="450"/>
      <c r="AF834" s="450"/>
      <c r="AG834" s="450"/>
      <c r="AH834" s="450"/>
      <c r="AI834" s="450"/>
      <c r="AJ834" s="450"/>
      <c r="AK834" s="450"/>
      <c r="AL834" s="450"/>
      <c r="AM834" s="450"/>
      <c r="AN834" s="450"/>
      <c r="AO834" s="450"/>
      <c r="AP834" s="450"/>
      <c r="AQ834" s="450"/>
      <c r="AR834" s="450"/>
      <c r="AS834" s="450"/>
      <c r="AT834" s="450"/>
      <c r="AU834" s="450"/>
      <c r="AV834" s="450"/>
      <c r="AW834" s="450"/>
      <c r="AX834" s="450"/>
      <c r="AY834" s="450"/>
      <c r="AZ834" s="450"/>
      <c r="BA834" s="450"/>
      <c r="BB834" s="450"/>
      <c r="BC834" s="450"/>
      <c r="BD834" s="450"/>
      <c r="BE834" s="450"/>
      <c r="BF834" s="450"/>
      <c r="BG834" s="450"/>
      <c r="BH834" s="450"/>
      <c r="BI834" s="450"/>
      <c r="BJ834" s="450"/>
      <c r="BK834" s="450"/>
      <c r="BL834" s="450"/>
      <c r="BM834" s="450"/>
    </row>
    <row r="835" spans="1:65" ht="11.15">
      <c r="A835" s="450"/>
      <c r="B835" s="450"/>
      <c r="C835" s="450"/>
      <c r="D835" s="450"/>
      <c r="E835" s="450"/>
      <c r="F835" s="450"/>
      <c r="G835" s="450"/>
      <c r="H835" s="450"/>
      <c r="I835" s="450"/>
      <c r="J835" s="450"/>
      <c r="K835" s="450"/>
      <c r="L835" s="450"/>
      <c r="M835" s="450"/>
      <c r="N835" s="450"/>
      <c r="O835" s="450"/>
      <c r="P835" s="450"/>
      <c r="Q835" s="450"/>
      <c r="R835" s="450"/>
      <c r="S835" s="450"/>
      <c r="T835" s="450"/>
      <c r="U835" s="450"/>
      <c r="V835" s="450"/>
      <c r="W835" s="450"/>
      <c r="X835" s="450"/>
      <c r="Y835" s="450"/>
      <c r="Z835" s="450"/>
      <c r="AA835" s="450"/>
      <c r="AB835" s="450"/>
      <c r="AC835" s="450"/>
      <c r="AD835" s="450"/>
      <c r="AE835" s="450"/>
      <c r="AF835" s="450"/>
      <c r="AG835" s="450"/>
      <c r="AH835" s="450"/>
      <c r="AI835" s="450"/>
      <c r="AJ835" s="450"/>
      <c r="AK835" s="450"/>
      <c r="AL835" s="450"/>
      <c r="AM835" s="450"/>
      <c r="AN835" s="450"/>
      <c r="AO835" s="450"/>
      <c r="AP835" s="450"/>
      <c r="AQ835" s="450"/>
      <c r="AR835" s="450"/>
      <c r="AS835" s="450"/>
      <c r="AT835" s="450"/>
      <c r="AU835" s="450"/>
      <c r="AV835" s="450"/>
      <c r="AW835" s="450"/>
      <c r="AX835" s="450"/>
      <c r="AY835" s="450"/>
      <c r="AZ835" s="450"/>
      <c r="BA835" s="450"/>
      <c r="BB835" s="450"/>
      <c r="BC835" s="450"/>
      <c r="BD835" s="450"/>
      <c r="BE835" s="450"/>
      <c r="BF835" s="450"/>
      <c r="BG835" s="450"/>
      <c r="BH835" s="450"/>
      <c r="BI835" s="450"/>
      <c r="BJ835" s="450"/>
      <c r="BK835" s="450"/>
      <c r="BL835" s="450"/>
      <c r="BM835" s="450"/>
    </row>
    <row r="836" spans="1:65" ht="11.15">
      <c r="A836" s="450"/>
      <c r="B836" s="450"/>
      <c r="C836" s="450"/>
      <c r="D836" s="450"/>
      <c r="E836" s="450"/>
      <c r="F836" s="450"/>
      <c r="G836" s="450"/>
      <c r="H836" s="450"/>
      <c r="I836" s="450"/>
      <c r="J836" s="450"/>
      <c r="K836" s="450"/>
      <c r="L836" s="450"/>
      <c r="M836" s="450"/>
      <c r="N836" s="450"/>
      <c r="O836" s="450"/>
      <c r="P836" s="450"/>
      <c r="Q836" s="450"/>
      <c r="R836" s="450"/>
      <c r="S836" s="450"/>
      <c r="T836" s="450"/>
      <c r="U836" s="450"/>
      <c r="V836" s="450"/>
      <c r="W836" s="450"/>
      <c r="X836" s="450"/>
      <c r="Y836" s="450"/>
      <c r="Z836" s="450"/>
      <c r="AA836" s="450"/>
      <c r="AB836" s="450"/>
      <c r="AC836" s="450"/>
      <c r="AD836" s="450"/>
      <c r="AE836" s="450"/>
      <c r="AF836" s="450"/>
      <c r="AG836" s="450"/>
      <c r="AH836" s="450"/>
      <c r="AI836" s="450"/>
      <c r="AJ836" s="450"/>
      <c r="AK836" s="450"/>
      <c r="AL836" s="450"/>
      <c r="AM836" s="450"/>
      <c r="AN836" s="450"/>
      <c r="AO836" s="450"/>
      <c r="AP836" s="450"/>
      <c r="AQ836" s="450"/>
      <c r="AR836" s="450"/>
      <c r="AS836" s="450"/>
      <c r="AT836" s="450"/>
      <c r="AU836" s="450"/>
      <c r="AV836" s="450"/>
      <c r="AW836" s="450"/>
      <c r="AX836" s="450"/>
      <c r="AY836" s="450"/>
      <c r="AZ836" s="450"/>
      <c r="BA836" s="450"/>
      <c r="BB836" s="450"/>
      <c r="BC836" s="450"/>
      <c r="BD836" s="450"/>
      <c r="BE836" s="450"/>
      <c r="BF836" s="450"/>
      <c r="BG836" s="450"/>
      <c r="BH836" s="450"/>
      <c r="BI836" s="450"/>
      <c r="BJ836" s="450"/>
      <c r="BK836" s="450"/>
      <c r="BL836" s="450"/>
      <c r="BM836" s="450"/>
    </row>
    <row r="837" spans="1:65" ht="11.15">
      <c r="A837" s="450"/>
      <c r="B837" s="450"/>
      <c r="C837" s="450"/>
      <c r="D837" s="450"/>
      <c r="E837" s="450"/>
      <c r="F837" s="450"/>
      <c r="G837" s="450"/>
      <c r="H837" s="450"/>
      <c r="I837" s="450"/>
      <c r="J837" s="450"/>
      <c r="K837" s="450"/>
      <c r="L837" s="450"/>
      <c r="M837" s="450"/>
      <c r="N837" s="450"/>
      <c r="O837" s="450"/>
      <c r="P837" s="450"/>
      <c r="Q837" s="450"/>
      <c r="R837" s="450"/>
      <c r="S837" s="450"/>
      <c r="T837" s="450"/>
      <c r="U837" s="450"/>
      <c r="V837" s="450"/>
      <c r="W837" s="450"/>
      <c r="X837" s="450"/>
      <c r="Y837" s="450"/>
      <c r="Z837" s="450"/>
      <c r="AA837" s="450"/>
      <c r="AB837" s="450"/>
      <c r="AC837" s="450"/>
      <c r="AD837" s="450"/>
      <c r="AE837" s="450"/>
      <c r="AF837" s="450"/>
      <c r="AG837" s="450"/>
      <c r="AH837" s="450"/>
      <c r="AI837" s="450"/>
      <c r="AJ837" s="450"/>
      <c r="AK837" s="450"/>
      <c r="AL837" s="450"/>
      <c r="AM837" s="450"/>
      <c r="AN837" s="450"/>
      <c r="AO837" s="450"/>
      <c r="AP837" s="450"/>
      <c r="AQ837" s="450"/>
      <c r="AR837" s="450"/>
      <c r="AS837" s="450"/>
      <c r="AT837" s="450"/>
      <c r="AU837" s="450"/>
      <c r="AV837" s="450"/>
      <c r="AW837" s="450"/>
      <c r="AX837" s="450"/>
      <c r="AY837" s="450"/>
      <c r="AZ837" s="450"/>
      <c r="BA837" s="450"/>
      <c r="BB837" s="450"/>
      <c r="BC837" s="450"/>
      <c r="BD837" s="450"/>
      <c r="BE837" s="450"/>
      <c r="BF837" s="450"/>
      <c r="BG837" s="450"/>
      <c r="BH837" s="450"/>
      <c r="BI837" s="450"/>
      <c r="BJ837" s="450"/>
      <c r="BK837" s="450"/>
      <c r="BL837" s="450"/>
      <c r="BM837" s="450"/>
    </row>
    <row r="838" spans="1:65" ht="11.15">
      <c r="A838" s="450"/>
      <c r="B838" s="450"/>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c r="Z838" s="450"/>
      <c r="AA838" s="450"/>
      <c r="AB838" s="450"/>
      <c r="AC838" s="450"/>
      <c r="AD838" s="450"/>
      <c r="AE838" s="450"/>
      <c r="AF838" s="450"/>
      <c r="AG838" s="450"/>
      <c r="AH838" s="450"/>
      <c r="AI838" s="450"/>
      <c r="AJ838" s="450"/>
      <c r="AK838" s="450"/>
      <c r="AL838" s="450"/>
      <c r="AM838" s="450"/>
      <c r="AN838" s="450"/>
      <c r="AO838" s="450"/>
      <c r="AP838" s="450"/>
      <c r="AQ838" s="450"/>
      <c r="AR838" s="450"/>
      <c r="AS838" s="450"/>
      <c r="AT838" s="450"/>
      <c r="AU838" s="450"/>
      <c r="AV838" s="450"/>
      <c r="AW838" s="450"/>
      <c r="AX838" s="450"/>
      <c r="AY838" s="450"/>
      <c r="AZ838" s="450"/>
      <c r="BA838" s="450"/>
      <c r="BB838" s="450"/>
      <c r="BC838" s="450"/>
      <c r="BD838" s="450"/>
      <c r="BE838" s="450"/>
      <c r="BF838" s="450"/>
      <c r="BG838" s="450"/>
      <c r="BH838" s="450"/>
      <c r="BI838" s="450"/>
      <c r="BJ838" s="450"/>
      <c r="BK838" s="450"/>
      <c r="BL838" s="450"/>
      <c r="BM838" s="450"/>
    </row>
    <row r="839" spans="1:65" ht="11.15">
      <c r="A839" s="450"/>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c r="AF839" s="450"/>
      <c r="AG839" s="450"/>
      <c r="AH839" s="450"/>
      <c r="AI839" s="450"/>
      <c r="AJ839" s="450"/>
      <c r="AK839" s="450"/>
      <c r="AL839" s="450"/>
      <c r="AM839" s="450"/>
      <c r="AN839" s="450"/>
      <c r="AO839" s="450"/>
      <c r="AP839" s="450"/>
      <c r="AQ839" s="450"/>
      <c r="AR839" s="450"/>
      <c r="AS839" s="450"/>
      <c r="AT839" s="450"/>
      <c r="AU839" s="450"/>
      <c r="AV839" s="450"/>
      <c r="AW839" s="450"/>
      <c r="AX839" s="450"/>
      <c r="AY839" s="450"/>
      <c r="AZ839" s="450"/>
      <c r="BA839" s="450"/>
      <c r="BB839" s="450"/>
      <c r="BC839" s="450"/>
      <c r="BD839" s="450"/>
      <c r="BE839" s="450"/>
      <c r="BF839" s="450"/>
      <c r="BG839" s="450"/>
      <c r="BH839" s="450"/>
      <c r="BI839" s="450"/>
      <c r="BJ839" s="450"/>
      <c r="BK839" s="450"/>
      <c r="BL839" s="450"/>
      <c r="BM839" s="450"/>
    </row>
    <row r="840" spans="1:65" ht="11.15">
      <c r="A840" s="450"/>
      <c r="B840" s="450"/>
      <c r="C840" s="450"/>
      <c r="D840" s="450"/>
      <c r="E840" s="450"/>
      <c r="F840" s="450"/>
      <c r="G840" s="450"/>
      <c r="H840" s="450"/>
      <c r="I840" s="450"/>
      <c r="J840" s="450"/>
      <c r="K840" s="450"/>
      <c r="L840" s="450"/>
      <c r="M840" s="450"/>
      <c r="N840" s="450"/>
      <c r="O840" s="450"/>
      <c r="P840" s="450"/>
      <c r="Q840" s="450"/>
      <c r="R840" s="450"/>
      <c r="S840" s="450"/>
      <c r="T840" s="450"/>
      <c r="U840" s="450"/>
      <c r="V840" s="450"/>
      <c r="W840" s="450"/>
      <c r="X840" s="450"/>
      <c r="Y840" s="450"/>
      <c r="Z840" s="450"/>
      <c r="AA840" s="450"/>
      <c r="AB840" s="450"/>
      <c r="AC840" s="450"/>
      <c r="AD840" s="450"/>
      <c r="AE840" s="450"/>
      <c r="AF840" s="450"/>
      <c r="AG840" s="450"/>
      <c r="AH840" s="450"/>
      <c r="AI840" s="450"/>
      <c r="AJ840" s="450"/>
      <c r="AK840" s="450"/>
      <c r="AL840" s="450"/>
      <c r="AM840" s="450"/>
      <c r="AN840" s="450"/>
      <c r="AO840" s="450"/>
      <c r="AP840" s="450"/>
      <c r="AQ840" s="450"/>
      <c r="AR840" s="450"/>
      <c r="AS840" s="450"/>
      <c r="AT840" s="450"/>
      <c r="AU840" s="450"/>
      <c r="AV840" s="450"/>
      <c r="AW840" s="450"/>
      <c r="AX840" s="450"/>
      <c r="AY840" s="450"/>
      <c r="AZ840" s="450"/>
      <c r="BA840" s="450"/>
      <c r="BB840" s="450"/>
      <c r="BC840" s="450"/>
      <c r="BD840" s="450"/>
      <c r="BE840" s="450"/>
      <c r="BF840" s="450"/>
      <c r="BG840" s="450"/>
      <c r="BH840" s="450"/>
      <c r="BI840" s="450"/>
      <c r="BJ840" s="450"/>
      <c r="BK840" s="450"/>
      <c r="BL840" s="450"/>
      <c r="BM840" s="450"/>
    </row>
    <row r="841" spans="1:65" ht="11.15">
      <c r="A841" s="450"/>
      <c r="B841" s="450"/>
      <c r="C841" s="450"/>
      <c r="D841" s="450"/>
      <c r="E841" s="450"/>
      <c r="F841" s="450"/>
      <c r="G841" s="450"/>
      <c r="H841" s="450"/>
      <c r="I841" s="450"/>
      <c r="J841" s="450"/>
      <c r="K841" s="450"/>
      <c r="L841" s="450"/>
      <c r="M841" s="450"/>
      <c r="N841" s="450"/>
      <c r="O841" s="450"/>
      <c r="P841" s="450"/>
      <c r="Q841" s="450"/>
      <c r="R841" s="450"/>
      <c r="S841" s="450"/>
      <c r="T841" s="450"/>
      <c r="U841" s="450"/>
      <c r="V841" s="450"/>
      <c r="W841" s="450"/>
      <c r="X841" s="450"/>
      <c r="Y841" s="450"/>
      <c r="Z841" s="450"/>
      <c r="AA841" s="450"/>
      <c r="AB841" s="450"/>
      <c r="AC841" s="450"/>
      <c r="AD841" s="450"/>
      <c r="AE841" s="450"/>
      <c r="AF841" s="450"/>
      <c r="AG841" s="450"/>
      <c r="AH841" s="450"/>
      <c r="AI841" s="450"/>
      <c r="AJ841" s="450"/>
      <c r="AK841" s="450"/>
      <c r="AL841" s="450"/>
      <c r="AM841" s="450"/>
      <c r="AN841" s="450"/>
      <c r="AO841" s="450"/>
      <c r="AP841" s="450"/>
      <c r="AQ841" s="450"/>
      <c r="AR841" s="450"/>
      <c r="AS841" s="450"/>
      <c r="AT841" s="450"/>
      <c r="AU841" s="450"/>
      <c r="AV841" s="450"/>
      <c r="AW841" s="450"/>
      <c r="AX841" s="450"/>
      <c r="AY841" s="450"/>
      <c r="AZ841" s="450"/>
      <c r="BA841" s="450"/>
      <c r="BB841" s="450"/>
      <c r="BC841" s="450"/>
      <c r="BD841" s="450"/>
      <c r="BE841" s="450"/>
      <c r="BF841" s="450"/>
      <c r="BG841" s="450"/>
      <c r="BH841" s="450"/>
      <c r="BI841" s="450"/>
      <c r="BJ841" s="450"/>
      <c r="BK841" s="450"/>
      <c r="BL841" s="450"/>
      <c r="BM841" s="450"/>
    </row>
    <row r="842" spans="1:65" ht="11.15">
      <c r="A842" s="450"/>
      <c r="B842" s="450"/>
      <c r="C842" s="450"/>
      <c r="D842" s="450"/>
      <c r="E842" s="450"/>
      <c r="F842" s="450"/>
      <c r="G842" s="450"/>
      <c r="H842" s="450"/>
      <c r="I842" s="450"/>
      <c r="J842" s="450"/>
      <c r="K842" s="450"/>
      <c r="L842" s="450"/>
      <c r="M842" s="450"/>
      <c r="N842" s="450"/>
      <c r="O842" s="450"/>
      <c r="P842" s="450"/>
      <c r="Q842" s="450"/>
      <c r="R842" s="450"/>
      <c r="S842" s="450"/>
      <c r="T842" s="450"/>
      <c r="U842" s="450"/>
      <c r="V842" s="450"/>
      <c r="W842" s="450"/>
      <c r="X842" s="450"/>
      <c r="Y842" s="450"/>
      <c r="Z842" s="450"/>
      <c r="AA842" s="450"/>
      <c r="AB842" s="450"/>
      <c r="AC842" s="450"/>
      <c r="AD842" s="450"/>
      <c r="AE842" s="450"/>
      <c r="AF842" s="450"/>
      <c r="AG842" s="450"/>
      <c r="AH842" s="450"/>
      <c r="AI842" s="450"/>
      <c r="AJ842" s="450"/>
      <c r="AK842" s="450"/>
      <c r="AL842" s="450"/>
      <c r="AM842" s="450"/>
      <c r="AN842" s="450"/>
      <c r="AO842" s="450"/>
      <c r="AP842" s="450"/>
      <c r="AQ842" s="450"/>
      <c r="AR842" s="450"/>
      <c r="AS842" s="450"/>
      <c r="AT842" s="450"/>
      <c r="AU842" s="450"/>
      <c r="AV842" s="450"/>
      <c r="AW842" s="450"/>
      <c r="AX842" s="450"/>
      <c r="AY842" s="450"/>
      <c r="AZ842" s="450"/>
      <c r="BA842" s="450"/>
      <c r="BB842" s="450"/>
      <c r="BC842" s="450"/>
      <c r="BD842" s="450"/>
      <c r="BE842" s="450"/>
      <c r="BF842" s="450"/>
      <c r="BG842" s="450"/>
      <c r="BH842" s="450"/>
      <c r="BI842" s="450"/>
      <c r="BJ842" s="450"/>
      <c r="BK842" s="450"/>
      <c r="BL842" s="450"/>
      <c r="BM842" s="450"/>
    </row>
    <row r="843" spans="1:65" ht="11.15">
      <c r="A843" s="450"/>
      <c r="B843" s="450"/>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c r="Z843" s="450"/>
      <c r="AA843" s="450"/>
      <c r="AB843" s="450"/>
      <c r="AC843" s="450"/>
      <c r="AD843" s="450"/>
      <c r="AE843" s="450"/>
      <c r="AF843" s="450"/>
      <c r="AG843" s="450"/>
      <c r="AH843" s="450"/>
      <c r="AI843" s="450"/>
      <c r="AJ843" s="450"/>
      <c r="AK843" s="450"/>
      <c r="AL843" s="450"/>
      <c r="AM843" s="450"/>
      <c r="AN843" s="450"/>
      <c r="AO843" s="450"/>
      <c r="AP843" s="450"/>
      <c r="AQ843" s="450"/>
      <c r="AR843" s="450"/>
      <c r="AS843" s="450"/>
      <c r="AT843" s="450"/>
      <c r="AU843" s="450"/>
      <c r="AV843" s="450"/>
      <c r="AW843" s="450"/>
      <c r="AX843" s="450"/>
      <c r="AY843" s="450"/>
      <c r="AZ843" s="450"/>
      <c r="BA843" s="450"/>
      <c r="BB843" s="450"/>
      <c r="BC843" s="450"/>
      <c r="BD843" s="450"/>
      <c r="BE843" s="450"/>
      <c r="BF843" s="450"/>
      <c r="BG843" s="450"/>
      <c r="BH843" s="450"/>
      <c r="BI843" s="450"/>
      <c r="BJ843" s="450"/>
      <c r="BK843" s="450"/>
      <c r="BL843" s="450"/>
      <c r="BM843" s="450"/>
    </row>
    <row r="844" spans="1:65" ht="11.15">
      <c r="A844" s="450"/>
      <c r="B844" s="450"/>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c r="Z844" s="450"/>
      <c r="AA844" s="450"/>
      <c r="AB844" s="450"/>
      <c r="AC844" s="450"/>
      <c r="AD844" s="450"/>
      <c r="AE844" s="450"/>
      <c r="AF844" s="450"/>
      <c r="AG844" s="450"/>
      <c r="AH844" s="450"/>
      <c r="AI844" s="450"/>
      <c r="AJ844" s="450"/>
      <c r="AK844" s="450"/>
      <c r="AL844" s="450"/>
      <c r="AM844" s="450"/>
      <c r="AN844" s="450"/>
      <c r="AO844" s="450"/>
      <c r="AP844" s="450"/>
      <c r="AQ844" s="450"/>
      <c r="AR844" s="450"/>
      <c r="AS844" s="450"/>
      <c r="AT844" s="450"/>
      <c r="AU844" s="450"/>
      <c r="AV844" s="450"/>
      <c r="AW844" s="450"/>
      <c r="AX844" s="450"/>
      <c r="AY844" s="450"/>
      <c r="AZ844" s="450"/>
      <c r="BA844" s="450"/>
      <c r="BB844" s="450"/>
      <c r="BC844" s="450"/>
      <c r="BD844" s="450"/>
      <c r="BE844" s="450"/>
      <c r="BF844" s="450"/>
      <c r="BG844" s="450"/>
      <c r="BH844" s="450"/>
      <c r="BI844" s="450"/>
      <c r="BJ844" s="450"/>
      <c r="BK844" s="450"/>
      <c r="BL844" s="450"/>
      <c r="BM844" s="450"/>
    </row>
    <row r="845" spans="1:65" ht="11.15">
      <c r="A845" s="450"/>
      <c r="B845" s="450"/>
      <c r="C845" s="450"/>
      <c r="D845" s="450"/>
      <c r="E845" s="450"/>
      <c r="F845" s="450"/>
      <c r="G845" s="450"/>
      <c r="H845" s="450"/>
      <c r="I845" s="450"/>
      <c r="J845" s="450"/>
      <c r="K845" s="450"/>
      <c r="L845" s="450"/>
      <c r="M845" s="450"/>
      <c r="N845" s="450"/>
      <c r="O845" s="450"/>
      <c r="P845" s="450"/>
      <c r="Q845" s="450"/>
      <c r="R845" s="450"/>
      <c r="S845" s="450"/>
      <c r="T845" s="450"/>
      <c r="U845" s="450"/>
      <c r="V845" s="450"/>
      <c r="W845" s="450"/>
      <c r="X845" s="450"/>
      <c r="Y845" s="450"/>
      <c r="Z845" s="450"/>
      <c r="AA845" s="450"/>
      <c r="AB845" s="450"/>
      <c r="AC845" s="450"/>
      <c r="AD845" s="450"/>
      <c r="AE845" s="450"/>
      <c r="AF845" s="450"/>
      <c r="AG845" s="450"/>
      <c r="AH845" s="450"/>
      <c r="AI845" s="450"/>
      <c r="AJ845" s="450"/>
      <c r="AK845" s="450"/>
      <c r="AL845" s="450"/>
      <c r="AM845" s="450"/>
      <c r="AN845" s="450"/>
      <c r="AO845" s="450"/>
      <c r="AP845" s="450"/>
      <c r="AQ845" s="450"/>
      <c r="AR845" s="450"/>
      <c r="AS845" s="450"/>
      <c r="AT845" s="450"/>
      <c r="AU845" s="450"/>
      <c r="AV845" s="450"/>
      <c r="AW845" s="450"/>
      <c r="AX845" s="450"/>
      <c r="AY845" s="450"/>
      <c r="AZ845" s="450"/>
      <c r="BA845" s="450"/>
      <c r="BB845" s="450"/>
      <c r="BC845" s="450"/>
      <c r="BD845" s="450"/>
      <c r="BE845" s="450"/>
      <c r="BF845" s="450"/>
      <c r="BG845" s="450"/>
      <c r="BH845" s="450"/>
      <c r="BI845" s="450"/>
      <c r="BJ845" s="450"/>
      <c r="BK845" s="450"/>
      <c r="BL845" s="450"/>
      <c r="BM845" s="450"/>
    </row>
    <row r="846" spans="1:65" ht="11.15">
      <c r="A846" s="450"/>
      <c r="B846" s="450"/>
      <c r="C846" s="450"/>
      <c r="D846" s="450"/>
      <c r="E846" s="450"/>
      <c r="F846" s="450"/>
      <c r="G846" s="450"/>
      <c r="H846" s="450"/>
      <c r="I846" s="450"/>
      <c r="J846" s="450"/>
      <c r="K846" s="450"/>
      <c r="L846" s="450"/>
      <c r="M846" s="450"/>
      <c r="N846" s="450"/>
      <c r="O846" s="450"/>
      <c r="P846" s="450"/>
      <c r="Q846" s="450"/>
      <c r="R846" s="450"/>
      <c r="S846" s="450"/>
      <c r="T846" s="450"/>
      <c r="U846" s="450"/>
      <c r="V846" s="450"/>
      <c r="W846" s="450"/>
      <c r="X846" s="450"/>
      <c r="Y846" s="450"/>
      <c r="Z846" s="450"/>
      <c r="AA846" s="450"/>
      <c r="AB846" s="450"/>
      <c r="AC846" s="450"/>
      <c r="AD846" s="450"/>
      <c r="AE846" s="450"/>
      <c r="AF846" s="450"/>
      <c r="AG846" s="450"/>
      <c r="AH846" s="450"/>
      <c r="AI846" s="450"/>
      <c r="AJ846" s="450"/>
      <c r="AK846" s="450"/>
      <c r="AL846" s="450"/>
      <c r="AM846" s="450"/>
      <c r="AN846" s="450"/>
      <c r="AO846" s="450"/>
      <c r="AP846" s="450"/>
      <c r="AQ846" s="450"/>
      <c r="AR846" s="450"/>
      <c r="AS846" s="450"/>
      <c r="AT846" s="450"/>
      <c r="AU846" s="450"/>
      <c r="AV846" s="450"/>
      <c r="AW846" s="450"/>
      <c r="AX846" s="450"/>
      <c r="AY846" s="450"/>
      <c r="AZ846" s="450"/>
      <c r="BA846" s="450"/>
      <c r="BB846" s="450"/>
      <c r="BC846" s="450"/>
      <c r="BD846" s="450"/>
      <c r="BE846" s="450"/>
      <c r="BF846" s="450"/>
      <c r="BG846" s="450"/>
      <c r="BH846" s="450"/>
      <c r="BI846" s="450"/>
      <c r="BJ846" s="450"/>
      <c r="BK846" s="450"/>
      <c r="BL846" s="450"/>
      <c r="BM846" s="450"/>
    </row>
    <row r="847" spans="1:65" ht="11.15">
      <c r="A847" s="450"/>
      <c r="B847" s="450"/>
      <c r="C847" s="450"/>
      <c r="D847" s="450"/>
      <c r="E847" s="450"/>
      <c r="F847" s="450"/>
      <c r="G847" s="450"/>
      <c r="H847" s="450"/>
      <c r="I847" s="450"/>
      <c r="J847" s="450"/>
      <c r="K847" s="450"/>
      <c r="L847" s="450"/>
      <c r="M847" s="450"/>
      <c r="N847" s="450"/>
      <c r="O847" s="450"/>
      <c r="P847" s="450"/>
      <c r="Q847" s="450"/>
      <c r="R847" s="450"/>
      <c r="S847" s="450"/>
      <c r="T847" s="450"/>
      <c r="U847" s="450"/>
      <c r="V847" s="450"/>
      <c r="W847" s="450"/>
      <c r="X847" s="450"/>
      <c r="Y847" s="450"/>
      <c r="Z847" s="450"/>
      <c r="AA847" s="450"/>
      <c r="AB847" s="450"/>
      <c r="AC847" s="450"/>
      <c r="AD847" s="450"/>
      <c r="AE847" s="450"/>
      <c r="AF847" s="450"/>
      <c r="AG847" s="450"/>
      <c r="AH847" s="450"/>
      <c r="AI847" s="450"/>
      <c r="AJ847" s="450"/>
      <c r="AK847" s="450"/>
      <c r="AL847" s="450"/>
      <c r="AM847" s="450"/>
      <c r="AN847" s="450"/>
      <c r="AO847" s="450"/>
      <c r="AP847" s="450"/>
      <c r="AQ847" s="450"/>
      <c r="AR847" s="450"/>
      <c r="AS847" s="450"/>
      <c r="AT847" s="450"/>
      <c r="AU847" s="450"/>
      <c r="AV847" s="450"/>
      <c r="AW847" s="450"/>
      <c r="AX847" s="450"/>
      <c r="AY847" s="450"/>
      <c r="AZ847" s="450"/>
      <c r="BA847" s="450"/>
      <c r="BB847" s="450"/>
      <c r="BC847" s="450"/>
      <c r="BD847" s="450"/>
      <c r="BE847" s="450"/>
      <c r="BF847" s="450"/>
      <c r="BG847" s="450"/>
      <c r="BH847" s="450"/>
      <c r="BI847" s="450"/>
      <c r="BJ847" s="450"/>
      <c r="BK847" s="450"/>
      <c r="BL847" s="450"/>
      <c r="BM847" s="450"/>
    </row>
    <row r="848" spans="1:65" ht="11.15">
      <c r="A848" s="450"/>
      <c r="B848" s="450"/>
      <c r="C848" s="450"/>
      <c r="D848" s="450"/>
      <c r="E848" s="450"/>
      <c r="F848" s="450"/>
      <c r="G848" s="450"/>
      <c r="H848" s="450"/>
      <c r="I848" s="450"/>
      <c r="J848" s="450"/>
      <c r="K848" s="450"/>
      <c r="L848" s="450"/>
      <c r="M848" s="450"/>
      <c r="N848" s="450"/>
      <c r="O848" s="450"/>
      <c r="P848" s="450"/>
      <c r="Q848" s="450"/>
      <c r="R848" s="450"/>
      <c r="S848" s="450"/>
      <c r="T848" s="450"/>
      <c r="U848" s="450"/>
      <c r="V848" s="450"/>
      <c r="W848" s="450"/>
      <c r="X848" s="450"/>
      <c r="Y848" s="450"/>
      <c r="Z848" s="450"/>
      <c r="AA848" s="450"/>
      <c r="AB848" s="450"/>
      <c r="AC848" s="450"/>
      <c r="AD848" s="450"/>
      <c r="AE848" s="450"/>
      <c r="AF848" s="450"/>
      <c r="AG848" s="450"/>
      <c r="AH848" s="450"/>
      <c r="AI848" s="450"/>
      <c r="AJ848" s="450"/>
      <c r="AK848" s="450"/>
      <c r="AL848" s="450"/>
      <c r="AM848" s="450"/>
      <c r="AN848" s="450"/>
      <c r="AO848" s="450"/>
      <c r="AP848" s="450"/>
      <c r="AQ848" s="450"/>
      <c r="AR848" s="450"/>
      <c r="AS848" s="450"/>
      <c r="AT848" s="450"/>
      <c r="AU848" s="450"/>
      <c r="AV848" s="450"/>
      <c r="AW848" s="450"/>
      <c r="AX848" s="450"/>
      <c r="AY848" s="450"/>
      <c r="AZ848" s="450"/>
      <c r="BA848" s="450"/>
      <c r="BB848" s="450"/>
      <c r="BC848" s="450"/>
      <c r="BD848" s="450"/>
      <c r="BE848" s="450"/>
      <c r="BF848" s="450"/>
      <c r="BG848" s="450"/>
      <c r="BH848" s="450"/>
      <c r="BI848" s="450"/>
      <c r="BJ848" s="450"/>
      <c r="BK848" s="450"/>
      <c r="BL848" s="450"/>
      <c r="BM848" s="450"/>
    </row>
    <row r="849" spans="1:65" ht="11.15">
      <c r="A849" s="450"/>
      <c r="B849" s="450"/>
      <c r="C849" s="450"/>
      <c r="D849" s="450"/>
      <c r="E849" s="450"/>
      <c r="F849" s="450"/>
      <c r="G849" s="450"/>
      <c r="H849" s="450"/>
      <c r="I849" s="450"/>
      <c r="J849" s="450"/>
      <c r="K849" s="450"/>
      <c r="L849" s="450"/>
      <c r="M849" s="450"/>
      <c r="N849" s="450"/>
      <c r="O849" s="450"/>
      <c r="P849" s="450"/>
      <c r="Q849" s="450"/>
      <c r="R849" s="450"/>
      <c r="S849" s="450"/>
      <c r="T849" s="450"/>
      <c r="U849" s="450"/>
      <c r="V849" s="450"/>
      <c r="W849" s="450"/>
      <c r="X849" s="450"/>
      <c r="Y849" s="450"/>
      <c r="Z849" s="450"/>
      <c r="AA849" s="450"/>
      <c r="AB849" s="450"/>
      <c r="AC849" s="450"/>
      <c r="AD849" s="450"/>
      <c r="AE849" s="450"/>
      <c r="AF849" s="450"/>
      <c r="AG849" s="450"/>
      <c r="AH849" s="450"/>
      <c r="AI849" s="450"/>
      <c r="AJ849" s="450"/>
      <c r="AK849" s="450"/>
      <c r="AL849" s="450"/>
      <c r="AM849" s="450"/>
      <c r="AN849" s="450"/>
      <c r="AO849" s="450"/>
      <c r="AP849" s="450"/>
      <c r="AQ849" s="450"/>
      <c r="AR849" s="450"/>
      <c r="AS849" s="450"/>
      <c r="AT849" s="450"/>
      <c r="AU849" s="450"/>
      <c r="AV849" s="450"/>
      <c r="AW849" s="450"/>
      <c r="AX849" s="450"/>
      <c r="AY849" s="450"/>
      <c r="AZ849" s="450"/>
      <c r="BA849" s="450"/>
      <c r="BB849" s="450"/>
      <c r="BC849" s="450"/>
      <c r="BD849" s="450"/>
      <c r="BE849" s="450"/>
      <c r="BF849" s="450"/>
      <c r="BG849" s="450"/>
      <c r="BH849" s="450"/>
      <c r="BI849" s="450"/>
      <c r="BJ849" s="450"/>
      <c r="BK849" s="450"/>
      <c r="BL849" s="450"/>
      <c r="BM849" s="450"/>
    </row>
    <row r="850" spans="1:65" ht="11.15">
      <c r="A850" s="450"/>
      <c r="B850" s="450"/>
      <c r="C850" s="450"/>
      <c r="D850" s="450"/>
      <c r="E850" s="450"/>
      <c r="F850" s="450"/>
      <c r="G850" s="450"/>
      <c r="H850" s="450"/>
      <c r="I850" s="450"/>
      <c r="J850" s="450"/>
      <c r="K850" s="450"/>
      <c r="L850" s="450"/>
      <c r="M850" s="450"/>
      <c r="N850" s="450"/>
      <c r="O850" s="450"/>
      <c r="P850" s="450"/>
      <c r="Q850" s="450"/>
      <c r="R850" s="450"/>
      <c r="S850" s="450"/>
      <c r="T850" s="450"/>
      <c r="U850" s="450"/>
      <c r="V850" s="450"/>
      <c r="W850" s="450"/>
      <c r="X850" s="450"/>
      <c r="Y850" s="450"/>
      <c r="Z850" s="450"/>
      <c r="AA850" s="450"/>
      <c r="AB850" s="450"/>
      <c r="AC850" s="450"/>
      <c r="AD850" s="450"/>
      <c r="AE850" s="450"/>
      <c r="AF850" s="450"/>
      <c r="AG850" s="450"/>
      <c r="AH850" s="450"/>
      <c r="AI850" s="450"/>
      <c r="AJ850" s="450"/>
      <c r="AK850" s="450"/>
      <c r="AL850" s="450"/>
      <c r="AM850" s="450"/>
      <c r="AN850" s="450"/>
      <c r="AO850" s="450"/>
      <c r="AP850" s="450"/>
      <c r="AQ850" s="450"/>
      <c r="AR850" s="450"/>
      <c r="AS850" s="450"/>
      <c r="AT850" s="450"/>
      <c r="AU850" s="450"/>
      <c r="AV850" s="450"/>
      <c r="AW850" s="450"/>
      <c r="AX850" s="450"/>
      <c r="AY850" s="450"/>
      <c r="AZ850" s="450"/>
      <c r="BA850" s="450"/>
      <c r="BB850" s="450"/>
      <c r="BC850" s="450"/>
      <c r="BD850" s="450"/>
      <c r="BE850" s="450"/>
      <c r="BF850" s="450"/>
      <c r="BG850" s="450"/>
      <c r="BH850" s="450"/>
      <c r="BI850" s="450"/>
      <c r="BJ850" s="450"/>
      <c r="BK850" s="450"/>
      <c r="BL850" s="450"/>
      <c r="BM850" s="450"/>
    </row>
    <row r="851" spans="1:65" ht="11.15">
      <c r="A851" s="450"/>
      <c r="B851" s="450"/>
      <c r="C851" s="450"/>
      <c r="D851" s="450"/>
      <c r="E851" s="450"/>
      <c r="F851" s="450"/>
      <c r="G851" s="450"/>
      <c r="H851" s="450"/>
      <c r="I851" s="450"/>
      <c r="J851" s="450"/>
      <c r="K851" s="450"/>
      <c r="L851" s="450"/>
      <c r="M851" s="450"/>
      <c r="N851" s="450"/>
      <c r="O851" s="450"/>
      <c r="P851" s="450"/>
      <c r="Q851" s="450"/>
      <c r="R851" s="450"/>
      <c r="S851" s="450"/>
      <c r="T851" s="450"/>
      <c r="U851" s="450"/>
      <c r="V851" s="450"/>
      <c r="W851" s="450"/>
      <c r="X851" s="450"/>
      <c r="Y851" s="450"/>
      <c r="Z851" s="450"/>
      <c r="AA851" s="450"/>
      <c r="AB851" s="450"/>
      <c r="AC851" s="450"/>
      <c r="AD851" s="450"/>
      <c r="AE851" s="450"/>
      <c r="AF851" s="450"/>
      <c r="AG851" s="450"/>
      <c r="AH851" s="450"/>
      <c r="AI851" s="450"/>
      <c r="AJ851" s="450"/>
      <c r="AK851" s="450"/>
      <c r="AL851" s="450"/>
      <c r="AM851" s="450"/>
      <c r="AN851" s="450"/>
      <c r="AO851" s="450"/>
      <c r="AP851" s="450"/>
      <c r="AQ851" s="450"/>
      <c r="AR851" s="450"/>
      <c r="AS851" s="450"/>
      <c r="AT851" s="450"/>
      <c r="AU851" s="450"/>
      <c r="AV851" s="450"/>
      <c r="AW851" s="450"/>
      <c r="AX851" s="450"/>
      <c r="AY851" s="450"/>
      <c r="AZ851" s="450"/>
      <c r="BA851" s="450"/>
      <c r="BB851" s="450"/>
      <c r="BC851" s="450"/>
      <c r="BD851" s="450"/>
      <c r="BE851" s="450"/>
      <c r="BF851" s="450"/>
      <c r="BG851" s="450"/>
      <c r="BH851" s="450"/>
      <c r="BI851" s="450"/>
      <c r="BJ851" s="450"/>
      <c r="BK851" s="450"/>
      <c r="BL851" s="450"/>
      <c r="BM851" s="450"/>
    </row>
    <row r="852" spans="1:65" ht="11.15">
      <c r="A852" s="450"/>
      <c r="B852" s="450"/>
      <c r="C852" s="450"/>
      <c r="D852" s="450"/>
      <c r="E852" s="450"/>
      <c r="F852" s="450"/>
      <c r="G852" s="450"/>
      <c r="H852" s="450"/>
      <c r="I852" s="450"/>
      <c r="J852" s="450"/>
      <c r="K852" s="450"/>
      <c r="L852" s="450"/>
      <c r="M852" s="450"/>
      <c r="N852" s="450"/>
      <c r="O852" s="450"/>
      <c r="P852" s="450"/>
      <c r="Q852" s="450"/>
      <c r="R852" s="450"/>
      <c r="S852" s="450"/>
      <c r="T852" s="450"/>
      <c r="U852" s="450"/>
      <c r="V852" s="450"/>
      <c r="W852" s="450"/>
      <c r="X852" s="450"/>
      <c r="Y852" s="450"/>
      <c r="Z852" s="450"/>
      <c r="AA852" s="450"/>
      <c r="AB852" s="450"/>
      <c r="AC852" s="450"/>
      <c r="AD852" s="450"/>
      <c r="AE852" s="450"/>
      <c r="AF852" s="450"/>
      <c r="AG852" s="450"/>
      <c r="AH852" s="450"/>
      <c r="AI852" s="450"/>
      <c r="AJ852" s="450"/>
      <c r="AK852" s="450"/>
      <c r="AL852" s="450"/>
      <c r="AM852" s="450"/>
      <c r="AN852" s="450"/>
      <c r="AO852" s="450"/>
      <c r="AP852" s="450"/>
      <c r="AQ852" s="450"/>
      <c r="AR852" s="450"/>
      <c r="AS852" s="450"/>
      <c r="AT852" s="450"/>
      <c r="AU852" s="450"/>
      <c r="AV852" s="450"/>
      <c r="AW852" s="450"/>
      <c r="AX852" s="450"/>
      <c r="AY852" s="450"/>
      <c r="AZ852" s="450"/>
      <c r="BA852" s="450"/>
      <c r="BB852" s="450"/>
      <c r="BC852" s="450"/>
      <c r="BD852" s="450"/>
      <c r="BE852" s="450"/>
      <c r="BF852" s="450"/>
      <c r="BG852" s="450"/>
      <c r="BH852" s="450"/>
      <c r="BI852" s="450"/>
      <c r="BJ852" s="450"/>
      <c r="BK852" s="450"/>
      <c r="BL852" s="450"/>
      <c r="BM852" s="450"/>
    </row>
    <row r="853" spans="1:65" ht="11.15">
      <c r="A853" s="450"/>
      <c r="B853" s="450"/>
      <c r="C853" s="450"/>
      <c r="D853" s="450"/>
      <c r="E853" s="450"/>
      <c r="F853" s="450"/>
      <c r="G853" s="450"/>
      <c r="H853" s="450"/>
      <c r="I853" s="450"/>
      <c r="J853" s="450"/>
      <c r="K853" s="450"/>
      <c r="L853" s="450"/>
      <c r="M853" s="450"/>
      <c r="N853" s="450"/>
      <c r="O853" s="450"/>
      <c r="P853" s="450"/>
      <c r="Q853" s="450"/>
      <c r="R853" s="450"/>
      <c r="S853" s="450"/>
      <c r="T853" s="450"/>
      <c r="U853" s="450"/>
      <c r="V853" s="450"/>
      <c r="W853" s="450"/>
      <c r="X853" s="450"/>
      <c r="Y853" s="450"/>
      <c r="Z853" s="450"/>
      <c r="AA853" s="450"/>
      <c r="AB853" s="450"/>
      <c r="AC853" s="450"/>
      <c r="AD853" s="450"/>
      <c r="AE853" s="450"/>
      <c r="AF853" s="450"/>
      <c r="AG853" s="450"/>
      <c r="AH853" s="450"/>
      <c r="AI853" s="450"/>
      <c r="AJ853" s="450"/>
      <c r="AK853" s="450"/>
      <c r="AL853" s="450"/>
      <c r="AM853" s="450"/>
      <c r="AN853" s="450"/>
      <c r="AO853" s="450"/>
      <c r="AP853" s="450"/>
      <c r="AQ853" s="450"/>
      <c r="AR853" s="450"/>
      <c r="AS853" s="450"/>
      <c r="AT853" s="450"/>
      <c r="AU853" s="450"/>
      <c r="AV853" s="450"/>
      <c r="AW853" s="450"/>
      <c r="AX853" s="450"/>
      <c r="AY853" s="450"/>
      <c r="AZ853" s="450"/>
      <c r="BA853" s="450"/>
      <c r="BB853" s="450"/>
      <c r="BC853" s="450"/>
      <c r="BD853" s="450"/>
      <c r="BE853" s="450"/>
      <c r="BF853" s="450"/>
      <c r="BG853" s="450"/>
      <c r="BH853" s="450"/>
      <c r="BI853" s="450"/>
      <c r="BJ853" s="450"/>
      <c r="BK853" s="450"/>
      <c r="BL853" s="450"/>
      <c r="BM853" s="450"/>
    </row>
    <row r="854" spans="1:65" ht="11.15">
      <c r="A854" s="450"/>
      <c r="B854" s="450"/>
      <c r="C854" s="450"/>
      <c r="D854" s="450"/>
      <c r="E854" s="450"/>
      <c r="F854" s="450"/>
      <c r="G854" s="450"/>
      <c r="H854" s="450"/>
      <c r="I854" s="450"/>
      <c r="J854" s="450"/>
      <c r="K854" s="450"/>
      <c r="L854" s="450"/>
      <c r="M854" s="450"/>
      <c r="N854" s="450"/>
      <c r="O854" s="450"/>
      <c r="P854" s="450"/>
      <c r="Q854" s="450"/>
      <c r="R854" s="450"/>
      <c r="S854" s="450"/>
      <c r="T854" s="450"/>
      <c r="U854" s="450"/>
      <c r="V854" s="450"/>
      <c r="W854" s="450"/>
      <c r="X854" s="450"/>
      <c r="Y854" s="450"/>
      <c r="Z854" s="450"/>
      <c r="AA854" s="450"/>
      <c r="AB854" s="450"/>
      <c r="AC854" s="450"/>
      <c r="AD854" s="450"/>
      <c r="AE854" s="450"/>
      <c r="AF854" s="450"/>
      <c r="AG854" s="450"/>
      <c r="AH854" s="450"/>
      <c r="AI854" s="450"/>
      <c r="AJ854" s="450"/>
      <c r="AK854" s="450"/>
      <c r="AL854" s="450"/>
      <c r="AM854" s="450"/>
      <c r="AN854" s="450"/>
      <c r="AO854" s="450"/>
      <c r="AP854" s="450"/>
      <c r="AQ854" s="450"/>
      <c r="AR854" s="450"/>
      <c r="AS854" s="450"/>
      <c r="AT854" s="450"/>
      <c r="AU854" s="450"/>
      <c r="AV854" s="450"/>
      <c r="AW854" s="450"/>
      <c r="AX854" s="450"/>
      <c r="AY854" s="450"/>
      <c r="AZ854" s="450"/>
      <c r="BA854" s="450"/>
      <c r="BB854" s="450"/>
      <c r="BC854" s="450"/>
      <c r="BD854" s="450"/>
      <c r="BE854" s="450"/>
      <c r="BF854" s="450"/>
      <c r="BG854" s="450"/>
      <c r="BH854" s="450"/>
      <c r="BI854" s="450"/>
      <c r="BJ854" s="450"/>
      <c r="BK854" s="450"/>
      <c r="BL854" s="450"/>
      <c r="BM854" s="450"/>
    </row>
    <row r="855" spans="1:65" ht="11.15">
      <c r="A855" s="450"/>
      <c r="B855" s="450"/>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c r="Z855" s="450"/>
      <c r="AA855" s="450"/>
      <c r="AB855" s="450"/>
      <c r="AC855" s="450"/>
      <c r="AD855" s="450"/>
      <c r="AE855" s="450"/>
      <c r="AF855" s="450"/>
      <c r="AG855" s="450"/>
      <c r="AH855" s="450"/>
      <c r="AI855" s="450"/>
      <c r="AJ855" s="450"/>
      <c r="AK855" s="450"/>
      <c r="AL855" s="450"/>
      <c r="AM855" s="450"/>
      <c r="AN855" s="450"/>
      <c r="AO855" s="450"/>
      <c r="AP855" s="450"/>
      <c r="AQ855" s="450"/>
      <c r="AR855" s="450"/>
      <c r="AS855" s="450"/>
      <c r="AT855" s="450"/>
      <c r="AU855" s="450"/>
      <c r="AV855" s="450"/>
      <c r="AW855" s="450"/>
      <c r="AX855" s="450"/>
      <c r="AY855" s="450"/>
      <c r="AZ855" s="450"/>
      <c r="BA855" s="450"/>
      <c r="BB855" s="450"/>
      <c r="BC855" s="450"/>
      <c r="BD855" s="450"/>
      <c r="BE855" s="450"/>
      <c r="BF855" s="450"/>
      <c r="BG855" s="450"/>
      <c r="BH855" s="450"/>
      <c r="BI855" s="450"/>
      <c r="BJ855" s="450"/>
      <c r="BK855" s="450"/>
      <c r="BL855" s="450"/>
      <c r="BM855" s="450"/>
    </row>
    <row r="856" spans="1:65" ht="11.15">
      <c r="A856" s="450"/>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450"/>
      <c r="AE856" s="450"/>
      <c r="AF856" s="450"/>
      <c r="AG856" s="450"/>
      <c r="AH856" s="450"/>
      <c r="AI856" s="450"/>
      <c r="AJ856" s="450"/>
      <c r="AK856" s="450"/>
      <c r="AL856" s="450"/>
      <c r="AM856" s="450"/>
      <c r="AN856" s="450"/>
      <c r="AO856" s="450"/>
      <c r="AP856" s="450"/>
      <c r="AQ856" s="450"/>
      <c r="AR856" s="450"/>
      <c r="AS856" s="450"/>
      <c r="AT856" s="450"/>
      <c r="AU856" s="450"/>
      <c r="AV856" s="450"/>
      <c r="AW856" s="450"/>
      <c r="AX856" s="450"/>
      <c r="AY856" s="450"/>
      <c r="AZ856" s="450"/>
      <c r="BA856" s="450"/>
      <c r="BB856" s="450"/>
      <c r="BC856" s="450"/>
      <c r="BD856" s="450"/>
      <c r="BE856" s="450"/>
      <c r="BF856" s="450"/>
      <c r="BG856" s="450"/>
      <c r="BH856" s="450"/>
      <c r="BI856" s="450"/>
      <c r="BJ856" s="450"/>
      <c r="BK856" s="450"/>
      <c r="BL856" s="450"/>
      <c r="BM856" s="450"/>
    </row>
    <row r="857" spans="1:65" ht="11.15">
      <c r="A857" s="450"/>
      <c r="B857" s="450"/>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c r="Z857" s="450"/>
      <c r="AA857" s="450"/>
      <c r="AB857" s="450"/>
      <c r="AC857" s="450"/>
      <c r="AD857" s="450"/>
      <c r="AE857" s="450"/>
      <c r="AF857" s="450"/>
      <c r="AG857" s="450"/>
      <c r="AH857" s="450"/>
      <c r="AI857" s="450"/>
      <c r="AJ857" s="450"/>
      <c r="AK857" s="450"/>
      <c r="AL857" s="450"/>
      <c r="AM857" s="450"/>
      <c r="AN857" s="450"/>
      <c r="AO857" s="450"/>
      <c r="AP857" s="450"/>
      <c r="AQ857" s="450"/>
      <c r="AR857" s="450"/>
      <c r="AS857" s="450"/>
      <c r="AT857" s="450"/>
      <c r="AU857" s="450"/>
      <c r="AV857" s="450"/>
      <c r="AW857" s="450"/>
      <c r="AX857" s="450"/>
      <c r="AY857" s="450"/>
      <c r="AZ857" s="450"/>
      <c r="BA857" s="450"/>
      <c r="BB857" s="450"/>
      <c r="BC857" s="450"/>
      <c r="BD857" s="450"/>
      <c r="BE857" s="450"/>
      <c r="BF857" s="450"/>
      <c r="BG857" s="450"/>
      <c r="BH857" s="450"/>
      <c r="BI857" s="450"/>
      <c r="BJ857" s="450"/>
      <c r="BK857" s="450"/>
      <c r="BL857" s="450"/>
      <c r="BM857" s="450"/>
    </row>
    <row r="858" spans="1:65" ht="11.15">
      <c r="A858" s="450"/>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0"/>
      <c r="AD858" s="450"/>
      <c r="AE858" s="450"/>
      <c r="AF858" s="450"/>
      <c r="AG858" s="450"/>
      <c r="AH858" s="450"/>
      <c r="AI858" s="450"/>
      <c r="AJ858" s="450"/>
      <c r="AK858" s="450"/>
      <c r="AL858" s="450"/>
      <c r="AM858" s="450"/>
      <c r="AN858" s="450"/>
      <c r="AO858" s="450"/>
      <c r="AP858" s="450"/>
      <c r="AQ858" s="450"/>
      <c r="AR858" s="450"/>
      <c r="AS858" s="450"/>
      <c r="AT858" s="450"/>
      <c r="AU858" s="450"/>
      <c r="AV858" s="450"/>
      <c r="AW858" s="450"/>
      <c r="AX858" s="450"/>
      <c r="AY858" s="450"/>
      <c r="AZ858" s="450"/>
      <c r="BA858" s="450"/>
      <c r="BB858" s="450"/>
      <c r="BC858" s="450"/>
      <c r="BD858" s="450"/>
      <c r="BE858" s="450"/>
      <c r="BF858" s="450"/>
      <c r="BG858" s="450"/>
      <c r="BH858" s="450"/>
      <c r="BI858" s="450"/>
      <c r="BJ858" s="450"/>
      <c r="BK858" s="450"/>
      <c r="BL858" s="450"/>
      <c r="BM858" s="450"/>
    </row>
    <row r="859" spans="1:65" ht="11.15">
      <c r="A859" s="450"/>
      <c r="B859" s="450"/>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c r="Z859" s="450"/>
      <c r="AA859" s="450"/>
      <c r="AB859" s="450"/>
      <c r="AC859" s="450"/>
      <c r="AD859" s="450"/>
      <c r="AE859" s="450"/>
      <c r="AF859" s="450"/>
      <c r="AG859" s="450"/>
      <c r="AH859" s="450"/>
      <c r="AI859" s="450"/>
      <c r="AJ859" s="450"/>
      <c r="AK859" s="450"/>
      <c r="AL859" s="450"/>
      <c r="AM859" s="450"/>
      <c r="AN859" s="450"/>
      <c r="AO859" s="450"/>
      <c r="AP859" s="450"/>
      <c r="AQ859" s="450"/>
      <c r="AR859" s="450"/>
      <c r="AS859" s="450"/>
      <c r="AT859" s="450"/>
      <c r="AU859" s="450"/>
      <c r="AV859" s="450"/>
      <c r="AW859" s="450"/>
      <c r="AX859" s="450"/>
      <c r="AY859" s="450"/>
      <c r="AZ859" s="450"/>
      <c r="BA859" s="450"/>
      <c r="BB859" s="450"/>
      <c r="BC859" s="450"/>
      <c r="BD859" s="450"/>
      <c r="BE859" s="450"/>
      <c r="BF859" s="450"/>
      <c r="BG859" s="450"/>
      <c r="BH859" s="450"/>
      <c r="BI859" s="450"/>
      <c r="BJ859" s="450"/>
      <c r="BK859" s="450"/>
      <c r="BL859" s="450"/>
      <c r="BM859" s="450"/>
    </row>
    <row r="860" spans="1:65" ht="11.15">
      <c r="A860" s="450"/>
      <c r="B860" s="450"/>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c r="Z860" s="450"/>
      <c r="AA860" s="450"/>
      <c r="AB860" s="450"/>
      <c r="AC860" s="450"/>
      <c r="AD860" s="450"/>
      <c r="AE860" s="450"/>
      <c r="AF860" s="450"/>
      <c r="AG860" s="450"/>
      <c r="AH860" s="450"/>
      <c r="AI860" s="450"/>
      <c r="AJ860" s="450"/>
      <c r="AK860" s="450"/>
      <c r="AL860" s="450"/>
      <c r="AM860" s="450"/>
      <c r="AN860" s="450"/>
      <c r="AO860" s="450"/>
      <c r="AP860" s="450"/>
      <c r="AQ860" s="450"/>
      <c r="AR860" s="450"/>
      <c r="AS860" s="450"/>
      <c r="AT860" s="450"/>
      <c r="AU860" s="450"/>
      <c r="AV860" s="450"/>
      <c r="AW860" s="450"/>
      <c r="AX860" s="450"/>
      <c r="AY860" s="450"/>
      <c r="AZ860" s="450"/>
      <c r="BA860" s="450"/>
      <c r="BB860" s="450"/>
      <c r="BC860" s="450"/>
      <c r="BD860" s="450"/>
      <c r="BE860" s="450"/>
      <c r="BF860" s="450"/>
      <c r="BG860" s="450"/>
      <c r="BH860" s="450"/>
      <c r="BI860" s="450"/>
      <c r="BJ860" s="450"/>
      <c r="BK860" s="450"/>
      <c r="BL860" s="450"/>
      <c r="BM860" s="450"/>
    </row>
    <row r="861" spans="1:65" ht="11.15">
      <c r="A861" s="450"/>
      <c r="B861" s="450"/>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c r="Z861" s="450"/>
      <c r="AA861" s="450"/>
      <c r="AB861" s="450"/>
      <c r="AC861" s="450"/>
      <c r="AD861" s="450"/>
      <c r="AE861" s="450"/>
      <c r="AF861" s="450"/>
      <c r="AG861" s="450"/>
      <c r="AH861" s="450"/>
      <c r="AI861" s="450"/>
      <c r="AJ861" s="450"/>
      <c r="AK861" s="450"/>
      <c r="AL861" s="450"/>
      <c r="AM861" s="450"/>
      <c r="AN861" s="450"/>
      <c r="AO861" s="450"/>
      <c r="AP861" s="450"/>
      <c r="AQ861" s="450"/>
      <c r="AR861" s="450"/>
      <c r="AS861" s="450"/>
      <c r="AT861" s="450"/>
      <c r="AU861" s="450"/>
      <c r="AV861" s="450"/>
      <c r="AW861" s="450"/>
      <c r="AX861" s="450"/>
      <c r="AY861" s="450"/>
      <c r="AZ861" s="450"/>
      <c r="BA861" s="450"/>
      <c r="BB861" s="450"/>
      <c r="BC861" s="450"/>
      <c r="BD861" s="450"/>
      <c r="BE861" s="450"/>
      <c r="BF861" s="450"/>
      <c r="BG861" s="450"/>
      <c r="BH861" s="450"/>
      <c r="BI861" s="450"/>
      <c r="BJ861" s="450"/>
      <c r="BK861" s="450"/>
      <c r="BL861" s="450"/>
      <c r="BM861" s="450"/>
    </row>
    <row r="862" spans="1:65" ht="11.15">
      <c r="A862" s="450"/>
      <c r="B862" s="450"/>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c r="Z862" s="450"/>
      <c r="AA862" s="450"/>
      <c r="AB862" s="450"/>
      <c r="AC862" s="450"/>
      <c r="AD862" s="450"/>
      <c r="AE862" s="450"/>
      <c r="AF862" s="450"/>
      <c r="AG862" s="450"/>
      <c r="AH862" s="450"/>
      <c r="AI862" s="450"/>
      <c r="AJ862" s="450"/>
      <c r="AK862" s="450"/>
      <c r="AL862" s="450"/>
      <c r="AM862" s="450"/>
      <c r="AN862" s="450"/>
      <c r="AO862" s="450"/>
      <c r="AP862" s="450"/>
      <c r="AQ862" s="450"/>
      <c r="AR862" s="450"/>
      <c r="AS862" s="450"/>
      <c r="AT862" s="450"/>
      <c r="AU862" s="450"/>
      <c r="AV862" s="450"/>
      <c r="AW862" s="450"/>
      <c r="AX862" s="450"/>
      <c r="AY862" s="450"/>
      <c r="AZ862" s="450"/>
      <c r="BA862" s="450"/>
      <c r="BB862" s="450"/>
      <c r="BC862" s="450"/>
      <c r="BD862" s="450"/>
      <c r="BE862" s="450"/>
      <c r="BF862" s="450"/>
      <c r="BG862" s="450"/>
      <c r="BH862" s="450"/>
      <c r="BI862" s="450"/>
      <c r="BJ862" s="450"/>
      <c r="BK862" s="450"/>
      <c r="BL862" s="450"/>
      <c r="BM862" s="450"/>
    </row>
    <row r="863" spans="1:65" ht="11.15">
      <c r="A863" s="450"/>
      <c r="B863" s="450"/>
      <c r="C863" s="450"/>
      <c r="D863" s="450"/>
      <c r="E863" s="450"/>
      <c r="F863" s="450"/>
      <c r="G863" s="450"/>
      <c r="H863" s="450"/>
      <c r="I863" s="450"/>
      <c r="J863" s="450"/>
      <c r="K863" s="450"/>
      <c r="L863" s="450"/>
      <c r="M863" s="450"/>
      <c r="N863" s="450"/>
      <c r="O863" s="450"/>
      <c r="P863" s="450"/>
      <c r="Q863" s="450"/>
      <c r="R863" s="450"/>
      <c r="S863" s="450"/>
      <c r="T863" s="450"/>
      <c r="U863" s="450"/>
      <c r="V863" s="450"/>
      <c r="W863" s="450"/>
      <c r="X863" s="450"/>
      <c r="Y863" s="450"/>
      <c r="Z863" s="450"/>
      <c r="AA863" s="450"/>
      <c r="AB863" s="450"/>
      <c r="AC863" s="450"/>
      <c r="AD863" s="450"/>
      <c r="AE863" s="450"/>
      <c r="AF863" s="450"/>
      <c r="AG863" s="450"/>
      <c r="AH863" s="450"/>
      <c r="AI863" s="450"/>
      <c r="AJ863" s="450"/>
      <c r="AK863" s="450"/>
      <c r="AL863" s="450"/>
      <c r="AM863" s="450"/>
      <c r="AN863" s="450"/>
      <c r="AO863" s="450"/>
      <c r="AP863" s="450"/>
      <c r="AQ863" s="450"/>
      <c r="AR863" s="450"/>
      <c r="AS863" s="450"/>
      <c r="AT863" s="450"/>
      <c r="AU863" s="450"/>
      <c r="AV863" s="450"/>
      <c r="AW863" s="450"/>
      <c r="AX863" s="450"/>
      <c r="AY863" s="450"/>
      <c r="AZ863" s="450"/>
      <c r="BA863" s="450"/>
      <c r="BB863" s="450"/>
      <c r="BC863" s="450"/>
      <c r="BD863" s="450"/>
      <c r="BE863" s="450"/>
      <c r="BF863" s="450"/>
      <c r="BG863" s="450"/>
      <c r="BH863" s="450"/>
      <c r="BI863" s="450"/>
      <c r="BJ863" s="450"/>
      <c r="BK863" s="450"/>
      <c r="BL863" s="450"/>
      <c r="BM863" s="450"/>
    </row>
    <row r="864" spans="1:65" ht="11.15">
      <c r="A864" s="450"/>
      <c r="B864" s="450"/>
      <c r="C864" s="450"/>
      <c r="D864" s="450"/>
      <c r="E864" s="450"/>
      <c r="F864" s="450"/>
      <c r="G864" s="450"/>
      <c r="H864" s="450"/>
      <c r="I864" s="450"/>
      <c r="J864" s="450"/>
      <c r="K864" s="450"/>
      <c r="L864" s="450"/>
      <c r="M864" s="450"/>
      <c r="N864" s="450"/>
      <c r="O864" s="450"/>
      <c r="P864" s="450"/>
      <c r="Q864" s="450"/>
      <c r="R864" s="450"/>
      <c r="S864" s="450"/>
      <c r="T864" s="450"/>
      <c r="U864" s="450"/>
      <c r="V864" s="450"/>
      <c r="W864" s="450"/>
      <c r="X864" s="450"/>
      <c r="Y864" s="450"/>
      <c r="Z864" s="450"/>
      <c r="AA864" s="450"/>
      <c r="AB864" s="450"/>
      <c r="AC864" s="450"/>
      <c r="AD864" s="450"/>
      <c r="AE864" s="450"/>
      <c r="AF864" s="450"/>
      <c r="AG864" s="450"/>
      <c r="AH864" s="450"/>
      <c r="AI864" s="450"/>
      <c r="AJ864" s="450"/>
      <c r="AK864" s="450"/>
      <c r="AL864" s="450"/>
      <c r="AM864" s="450"/>
      <c r="AN864" s="450"/>
      <c r="AO864" s="450"/>
      <c r="AP864" s="450"/>
      <c r="AQ864" s="450"/>
      <c r="AR864" s="450"/>
      <c r="AS864" s="450"/>
      <c r="AT864" s="450"/>
      <c r="AU864" s="450"/>
      <c r="AV864" s="450"/>
      <c r="AW864" s="450"/>
      <c r="AX864" s="450"/>
      <c r="AY864" s="450"/>
      <c r="AZ864" s="450"/>
      <c r="BA864" s="450"/>
      <c r="BB864" s="450"/>
      <c r="BC864" s="450"/>
      <c r="BD864" s="450"/>
      <c r="BE864" s="450"/>
      <c r="BF864" s="450"/>
      <c r="BG864" s="450"/>
      <c r="BH864" s="450"/>
      <c r="BI864" s="450"/>
      <c r="BJ864" s="450"/>
      <c r="BK864" s="450"/>
      <c r="BL864" s="450"/>
      <c r="BM864" s="450"/>
    </row>
    <row r="865" spans="1:65" ht="11.15">
      <c r="A865" s="450"/>
      <c r="B865" s="450"/>
      <c r="C865" s="450"/>
      <c r="D865" s="450"/>
      <c r="E865" s="450"/>
      <c r="F865" s="450"/>
      <c r="G865" s="450"/>
      <c r="H865" s="450"/>
      <c r="I865" s="450"/>
      <c r="J865" s="450"/>
      <c r="K865" s="450"/>
      <c r="L865" s="450"/>
      <c r="M865" s="450"/>
      <c r="N865" s="450"/>
      <c r="O865" s="450"/>
      <c r="P865" s="450"/>
      <c r="Q865" s="450"/>
      <c r="R865" s="450"/>
      <c r="S865" s="450"/>
      <c r="T865" s="450"/>
      <c r="U865" s="450"/>
      <c r="V865" s="450"/>
      <c r="W865" s="450"/>
      <c r="X865" s="450"/>
      <c r="Y865" s="450"/>
      <c r="Z865" s="450"/>
      <c r="AA865" s="450"/>
      <c r="AB865" s="450"/>
      <c r="AC865" s="450"/>
      <c r="AD865" s="450"/>
      <c r="AE865" s="450"/>
      <c r="AF865" s="450"/>
      <c r="AG865" s="450"/>
      <c r="AH865" s="450"/>
      <c r="AI865" s="450"/>
      <c r="AJ865" s="450"/>
      <c r="AK865" s="450"/>
      <c r="AL865" s="450"/>
      <c r="AM865" s="450"/>
      <c r="AN865" s="450"/>
      <c r="AO865" s="450"/>
      <c r="AP865" s="450"/>
      <c r="AQ865" s="450"/>
      <c r="AR865" s="450"/>
      <c r="AS865" s="450"/>
      <c r="AT865" s="450"/>
      <c r="AU865" s="450"/>
      <c r="AV865" s="450"/>
      <c r="AW865" s="450"/>
      <c r="AX865" s="450"/>
      <c r="AY865" s="450"/>
      <c r="AZ865" s="450"/>
      <c r="BA865" s="450"/>
      <c r="BB865" s="450"/>
      <c r="BC865" s="450"/>
      <c r="BD865" s="450"/>
      <c r="BE865" s="450"/>
      <c r="BF865" s="450"/>
      <c r="BG865" s="450"/>
      <c r="BH865" s="450"/>
      <c r="BI865" s="450"/>
      <c r="BJ865" s="450"/>
      <c r="BK865" s="450"/>
      <c r="BL865" s="450"/>
      <c r="BM865" s="450"/>
    </row>
    <row r="866" spans="1:65" ht="11.15">
      <c r="A866" s="450"/>
      <c r="B866" s="450"/>
      <c r="C866" s="450"/>
      <c r="D866" s="450"/>
      <c r="E866" s="450"/>
      <c r="F866" s="450"/>
      <c r="G866" s="450"/>
      <c r="H866" s="450"/>
      <c r="I866" s="450"/>
      <c r="J866" s="450"/>
      <c r="K866" s="450"/>
      <c r="L866" s="450"/>
      <c r="M866" s="450"/>
      <c r="N866" s="450"/>
      <c r="O866" s="450"/>
      <c r="P866" s="450"/>
      <c r="Q866" s="450"/>
      <c r="R866" s="450"/>
      <c r="S866" s="450"/>
      <c r="T866" s="450"/>
      <c r="U866" s="450"/>
      <c r="V866" s="450"/>
      <c r="W866" s="450"/>
      <c r="X866" s="450"/>
      <c r="Y866" s="450"/>
      <c r="Z866" s="450"/>
      <c r="AA866" s="450"/>
      <c r="AB866" s="450"/>
      <c r="AC866" s="450"/>
      <c r="AD866" s="450"/>
      <c r="AE866" s="450"/>
      <c r="AF866" s="450"/>
      <c r="AG866" s="450"/>
      <c r="AH866" s="450"/>
      <c r="AI866" s="450"/>
      <c r="AJ866" s="450"/>
      <c r="AK866" s="450"/>
      <c r="AL866" s="450"/>
      <c r="AM866" s="450"/>
      <c r="AN866" s="450"/>
      <c r="AO866" s="450"/>
      <c r="AP866" s="450"/>
      <c r="AQ866" s="450"/>
      <c r="AR866" s="450"/>
      <c r="AS866" s="450"/>
      <c r="AT866" s="450"/>
      <c r="AU866" s="450"/>
      <c r="AV866" s="450"/>
      <c r="AW866" s="450"/>
      <c r="AX866" s="450"/>
      <c r="AY866" s="450"/>
      <c r="AZ866" s="450"/>
      <c r="BA866" s="450"/>
      <c r="BB866" s="450"/>
      <c r="BC866" s="450"/>
      <c r="BD866" s="450"/>
      <c r="BE866" s="450"/>
      <c r="BF866" s="450"/>
      <c r="BG866" s="450"/>
      <c r="BH866" s="450"/>
      <c r="BI866" s="450"/>
      <c r="BJ866" s="450"/>
      <c r="BK866" s="450"/>
      <c r="BL866" s="450"/>
      <c r="BM866" s="450"/>
    </row>
    <row r="867" spans="1:65" ht="11.15">
      <c r="A867" s="450"/>
      <c r="B867" s="450"/>
      <c r="C867" s="450"/>
      <c r="D867" s="450"/>
      <c r="E867" s="450"/>
      <c r="F867" s="450"/>
      <c r="G867" s="450"/>
      <c r="H867" s="450"/>
      <c r="I867" s="450"/>
      <c r="J867" s="450"/>
      <c r="K867" s="450"/>
      <c r="L867" s="450"/>
      <c r="M867" s="450"/>
      <c r="N867" s="450"/>
      <c r="O867" s="450"/>
      <c r="P867" s="450"/>
      <c r="Q867" s="450"/>
      <c r="R867" s="450"/>
      <c r="S867" s="450"/>
      <c r="T867" s="450"/>
      <c r="U867" s="450"/>
      <c r="V867" s="450"/>
      <c r="W867" s="450"/>
      <c r="X867" s="450"/>
      <c r="Y867" s="450"/>
      <c r="Z867" s="450"/>
      <c r="AA867" s="450"/>
      <c r="AB867" s="450"/>
      <c r="AC867" s="450"/>
      <c r="AD867" s="450"/>
      <c r="AE867" s="450"/>
      <c r="AF867" s="450"/>
      <c r="AG867" s="450"/>
      <c r="AH867" s="450"/>
      <c r="AI867" s="450"/>
      <c r="AJ867" s="450"/>
      <c r="AK867" s="450"/>
      <c r="AL867" s="450"/>
      <c r="AM867" s="450"/>
      <c r="AN867" s="450"/>
      <c r="AO867" s="450"/>
      <c r="AP867" s="450"/>
      <c r="AQ867" s="450"/>
      <c r="AR867" s="450"/>
      <c r="AS867" s="450"/>
      <c r="AT867" s="450"/>
      <c r="AU867" s="450"/>
      <c r="AV867" s="450"/>
      <c r="AW867" s="450"/>
      <c r="AX867" s="450"/>
      <c r="AY867" s="450"/>
      <c r="AZ867" s="450"/>
      <c r="BA867" s="450"/>
      <c r="BB867" s="450"/>
      <c r="BC867" s="450"/>
      <c r="BD867" s="450"/>
      <c r="BE867" s="450"/>
      <c r="BF867" s="450"/>
      <c r="BG867" s="450"/>
      <c r="BH867" s="450"/>
      <c r="BI867" s="450"/>
      <c r="BJ867" s="450"/>
      <c r="BK867" s="450"/>
      <c r="BL867" s="450"/>
      <c r="BM867" s="450"/>
    </row>
    <row r="868" spans="1:65" ht="11.15">
      <c r="A868" s="450"/>
      <c r="B868" s="450"/>
      <c r="C868" s="450"/>
      <c r="D868" s="450"/>
      <c r="E868" s="450"/>
      <c r="F868" s="450"/>
      <c r="G868" s="450"/>
      <c r="H868" s="450"/>
      <c r="I868" s="450"/>
      <c r="J868" s="450"/>
      <c r="K868" s="450"/>
      <c r="L868" s="450"/>
      <c r="M868" s="450"/>
      <c r="N868" s="450"/>
      <c r="O868" s="450"/>
      <c r="P868" s="450"/>
      <c r="Q868" s="450"/>
      <c r="R868" s="450"/>
      <c r="S868" s="450"/>
      <c r="T868" s="450"/>
      <c r="U868" s="450"/>
      <c r="V868" s="450"/>
      <c r="W868" s="450"/>
      <c r="X868" s="450"/>
      <c r="Y868" s="450"/>
      <c r="Z868" s="450"/>
      <c r="AA868" s="450"/>
      <c r="AB868" s="450"/>
      <c r="AC868" s="450"/>
      <c r="AD868" s="450"/>
      <c r="AE868" s="450"/>
      <c r="AF868" s="450"/>
      <c r="AG868" s="450"/>
      <c r="AH868" s="450"/>
      <c r="AI868" s="450"/>
      <c r="AJ868" s="450"/>
      <c r="AK868" s="450"/>
      <c r="AL868" s="450"/>
      <c r="AM868" s="450"/>
      <c r="AN868" s="450"/>
      <c r="AO868" s="450"/>
      <c r="AP868" s="450"/>
      <c r="AQ868" s="450"/>
      <c r="AR868" s="450"/>
      <c r="AS868" s="450"/>
      <c r="AT868" s="450"/>
      <c r="AU868" s="450"/>
      <c r="AV868" s="450"/>
      <c r="AW868" s="450"/>
      <c r="AX868" s="450"/>
      <c r="AY868" s="450"/>
      <c r="AZ868" s="450"/>
      <c r="BA868" s="450"/>
      <c r="BB868" s="450"/>
      <c r="BC868" s="450"/>
      <c r="BD868" s="450"/>
      <c r="BE868" s="450"/>
      <c r="BF868" s="450"/>
      <c r="BG868" s="450"/>
      <c r="BH868" s="450"/>
      <c r="BI868" s="450"/>
      <c r="BJ868" s="450"/>
      <c r="BK868" s="450"/>
      <c r="BL868" s="450"/>
      <c r="BM868" s="450"/>
    </row>
    <row r="869" spans="1:65" ht="11.15">
      <c r="A869" s="450"/>
      <c r="B869" s="450"/>
      <c r="C869" s="450"/>
      <c r="D869" s="450"/>
      <c r="E869" s="450"/>
      <c r="F869" s="450"/>
      <c r="G869" s="450"/>
      <c r="H869" s="450"/>
      <c r="I869" s="450"/>
      <c r="J869" s="450"/>
      <c r="K869" s="450"/>
      <c r="L869" s="450"/>
      <c r="M869" s="450"/>
      <c r="N869" s="450"/>
      <c r="O869" s="450"/>
      <c r="P869" s="450"/>
      <c r="Q869" s="450"/>
      <c r="R869" s="450"/>
      <c r="S869" s="450"/>
      <c r="T869" s="450"/>
      <c r="U869" s="450"/>
      <c r="V869" s="450"/>
      <c r="W869" s="450"/>
      <c r="X869" s="450"/>
      <c r="Y869" s="450"/>
      <c r="Z869" s="450"/>
      <c r="AA869" s="450"/>
      <c r="AB869" s="450"/>
      <c r="AC869" s="450"/>
      <c r="AD869" s="450"/>
      <c r="AE869" s="450"/>
      <c r="AF869" s="450"/>
      <c r="AG869" s="450"/>
      <c r="AH869" s="450"/>
      <c r="AI869" s="450"/>
      <c r="AJ869" s="450"/>
      <c r="AK869" s="450"/>
      <c r="AL869" s="450"/>
      <c r="AM869" s="450"/>
      <c r="AN869" s="450"/>
      <c r="AO869" s="450"/>
      <c r="AP869" s="450"/>
      <c r="AQ869" s="450"/>
      <c r="AR869" s="450"/>
      <c r="AS869" s="450"/>
      <c r="AT869" s="450"/>
      <c r="AU869" s="450"/>
      <c r="AV869" s="450"/>
      <c r="AW869" s="450"/>
      <c r="AX869" s="450"/>
      <c r="AY869" s="450"/>
      <c r="AZ869" s="450"/>
      <c r="BA869" s="450"/>
      <c r="BB869" s="450"/>
      <c r="BC869" s="450"/>
      <c r="BD869" s="450"/>
      <c r="BE869" s="450"/>
      <c r="BF869" s="450"/>
      <c r="BG869" s="450"/>
      <c r="BH869" s="450"/>
      <c r="BI869" s="450"/>
      <c r="BJ869" s="450"/>
      <c r="BK869" s="450"/>
      <c r="BL869" s="450"/>
      <c r="BM869" s="450"/>
    </row>
    <row r="870" spans="1:65" ht="11.15">
      <c r="A870" s="450"/>
      <c r="B870" s="450"/>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c r="Z870" s="450"/>
      <c r="AA870" s="450"/>
      <c r="AB870" s="450"/>
      <c r="AC870" s="450"/>
      <c r="AD870" s="450"/>
      <c r="AE870" s="450"/>
      <c r="AF870" s="450"/>
      <c r="AG870" s="450"/>
      <c r="AH870" s="450"/>
      <c r="AI870" s="450"/>
      <c r="AJ870" s="450"/>
      <c r="AK870" s="450"/>
      <c r="AL870" s="450"/>
      <c r="AM870" s="450"/>
      <c r="AN870" s="450"/>
      <c r="AO870" s="450"/>
      <c r="AP870" s="450"/>
      <c r="AQ870" s="450"/>
      <c r="AR870" s="450"/>
      <c r="AS870" s="450"/>
      <c r="AT870" s="450"/>
      <c r="AU870" s="450"/>
      <c r="AV870" s="450"/>
      <c r="AW870" s="450"/>
      <c r="AX870" s="450"/>
      <c r="AY870" s="450"/>
      <c r="AZ870" s="450"/>
      <c r="BA870" s="450"/>
      <c r="BB870" s="450"/>
      <c r="BC870" s="450"/>
      <c r="BD870" s="450"/>
      <c r="BE870" s="450"/>
      <c r="BF870" s="450"/>
      <c r="BG870" s="450"/>
      <c r="BH870" s="450"/>
      <c r="BI870" s="450"/>
      <c r="BJ870" s="450"/>
      <c r="BK870" s="450"/>
      <c r="BL870" s="450"/>
      <c r="BM870" s="450"/>
    </row>
    <row r="871" spans="1:65" ht="11.15">
      <c r="A871" s="450"/>
      <c r="B871" s="450"/>
      <c r="C871" s="450"/>
      <c r="D871" s="450"/>
      <c r="E871" s="450"/>
      <c r="F871" s="450"/>
      <c r="G871" s="450"/>
      <c r="H871" s="450"/>
      <c r="I871" s="450"/>
      <c r="J871" s="450"/>
      <c r="K871" s="450"/>
      <c r="L871" s="450"/>
      <c r="M871" s="450"/>
      <c r="N871" s="450"/>
      <c r="O871" s="450"/>
      <c r="P871" s="450"/>
      <c r="Q871" s="450"/>
      <c r="R871" s="450"/>
      <c r="S871" s="450"/>
      <c r="T871" s="450"/>
      <c r="U871" s="450"/>
      <c r="V871" s="450"/>
      <c r="W871" s="450"/>
      <c r="X871" s="450"/>
      <c r="Y871" s="450"/>
      <c r="Z871" s="450"/>
      <c r="AA871" s="450"/>
      <c r="AB871" s="450"/>
      <c r="AC871" s="450"/>
      <c r="AD871" s="450"/>
      <c r="AE871" s="450"/>
      <c r="AF871" s="450"/>
      <c r="AG871" s="450"/>
      <c r="AH871" s="450"/>
      <c r="AI871" s="450"/>
      <c r="AJ871" s="450"/>
      <c r="AK871" s="450"/>
      <c r="AL871" s="450"/>
      <c r="AM871" s="450"/>
      <c r="AN871" s="450"/>
      <c r="AO871" s="450"/>
      <c r="AP871" s="450"/>
      <c r="AQ871" s="450"/>
      <c r="AR871" s="450"/>
      <c r="AS871" s="450"/>
      <c r="AT871" s="450"/>
      <c r="AU871" s="450"/>
      <c r="AV871" s="450"/>
      <c r="AW871" s="450"/>
      <c r="AX871" s="450"/>
      <c r="AY871" s="450"/>
      <c r="AZ871" s="450"/>
      <c r="BA871" s="450"/>
      <c r="BB871" s="450"/>
      <c r="BC871" s="450"/>
      <c r="BD871" s="450"/>
      <c r="BE871" s="450"/>
      <c r="BF871" s="450"/>
      <c r="BG871" s="450"/>
      <c r="BH871" s="450"/>
      <c r="BI871" s="450"/>
      <c r="BJ871" s="450"/>
      <c r="BK871" s="450"/>
      <c r="BL871" s="450"/>
      <c r="BM871" s="450"/>
    </row>
    <row r="872" spans="1:65" ht="11.15">
      <c r="A872" s="450"/>
      <c r="B872" s="450"/>
      <c r="C872" s="450"/>
      <c r="D872" s="450"/>
      <c r="E872" s="450"/>
      <c r="F872" s="450"/>
      <c r="G872" s="450"/>
      <c r="H872" s="450"/>
      <c r="I872" s="450"/>
      <c r="J872" s="450"/>
      <c r="K872" s="450"/>
      <c r="L872" s="450"/>
      <c r="M872" s="450"/>
      <c r="N872" s="450"/>
      <c r="O872" s="450"/>
      <c r="P872" s="450"/>
      <c r="Q872" s="450"/>
      <c r="R872" s="450"/>
      <c r="S872" s="450"/>
      <c r="T872" s="450"/>
      <c r="U872" s="450"/>
      <c r="V872" s="450"/>
      <c r="W872" s="450"/>
      <c r="X872" s="450"/>
      <c r="Y872" s="450"/>
      <c r="Z872" s="450"/>
      <c r="AA872" s="450"/>
      <c r="AB872" s="450"/>
      <c r="AC872" s="450"/>
      <c r="AD872" s="450"/>
      <c r="AE872" s="450"/>
      <c r="AF872" s="450"/>
      <c r="AG872" s="450"/>
      <c r="AH872" s="450"/>
      <c r="AI872" s="450"/>
      <c r="AJ872" s="450"/>
      <c r="AK872" s="450"/>
      <c r="AL872" s="450"/>
      <c r="AM872" s="450"/>
      <c r="AN872" s="450"/>
      <c r="AO872" s="450"/>
      <c r="AP872" s="450"/>
      <c r="AQ872" s="450"/>
      <c r="AR872" s="450"/>
      <c r="AS872" s="450"/>
      <c r="AT872" s="450"/>
      <c r="AU872" s="450"/>
      <c r="AV872" s="450"/>
      <c r="AW872" s="450"/>
      <c r="AX872" s="450"/>
      <c r="AY872" s="450"/>
      <c r="AZ872" s="450"/>
      <c r="BA872" s="450"/>
      <c r="BB872" s="450"/>
      <c r="BC872" s="450"/>
      <c r="BD872" s="450"/>
      <c r="BE872" s="450"/>
      <c r="BF872" s="450"/>
      <c r="BG872" s="450"/>
      <c r="BH872" s="450"/>
      <c r="BI872" s="450"/>
      <c r="BJ872" s="450"/>
      <c r="BK872" s="450"/>
      <c r="BL872" s="450"/>
      <c r="BM872" s="450"/>
    </row>
    <row r="873" spans="1:65" ht="11.15">
      <c r="A873" s="450"/>
      <c r="B873" s="450"/>
      <c r="C873" s="450"/>
      <c r="D873" s="450"/>
      <c r="E873" s="450"/>
      <c r="F873" s="450"/>
      <c r="G873" s="450"/>
      <c r="H873" s="450"/>
      <c r="I873" s="450"/>
      <c r="J873" s="450"/>
      <c r="K873" s="450"/>
      <c r="L873" s="450"/>
      <c r="M873" s="450"/>
      <c r="N873" s="450"/>
      <c r="O873" s="450"/>
      <c r="P873" s="450"/>
      <c r="Q873" s="450"/>
      <c r="R873" s="450"/>
      <c r="S873" s="450"/>
      <c r="T873" s="450"/>
      <c r="U873" s="450"/>
      <c r="V873" s="450"/>
      <c r="W873" s="450"/>
      <c r="X873" s="450"/>
      <c r="Y873" s="450"/>
      <c r="Z873" s="450"/>
      <c r="AA873" s="450"/>
      <c r="AB873" s="450"/>
      <c r="AC873" s="450"/>
      <c r="AD873" s="450"/>
      <c r="AE873" s="450"/>
      <c r="AF873" s="450"/>
      <c r="AG873" s="450"/>
      <c r="AH873" s="450"/>
      <c r="AI873" s="450"/>
      <c r="AJ873" s="450"/>
      <c r="AK873" s="450"/>
      <c r="AL873" s="450"/>
      <c r="AM873" s="450"/>
      <c r="AN873" s="450"/>
      <c r="AO873" s="450"/>
      <c r="AP873" s="450"/>
      <c r="AQ873" s="450"/>
      <c r="AR873" s="450"/>
      <c r="AS873" s="450"/>
      <c r="AT873" s="450"/>
      <c r="AU873" s="450"/>
      <c r="AV873" s="450"/>
      <c r="AW873" s="450"/>
      <c r="AX873" s="450"/>
      <c r="AY873" s="450"/>
      <c r="AZ873" s="450"/>
      <c r="BA873" s="450"/>
      <c r="BB873" s="450"/>
      <c r="BC873" s="450"/>
      <c r="BD873" s="450"/>
      <c r="BE873" s="450"/>
      <c r="BF873" s="450"/>
      <c r="BG873" s="450"/>
      <c r="BH873" s="450"/>
      <c r="BI873" s="450"/>
      <c r="BJ873" s="450"/>
      <c r="BK873" s="450"/>
      <c r="BL873" s="450"/>
      <c r="BM873" s="450"/>
    </row>
    <row r="874" spans="1:65" ht="11.15">
      <c r="A874" s="450"/>
      <c r="B874" s="450"/>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c r="Z874" s="450"/>
      <c r="AA874" s="450"/>
      <c r="AB874" s="450"/>
      <c r="AC874" s="450"/>
      <c r="AD874" s="450"/>
      <c r="AE874" s="450"/>
      <c r="AF874" s="450"/>
      <c r="AG874" s="450"/>
      <c r="AH874" s="450"/>
      <c r="AI874" s="450"/>
      <c r="AJ874" s="450"/>
      <c r="AK874" s="450"/>
      <c r="AL874" s="450"/>
      <c r="AM874" s="450"/>
      <c r="AN874" s="450"/>
      <c r="AO874" s="450"/>
      <c r="AP874" s="450"/>
      <c r="AQ874" s="450"/>
      <c r="AR874" s="450"/>
      <c r="AS874" s="450"/>
      <c r="AT874" s="450"/>
      <c r="AU874" s="450"/>
      <c r="AV874" s="450"/>
      <c r="AW874" s="450"/>
      <c r="AX874" s="450"/>
      <c r="AY874" s="450"/>
      <c r="AZ874" s="450"/>
      <c r="BA874" s="450"/>
      <c r="BB874" s="450"/>
      <c r="BC874" s="450"/>
      <c r="BD874" s="450"/>
      <c r="BE874" s="450"/>
      <c r="BF874" s="450"/>
      <c r="BG874" s="450"/>
      <c r="BH874" s="450"/>
      <c r="BI874" s="450"/>
      <c r="BJ874" s="450"/>
      <c r="BK874" s="450"/>
      <c r="BL874" s="450"/>
      <c r="BM874" s="450"/>
    </row>
    <row r="875" spans="1:65" ht="11.15">
      <c r="A875" s="450"/>
      <c r="B875" s="450"/>
      <c r="C875" s="450"/>
      <c r="D875" s="450"/>
      <c r="E875" s="450"/>
      <c r="F875" s="450"/>
      <c r="G875" s="450"/>
      <c r="H875" s="450"/>
      <c r="I875" s="450"/>
      <c r="J875" s="450"/>
      <c r="K875" s="450"/>
      <c r="L875" s="450"/>
      <c r="M875" s="450"/>
      <c r="N875" s="450"/>
      <c r="O875" s="450"/>
      <c r="P875" s="450"/>
      <c r="Q875" s="450"/>
      <c r="R875" s="450"/>
      <c r="S875" s="450"/>
      <c r="T875" s="450"/>
      <c r="U875" s="450"/>
      <c r="V875" s="450"/>
      <c r="W875" s="450"/>
      <c r="X875" s="450"/>
      <c r="Y875" s="450"/>
      <c r="Z875" s="450"/>
      <c r="AA875" s="450"/>
      <c r="AB875" s="450"/>
      <c r="AC875" s="450"/>
      <c r="AD875" s="450"/>
      <c r="AE875" s="450"/>
      <c r="AF875" s="450"/>
      <c r="AG875" s="450"/>
      <c r="AH875" s="450"/>
      <c r="AI875" s="450"/>
      <c r="AJ875" s="450"/>
      <c r="AK875" s="450"/>
      <c r="AL875" s="450"/>
      <c r="AM875" s="450"/>
      <c r="AN875" s="450"/>
      <c r="AO875" s="450"/>
      <c r="AP875" s="450"/>
      <c r="AQ875" s="450"/>
      <c r="AR875" s="450"/>
      <c r="AS875" s="450"/>
      <c r="AT875" s="450"/>
      <c r="AU875" s="450"/>
      <c r="AV875" s="450"/>
      <c r="AW875" s="450"/>
      <c r="AX875" s="450"/>
      <c r="AY875" s="450"/>
      <c r="AZ875" s="450"/>
      <c r="BA875" s="450"/>
      <c r="BB875" s="450"/>
      <c r="BC875" s="450"/>
      <c r="BD875" s="450"/>
      <c r="BE875" s="450"/>
      <c r="BF875" s="450"/>
      <c r="BG875" s="450"/>
      <c r="BH875" s="450"/>
      <c r="BI875" s="450"/>
      <c r="BJ875" s="450"/>
      <c r="BK875" s="450"/>
      <c r="BL875" s="450"/>
      <c r="BM875" s="450"/>
    </row>
    <row r="876" spans="1:65" ht="11.15">
      <c r="A876" s="450"/>
      <c r="B876" s="450"/>
      <c r="C876" s="450"/>
      <c r="D876" s="450"/>
      <c r="E876" s="450"/>
      <c r="F876" s="450"/>
      <c r="G876" s="450"/>
      <c r="H876" s="450"/>
      <c r="I876" s="450"/>
      <c r="J876" s="450"/>
      <c r="K876" s="450"/>
      <c r="L876" s="450"/>
      <c r="M876" s="450"/>
      <c r="N876" s="450"/>
      <c r="O876" s="450"/>
      <c r="P876" s="450"/>
      <c r="Q876" s="450"/>
      <c r="R876" s="450"/>
      <c r="S876" s="450"/>
      <c r="T876" s="450"/>
      <c r="U876" s="450"/>
      <c r="V876" s="450"/>
      <c r="W876" s="450"/>
      <c r="X876" s="450"/>
      <c r="Y876" s="450"/>
      <c r="Z876" s="450"/>
      <c r="AA876" s="450"/>
      <c r="AB876" s="450"/>
      <c r="AC876" s="450"/>
      <c r="AD876" s="450"/>
      <c r="AE876" s="450"/>
      <c r="AF876" s="450"/>
      <c r="AG876" s="450"/>
      <c r="AH876" s="450"/>
      <c r="AI876" s="450"/>
      <c r="AJ876" s="450"/>
      <c r="AK876" s="450"/>
      <c r="AL876" s="450"/>
      <c r="AM876" s="450"/>
      <c r="AN876" s="450"/>
      <c r="AO876" s="450"/>
      <c r="AP876" s="450"/>
      <c r="AQ876" s="450"/>
      <c r="AR876" s="450"/>
      <c r="AS876" s="450"/>
      <c r="AT876" s="450"/>
      <c r="AU876" s="450"/>
      <c r="AV876" s="450"/>
      <c r="AW876" s="450"/>
      <c r="AX876" s="450"/>
      <c r="AY876" s="450"/>
      <c r="AZ876" s="450"/>
      <c r="BA876" s="450"/>
      <c r="BB876" s="450"/>
      <c r="BC876" s="450"/>
      <c r="BD876" s="450"/>
      <c r="BE876" s="450"/>
      <c r="BF876" s="450"/>
      <c r="BG876" s="450"/>
      <c r="BH876" s="450"/>
      <c r="BI876" s="450"/>
      <c r="BJ876" s="450"/>
      <c r="BK876" s="450"/>
      <c r="BL876" s="450"/>
      <c r="BM876" s="450"/>
    </row>
    <row r="877" spans="1:65" ht="11.15">
      <c r="A877" s="450"/>
      <c r="B877" s="450"/>
      <c r="C877" s="450"/>
      <c r="D877" s="450"/>
      <c r="E877" s="450"/>
      <c r="F877" s="450"/>
      <c r="G877" s="450"/>
      <c r="H877" s="450"/>
      <c r="I877" s="450"/>
      <c r="J877" s="450"/>
      <c r="K877" s="450"/>
      <c r="L877" s="450"/>
      <c r="M877" s="450"/>
      <c r="N877" s="450"/>
      <c r="O877" s="450"/>
      <c r="P877" s="450"/>
      <c r="Q877" s="450"/>
      <c r="R877" s="450"/>
      <c r="S877" s="450"/>
      <c r="T877" s="450"/>
      <c r="U877" s="450"/>
      <c r="V877" s="450"/>
      <c r="W877" s="450"/>
      <c r="X877" s="450"/>
      <c r="Y877" s="450"/>
      <c r="Z877" s="450"/>
      <c r="AA877" s="450"/>
      <c r="AB877" s="450"/>
      <c r="AC877" s="450"/>
      <c r="AD877" s="450"/>
      <c r="AE877" s="450"/>
      <c r="AF877" s="450"/>
      <c r="AG877" s="450"/>
      <c r="AH877" s="450"/>
      <c r="AI877" s="450"/>
      <c r="AJ877" s="450"/>
      <c r="AK877" s="450"/>
      <c r="AL877" s="450"/>
      <c r="AM877" s="450"/>
      <c r="AN877" s="450"/>
      <c r="AO877" s="450"/>
      <c r="AP877" s="450"/>
      <c r="AQ877" s="450"/>
      <c r="AR877" s="450"/>
      <c r="AS877" s="450"/>
      <c r="AT877" s="450"/>
      <c r="AU877" s="450"/>
      <c r="AV877" s="450"/>
      <c r="AW877" s="450"/>
      <c r="AX877" s="450"/>
      <c r="AY877" s="450"/>
      <c r="AZ877" s="450"/>
      <c r="BA877" s="450"/>
      <c r="BB877" s="450"/>
      <c r="BC877" s="450"/>
      <c r="BD877" s="450"/>
      <c r="BE877" s="450"/>
      <c r="BF877" s="450"/>
      <c r="BG877" s="450"/>
      <c r="BH877" s="450"/>
      <c r="BI877" s="450"/>
      <c r="BJ877" s="450"/>
      <c r="BK877" s="450"/>
      <c r="BL877" s="450"/>
      <c r="BM877" s="450"/>
    </row>
    <row r="878" spans="1:65" ht="11.15">
      <c r="A878" s="450"/>
      <c r="B878" s="450"/>
      <c r="C878" s="450"/>
      <c r="D878" s="450"/>
      <c r="E878" s="450"/>
      <c r="F878" s="450"/>
      <c r="G878" s="450"/>
      <c r="H878" s="450"/>
      <c r="I878" s="450"/>
      <c r="J878" s="450"/>
      <c r="K878" s="450"/>
      <c r="L878" s="450"/>
      <c r="M878" s="450"/>
      <c r="N878" s="450"/>
      <c r="O878" s="450"/>
      <c r="P878" s="450"/>
      <c r="Q878" s="450"/>
      <c r="R878" s="450"/>
      <c r="S878" s="450"/>
      <c r="T878" s="450"/>
      <c r="U878" s="450"/>
      <c r="V878" s="450"/>
      <c r="W878" s="450"/>
      <c r="X878" s="450"/>
      <c r="Y878" s="450"/>
      <c r="Z878" s="450"/>
      <c r="AA878" s="450"/>
      <c r="AB878" s="450"/>
      <c r="AC878" s="450"/>
      <c r="AD878" s="450"/>
      <c r="AE878" s="450"/>
      <c r="AF878" s="450"/>
      <c r="AG878" s="450"/>
      <c r="AH878" s="450"/>
      <c r="AI878" s="450"/>
      <c r="AJ878" s="450"/>
      <c r="AK878" s="450"/>
      <c r="AL878" s="450"/>
      <c r="AM878" s="450"/>
      <c r="AN878" s="450"/>
      <c r="AO878" s="450"/>
      <c r="AP878" s="450"/>
      <c r="AQ878" s="450"/>
      <c r="AR878" s="450"/>
      <c r="AS878" s="450"/>
      <c r="AT878" s="450"/>
      <c r="AU878" s="450"/>
      <c r="AV878" s="450"/>
      <c r="AW878" s="450"/>
      <c r="AX878" s="450"/>
      <c r="AY878" s="450"/>
      <c r="AZ878" s="450"/>
      <c r="BA878" s="450"/>
      <c r="BB878" s="450"/>
      <c r="BC878" s="450"/>
      <c r="BD878" s="450"/>
      <c r="BE878" s="450"/>
      <c r="BF878" s="450"/>
      <c r="BG878" s="450"/>
      <c r="BH878" s="450"/>
      <c r="BI878" s="450"/>
      <c r="BJ878" s="450"/>
      <c r="BK878" s="450"/>
      <c r="BL878" s="450"/>
      <c r="BM878" s="450"/>
    </row>
    <row r="879" spans="1:65" ht="11.15">
      <c r="A879" s="450"/>
      <c r="B879" s="450"/>
      <c r="C879" s="450"/>
      <c r="D879" s="450"/>
      <c r="E879" s="450"/>
      <c r="F879" s="450"/>
      <c r="G879" s="450"/>
      <c r="H879" s="450"/>
      <c r="I879" s="450"/>
      <c r="J879" s="450"/>
      <c r="K879" s="450"/>
      <c r="L879" s="450"/>
      <c r="M879" s="450"/>
      <c r="N879" s="450"/>
      <c r="O879" s="450"/>
      <c r="P879" s="450"/>
      <c r="Q879" s="450"/>
      <c r="R879" s="450"/>
      <c r="S879" s="450"/>
      <c r="T879" s="450"/>
      <c r="U879" s="450"/>
      <c r="V879" s="450"/>
      <c r="W879" s="450"/>
      <c r="X879" s="450"/>
      <c r="Y879" s="450"/>
      <c r="Z879" s="450"/>
      <c r="AA879" s="450"/>
      <c r="AB879" s="450"/>
      <c r="AC879" s="450"/>
      <c r="AD879" s="450"/>
      <c r="AE879" s="450"/>
      <c r="AF879" s="450"/>
      <c r="AG879" s="450"/>
      <c r="AH879" s="450"/>
      <c r="AI879" s="450"/>
      <c r="AJ879" s="450"/>
      <c r="AK879" s="450"/>
      <c r="AL879" s="450"/>
      <c r="AM879" s="450"/>
      <c r="AN879" s="450"/>
      <c r="AO879" s="450"/>
      <c r="AP879" s="450"/>
      <c r="AQ879" s="450"/>
      <c r="AR879" s="450"/>
      <c r="AS879" s="450"/>
      <c r="AT879" s="450"/>
      <c r="AU879" s="450"/>
      <c r="AV879" s="450"/>
      <c r="AW879" s="450"/>
      <c r="AX879" s="450"/>
      <c r="AY879" s="450"/>
      <c r="AZ879" s="450"/>
      <c r="BA879" s="450"/>
      <c r="BB879" s="450"/>
      <c r="BC879" s="450"/>
      <c r="BD879" s="450"/>
      <c r="BE879" s="450"/>
      <c r="BF879" s="450"/>
      <c r="BG879" s="450"/>
      <c r="BH879" s="450"/>
      <c r="BI879" s="450"/>
      <c r="BJ879" s="450"/>
      <c r="BK879" s="450"/>
      <c r="BL879" s="450"/>
      <c r="BM879" s="450"/>
    </row>
    <row r="880" spans="1:65" ht="11.15">
      <c r="A880" s="450"/>
      <c r="B880" s="450"/>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c r="Z880" s="450"/>
      <c r="AA880" s="450"/>
      <c r="AB880" s="450"/>
      <c r="AC880" s="450"/>
      <c r="AD880" s="450"/>
      <c r="AE880" s="450"/>
      <c r="AF880" s="450"/>
      <c r="AG880" s="450"/>
      <c r="AH880" s="450"/>
      <c r="AI880" s="450"/>
      <c r="AJ880" s="450"/>
      <c r="AK880" s="450"/>
      <c r="AL880" s="450"/>
      <c r="AM880" s="450"/>
      <c r="AN880" s="450"/>
      <c r="AO880" s="450"/>
      <c r="AP880" s="450"/>
      <c r="AQ880" s="450"/>
      <c r="AR880" s="450"/>
      <c r="AS880" s="450"/>
      <c r="AT880" s="450"/>
      <c r="AU880" s="450"/>
      <c r="AV880" s="450"/>
      <c r="AW880" s="450"/>
      <c r="AX880" s="450"/>
      <c r="AY880" s="450"/>
      <c r="AZ880" s="450"/>
      <c r="BA880" s="450"/>
      <c r="BB880" s="450"/>
      <c r="BC880" s="450"/>
      <c r="BD880" s="450"/>
      <c r="BE880" s="450"/>
      <c r="BF880" s="450"/>
      <c r="BG880" s="450"/>
      <c r="BH880" s="450"/>
      <c r="BI880" s="450"/>
      <c r="BJ880" s="450"/>
      <c r="BK880" s="450"/>
      <c r="BL880" s="450"/>
      <c r="BM880" s="450"/>
    </row>
    <row r="881" spans="1:65" ht="11.15">
      <c r="A881" s="450"/>
      <c r="B881" s="450"/>
      <c r="C881" s="450"/>
      <c r="D881" s="450"/>
      <c r="E881" s="450"/>
      <c r="F881" s="450"/>
      <c r="G881" s="450"/>
      <c r="H881" s="450"/>
      <c r="I881" s="450"/>
      <c r="J881" s="450"/>
      <c r="K881" s="450"/>
      <c r="L881" s="450"/>
      <c r="M881" s="450"/>
      <c r="N881" s="450"/>
      <c r="O881" s="450"/>
      <c r="P881" s="450"/>
      <c r="Q881" s="450"/>
      <c r="R881" s="450"/>
      <c r="S881" s="450"/>
      <c r="T881" s="450"/>
      <c r="U881" s="450"/>
      <c r="V881" s="450"/>
      <c r="W881" s="450"/>
      <c r="X881" s="450"/>
      <c r="Y881" s="450"/>
      <c r="Z881" s="450"/>
      <c r="AA881" s="450"/>
      <c r="AB881" s="450"/>
      <c r="AC881" s="450"/>
      <c r="AD881" s="450"/>
      <c r="AE881" s="450"/>
      <c r="AF881" s="450"/>
      <c r="AG881" s="450"/>
      <c r="AH881" s="450"/>
      <c r="AI881" s="450"/>
      <c r="AJ881" s="450"/>
      <c r="AK881" s="450"/>
      <c r="AL881" s="450"/>
      <c r="AM881" s="450"/>
      <c r="AN881" s="450"/>
      <c r="AO881" s="450"/>
      <c r="AP881" s="450"/>
      <c r="AQ881" s="450"/>
      <c r="AR881" s="450"/>
      <c r="AS881" s="450"/>
      <c r="AT881" s="450"/>
      <c r="AU881" s="450"/>
      <c r="AV881" s="450"/>
      <c r="AW881" s="450"/>
      <c r="AX881" s="450"/>
      <c r="AY881" s="450"/>
      <c r="AZ881" s="450"/>
      <c r="BA881" s="450"/>
      <c r="BB881" s="450"/>
      <c r="BC881" s="450"/>
      <c r="BD881" s="450"/>
      <c r="BE881" s="450"/>
      <c r="BF881" s="450"/>
      <c r="BG881" s="450"/>
      <c r="BH881" s="450"/>
      <c r="BI881" s="450"/>
      <c r="BJ881" s="450"/>
      <c r="BK881" s="450"/>
      <c r="BL881" s="450"/>
      <c r="BM881" s="450"/>
    </row>
    <row r="882" spans="1:65" ht="11.15">
      <c r="A882" s="450"/>
      <c r="B882" s="450"/>
      <c r="C882" s="450"/>
      <c r="D882" s="450"/>
      <c r="E882" s="450"/>
      <c r="F882" s="450"/>
      <c r="G882" s="450"/>
      <c r="H882" s="450"/>
      <c r="I882" s="450"/>
      <c r="J882" s="450"/>
      <c r="K882" s="450"/>
      <c r="L882" s="450"/>
      <c r="M882" s="450"/>
      <c r="N882" s="450"/>
      <c r="O882" s="450"/>
      <c r="P882" s="450"/>
      <c r="Q882" s="450"/>
      <c r="R882" s="450"/>
      <c r="S882" s="450"/>
      <c r="T882" s="450"/>
      <c r="U882" s="450"/>
      <c r="V882" s="450"/>
      <c r="W882" s="450"/>
      <c r="X882" s="450"/>
      <c r="Y882" s="450"/>
      <c r="Z882" s="450"/>
      <c r="AA882" s="450"/>
      <c r="AB882" s="450"/>
      <c r="AC882" s="450"/>
      <c r="AD882" s="450"/>
      <c r="AE882" s="450"/>
      <c r="AF882" s="450"/>
      <c r="AG882" s="450"/>
      <c r="AH882" s="450"/>
      <c r="AI882" s="450"/>
      <c r="AJ882" s="450"/>
      <c r="AK882" s="450"/>
      <c r="AL882" s="450"/>
      <c r="AM882" s="450"/>
      <c r="AN882" s="450"/>
      <c r="AO882" s="450"/>
      <c r="AP882" s="450"/>
      <c r="AQ882" s="450"/>
      <c r="AR882" s="450"/>
      <c r="AS882" s="450"/>
      <c r="AT882" s="450"/>
      <c r="AU882" s="450"/>
      <c r="AV882" s="450"/>
      <c r="AW882" s="450"/>
      <c r="AX882" s="450"/>
      <c r="AY882" s="450"/>
      <c r="AZ882" s="450"/>
      <c r="BA882" s="450"/>
      <c r="BB882" s="450"/>
      <c r="BC882" s="450"/>
      <c r="BD882" s="450"/>
      <c r="BE882" s="450"/>
      <c r="BF882" s="450"/>
      <c r="BG882" s="450"/>
      <c r="BH882" s="450"/>
      <c r="BI882" s="450"/>
      <c r="BJ882" s="450"/>
      <c r="BK882" s="450"/>
      <c r="BL882" s="450"/>
      <c r="BM882" s="450"/>
    </row>
    <row r="883" spans="1:65" ht="11.15">
      <c r="A883" s="450"/>
      <c r="B883" s="450"/>
      <c r="C883" s="450"/>
      <c r="D883" s="450"/>
      <c r="E883" s="450"/>
      <c r="F883" s="450"/>
      <c r="G883" s="450"/>
      <c r="H883" s="450"/>
      <c r="I883" s="450"/>
      <c r="J883" s="450"/>
      <c r="K883" s="450"/>
      <c r="L883" s="450"/>
      <c r="M883" s="450"/>
      <c r="N883" s="450"/>
      <c r="O883" s="450"/>
      <c r="P883" s="450"/>
      <c r="Q883" s="450"/>
      <c r="R883" s="450"/>
      <c r="S883" s="450"/>
      <c r="T883" s="450"/>
      <c r="U883" s="450"/>
      <c r="V883" s="450"/>
      <c r="W883" s="450"/>
      <c r="X883" s="450"/>
      <c r="Y883" s="450"/>
      <c r="Z883" s="450"/>
      <c r="AA883" s="450"/>
      <c r="AB883" s="450"/>
      <c r="AC883" s="450"/>
      <c r="AD883" s="450"/>
      <c r="AE883" s="450"/>
      <c r="AF883" s="450"/>
      <c r="AG883" s="450"/>
      <c r="AH883" s="450"/>
      <c r="AI883" s="450"/>
      <c r="AJ883" s="450"/>
      <c r="AK883" s="450"/>
      <c r="AL883" s="450"/>
      <c r="AM883" s="450"/>
      <c r="AN883" s="450"/>
      <c r="AO883" s="450"/>
      <c r="AP883" s="450"/>
      <c r="AQ883" s="450"/>
      <c r="AR883" s="450"/>
      <c r="AS883" s="450"/>
      <c r="AT883" s="450"/>
      <c r="AU883" s="450"/>
      <c r="AV883" s="450"/>
      <c r="AW883" s="450"/>
      <c r="AX883" s="450"/>
      <c r="AY883" s="450"/>
      <c r="AZ883" s="450"/>
      <c r="BA883" s="450"/>
      <c r="BB883" s="450"/>
      <c r="BC883" s="450"/>
      <c r="BD883" s="450"/>
      <c r="BE883" s="450"/>
      <c r="BF883" s="450"/>
      <c r="BG883" s="450"/>
      <c r="BH883" s="450"/>
      <c r="BI883" s="450"/>
      <c r="BJ883" s="450"/>
      <c r="BK883" s="450"/>
      <c r="BL883" s="450"/>
      <c r="BM883" s="450"/>
    </row>
    <row r="884" spans="1:65" ht="11.15">
      <c r="A884" s="450"/>
      <c r="B884" s="450"/>
      <c r="C884" s="450"/>
      <c r="D884" s="450"/>
      <c r="E884" s="450"/>
      <c r="F884" s="450"/>
      <c r="G884" s="450"/>
      <c r="H884" s="450"/>
      <c r="I884" s="450"/>
      <c r="J884" s="450"/>
      <c r="K884" s="450"/>
      <c r="L884" s="450"/>
      <c r="M884" s="450"/>
      <c r="N884" s="450"/>
      <c r="O884" s="450"/>
      <c r="P884" s="450"/>
      <c r="Q884" s="450"/>
      <c r="R884" s="450"/>
      <c r="S884" s="450"/>
      <c r="T884" s="450"/>
      <c r="U884" s="450"/>
      <c r="V884" s="450"/>
      <c r="W884" s="450"/>
      <c r="X884" s="450"/>
      <c r="Y884" s="450"/>
      <c r="Z884" s="450"/>
      <c r="AA884" s="450"/>
      <c r="AB884" s="450"/>
      <c r="AC884" s="450"/>
      <c r="AD884" s="450"/>
      <c r="AE884" s="450"/>
      <c r="AF884" s="450"/>
      <c r="AG884" s="450"/>
      <c r="AH884" s="450"/>
      <c r="AI884" s="450"/>
      <c r="AJ884" s="450"/>
      <c r="AK884" s="450"/>
      <c r="AL884" s="450"/>
      <c r="AM884" s="450"/>
      <c r="AN884" s="450"/>
      <c r="AO884" s="450"/>
      <c r="AP884" s="450"/>
      <c r="AQ884" s="450"/>
      <c r="AR884" s="450"/>
      <c r="AS884" s="450"/>
      <c r="AT884" s="450"/>
      <c r="AU884" s="450"/>
      <c r="AV884" s="450"/>
      <c r="AW884" s="450"/>
      <c r="AX884" s="450"/>
      <c r="AY884" s="450"/>
      <c r="AZ884" s="450"/>
      <c r="BA884" s="450"/>
      <c r="BB884" s="450"/>
      <c r="BC884" s="450"/>
      <c r="BD884" s="450"/>
      <c r="BE884" s="450"/>
      <c r="BF884" s="450"/>
      <c r="BG884" s="450"/>
      <c r="BH884" s="450"/>
      <c r="BI884" s="450"/>
      <c r="BJ884" s="450"/>
      <c r="BK884" s="450"/>
      <c r="BL884" s="450"/>
      <c r="BM884" s="450"/>
    </row>
    <row r="885" spans="1:65" ht="11.15">
      <c r="A885" s="450"/>
      <c r="B885" s="450"/>
      <c r="C885" s="450"/>
      <c r="D885" s="450"/>
      <c r="E885" s="450"/>
      <c r="F885" s="450"/>
      <c r="G885" s="450"/>
      <c r="H885" s="450"/>
      <c r="I885" s="450"/>
      <c r="J885" s="450"/>
      <c r="K885" s="450"/>
      <c r="L885" s="450"/>
      <c r="M885" s="450"/>
      <c r="N885" s="450"/>
      <c r="O885" s="450"/>
      <c r="P885" s="450"/>
      <c r="Q885" s="450"/>
      <c r="R885" s="450"/>
      <c r="S885" s="450"/>
      <c r="T885" s="450"/>
      <c r="U885" s="450"/>
      <c r="V885" s="450"/>
      <c r="W885" s="450"/>
      <c r="X885" s="450"/>
      <c r="Y885" s="450"/>
      <c r="Z885" s="450"/>
      <c r="AA885" s="450"/>
      <c r="AB885" s="450"/>
      <c r="AC885" s="450"/>
      <c r="AD885" s="450"/>
      <c r="AE885" s="450"/>
      <c r="AF885" s="450"/>
      <c r="AG885" s="450"/>
      <c r="AH885" s="450"/>
      <c r="AI885" s="450"/>
      <c r="AJ885" s="450"/>
      <c r="AK885" s="450"/>
      <c r="AL885" s="450"/>
      <c r="AM885" s="450"/>
      <c r="AN885" s="450"/>
      <c r="AO885" s="450"/>
      <c r="AP885" s="450"/>
      <c r="AQ885" s="450"/>
      <c r="AR885" s="450"/>
      <c r="AS885" s="450"/>
      <c r="AT885" s="450"/>
      <c r="AU885" s="450"/>
      <c r="AV885" s="450"/>
      <c r="AW885" s="450"/>
      <c r="AX885" s="450"/>
      <c r="AY885" s="450"/>
      <c r="AZ885" s="450"/>
      <c r="BA885" s="450"/>
      <c r="BB885" s="450"/>
      <c r="BC885" s="450"/>
      <c r="BD885" s="450"/>
      <c r="BE885" s="450"/>
      <c r="BF885" s="450"/>
      <c r="BG885" s="450"/>
      <c r="BH885" s="450"/>
      <c r="BI885" s="450"/>
      <c r="BJ885" s="450"/>
      <c r="BK885" s="450"/>
      <c r="BL885" s="450"/>
      <c r="BM885" s="450"/>
    </row>
    <row r="886" spans="1:65" ht="11.15">
      <c r="A886" s="450"/>
      <c r="B886" s="450"/>
      <c r="C886" s="450"/>
      <c r="D886" s="450"/>
      <c r="E886" s="450"/>
      <c r="F886" s="450"/>
      <c r="G886" s="450"/>
      <c r="H886" s="450"/>
      <c r="I886" s="450"/>
      <c r="J886" s="450"/>
      <c r="K886" s="450"/>
      <c r="L886" s="450"/>
      <c r="M886" s="450"/>
      <c r="N886" s="450"/>
      <c r="O886" s="450"/>
      <c r="P886" s="450"/>
      <c r="Q886" s="450"/>
      <c r="R886" s="450"/>
      <c r="S886" s="450"/>
      <c r="T886" s="450"/>
      <c r="U886" s="450"/>
      <c r="V886" s="450"/>
      <c r="W886" s="450"/>
      <c r="X886" s="450"/>
      <c r="Y886" s="450"/>
      <c r="Z886" s="450"/>
      <c r="AA886" s="450"/>
      <c r="AB886" s="450"/>
      <c r="AC886" s="450"/>
      <c r="AD886" s="450"/>
      <c r="AE886" s="450"/>
      <c r="AF886" s="450"/>
      <c r="AG886" s="450"/>
      <c r="AH886" s="450"/>
      <c r="AI886" s="450"/>
      <c r="AJ886" s="450"/>
      <c r="AK886" s="450"/>
      <c r="AL886" s="450"/>
      <c r="AM886" s="450"/>
      <c r="AN886" s="450"/>
      <c r="AO886" s="450"/>
      <c r="AP886" s="450"/>
      <c r="AQ886" s="450"/>
      <c r="AR886" s="450"/>
      <c r="AS886" s="450"/>
      <c r="AT886" s="450"/>
      <c r="AU886" s="450"/>
      <c r="AV886" s="450"/>
      <c r="AW886" s="450"/>
      <c r="AX886" s="450"/>
      <c r="AY886" s="450"/>
      <c r="AZ886" s="450"/>
      <c r="BA886" s="450"/>
      <c r="BB886" s="450"/>
      <c r="BC886" s="450"/>
      <c r="BD886" s="450"/>
      <c r="BE886" s="450"/>
      <c r="BF886" s="450"/>
      <c r="BG886" s="450"/>
      <c r="BH886" s="450"/>
      <c r="BI886" s="450"/>
      <c r="BJ886" s="450"/>
      <c r="BK886" s="450"/>
      <c r="BL886" s="450"/>
      <c r="BM886" s="450"/>
    </row>
    <row r="887" spans="1:65" ht="11.15">
      <c r="A887" s="450"/>
      <c r="B887" s="450"/>
      <c r="C887" s="450"/>
      <c r="D887" s="450"/>
      <c r="E887" s="450"/>
      <c r="F887" s="450"/>
      <c r="G887" s="450"/>
      <c r="H887" s="450"/>
      <c r="I887" s="450"/>
      <c r="J887" s="450"/>
      <c r="K887" s="450"/>
      <c r="L887" s="450"/>
      <c r="M887" s="450"/>
      <c r="N887" s="450"/>
      <c r="O887" s="450"/>
      <c r="P887" s="450"/>
      <c r="Q887" s="450"/>
      <c r="R887" s="450"/>
      <c r="S887" s="450"/>
      <c r="T887" s="450"/>
      <c r="U887" s="450"/>
      <c r="V887" s="450"/>
      <c r="W887" s="450"/>
      <c r="X887" s="450"/>
      <c r="Y887" s="450"/>
      <c r="Z887" s="450"/>
      <c r="AA887" s="450"/>
      <c r="AB887" s="450"/>
      <c r="AC887" s="450"/>
      <c r="AD887" s="450"/>
      <c r="AE887" s="450"/>
      <c r="AF887" s="450"/>
      <c r="AG887" s="450"/>
      <c r="AH887" s="450"/>
      <c r="AI887" s="450"/>
      <c r="AJ887" s="450"/>
      <c r="AK887" s="450"/>
      <c r="AL887" s="450"/>
      <c r="AM887" s="450"/>
      <c r="AN887" s="450"/>
      <c r="AO887" s="450"/>
      <c r="AP887" s="450"/>
      <c r="AQ887" s="450"/>
      <c r="AR887" s="450"/>
      <c r="AS887" s="450"/>
      <c r="AT887" s="450"/>
      <c r="AU887" s="450"/>
      <c r="AV887" s="450"/>
      <c r="AW887" s="450"/>
      <c r="AX887" s="450"/>
      <c r="AY887" s="450"/>
      <c r="AZ887" s="450"/>
      <c r="BA887" s="450"/>
      <c r="BB887" s="450"/>
      <c r="BC887" s="450"/>
      <c r="BD887" s="450"/>
      <c r="BE887" s="450"/>
      <c r="BF887" s="450"/>
      <c r="BG887" s="450"/>
      <c r="BH887" s="450"/>
      <c r="BI887" s="450"/>
      <c r="BJ887" s="450"/>
      <c r="BK887" s="450"/>
      <c r="BL887" s="450"/>
      <c r="BM887" s="450"/>
    </row>
    <row r="888" spans="1:65" ht="11.15">
      <c r="A888" s="450"/>
      <c r="B888" s="450"/>
      <c r="C888" s="450"/>
      <c r="D888" s="450"/>
      <c r="E888" s="450"/>
      <c r="F888" s="450"/>
      <c r="G888" s="450"/>
      <c r="H888" s="450"/>
      <c r="I888" s="450"/>
      <c r="J888" s="450"/>
      <c r="K888" s="450"/>
      <c r="L888" s="450"/>
      <c r="M888" s="450"/>
      <c r="N888" s="450"/>
      <c r="O888" s="450"/>
      <c r="P888" s="450"/>
      <c r="Q888" s="450"/>
      <c r="R888" s="450"/>
      <c r="S888" s="450"/>
      <c r="T888" s="450"/>
      <c r="U888" s="450"/>
      <c r="V888" s="450"/>
      <c r="W888" s="450"/>
      <c r="X888" s="450"/>
      <c r="Y888" s="450"/>
      <c r="Z888" s="450"/>
      <c r="AA888" s="450"/>
      <c r="AB888" s="450"/>
      <c r="AC888" s="450"/>
      <c r="AD888" s="450"/>
      <c r="AE888" s="450"/>
      <c r="AF888" s="450"/>
      <c r="AG888" s="450"/>
      <c r="AH888" s="450"/>
      <c r="AI888" s="450"/>
      <c r="AJ888" s="450"/>
      <c r="AK888" s="450"/>
      <c r="AL888" s="450"/>
      <c r="AM888" s="450"/>
      <c r="AN888" s="450"/>
      <c r="AO888" s="450"/>
      <c r="AP888" s="450"/>
      <c r="AQ888" s="450"/>
      <c r="AR888" s="450"/>
      <c r="AS888" s="450"/>
      <c r="AT888" s="450"/>
      <c r="AU888" s="450"/>
      <c r="AV888" s="450"/>
      <c r="AW888" s="450"/>
      <c r="AX888" s="450"/>
      <c r="AY888" s="450"/>
      <c r="AZ888" s="450"/>
      <c r="BA888" s="450"/>
      <c r="BB888" s="450"/>
      <c r="BC888" s="450"/>
      <c r="BD888" s="450"/>
      <c r="BE888" s="450"/>
      <c r="BF888" s="450"/>
      <c r="BG888" s="450"/>
      <c r="BH888" s="450"/>
      <c r="BI888" s="450"/>
      <c r="BJ888" s="450"/>
      <c r="BK888" s="450"/>
      <c r="BL888" s="450"/>
      <c r="BM888" s="450"/>
    </row>
    <row r="889" spans="1:65" ht="11.15">
      <c r="A889" s="450"/>
      <c r="B889" s="450"/>
      <c r="C889" s="450"/>
      <c r="D889" s="450"/>
      <c r="E889" s="450"/>
      <c r="F889" s="450"/>
      <c r="G889" s="450"/>
      <c r="H889" s="450"/>
      <c r="I889" s="450"/>
      <c r="J889" s="450"/>
      <c r="K889" s="450"/>
      <c r="L889" s="450"/>
      <c r="M889" s="450"/>
      <c r="N889" s="450"/>
      <c r="O889" s="450"/>
      <c r="P889" s="450"/>
      <c r="Q889" s="450"/>
      <c r="R889" s="450"/>
      <c r="S889" s="450"/>
      <c r="T889" s="450"/>
      <c r="U889" s="450"/>
      <c r="V889" s="450"/>
      <c r="W889" s="450"/>
      <c r="X889" s="450"/>
      <c r="Y889" s="450"/>
      <c r="Z889" s="450"/>
      <c r="AA889" s="450"/>
      <c r="AB889" s="450"/>
      <c r="AC889" s="450"/>
      <c r="AD889" s="450"/>
      <c r="AE889" s="450"/>
      <c r="AF889" s="450"/>
      <c r="AG889" s="450"/>
      <c r="AH889" s="450"/>
      <c r="AI889" s="450"/>
      <c r="AJ889" s="450"/>
      <c r="AK889" s="450"/>
      <c r="AL889" s="450"/>
      <c r="AM889" s="450"/>
      <c r="AN889" s="450"/>
      <c r="AO889" s="450"/>
      <c r="AP889" s="450"/>
      <c r="AQ889" s="450"/>
      <c r="AR889" s="450"/>
      <c r="AS889" s="450"/>
      <c r="AT889" s="450"/>
      <c r="AU889" s="450"/>
      <c r="AV889" s="450"/>
      <c r="AW889" s="450"/>
      <c r="AX889" s="450"/>
      <c r="AY889" s="450"/>
      <c r="AZ889" s="450"/>
      <c r="BA889" s="450"/>
      <c r="BB889" s="450"/>
      <c r="BC889" s="450"/>
      <c r="BD889" s="450"/>
      <c r="BE889" s="450"/>
      <c r="BF889" s="450"/>
      <c r="BG889" s="450"/>
      <c r="BH889" s="450"/>
      <c r="BI889" s="450"/>
      <c r="BJ889" s="450"/>
      <c r="BK889" s="450"/>
      <c r="BL889" s="450"/>
      <c r="BM889" s="450"/>
    </row>
    <row r="890" spans="1:65" ht="11.15">
      <c r="A890" s="450"/>
      <c r="B890" s="450"/>
      <c r="C890" s="450"/>
      <c r="D890" s="450"/>
      <c r="E890" s="450"/>
      <c r="F890" s="450"/>
      <c r="G890" s="450"/>
      <c r="H890" s="450"/>
      <c r="I890" s="450"/>
      <c r="J890" s="450"/>
      <c r="K890" s="450"/>
      <c r="L890" s="450"/>
      <c r="M890" s="450"/>
      <c r="N890" s="450"/>
      <c r="O890" s="450"/>
      <c r="P890" s="450"/>
      <c r="Q890" s="450"/>
      <c r="R890" s="450"/>
      <c r="S890" s="450"/>
      <c r="T890" s="450"/>
      <c r="U890" s="450"/>
      <c r="V890" s="450"/>
      <c r="W890" s="450"/>
      <c r="X890" s="450"/>
      <c r="Y890" s="450"/>
      <c r="Z890" s="450"/>
      <c r="AA890" s="450"/>
      <c r="AB890" s="450"/>
      <c r="AC890" s="450"/>
      <c r="AD890" s="450"/>
      <c r="AE890" s="450"/>
      <c r="AF890" s="450"/>
      <c r="AG890" s="450"/>
      <c r="AH890" s="450"/>
      <c r="AI890" s="450"/>
      <c r="AJ890" s="450"/>
      <c r="AK890" s="450"/>
      <c r="AL890" s="450"/>
      <c r="AM890" s="450"/>
      <c r="AN890" s="450"/>
      <c r="AO890" s="450"/>
      <c r="AP890" s="450"/>
      <c r="AQ890" s="450"/>
      <c r="AR890" s="450"/>
      <c r="AS890" s="450"/>
      <c r="AT890" s="450"/>
      <c r="AU890" s="450"/>
      <c r="AV890" s="450"/>
      <c r="AW890" s="450"/>
      <c r="AX890" s="450"/>
      <c r="AY890" s="450"/>
      <c r="AZ890" s="450"/>
      <c r="BA890" s="450"/>
      <c r="BB890" s="450"/>
      <c r="BC890" s="450"/>
      <c r="BD890" s="450"/>
      <c r="BE890" s="450"/>
      <c r="BF890" s="450"/>
      <c r="BG890" s="450"/>
      <c r="BH890" s="450"/>
      <c r="BI890" s="450"/>
      <c r="BJ890" s="450"/>
      <c r="BK890" s="450"/>
      <c r="BL890" s="450"/>
      <c r="BM890" s="450"/>
    </row>
    <row r="891" spans="1:65" ht="11.15">
      <c r="A891" s="450"/>
      <c r="B891" s="450"/>
      <c r="C891" s="450"/>
      <c r="D891" s="450"/>
      <c r="E891" s="450"/>
      <c r="F891" s="450"/>
      <c r="G891" s="450"/>
      <c r="H891" s="450"/>
      <c r="I891" s="450"/>
      <c r="J891" s="450"/>
      <c r="K891" s="450"/>
      <c r="L891" s="450"/>
      <c r="M891" s="450"/>
      <c r="N891" s="450"/>
      <c r="O891" s="450"/>
      <c r="P891" s="450"/>
      <c r="Q891" s="450"/>
      <c r="R891" s="450"/>
      <c r="S891" s="450"/>
      <c r="T891" s="450"/>
      <c r="U891" s="450"/>
      <c r="V891" s="450"/>
      <c r="W891" s="450"/>
      <c r="X891" s="450"/>
      <c r="Y891" s="450"/>
      <c r="Z891" s="450"/>
      <c r="AA891" s="450"/>
      <c r="AB891" s="450"/>
      <c r="AC891" s="450"/>
      <c r="AD891" s="450"/>
      <c r="AE891" s="450"/>
      <c r="AF891" s="450"/>
      <c r="AG891" s="450"/>
      <c r="AH891" s="450"/>
      <c r="AI891" s="450"/>
      <c r="AJ891" s="450"/>
      <c r="AK891" s="450"/>
      <c r="AL891" s="450"/>
      <c r="AM891" s="450"/>
      <c r="AN891" s="450"/>
      <c r="AO891" s="450"/>
      <c r="AP891" s="450"/>
      <c r="AQ891" s="450"/>
      <c r="AR891" s="450"/>
      <c r="AS891" s="450"/>
      <c r="AT891" s="450"/>
      <c r="AU891" s="450"/>
      <c r="AV891" s="450"/>
      <c r="AW891" s="450"/>
      <c r="AX891" s="450"/>
      <c r="AY891" s="450"/>
      <c r="AZ891" s="450"/>
      <c r="BA891" s="450"/>
      <c r="BB891" s="450"/>
      <c r="BC891" s="450"/>
      <c r="BD891" s="450"/>
      <c r="BE891" s="450"/>
      <c r="BF891" s="450"/>
      <c r="BG891" s="450"/>
      <c r="BH891" s="450"/>
      <c r="BI891" s="450"/>
      <c r="BJ891" s="450"/>
      <c r="BK891" s="450"/>
      <c r="BL891" s="450"/>
      <c r="BM891" s="450"/>
    </row>
    <row r="892" spans="1:65" ht="11.15">
      <c r="A892" s="450"/>
      <c r="B892" s="450"/>
      <c r="C892" s="450"/>
      <c r="D892" s="450"/>
      <c r="E892" s="450"/>
      <c r="F892" s="450"/>
      <c r="G892" s="450"/>
      <c r="H892" s="450"/>
      <c r="I892" s="450"/>
      <c r="J892" s="450"/>
      <c r="K892" s="450"/>
      <c r="L892" s="450"/>
      <c r="M892" s="450"/>
      <c r="N892" s="450"/>
      <c r="O892" s="450"/>
      <c r="P892" s="450"/>
      <c r="Q892" s="450"/>
      <c r="R892" s="450"/>
      <c r="S892" s="450"/>
      <c r="T892" s="450"/>
      <c r="U892" s="450"/>
      <c r="V892" s="450"/>
      <c r="W892" s="450"/>
      <c r="X892" s="450"/>
      <c r="Y892" s="450"/>
      <c r="Z892" s="450"/>
      <c r="AA892" s="450"/>
      <c r="AB892" s="450"/>
      <c r="AC892" s="450"/>
      <c r="AD892" s="450"/>
      <c r="AE892" s="450"/>
      <c r="AF892" s="450"/>
      <c r="AG892" s="450"/>
      <c r="AH892" s="450"/>
      <c r="AI892" s="450"/>
      <c r="AJ892" s="450"/>
      <c r="AK892" s="450"/>
      <c r="AL892" s="450"/>
      <c r="AM892" s="450"/>
      <c r="AN892" s="450"/>
      <c r="AO892" s="450"/>
      <c r="AP892" s="450"/>
      <c r="AQ892" s="450"/>
      <c r="AR892" s="450"/>
      <c r="AS892" s="450"/>
      <c r="AT892" s="450"/>
      <c r="AU892" s="450"/>
      <c r="AV892" s="450"/>
      <c r="AW892" s="450"/>
      <c r="AX892" s="450"/>
      <c r="AY892" s="450"/>
      <c r="AZ892" s="450"/>
      <c r="BA892" s="450"/>
      <c r="BB892" s="450"/>
      <c r="BC892" s="450"/>
      <c r="BD892" s="450"/>
      <c r="BE892" s="450"/>
      <c r="BF892" s="450"/>
      <c r="BG892" s="450"/>
      <c r="BH892" s="450"/>
      <c r="BI892" s="450"/>
      <c r="BJ892" s="450"/>
      <c r="BK892" s="450"/>
      <c r="BL892" s="450"/>
      <c r="BM892" s="450"/>
    </row>
    <row r="893" spans="1:65" ht="11.15">
      <c r="A893" s="450"/>
      <c r="B893" s="450"/>
      <c r="C893" s="450"/>
      <c r="D893" s="450"/>
      <c r="E893" s="450"/>
      <c r="F893" s="450"/>
      <c r="G893" s="450"/>
      <c r="H893" s="450"/>
      <c r="I893" s="450"/>
      <c r="J893" s="450"/>
      <c r="K893" s="450"/>
      <c r="L893" s="450"/>
      <c r="M893" s="450"/>
      <c r="N893" s="450"/>
      <c r="O893" s="450"/>
      <c r="P893" s="450"/>
      <c r="Q893" s="450"/>
      <c r="R893" s="450"/>
      <c r="S893" s="450"/>
      <c r="T893" s="450"/>
      <c r="U893" s="450"/>
      <c r="V893" s="450"/>
      <c r="W893" s="450"/>
      <c r="X893" s="450"/>
      <c r="Y893" s="450"/>
      <c r="Z893" s="450"/>
      <c r="AA893" s="450"/>
      <c r="AB893" s="450"/>
      <c r="AC893" s="450"/>
      <c r="AD893" s="450"/>
      <c r="AE893" s="450"/>
      <c r="AF893" s="450"/>
      <c r="AG893" s="450"/>
      <c r="AH893" s="450"/>
      <c r="AI893" s="450"/>
      <c r="AJ893" s="450"/>
      <c r="AK893" s="450"/>
      <c r="AL893" s="450"/>
      <c r="AM893" s="450"/>
      <c r="AN893" s="450"/>
      <c r="AO893" s="450"/>
      <c r="AP893" s="450"/>
      <c r="AQ893" s="450"/>
      <c r="AR893" s="450"/>
      <c r="AS893" s="450"/>
      <c r="AT893" s="450"/>
      <c r="AU893" s="450"/>
      <c r="AV893" s="450"/>
      <c r="AW893" s="450"/>
      <c r="AX893" s="450"/>
      <c r="AY893" s="450"/>
      <c r="AZ893" s="450"/>
      <c r="BA893" s="450"/>
      <c r="BB893" s="450"/>
      <c r="BC893" s="450"/>
      <c r="BD893" s="450"/>
      <c r="BE893" s="450"/>
      <c r="BF893" s="450"/>
      <c r="BG893" s="450"/>
      <c r="BH893" s="450"/>
      <c r="BI893" s="450"/>
      <c r="BJ893" s="450"/>
      <c r="BK893" s="450"/>
      <c r="BL893" s="450"/>
      <c r="BM893" s="450"/>
    </row>
    <row r="894" spans="1:65" ht="11.15">
      <c r="A894" s="450"/>
      <c r="B894" s="450"/>
      <c r="C894" s="450"/>
      <c r="D894" s="450"/>
      <c r="E894" s="450"/>
      <c r="F894" s="450"/>
      <c r="G894" s="450"/>
      <c r="H894" s="450"/>
      <c r="I894" s="450"/>
      <c r="J894" s="450"/>
      <c r="K894" s="450"/>
      <c r="L894" s="450"/>
      <c r="M894" s="450"/>
      <c r="N894" s="450"/>
      <c r="O894" s="450"/>
      <c r="P894" s="450"/>
      <c r="Q894" s="450"/>
      <c r="R894" s="450"/>
      <c r="S894" s="450"/>
      <c r="T894" s="450"/>
      <c r="U894" s="450"/>
      <c r="V894" s="450"/>
      <c r="W894" s="450"/>
      <c r="X894" s="450"/>
      <c r="Y894" s="450"/>
      <c r="Z894" s="450"/>
      <c r="AA894" s="450"/>
      <c r="AB894" s="450"/>
      <c r="AC894" s="450"/>
      <c r="AD894" s="450"/>
      <c r="AE894" s="450"/>
      <c r="AF894" s="450"/>
      <c r="AG894" s="450"/>
      <c r="AH894" s="450"/>
      <c r="AI894" s="450"/>
      <c r="AJ894" s="450"/>
      <c r="AK894" s="450"/>
      <c r="AL894" s="450"/>
      <c r="AM894" s="450"/>
      <c r="AN894" s="450"/>
      <c r="AO894" s="450"/>
      <c r="AP894" s="450"/>
      <c r="AQ894" s="450"/>
      <c r="AR894" s="450"/>
      <c r="AS894" s="450"/>
      <c r="AT894" s="450"/>
      <c r="AU894" s="450"/>
      <c r="AV894" s="450"/>
      <c r="AW894" s="450"/>
      <c r="AX894" s="450"/>
      <c r="AY894" s="450"/>
      <c r="AZ894" s="450"/>
      <c r="BA894" s="450"/>
      <c r="BB894" s="450"/>
      <c r="BC894" s="450"/>
      <c r="BD894" s="450"/>
      <c r="BE894" s="450"/>
      <c r="BF894" s="450"/>
      <c r="BG894" s="450"/>
      <c r="BH894" s="450"/>
      <c r="BI894" s="450"/>
      <c r="BJ894" s="450"/>
      <c r="BK894" s="450"/>
      <c r="BL894" s="450"/>
      <c r="BM894" s="450"/>
    </row>
    <row r="895" spans="1:65" ht="11.15">
      <c r="A895" s="450"/>
      <c r="B895" s="450"/>
      <c r="C895" s="450"/>
      <c r="D895" s="450"/>
      <c r="E895" s="450"/>
      <c r="F895" s="450"/>
      <c r="G895" s="450"/>
      <c r="H895" s="450"/>
      <c r="I895" s="450"/>
      <c r="J895" s="450"/>
      <c r="K895" s="450"/>
      <c r="L895" s="450"/>
      <c r="M895" s="450"/>
      <c r="N895" s="450"/>
      <c r="O895" s="450"/>
      <c r="P895" s="450"/>
      <c r="Q895" s="450"/>
      <c r="R895" s="450"/>
      <c r="S895" s="450"/>
      <c r="T895" s="450"/>
      <c r="U895" s="450"/>
      <c r="V895" s="450"/>
      <c r="W895" s="450"/>
      <c r="X895" s="450"/>
      <c r="Y895" s="450"/>
      <c r="Z895" s="450"/>
      <c r="AA895" s="450"/>
      <c r="AB895" s="450"/>
      <c r="AC895" s="450"/>
      <c r="AD895" s="450"/>
      <c r="AE895" s="450"/>
      <c r="AF895" s="450"/>
      <c r="AG895" s="450"/>
      <c r="AH895" s="450"/>
      <c r="AI895" s="450"/>
      <c r="AJ895" s="450"/>
      <c r="AK895" s="450"/>
      <c r="AL895" s="450"/>
      <c r="AM895" s="450"/>
      <c r="AN895" s="450"/>
      <c r="AO895" s="450"/>
      <c r="AP895" s="450"/>
      <c r="AQ895" s="450"/>
      <c r="AR895" s="450"/>
      <c r="AS895" s="450"/>
      <c r="AT895" s="450"/>
      <c r="AU895" s="450"/>
      <c r="AV895" s="450"/>
      <c r="AW895" s="450"/>
      <c r="AX895" s="450"/>
      <c r="AY895" s="450"/>
      <c r="AZ895" s="450"/>
      <c r="BA895" s="450"/>
      <c r="BB895" s="450"/>
      <c r="BC895" s="450"/>
      <c r="BD895" s="450"/>
      <c r="BE895" s="450"/>
      <c r="BF895" s="450"/>
      <c r="BG895" s="450"/>
      <c r="BH895" s="450"/>
      <c r="BI895" s="450"/>
      <c r="BJ895" s="450"/>
      <c r="BK895" s="450"/>
      <c r="BL895" s="450"/>
      <c r="BM895" s="450"/>
    </row>
    <row r="896" spans="1:65" ht="11.15">
      <c r="A896" s="450"/>
      <c r="B896" s="450"/>
      <c r="C896" s="450"/>
      <c r="D896" s="450"/>
      <c r="E896" s="450"/>
      <c r="F896" s="450"/>
      <c r="G896" s="450"/>
      <c r="H896" s="450"/>
      <c r="I896" s="450"/>
      <c r="J896" s="450"/>
      <c r="K896" s="450"/>
      <c r="L896" s="450"/>
      <c r="M896" s="450"/>
      <c r="N896" s="450"/>
      <c r="O896" s="450"/>
      <c r="P896" s="450"/>
      <c r="Q896" s="450"/>
      <c r="R896" s="450"/>
      <c r="S896" s="450"/>
      <c r="T896" s="450"/>
      <c r="U896" s="450"/>
      <c r="V896" s="450"/>
      <c r="W896" s="450"/>
      <c r="X896" s="450"/>
      <c r="Y896" s="450"/>
      <c r="Z896" s="450"/>
      <c r="AA896" s="450"/>
      <c r="AB896" s="450"/>
      <c r="AC896" s="450"/>
      <c r="AD896" s="450"/>
      <c r="AE896" s="450"/>
      <c r="AF896" s="450"/>
      <c r="AG896" s="450"/>
      <c r="AH896" s="450"/>
      <c r="AI896" s="450"/>
      <c r="AJ896" s="450"/>
      <c r="AK896" s="450"/>
      <c r="AL896" s="450"/>
      <c r="AM896" s="450"/>
      <c r="AN896" s="450"/>
      <c r="AO896" s="450"/>
      <c r="AP896" s="450"/>
      <c r="AQ896" s="450"/>
      <c r="AR896" s="450"/>
      <c r="AS896" s="450"/>
      <c r="AT896" s="450"/>
      <c r="AU896" s="450"/>
      <c r="AV896" s="450"/>
      <c r="AW896" s="450"/>
      <c r="AX896" s="450"/>
      <c r="AY896" s="450"/>
      <c r="AZ896" s="450"/>
      <c r="BA896" s="450"/>
      <c r="BB896" s="450"/>
      <c r="BC896" s="450"/>
      <c r="BD896" s="450"/>
      <c r="BE896" s="450"/>
      <c r="BF896" s="450"/>
      <c r="BG896" s="450"/>
      <c r="BH896" s="450"/>
      <c r="BI896" s="450"/>
      <c r="BJ896" s="450"/>
      <c r="BK896" s="450"/>
      <c r="BL896" s="450"/>
      <c r="BM896" s="450"/>
    </row>
    <row r="897" spans="1:65" ht="11.15">
      <c r="A897" s="450"/>
      <c r="B897" s="450"/>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c r="Z897" s="450"/>
      <c r="AA897" s="450"/>
      <c r="AB897" s="450"/>
      <c r="AC897" s="450"/>
      <c r="AD897" s="450"/>
      <c r="AE897" s="450"/>
      <c r="AF897" s="450"/>
      <c r="AG897" s="450"/>
      <c r="AH897" s="450"/>
      <c r="AI897" s="450"/>
      <c r="AJ897" s="450"/>
      <c r="AK897" s="450"/>
      <c r="AL897" s="450"/>
      <c r="AM897" s="450"/>
      <c r="AN897" s="450"/>
      <c r="AO897" s="450"/>
      <c r="AP897" s="450"/>
      <c r="AQ897" s="450"/>
      <c r="AR897" s="450"/>
      <c r="AS897" s="450"/>
      <c r="AT897" s="450"/>
      <c r="AU897" s="450"/>
      <c r="AV897" s="450"/>
      <c r="AW897" s="450"/>
      <c r="AX897" s="450"/>
      <c r="AY897" s="450"/>
      <c r="AZ897" s="450"/>
      <c r="BA897" s="450"/>
      <c r="BB897" s="450"/>
      <c r="BC897" s="450"/>
      <c r="BD897" s="450"/>
      <c r="BE897" s="450"/>
      <c r="BF897" s="450"/>
      <c r="BG897" s="450"/>
      <c r="BH897" s="450"/>
      <c r="BI897" s="450"/>
      <c r="BJ897" s="450"/>
      <c r="BK897" s="450"/>
      <c r="BL897" s="450"/>
      <c r="BM897" s="450"/>
    </row>
    <row r="898" spans="1:65" ht="11.15">
      <c r="A898" s="450"/>
      <c r="B898" s="450"/>
      <c r="C898" s="450"/>
      <c r="D898" s="450"/>
      <c r="E898" s="450"/>
      <c r="F898" s="450"/>
      <c r="G898" s="450"/>
      <c r="H898" s="450"/>
      <c r="I898" s="450"/>
      <c r="J898" s="450"/>
      <c r="K898" s="450"/>
      <c r="L898" s="450"/>
      <c r="M898" s="450"/>
      <c r="N898" s="450"/>
      <c r="O898" s="450"/>
      <c r="P898" s="450"/>
      <c r="Q898" s="450"/>
      <c r="R898" s="450"/>
      <c r="S898" s="450"/>
      <c r="T898" s="450"/>
      <c r="U898" s="450"/>
      <c r="V898" s="450"/>
      <c r="W898" s="450"/>
      <c r="X898" s="450"/>
      <c r="Y898" s="450"/>
      <c r="Z898" s="450"/>
      <c r="AA898" s="450"/>
      <c r="AB898" s="450"/>
      <c r="AC898" s="450"/>
      <c r="AD898" s="450"/>
      <c r="AE898" s="450"/>
      <c r="AF898" s="450"/>
      <c r="AG898" s="450"/>
      <c r="AH898" s="450"/>
      <c r="AI898" s="450"/>
      <c r="AJ898" s="450"/>
      <c r="AK898" s="450"/>
      <c r="AL898" s="450"/>
      <c r="AM898" s="450"/>
      <c r="AN898" s="450"/>
      <c r="AO898" s="450"/>
      <c r="AP898" s="450"/>
      <c r="AQ898" s="450"/>
      <c r="AR898" s="450"/>
      <c r="AS898" s="450"/>
      <c r="AT898" s="450"/>
      <c r="AU898" s="450"/>
      <c r="AV898" s="450"/>
      <c r="AW898" s="450"/>
      <c r="AX898" s="450"/>
      <c r="AY898" s="450"/>
      <c r="AZ898" s="450"/>
      <c r="BA898" s="450"/>
      <c r="BB898" s="450"/>
      <c r="BC898" s="450"/>
      <c r="BD898" s="450"/>
      <c r="BE898" s="450"/>
      <c r="BF898" s="450"/>
      <c r="BG898" s="450"/>
      <c r="BH898" s="450"/>
      <c r="BI898" s="450"/>
      <c r="BJ898" s="450"/>
      <c r="BK898" s="450"/>
      <c r="BL898" s="450"/>
      <c r="BM898" s="450"/>
    </row>
    <row r="899" spans="1:65" ht="11.15">
      <c r="A899" s="450"/>
      <c r="B899" s="450"/>
      <c r="C899" s="450"/>
      <c r="D899" s="450"/>
      <c r="E899" s="450"/>
      <c r="F899" s="450"/>
      <c r="G899" s="450"/>
      <c r="H899" s="450"/>
      <c r="I899" s="450"/>
      <c r="J899" s="450"/>
      <c r="K899" s="450"/>
      <c r="L899" s="450"/>
      <c r="M899" s="450"/>
      <c r="N899" s="450"/>
      <c r="O899" s="450"/>
      <c r="P899" s="450"/>
      <c r="Q899" s="450"/>
      <c r="R899" s="450"/>
      <c r="S899" s="450"/>
      <c r="T899" s="450"/>
      <c r="U899" s="450"/>
      <c r="V899" s="450"/>
      <c r="W899" s="450"/>
      <c r="X899" s="450"/>
      <c r="Y899" s="450"/>
      <c r="Z899" s="450"/>
      <c r="AA899" s="450"/>
      <c r="AB899" s="450"/>
      <c r="AC899" s="450"/>
      <c r="AD899" s="450"/>
      <c r="AE899" s="450"/>
      <c r="AF899" s="450"/>
      <c r="AG899" s="450"/>
      <c r="AH899" s="450"/>
      <c r="AI899" s="450"/>
      <c r="AJ899" s="450"/>
      <c r="AK899" s="450"/>
      <c r="AL899" s="450"/>
      <c r="AM899" s="450"/>
      <c r="AN899" s="450"/>
      <c r="AO899" s="450"/>
      <c r="AP899" s="450"/>
      <c r="AQ899" s="450"/>
      <c r="AR899" s="450"/>
      <c r="AS899" s="450"/>
      <c r="AT899" s="450"/>
      <c r="AU899" s="450"/>
      <c r="AV899" s="450"/>
      <c r="AW899" s="450"/>
      <c r="AX899" s="450"/>
      <c r="AY899" s="450"/>
      <c r="AZ899" s="450"/>
      <c r="BA899" s="450"/>
      <c r="BB899" s="450"/>
      <c r="BC899" s="450"/>
      <c r="BD899" s="450"/>
      <c r="BE899" s="450"/>
      <c r="BF899" s="450"/>
      <c r="BG899" s="450"/>
      <c r="BH899" s="450"/>
      <c r="BI899" s="450"/>
      <c r="BJ899" s="450"/>
      <c r="BK899" s="450"/>
      <c r="BL899" s="450"/>
      <c r="BM899" s="450"/>
    </row>
    <row r="900" spans="1:65" ht="11.15">
      <c r="A900" s="450"/>
      <c r="B900" s="450"/>
      <c r="C900" s="450"/>
      <c r="D900" s="450"/>
      <c r="E900" s="450"/>
      <c r="F900" s="450"/>
      <c r="G900" s="450"/>
      <c r="H900" s="450"/>
      <c r="I900" s="450"/>
      <c r="J900" s="450"/>
      <c r="K900" s="450"/>
      <c r="L900" s="450"/>
      <c r="M900" s="450"/>
      <c r="N900" s="450"/>
      <c r="O900" s="450"/>
      <c r="P900" s="450"/>
      <c r="Q900" s="450"/>
      <c r="R900" s="450"/>
      <c r="S900" s="450"/>
      <c r="T900" s="450"/>
      <c r="U900" s="450"/>
      <c r="V900" s="450"/>
      <c r="W900" s="450"/>
      <c r="X900" s="450"/>
      <c r="Y900" s="450"/>
      <c r="Z900" s="450"/>
      <c r="AA900" s="450"/>
      <c r="AB900" s="450"/>
      <c r="AC900" s="450"/>
      <c r="AD900" s="450"/>
      <c r="AE900" s="450"/>
      <c r="AF900" s="450"/>
      <c r="AG900" s="450"/>
      <c r="AH900" s="450"/>
      <c r="AI900" s="450"/>
      <c r="AJ900" s="450"/>
      <c r="AK900" s="450"/>
      <c r="AL900" s="450"/>
      <c r="AM900" s="450"/>
      <c r="AN900" s="450"/>
      <c r="AO900" s="450"/>
      <c r="AP900" s="450"/>
      <c r="AQ900" s="450"/>
      <c r="AR900" s="450"/>
      <c r="AS900" s="450"/>
      <c r="AT900" s="450"/>
      <c r="AU900" s="450"/>
      <c r="AV900" s="450"/>
      <c r="AW900" s="450"/>
      <c r="AX900" s="450"/>
      <c r="AY900" s="450"/>
      <c r="AZ900" s="450"/>
      <c r="BA900" s="450"/>
      <c r="BB900" s="450"/>
      <c r="BC900" s="450"/>
      <c r="BD900" s="450"/>
      <c r="BE900" s="450"/>
      <c r="BF900" s="450"/>
      <c r="BG900" s="450"/>
      <c r="BH900" s="450"/>
      <c r="BI900" s="450"/>
      <c r="BJ900" s="450"/>
      <c r="BK900" s="450"/>
      <c r="BL900" s="450"/>
      <c r="BM900" s="450"/>
    </row>
    <row r="901" spans="1:65" ht="11.15">
      <c r="A901" s="450"/>
      <c r="B901" s="450"/>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c r="Z901" s="450"/>
      <c r="AA901" s="450"/>
      <c r="AB901" s="450"/>
      <c r="AC901" s="450"/>
      <c r="AD901" s="450"/>
      <c r="AE901" s="450"/>
      <c r="AF901" s="450"/>
      <c r="AG901" s="450"/>
      <c r="AH901" s="450"/>
      <c r="AI901" s="450"/>
      <c r="AJ901" s="450"/>
      <c r="AK901" s="450"/>
      <c r="AL901" s="450"/>
      <c r="AM901" s="450"/>
      <c r="AN901" s="450"/>
      <c r="AO901" s="450"/>
      <c r="AP901" s="450"/>
      <c r="AQ901" s="450"/>
      <c r="AR901" s="450"/>
      <c r="AS901" s="450"/>
      <c r="AT901" s="450"/>
      <c r="AU901" s="450"/>
      <c r="AV901" s="450"/>
      <c r="AW901" s="450"/>
      <c r="AX901" s="450"/>
      <c r="AY901" s="450"/>
      <c r="AZ901" s="450"/>
      <c r="BA901" s="450"/>
      <c r="BB901" s="450"/>
      <c r="BC901" s="450"/>
      <c r="BD901" s="450"/>
      <c r="BE901" s="450"/>
      <c r="BF901" s="450"/>
      <c r="BG901" s="450"/>
      <c r="BH901" s="450"/>
      <c r="BI901" s="450"/>
      <c r="BJ901" s="450"/>
      <c r="BK901" s="450"/>
      <c r="BL901" s="450"/>
      <c r="BM901" s="450"/>
    </row>
    <row r="902" spans="1:65" ht="11.15">
      <c r="A902" s="450"/>
      <c r="B902" s="450"/>
      <c r="C902" s="450"/>
      <c r="D902" s="450"/>
      <c r="E902" s="450"/>
      <c r="F902" s="450"/>
      <c r="G902" s="450"/>
      <c r="H902" s="450"/>
      <c r="I902" s="450"/>
      <c r="J902" s="450"/>
      <c r="K902" s="450"/>
      <c r="L902" s="450"/>
      <c r="M902" s="450"/>
      <c r="N902" s="450"/>
      <c r="O902" s="450"/>
      <c r="P902" s="450"/>
      <c r="Q902" s="450"/>
      <c r="R902" s="450"/>
      <c r="S902" s="450"/>
      <c r="T902" s="450"/>
      <c r="U902" s="450"/>
      <c r="V902" s="450"/>
      <c r="W902" s="450"/>
      <c r="X902" s="450"/>
      <c r="Y902" s="450"/>
      <c r="Z902" s="450"/>
      <c r="AA902" s="450"/>
      <c r="AB902" s="450"/>
      <c r="AC902" s="450"/>
      <c r="AD902" s="450"/>
      <c r="AE902" s="450"/>
      <c r="AF902" s="450"/>
      <c r="AG902" s="450"/>
      <c r="AH902" s="450"/>
      <c r="AI902" s="450"/>
      <c r="AJ902" s="450"/>
      <c r="AK902" s="450"/>
      <c r="AL902" s="450"/>
      <c r="AM902" s="450"/>
      <c r="AN902" s="450"/>
      <c r="AO902" s="450"/>
      <c r="AP902" s="450"/>
      <c r="AQ902" s="450"/>
      <c r="AR902" s="450"/>
      <c r="AS902" s="450"/>
      <c r="AT902" s="450"/>
      <c r="AU902" s="450"/>
      <c r="AV902" s="450"/>
      <c r="AW902" s="450"/>
      <c r="AX902" s="450"/>
      <c r="AY902" s="450"/>
      <c r="AZ902" s="450"/>
      <c r="BA902" s="450"/>
      <c r="BB902" s="450"/>
      <c r="BC902" s="450"/>
      <c r="BD902" s="450"/>
      <c r="BE902" s="450"/>
      <c r="BF902" s="450"/>
      <c r="BG902" s="450"/>
      <c r="BH902" s="450"/>
      <c r="BI902" s="450"/>
      <c r="BJ902" s="450"/>
      <c r="BK902" s="450"/>
      <c r="BL902" s="450"/>
      <c r="BM902" s="450"/>
    </row>
    <row r="903" spans="1:65" ht="11.15">
      <c r="A903" s="450"/>
      <c r="B903" s="450"/>
      <c r="C903" s="450"/>
      <c r="D903" s="450"/>
      <c r="E903" s="450"/>
      <c r="F903" s="450"/>
      <c r="G903" s="450"/>
      <c r="H903" s="450"/>
      <c r="I903" s="450"/>
      <c r="J903" s="450"/>
      <c r="K903" s="450"/>
      <c r="L903" s="450"/>
      <c r="M903" s="450"/>
      <c r="N903" s="450"/>
      <c r="O903" s="450"/>
      <c r="P903" s="450"/>
      <c r="Q903" s="450"/>
      <c r="R903" s="450"/>
      <c r="S903" s="450"/>
      <c r="T903" s="450"/>
      <c r="U903" s="450"/>
      <c r="V903" s="450"/>
      <c r="W903" s="450"/>
      <c r="X903" s="450"/>
      <c r="Y903" s="450"/>
      <c r="Z903" s="450"/>
      <c r="AA903" s="450"/>
      <c r="AB903" s="450"/>
      <c r="AC903" s="450"/>
      <c r="AD903" s="450"/>
      <c r="AE903" s="450"/>
      <c r="AF903" s="450"/>
      <c r="AG903" s="450"/>
      <c r="AH903" s="450"/>
      <c r="AI903" s="450"/>
      <c r="AJ903" s="450"/>
      <c r="AK903" s="450"/>
      <c r="AL903" s="450"/>
      <c r="AM903" s="450"/>
      <c r="AN903" s="450"/>
      <c r="AO903" s="450"/>
      <c r="AP903" s="450"/>
      <c r="AQ903" s="450"/>
      <c r="AR903" s="450"/>
      <c r="AS903" s="450"/>
      <c r="AT903" s="450"/>
      <c r="AU903" s="450"/>
      <c r="AV903" s="450"/>
      <c r="AW903" s="450"/>
      <c r="AX903" s="450"/>
      <c r="AY903" s="450"/>
      <c r="AZ903" s="450"/>
      <c r="BA903" s="450"/>
      <c r="BB903" s="450"/>
      <c r="BC903" s="450"/>
      <c r="BD903" s="450"/>
      <c r="BE903" s="450"/>
      <c r="BF903" s="450"/>
      <c r="BG903" s="450"/>
      <c r="BH903" s="450"/>
      <c r="BI903" s="450"/>
      <c r="BJ903" s="450"/>
      <c r="BK903" s="450"/>
      <c r="BL903" s="450"/>
      <c r="BM903" s="450"/>
    </row>
    <row r="904" spans="1:65" ht="11.15">
      <c r="A904" s="450"/>
      <c r="B904" s="450"/>
      <c r="C904" s="450"/>
      <c r="D904" s="450"/>
      <c r="E904" s="450"/>
      <c r="F904" s="450"/>
      <c r="G904" s="450"/>
      <c r="H904" s="450"/>
      <c r="I904" s="450"/>
      <c r="J904" s="450"/>
      <c r="K904" s="450"/>
      <c r="L904" s="450"/>
      <c r="M904" s="450"/>
      <c r="N904" s="450"/>
      <c r="O904" s="450"/>
      <c r="P904" s="450"/>
      <c r="Q904" s="450"/>
      <c r="R904" s="450"/>
      <c r="S904" s="450"/>
      <c r="T904" s="450"/>
      <c r="U904" s="450"/>
      <c r="V904" s="450"/>
      <c r="W904" s="450"/>
      <c r="X904" s="450"/>
      <c r="Y904" s="450"/>
      <c r="Z904" s="450"/>
      <c r="AA904" s="450"/>
      <c r="AB904" s="450"/>
      <c r="AC904" s="450"/>
      <c r="AD904" s="450"/>
      <c r="AE904" s="450"/>
      <c r="AF904" s="450"/>
      <c r="AG904" s="450"/>
      <c r="AH904" s="450"/>
      <c r="AI904" s="450"/>
      <c r="AJ904" s="450"/>
      <c r="AK904" s="450"/>
      <c r="AL904" s="450"/>
      <c r="AM904" s="450"/>
      <c r="AN904" s="450"/>
      <c r="AO904" s="450"/>
      <c r="AP904" s="450"/>
      <c r="AQ904" s="450"/>
      <c r="AR904" s="450"/>
      <c r="AS904" s="450"/>
      <c r="AT904" s="450"/>
      <c r="AU904" s="450"/>
      <c r="AV904" s="450"/>
      <c r="AW904" s="450"/>
      <c r="AX904" s="450"/>
      <c r="AY904" s="450"/>
      <c r="AZ904" s="450"/>
      <c r="BA904" s="450"/>
      <c r="BB904" s="450"/>
      <c r="BC904" s="450"/>
      <c r="BD904" s="450"/>
      <c r="BE904" s="450"/>
      <c r="BF904" s="450"/>
      <c r="BG904" s="450"/>
      <c r="BH904" s="450"/>
      <c r="BI904" s="450"/>
      <c r="BJ904" s="450"/>
      <c r="BK904" s="450"/>
      <c r="BL904" s="450"/>
      <c r="BM904" s="450"/>
    </row>
    <row r="905" spans="1:65" ht="11.15">
      <c r="A905" s="450"/>
      <c r="B905" s="450"/>
      <c r="C905" s="450"/>
      <c r="D905" s="450"/>
      <c r="E905" s="450"/>
      <c r="F905" s="450"/>
      <c r="G905" s="450"/>
      <c r="H905" s="450"/>
      <c r="I905" s="450"/>
      <c r="J905" s="450"/>
      <c r="K905" s="450"/>
      <c r="L905" s="450"/>
      <c r="M905" s="450"/>
      <c r="N905" s="450"/>
      <c r="O905" s="450"/>
      <c r="P905" s="450"/>
      <c r="Q905" s="450"/>
      <c r="R905" s="450"/>
      <c r="S905" s="450"/>
      <c r="T905" s="450"/>
      <c r="U905" s="450"/>
      <c r="V905" s="450"/>
      <c r="W905" s="450"/>
      <c r="X905" s="450"/>
      <c r="Y905" s="450"/>
      <c r="Z905" s="450"/>
      <c r="AA905" s="450"/>
      <c r="AB905" s="450"/>
      <c r="AC905" s="450"/>
      <c r="AD905" s="450"/>
      <c r="AE905" s="450"/>
      <c r="AF905" s="450"/>
      <c r="AG905" s="450"/>
      <c r="AH905" s="450"/>
      <c r="AI905" s="450"/>
      <c r="AJ905" s="450"/>
      <c r="AK905" s="450"/>
      <c r="AL905" s="450"/>
      <c r="AM905" s="450"/>
      <c r="AN905" s="450"/>
      <c r="AO905" s="450"/>
      <c r="AP905" s="450"/>
      <c r="AQ905" s="450"/>
      <c r="AR905" s="450"/>
      <c r="AS905" s="450"/>
      <c r="AT905" s="450"/>
      <c r="AU905" s="450"/>
      <c r="AV905" s="450"/>
      <c r="AW905" s="450"/>
      <c r="AX905" s="450"/>
      <c r="AY905" s="450"/>
      <c r="AZ905" s="450"/>
      <c r="BA905" s="450"/>
      <c r="BB905" s="450"/>
      <c r="BC905" s="450"/>
      <c r="BD905" s="450"/>
      <c r="BE905" s="450"/>
      <c r="BF905" s="450"/>
      <c r="BG905" s="450"/>
      <c r="BH905" s="450"/>
      <c r="BI905" s="450"/>
      <c r="BJ905" s="450"/>
      <c r="BK905" s="450"/>
      <c r="BL905" s="450"/>
      <c r="BM905" s="450"/>
    </row>
    <row r="906" spans="1:65" ht="11.15">
      <c r="A906" s="450"/>
      <c r="B906" s="450"/>
      <c r="C906" s="450"/>
      <c r="D906" s="450"/>
      <c r="E906" s="450"/>
      <c r="F906" s="450"/>
      <c r="G906" s="450"/>
      <c r="H906" s="450"/>
      <c r="I906" s="450"/>
      <c r="J906" s="450"/>
      <c r="K906" s="450"/>
      <c r="L906" s="450"/>
      <c r="M906" s="450"/>
      <c r="N906" s="450"/>
      <c r="O906" s="450"/>
      <c r="P906" s="450"/>
      <c r="Q906" s="450"/>
      <c r="R906" s="450"/>
      <c r="S906" s="450"/>
      <c r="T906" s="450"/>
      <c r="U906" s="450"/>
      <c r="V906" s="450"/>
      <c r="W906" s="450"/>
      <c r="X906" s="450"/>
      <c r="Y906" s="450"/>
      <c r="Z906" s="450"/>
      <c r="AA906" s="450"/>
      <c r="AB906" s="450"/>
      <c r="AC906" s="450"/>
      <c r="AD906" s="450"/>
      <c r="AE906" s="450"/>
      <c r="AF906" s="450"/>
      <c r="AG906" s="450"/>
      <c r="AH906" s="450"/>
      <c r="AI906" s="450"/>
      <c r="AJ906" s="450"/>
      <c r="AK906" s="450"/>
      <c r="AL906" s="450"/>
      <c r="AM906" s="450"/>
      <c r="AN906" s="450"/>
      <c r="AO906" s="450"/>
      <c r="AP906" s="450"/>
      <c r="AQ906" s="450"/>
      <c r="AR906" s="450"/>
      <c r="AS906" s="450"/>
      <c r="AT906" s="450"/>
      <c r="AU906" s="450"/>
      <c r="AV906" s="450"/>
      <c r="AW906" s="450"/>
      <c r="AX906" s="450"/>
      <c r="AY906" s="450"/>
      <c r="AZ906" s="450"/>
      <c r="BA906" s="450"/>
      <c r="BB906" s="450"/>
      <c r="BC906" s="450"/>
      <c r="BD906" s="450"/>
      <c r="BE906" s="450"/>
      <c r="BF906" s="450"/>
      <c r="BG906" s="450"/>
      <c r="BH906" s="450"/>
      <c r="BI906" s="450"/>
      <c r="BJ906" s="450"/>
      <c r="BK906" s="450"/>
      <c r="BL906" s="450"/>
      <c r="BM906" s="450"/>
    </row>
    <row r="907" spans="1:65" ht="11.15">
      <c r="A907" s="450"/>
      <c r="B907" s="450"/>
      <c r="C907" s="450"/>
      <c r="D907" s="450"/>
      <c r="E907" s="450"/>
      <c r="F907" s="450"/>
      <c r="G907" s="450"/>
      <c r="H907" s="450"/>
      <c r="I907" s="450"/>
      <c r="J907" s="450"/>
      <c r="K907" s="450"/>
      <c r="L907" s="450"/>
      <c r="M907" s="450"/>
      <c r="N907" s="450"/>
      <c r="O907" s="450"/>
      <c r="P907" s="450"/>
      <c r="Q907" s="450"/>
      <c r="R907" s="450"/>
      <c r="S907" s="450"/>
      <c r="T907" s="450"/>
      <c r="U907" s="450"/>
      <c r="V907" s="450"/>
      <c r="W907" s="450"/>
      <c r="X907" s="450"/>
      <c r="Y907" s="450"/>
      <c r="Z907" s="450"/>
      <c r="AA907" s="450"/>
      <c r="AB907" s="450"/>
      <c r="AC907" s="450"/>
      <c r="AD907" s="450"/>
      <c r="AE907" s="450"/>
      <c r="AF907" s="450"/>
      <c r="AG907" s="450"/>
      <c r="AH907" s="450"/>
      <c r="AI907" s="450"/>
      <c r="AJ907" s="450"/>
      <c r="AK907" s="450"/>
      <c r="AL907" s="450"/>
      <c r="AM907" s="450"/>
      <c r="AN907" s="450"/>
      <c r="AO907" s="450"/>
      <c r="AP907" s="450"/>
      <c r="AQ907" s="450"/>
      <c r="AR907" s="450"/>
      <c r="AS907" s="450"/>
      <c r="AT907" s="450"/>
      <c r="AU907" s="450"/>
      <c r="AV907" s="450"/>
      <c r="AW907" s="450"/>
      <c r="AX907" s="450"/>
      <c r="AY907" s="450"/>
      <c r="AZ907" s="450"/>
      <c r="BA907" s="450"/>
      <c r="BB907" s="450"/>
      <c r="BC907" s="450"/>
      <c r="BD907" s="450"/>
      <c r="BE907" s="450"/>
      <c r="BF907" s="450"/>
      <c r="BG907" s="450"/>
      <c r="BH907" s="450"/>
      <c r="BI907" s="450"/>
      <c r="BJ907" s="450"/>
      <c r="BK907" s="450"/>
      <c r="BL907" s="450"/>
      <c r="BM907" s="450"/>
    </row>
    <row r="908" spans="1:65" ht="11.15">
      <c r="A908" s="450"/>
      <c r="B908" s="450"/>
      <c r="C908" s="450"/>
      <c r="D908" s="450"/>
      <c r="E908" s="450"/>
      <c r="F908" s="450"/>
      <c r="G908" s="450"/>
      <c r="H908" s="450"/>
      <c r="I908" s="450"/>
      <c r="J908" s="450"/>
      <c r="K908" s="450"/>
      <c r="L908" s="450"/>
      <c r="M908" s="450"/>
      <c r="N908" s="450"/>
      <c r="O908" s="450"/>
      <c r="P908" s="450"/>
      <c r="Q908" s="450"/>
      <c r="R908" s="450"/>
      <c r="S908" s="450"/>
      <c r="T908" s="450"/>
      <c r="U908" s="450"/>
      <c r="V908" s="450"/>
      <c r="W908" s="450"/>
      <c r="X908" s="450"/>
      <c r="Y908" s="450"/>
      <c r="Z908" s="450"/>
      <c r="AA908" s="450"/>
      <c r="AB908" s="450"/>
      <c r="AC908" s="450"/>
      <c r="AD908" s="450"/>
      <c r="AE908" s="450"/>
      <c r="AF908" s="450"/>
      <c r="AG908" s="450"/>
      <c r="AH908" s="450"/>
      <c r="AI908" s="450"/>
      <c r="AJ908" s="450"/>
      <c r="AK908" s="450"/>
      <c r="AL908" s="450"/>
      <c r="AM908" s="450"/>
      <c r="AN908" s="450"/>
      <c r="AO908" s="450"/>
      <c r="AP908" s="450"/>
      <c r="AQ908" s="450"/>
      <c r="AR908" s="450"/>
      <c r="AS908" s="450"/>
      <c r="AT908" s="450"/>
      <c r="AU908" s="450"/>
      <c r="AV908" s="450"/>
      <c r="AW908" s="450"/>
      <c r="AX908" s="450"/>
      <c r="AY908" s="450"/>
      <c r="AZ908" s="450"/>
      <c r="BA908" s="450"/>
      <c r="BB908" s="450"/>
      <c r="BC908" s="450"/>
      <c r="BD908" s="450"/>
      <c r="BE908" s="450"/>
      <c r="BF908" s="450"/>
      <c r="BG908" s="450"/>
      <c r="BH908" s="450"/>
      <c r="BI908" s="450"/>
      <c r="BJ908" s="450"/>
      <c r="BK908" s="450"/>
      <c r="BL908" s="450"/>
      <c r="BM908" s="450"/>
    </row>
    <row r="909" spans="1:65" ht="11.15">
      <c r="A909" s="450"/>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0"/>
      <c r="AD909" s="450"/>
      <c r="AE909" s="450"/>
      <c r="AF909" s="450"/>
      <c r="AG909" s="450"/>
      <c r="AH909" s="450"/>
      <c r="AI909" s="450"/>
      <c r="AJ909" s="450"/>
      <c r="AK909" s="450"/>
      <c r="AL909" s="450"/>
      <c r="AM909" s="450"/>
      <c r="AN909" s="450"/>
      <c r="AO909" s="450"/>
      <c r="AP909" s="450"/>
      <c r="AQ909" s="450"/>
      <c r="AR909" s="450"/>
      <c r="AS909" s="450"/>
      <c r="AT909" s="450"/>
      <c r="AU909" s="450"/>
      <c r="AV909" s="450"/>
      <c r="AW909" s="450"/>
      <c r="AX909" s="450"/>
      <c r="AY909" s="450"/>
      <c r="AZ909" s="450"/>
      <c r="BA909" s="450"/>
      <c r="BB909" s="450"/>
      <c r="BC909" s="450"/>
      <c r="BD909" s="450"/>
      <c r="BE909" s="450"/>
      <c r="BF909" s="450"/>
      <c r="BG909" s="450"/>
      <c r="BH909" s="450"/>
      <c r="BI909" s="450"/>
      <c r="BJ909" s="450"/>
      <c r="BK909" s="450"/>
      <c r="BL909" s="450"/>
      <c r="BM909" s="450"/>
    </row>
    <row r="910" spans="1:65" ht="11.15">
      <c r="A910" s="450"/>
      <c r="B910" s="450"/>
      <c r="C910" s="450"/>
      <c r="D910" s="450"/>
      <c r="E910" s="450"/>
      <c r="F910" s="450"/>
      <c r="G910" s="450"/>
      <c r="H910" s="450"/>
      <c r="I910" s="450"/>
      <c r="J910" s="450"/>
      <c r="K910" s="450"/>
      <c r="L910" s="450"/>
      <c r="M910" s="450"/>
      <c r="N910" s="450"/>
      <c r="O910" s="450"/>
      <c r="P910" s="450"/>
      <c r="Q910" s="450"/>
      <c r="R910" s="450"/>
      <c r="S910" s="450"/>
      <c r="T910" s="450"/>
      <c r="U910" s="450"/>
      <c r="V910" s="450"/>
      <c r="W910" s="450"/>
      <c r="X910" s="450"/>
      <c r="Y910" s="450"/>
      <c r="Z910" s="450"/>
      <c r="AA910" s="450"/>
      <c r="AB910" s="450"/>
      <c r="AC910" s="450"/>
      <c r="AD910" s="450"/>
      <c r="AE910" s="450"/>
      <c r="AF910" s="450"/>
      <c r="AG910" s="450"/>
      <c r="AH910" s="450"/>
      <c r="AI910" s="450"/>
      <c r="AJ910" s="450"/>
      <c r="AK910" s="450"/>
      <c r="AL910" s="450"/>
      <c r="AM910" s="450"/>
      <c r="AN910" s="450"/>
      <c r="AO910" s="450"/>
      <c r="AP910" s="450"/>
      <c r="AQ910" s="450"/>
      <c r="AR910" s="450"/>
      <c r="AS910" s="450"/>
      <c r="AT910" s="450"/>
      <c r="AU910" s="450"/>
      <c r="AV910" s="450"/>
      <c r="AW910" s="450"/>
      <c r="AX910" s="450"/>
      <c r="AY910" s="450"/>
      <c r="AZ910" s="450"/>
      <c r="BA910" s="450"/>
      <c r="BB910" s="450"/>
      <c r="BC910" s="450"/>
      <c r="BD910" s="450"/>
      <c r="BE910" s="450"/>
      <c r="BF910" s="450"/>
      <c r="BG910" s="450"/>
      <c r="BH910" s="450"/>
      <c r="BI910" s="450"/>
      <c r="BJ910" s="450"/>
      <c r="BK910" s="450"/>
      <c r="BL910" s="450"/>
      <c r="BM910" s="450"/>
    </row>
    <row r="911" spans="1:65" ht="11.15">
      <c r="A911" s="450"/>
      <c r="B911" s="450"/>
      <c r="C911" s="450"/>
      <c r="D911" s="450"/>
      <c r="E911" s="450"/>
      <c r="F911" s="450"/>
      <c r="G911" s="450"/>
      <c r="H911" s="450"/>
      <c r="I911" s="450"/>
      <c r="J911" s="450"/>
      <c r="K911" s="450"/>
      <c r="L911" s="450"/>
      <c r="M911" s="450"/>
      <c r="N911" s="450"/>
      <c r="O911" s="450"/>
      <c r="P911" s="450"/>
      <c r="Q911" s="450"/>
      <c r="R911" s="450"/>
      <c r="S911" s="450"/>
      <c r="T911" s="450"/>
      <c r="U911" s="450"/>
      <c r="V911" s="450"/>
      <c r="W911" s="450"/>
      <c r="X911" s="450"/>
      <c r="Y911" s="450"/>
      <c r="Z911" s="450"/>
      <c r="AA911" s="450"/>
      <c r="AB911" s="450"/>
      <c r="AC911" s="450"/>
      <c r="AD911" s="450"/>
      <c r="AE911" s="450"/>
      <c r="AF911" s="450"/>
      <c r="AG911" s="450"/>
      <c r="AH911" s="450"/>
      <c r="AI911" s="450"/>
      <c r="AJ911" s="450"/>
      <c r="AK911" s="450"/>
      <c r="AL911" s="450"/>
      <c r="AM911" s="450"/>
      <c r="AN911" s="450"/>
      <c r="AO911" s="450"/>
      <c r="AP911" s="450"/>
      <c r="AQ911" s="450"/>
      <c r="AR911" s="450"/>
      <c r="AS911" s="450"/>
      <c r="AT911" s="450"/>
      <c r="AU911" s="450"/>
      <c r="AV911" s="450"/>
      <c r="AW911" s="450"/>
      <c r="AX911" s="450"/>
      <c r="AY911" s="450"/>
      <c r="AZ911" s="450"/>
      <c r="BA911" s="450"/>
      <c r="BB911" s="450"/>
      <c r="BC911" s="450"/>
      <c r="BD911" s="450"/>
      <c r="BE911" s="450"/>
      <c r="BF911" s="450"/>
      <c r="BG911" s="450"/>
      <c r="BH911" s="450"/>
      <c r="BI911" s="450"/>
      <c r="BJ911" s="450"/>
      <c r="BK911" s="450"/>
      <c r="BL911" s="450"/>
      <c r="BM911" s="450"/>
    </row>
    <row r="912" spans="1:65" ht="11.15">
      <c r="A912" s="450"/>
      <c r="B912" s="450"/>
      <c r="C912" s="450"/>
      <c r="D912" s="450"/>
      <c r="E912" s="450"/>
      <c r="F912" s="450"/>
      <c r="G912" s="450"/>
      <c r="H912" s="450"/>
      <c r="I912" s="450"/>
      <c r="J912" s="450"/>
      <c r="K912" s="450"/>
      <c r="L912" s="450"/>
      <c r="M912" s="450"/>
      <c r="N912" s="450"/>
      <c r="O912" s="450"/>
      <c r="P912" s="450"/>
      <c r="Q912" s="450"/>
      <c r="R912" s="450"/>
      <c r="S912" s="450"/>
      <c r="T912" s="450"/>
      <c r="U912" s="450"/>
      <c r="V912" s="450"/>
      <c r="W912" s="450"/>
      <c r="X912" s="450"/>
      <c r="Y912" s="450"/>
      <c r="Z912" s="450"/>
      <c r="AA912" s="450"/>
      <c r="AB912" s="450"/>
      <c r="AC912" s="450"/>
      <c r="AD912" s="450"/>
      <c r="AE912" s="450"/>
      <c r="AF912" s="450"/>
      <c r="AG912" s="450"/>
      <c r="AH912" s="450"/>
      <c r="AI912" s="450"/>
      <c r="AJ912" s="450"/>
      <c r="AK912" s="450"/>
      <c r="AL912" s="450"/>
      <c r="AM912" s="450"/>
      <c r="AN912" s="450"/>
      <c r="AO912" s="450"/>
      <c r="AP912" s="450"/>
      <c r="AQ912" s="450"/>
      <c r="AR912" s="450"/>
      <c r="AS912" s="450"/>
      <c r="AT912" s="450"/>
      <c r="AU912" s="450"/>
      <c r="AV912" s="450"/>
      <c r="AW912" s="450"/>
      <c r="AX912" s="450"/>
      <c r="AY912" s="450"/>
      <c r="AZ912" s="450"/>
      <c r="BA912" s="450"/>
      <c r="BB912" s="450"/>
      <c r="BC912" s="450"/>
      <c r="BD912" s="450"/>
      <c r="BE912" s="450"/>
      <c r="BF912" s="450"/>
      <c r="BG912" s="450"/>
      <c r="BH912" s="450"/>
      <c r="BI912" s="450"/>
      <c r="BJ912" s="450"/>
      <c r="BK912" s="450"/>
      <c r="BL912" s="450"/>
      <c r="BM912" s="450"/>
    </row>
    <row r="913" spans="1:65" ht="11.15">
      <c r="A913" s="450"/>
      <c r="B913" s="450"/>
      <c r="C913" s="450"/>
      <c r="D913" s="450"/>
      <c r="E913" s="450"/>
      <c r="F913" s="450"/>
      <c r="G913" s="450"/>
      <c r="H913" s="450"/>
      <c r="I913" s="450"/>
      <c r="J913" s="450"/>
      <c r="K913" s="450"/>
      <c r="L913" s="450"/>
      <c r="M913" s="450"/>
      <c r="N913" s="450"/>
      <c r="O913" s="450"/>
      <c r="P913" s="450"/>
      <c r="Q913" s="450"/>
      <c r="R913" s="450"/>
      <c r="S913" s="450"/>
      <c r="T913" s="450"/>
      <c r="U913" s="450"/>
      <c r="V913" s="450"/>
      <c r="W913" s="450"/>
      <c r="X913" s="450"/>
      <c r="Y913" s="450"/>
      <c r="Z913" s="450"/>
      <c r="AA913" s="450"/>
      <c r="AB913" s="450"/>
      <c r="AC913" s="450"/>
      <c r="AD913" s="450"/>
      <c r="AE913" s="450"/>
      <c r="AF913" s="450"/>
      <c r="AG913" s="450"/>
      <c r="AH913" s="450"/>
      <c r="AI913" s="450"/>
      <c r="AJ913" s="450"/>
      <c r="AK913" s="450"/>
      <c r="AL913" s="450"/>
      <c r="AM913" s="450"/>
      <c r="AN913" s="450"/>
      <c r="AO913" s="450"/>
      <c r="AP913" s="450"/>
      <c r="AQ913" s="450"/>
      <c r="AR913" s="450"/>
      <c r="AS913" s="450"/>
      <c r="AT913" s="450"/>
      <c r="AU913" s="450"/>
      <c r="AV913" s="450"/>
      <c r="AW913" s="450"/>
      <c r="AX913" s="450"/>
      <c r="AY913" s="450"/>
      <c r="AZ913" s="450"/>
      <c r="BA913" s="450"/>
      <c r="BB913" s="450"/>
      <c r="BC913" s="450"/>
      <c r="BD913" s="450"/>
      <c r="BE913" s="450"/>
      <c r="BF913" s="450"/>
      <c r="BG913" s="450"/>
      <c r="BH913" s="450"/>
      <c r="BI913" s="450"/>
      <c r="BJ913" s="450"/>
      <c r="BK913" s="450"/>
      <c r="BL913" s="450"/>
      <c r="BM913" s="450"/>
    </row>
    <row r="914" spans="1:65" ht="11.15">
      <c r="A914" s="450"/>
      <c r="B914" s="450"/>
      <c r="C914" s="450"/>
      <c r="D914" s="450"/>
      <c r="E914" s="450"/>
      <c r="F914" s="450"/>
      <c r="G914" s="450"/>
      <c r="H914" s="450"/>
      <c r="I914" s="450"/>
      <c r="J914" s="450"/>
      <c r="K914" s="450"/>
      <c r="L914" s="450"/>
      <c r="M914" s="450"/>
      <c r="N914" s="450"/>
      <c r="O914" s="450"/>
      <c r="P914" s="450"/>
      <c r="Q914" s="450"/>
      <c r="R914" s="450"/>
      <c r="S914" s="450"/>
      <c r="T914" s="450"/>
      <c r="U914" s="450"/>
      <c r="V914" s="450"/>
      <c r="W914" s="450"/>
      <c r="X914" s="450"/>
      <c r="Y914" s="450"/>
      <c r="Z914" s="450"/>
      <c r="AA914" s="450"/>
      <c r="AB914" s="450"/>
      <c r="AC914" s="450"/>
      <c r="AD914" s="450"/>
      <c r="AE914" s="450"/>
      <c r="AF914" s="450"/>
      <c r="AG914" s="450"/>
      <c r="AH914" s="450"/>
      <c r="AI914" s="450"/>
      <c r="AJ914" s="450"/>
      <c r="AK914" s="450"/>
      <c r="AL914" s="450"/>
      <c r="AM914" s="450"/>
      <c r="AN914" s="450"/>
      <c r="AO914" s="450"/>
      <c r="AP914" s="450"/>
      <c r="AQ914" s="450"/>
      <c r="AR914" s="450"/>
      <c r="AS914" s="450"/>
      <c r="AT914" s="450"/>
      <c r="AU914" s="450"/>
      <c r="AV914" s="450"/>
      <c r="AW914" s="450"/>
      <c r="AX914" s="450"/>
      <c r="AY914" s="450"/>
      <c r="AZ914" s="450"/>
      <c r="BA914" s="450"/>
      <c r="BB914" s="450"/>
      <c r="BC914" s="450"/>
      <c r="BD914" s="450"/>
      <c r="BE914" s="450"/>
      <c r="BF914" s="450"/>
      <c r="BG914" s="450"/>
      <c r="BH914" s="450"/>
      <c r="BI914" s="450"/>
      <c r="BJ914" s="450"/>
      <c r="BK914" s="450"/>
      <c r="BL914" s="450"/>
      <c r="BM914" s="450"/>
    </row>
    <row r="915" spans="1:65" ht="11.15">
      <c r="A915" s="450"/>
      <c r="B915" s="450"/>
      <c r="C915" s="450"/>
      <c r="D915" s="450"/>
      <c r="E915" s="450"/>
      <c r="F915" s="450"/>
      <c r="G915" s="450"/>
      <c r="H915" s="450"/>
      <c r="I915" s="450"/>
      <c r="J915" s="450"/>
      <c r="K915" s="450"/>
      <c r="L915" s="450"/>
      <c r="M915" s="450"/>
      <c r="N915" s="450"/>
      <c r="O915" s="450"/>
      <c r="P915" s="450"/>
      <c r="Q915" s="450"/>
      <c r="R915" s="450"/>
      <c r="S915" s="450"/>
      <c r="T915" s="450"/>
      <c r="U915" s="450"/>
      <c r="V915" s="450"/>
      <c r="W915" s="450"/>
      <c r="X915" s="450"/>
      <c r="Y915" s="450"/>
      <c r="Z915" s="450"/>
      <c r="AA915" s="450"/>
      <c r="AB915" s="450"/>
      <c r="AC915" s="450"/>
      <c r="AD915" s="450"/>
      <c r="AE915" s="450"/>
      <c r="AF915" s="450"/>
      <c r="AG915" s="450"/>
      <c r="AH915" s="450"/>
      <c r="AI915" s="450"/>
      <c r="AJ915" s="450"/>
      <c r="AK915" s="450"/>
      <c r="AL915" s="450"/>
      <c r="AM915" s="450"/>
      <c r="AN915" s="450"/>
      <c r="AO915" s="450"/>
      <c r="AP915" s="450"/>
      <c r="AQ915" s="450"/>
      <c r="AR915" s="450"/>
      <c r="AS915" s="450"/>
      <c r="AT915" s="450"/>
      <c r="AU915" s="450"/>
      <c r="AV915" s="450"/>
      <c r="AW915" s="450"/>
      <c r="AX915" s="450"/>
      <c r="AY915" s="450"/>
      <c r="AZ915" s="450"/>
      <c r="BA915" s="450"/>
      <c r="BB915" s="450"/>
      <c r="BC915" s="450"/>
      <c r="BD915" s="450"/>
      <c r="BE915" s="450"/>
      <c r="BF915" s="450"/>
      <c r="BG915" s="450"/>
      <c r="BH915" s="450"/>
      <c r="BI915" s="450"/>
      <c r="BJ915" s="450"/>
      <c r="BK915" s="450"/>
      <c r="BL915" s="450"/>
      <c r="BM915" s="450"/>
    </row>
    <row r="916" spans="1:65" ht="11.15">
      <c r="A916" s="450"/>
      <c r="B916" s="450"/>
      <c r="C916" s="450"/>
      <c r="D916" s="450"/>
      <c r="E916" s="450"/>
      <c r="F916" s="450"/>
      <c r="G916" s="450"/>
      <c r="H916" s="450"/>
      <c r="I916" s="450"/>
      <c r="J916" s="450"/>
      <c r="K916" s="450"/>
      <c r="L916" s="450"/>
      <c r="M916" s="450"/>
      <c r="N916" s="450"/>
      <c r="O916" s="450"/>
      <c r="P916" s="450"/>
      <c r="Q916" s="450"/>
      <c r="R916" s="450"/>
      <c r="S916" s="450"/>
      <c r="T916" s="450"/>
      <c r="U916" s="450"/>
      <c r="V916" s="450"/>
      <c r="W916" s="450"/>
      <c r="X916" s="450"/>
      <c r="Y916" s="450"/>
      <c r="Z916" s="450"/>
      <c r="AA916" s="450"/>
      <c r="AB916" s="450"/>
      <c r="AC916" s="450"/>
      <c r="AD916" s="450"/>
      <c r="AE916" s="450"/>
      <c r="AF916" s="450"/>
      <c r="AG916" s="450"/>
      <c r="AH916" s="450"/>
      <c r="AI916" s="450"/>
      <c r="AJ916" s="450"/>
      <c r="AK916" s="450"/>
      <c r="AL916" s="450"/>
      <c r="AM916" s="450"/>
      <c r="AN916" s="450"/>
      <c r="AO916" s="450"/>
      <c r="AP916" s="450"/>
      <c r="AQ916" s="450"/>
      <c r="AR916" s="450"/>
      <c r="AS916" s="450"/>
      <c r="AT916" s="450"/>
      <c r="AU916" s="450"/>
      <c r="AV916" s="450"/>
      <c r="AW916" s="450"/>
      <c r="AX916" s="450"/>
      <c r="AY916" s="450"/>
      <c r="AZ916" s="450"/>
      <c r="BA916" s="450"/>
      <c r="BB916" s="450"/>
      <c r="BC916" s="450"/>
      <c r="BD916" s="450"/>
      <c r="BE916" s="450"/>
      <c r="BF916" s="450"/>
      <c r="BG916" s="450"/>
      <c r="BH916" s="450"/>
      <c r="BI916" s="450"/>
      <c r="BJ916" s="450"/>
      <c r="BK916" s="450"/>
      <c r="BL916" s="450"/>
      <c r="BM916" s="450"/>
    </row>
    <row r="917" spans="1:65" ht="11.15">
      <c r="A917" s="450"/>
      <c r="B917" s="450"/>
      <c r="C917" s="450"/>
      <c r="D917" s="450"/>
      <c r="E917" s="450"/>
      <c r="F917" s="450"/>
      <c r="G917" s="450"/>
      <c r="H917" s="450"/>
      <c r="I917" s="450"/>
      <c r="J917" s="450"/>
      <c r="K917" s="450"/>
      <c r="L917" s="450"/>
      <c r="M917" s="450"/>
      <c r="N917" s="450"/>
      <c r="O917" s="450"/>
      <c r="P917" s="450"/>
      <c r="Q917" s="450"/>
      <c r="R917" s="450"/>
      <c r="S917" s="450"/>
      <c r="T917" s="450"/>
      <c r="U917" s="450"/>
      <c r="V917" s="450"/>
      <c r="W917" s="450"/>
      <c r="X917" s="450"/>
      <c r="Y917" s="450"/>
      <c r="Z917" s="450"/>
      <c r="AA917" s="450"/>
      <c r="AB917" s="450"/>
      <c r="AC917" s="450"/>
      <c r="AD917" s="450"/>
      <c r="AE917" s="450"/>
      <c r="AF917" s="450"/>
      <c r="AG917" s="450"/>
      <c r="AH917" s="450"/>
      <c r="AI917" s="450"/>
      <c r="AJ917" s="450"/>
      <c r="AK917" s="450"/>
      <c r="AL917" s="450"/>
      <c r="AM917" s="450"/>
      <c r="AN917" s="450"/>
      <c r="AO917" s="450"/>
      <c r="AP917" s="450"/>
      <c r="AQ917" s="450"/>
      <c r="AR917" s="450"/>
      <c r="AS917" s="450"/>
      <c r="AT917" s="450"/>
      <c r="AU917" s="450"/>
      <c r="AV917" s="450"/>
      <c r="AW917" s="450"/>
      <c r="AX917" s="450"/>
      <c r="AY917" s="450"/>
      <c r="AZ917" s="450"/>
      <c r="BA917" s="450"/>
      <c r="BB917" s="450"/>
      <c r="BC917" s="450"/>
      <c r="BD917" s="450"/>
      <c r="BE917" s="450"/>
      <c r="BF917" s="450"/>
      <c r="BG917" s="450"/>
      <c r="BH917" s="450"/>
      <c r="BI917" s="450"/>
      <c r="BJ917" s="450"/>
      <c r="BK917" s="450"/>
      <c r="BL917" s="450"/>
      <c r="BM917" s="450"/>
    </row>
    <row r="918" spans="1:65" ht="11.15">
      <c r="A918" s="450"/>
      <c r="B918" s="450"/>
      <c r="C918" s="450"/>
      <c r="D918" s="450"/>
      <c r="E918" s="450"/>
      <c r="F918" s="450"/>
      <c r="G918" s="450"/>
      <c r="H918" s="450"/>
      <c r="I918" s="450"/>
      <c r="J918" s="450"/>
      <c r="K918" s="450"/>
      <c r="L918" s="450"/>
      <c r="M918" s="450"/>
      <c r="N918" s="450"/>
      <c r="O918" s="450"/>
      <c r="P918" s="450"/>
      <c r="Q918" s="450"/>
      <c r="R918" s="450"/>
      <c r="S918" s="450"/>
      <c r="T918" s="450"/>
      <c r="U918" s="450"/>
      <c r="V918" s="450"/>
      <c r="W918" s="450"/>
      <c r="X918" s="450"/>
      <c r="Y918" s="450"/>
      <c r="Z918" s="450"/>
      <c r="AA918" s="450"/>
      <c r="AB918" s="450"/>
      <c r="AC918" s="450"/>
      <c r="AD918" s="450"/>
      <c r="AE918" s="450"/>
      <c r="AF918" s="450"/>
      <c r="AG918" s="450"/>
      <c r="AH918" s="450"/>
      <c r="AI918" s="450"/>
      <c r="AJ918" s="450"/>
      <c r="AK918" s="450"/>
      <c r="AL918" s="450"/>
      <c r="AM918" s="450"/>
      <c r="AN918" s="450"/>
      <c r="AO918" s="450"/>
      <c r="AP918" s="450"/>
      <c r="AQ918" s="450"/>
      <c r="AR918" s="450"/>
      <c r="AS918" s="450"/>
      <c r="AT918" s="450"/>
      <c r="AU918" s="450"/>
      <c r="AV918" s="450"/>
      <c r="AW918" s="450"/>
      <c r="AX918" s="450"/>
      <c r="AY918" s="450"/>
      <c r="AZ918" s="450"/>
      <c r="BA918" s="450"/>
      <c r="BB918" s="450"/>
      <c r="BC918" s="450"/>
      <c r="BD918" s="450"/>
      <c r="BE918" s="450"/>
      <c r="BF918" s="450"/>
      <c r="BG918" s="450"/>
      <c r="BH918" s="450"/>
      <c r="BI918" s="450"/>
      <c r="BJ918" s="450"/>
      <c r="BK918" s="450"/>
      <c r="BL918" s="450"/>
      <c r="BM918" s="450"/>
    </row>
    <row r="919" spans="1:65" ht="11.15">
      <c r="A919" s="450"/>
      <c r="B919" s="450"/>
      <c r="C919" s="450"/>
      <c r="D919" s="450"/>
      <c r="E919" s="450"/>
      <c r="F919" s="450"/>
      <c r="G919" s="450"/>
      <c r="H919" s="450"/>
      <c r="I919" s="450"/>
      <c r="J919" s="450"/>
      <c r="K919" s="450"/>
      <c r="L919" s="450"/>
      <c r="M919" s="450"/>
      <c r="N919" s="450"/>
      <c r="O919" s="450"/>
      <c r="P919" s="450"/>
      <c r="Q919" s="450"/>
      <c r="R919" s="450"/>
      <c r="S919" s="450"/>
      <c r="T919" s="450"/>
      <c r="U919" s="450"/>
      <c r="V919" s="450"/>
      <c r="W919" s="450"/>
      <c r="X919" s="450"/>
      <c r="Y919" s="450"/>
      <c r="Z919" s="450"/>
      <c r="AA919" s="450"/>
      <c r="AB919" s="450"/>
      <c r="AC919" s="450"/>
      <c r="AD919" s="450"/>
      <c r="AE919" s="450"/>
      <c r="AF919" s="450"/>
      <c r="AG919" s="450"/>
      <c r="AH919" s="450"/>
      <c r="AI919" s="450"/>
      <c r="AJ919" s="450"/>
      <c r="AK919" s="450"/>
      <c r="AL919" s="450"/>
      <c r="AM919" s="450"/>
      <c r="AN919" s="450"/>
      <c r="AO919" s="450"/>
      <c r="AP919" s="450"/>
      <c r="AQ919" s="450"/>
      <c r="AR919" s="450"/>
      <c r="AS919" s="450"/>
      <c r="AT919" s="450"/>
      <c r="AU919" s="450"/>
      <c r="AV919" s="450"/>
      <c r="AW919" s="450"/>
      <c r="AX919" s="450"/>
      <c r="AY919" s="450"/>
      <c r="AZ919" s="450"/>
      <c r="BA919" s="450"/>
      <c r="BB919" s="450"/>
      <c r="BC919" s="450"/>
      <c r="BD919" s="450"/>
      <c r="BE919" s="450"/>
      <c r="BF919" s="450"/>
      <c r="BG919" s="450"/>
      <c r="BH919" s="450"/>
      <c r="BI919" s="450"/>
      <c r="BJ919" s="450"/>
      <c r="BK919" s="450"/>
      <c r="BL919" s="450"/>
      <c r="BM919" s="450"/>
    </row>
    <row r="920" spans="1:65" ht="11.15">
      <c r="A920" s="450"/>
      <c r="B920" s="450"/>
      <c r="C920" s="450"/>
      <c r="D920" s="450"/>
      <c r="E920" s="450"/>
      <c r="F920" s="450"/>
      <c r="G920" s="450"/>
      <c r="H920" s="450"/>
      <c r="I920" s="450"/>
      <c r="J920" s="450"/>
      <c r="K920" s="450"/>
      <c r="L920" s="450"/>
      <c r="M920" s="450"/>
      <c r="N920" s="450"/>
      <c r="O920" s="450"/>
      <c r="P920" s="450"/>
      <c r="Q920" s="450"/>
      <c r="R920" s="450"/>
      <c r="S920" s="450"/>
      <c r="T920" s="450"/>
      <c r="U920" s="450"/>
      <c r="V920" s="450"/>
      <c r="W920" s="450"/>
      <c r="X920" s="450"/>
      <c r="Y920" s="450"/>
      <c r="Z920" s="450"/>
      <c r="AA920" s="450"/>
      <c r="AB920" s="450"/>
      <c r="AC920" s="450"/>
      <c r="AD920" s="450"/>
      <c r="AE920" s="450"/>
      <c r="AF920" s="450"/>
      <c r="AG920" s="450"/>
      <c r="AH920" s="450"/>
      <c r="AI920" s="450"/>
      <c r="AJ920" s="450"/>
      <c r="AK920" s="450"/>
      <c r="AL920" s="450"/>
      <c r="AM920" s="450"/>
      <c r="AN920" s="450"/>
      <c r="AO920" s="450"/>
      <c r="AP920" s="450"/>
      <c r="AQ920" s="450"/>
      <c r="AR920" s="450"/>
      <c r="AS920" s="450"/>
      <c r="AT920" s="450"/>
      <c r="AU920" s="450"/>
      <c r="AV920" s="450"/>
      <c r="AW920" s="450"/>
      <c r="AX920" s="450"/>
      <c r="AY920" s="450"/>
      <c r="AZ920" s="450"/>
      <c r="BA920" s="450"/>
      <c r="BB920" s="450"/>
      <c r="BC920" s="450"/>
      <c r="BD920" s="450"/>
      <c r="BE920" s="450"/>
      <c r="BF920" s="450"/>
      <c r="BG920" s="450"/>
      <c r="BH920" s="450"/>
      <c r="BI920" s="450"/>
      <c r="BJ920" s="450"/>
      <c r="BK920" s="450"/>
      <c r="BL920" s="450"/>
      <c r="BM920" s="450"/>
    </row>
    <row r="921" spans="1:65" ht="11.15">
      <c r="A921" s="450"/>
      <c r="B921" s="450"/>
      <c r="C921" s="450"/>
      <c r="D921" s="450"/>
      <c r="E921" s="450"/>
      <c r="F921" s="450"/>
      <c r="G921" s="450"/>
      <c r="H921" s="450"/>
      <c r="I921" s="450"/>
      <c r="J921" s="450"/>
      <c r="K921" s="450"/>
      <c r="L921" s="450"/>
      <c r="M921" s="450"/>
      <c r="N921" s="450"/>
      <c r="O921" s="450"/>
      <c r="P921" s="450"/>
      <c r="Q921" s="450"/>
      <c r="R921" s="450"/>
      <c r="S921" s="450"/>
      <c r="T921" s="450"/>
      <c r="U921" s="450"/>
      <c r="V921" s="450"/>
      <c r="W921" s="450"/>
      <c r="X921" s="450"/>
      <c r="Y921" s="450"/>
      <c r="Z921" s="450"/>
      <c r="AA921" s="450"/>
      <c r="AB921" s="450"/>
      <c r="AC921" s="450"/>
      <c r="AD921" s="450"/>
      <c r="AE921" s="450"/>
      <c r="AF921" s="450"/>
      <c r="AG921" s="450"/>
      <c r="AH921" s="450"/>
      <c r="AI921" s="450"/>
      <c r="AJ921" s="450"/>
      <c r="AK921" s="450"/>
      <c r="AL921" s="450"/>
      <c r="AM921" s="450"/>
      <c r="AN921" s="450"/>
      <c r="AO921" s="450"/>
      <c r="AP921" s="450"/>
      <c r="AQ921" s="450"/>
      <c r="AR921" s="450"/>
      <c r="AS921" s="450"/>
      <c r="AT921" s="450"/>
      <c r="AU921" s="450"/>
      <c r="AV921" s="450"/>
      <c r="AW921" s="450"/>
      <c r="AX921" s="450"/>
      <c r="AY921" s="450"/>
      <c r="AZ921" s="450"/>
      <c r="BA921" s="450"/>
      <c r="BB921" s="450"/>
      <c r="BC921" s="450"/>
      <c r="BD921" s="450"/>
      <c r="BE921" s="450"/>
      <c r="BF921" s="450"/>
      <c r="BG921" s="450"/>
      <c r="BH921" s="450"/>
      <c r="BI921" s="450"/>
      <c r="BJ921" s="450"/>
      <c r="BK921" s="450"/>
      <c r="BL921" s="450"/>
      <c r="BM921" s="450"/>
    </row>
    <row r="922" spans="1:65" ht="11.15">
      <c r="A922" s="450"/>
      <c r="B922" s="450"/>
      <c r="C922" s="450"/>
      <c r="D922" s="450"/>
      <c r="E922" s="450"/>
      <c r="F922" s="450"/>
      <c r="G922" s="450"/>
      <c r="H922" s="450"/>
      <c r="I922" s="450"/>
      <c r="J922" s="450"/>
      <c r="K922" s="450"/>
      <c r="L922" s="450"/>
      <c r="M922" s="450"/>
      <c r="N922" s="450"/>
      <c r="O922" s="450"/>
      <c r="P922" s="450"/>
      <c r="Q922" s="450"/>
      <c r="R922" s="450"/>
      <c r="S922" s="450"/>
      <c r="T922" s="450"/>
      <c r="U922" s="450"/>
      <c r="V922" s="450"/>
      <c r="W922" s="450"/>
      <c r="X922" s="450"/>
      <c r="Y922" s="450"/>
      <c r="Z922" s="450"/>
      <c r="AA922" s="450"/>
      <c r="AB922" s="450"/>
      <c r="AC922" s="450"/>
      <c r="AD922" s="450"/>
      <c r="AE922" s="450"/>
      <c r="AF922" s="450"/>
      <c r="AG922" s="450"/>
      <c r="AH922" s="450"/>
      <c r="AI922" s="450"/>
      <c r="AJ922" s="450"/>
      <c r="AK922" s="450"/>
      <c r="AL922" s="450"/>
      <c r="AM922" s="450"/>
      <c r="AN922" s="450"/>
      <c r="AO922" s="450"/>
      <c r="AP922" s="450"/>
      <c r="AQ922" s="450"/>
      <c r="AR922" s="450"/>
      <c r="AS922" s="450"/>
      <c r="AT922" s="450"/>
      <c r="AU922" s="450"/>
      <c r="AV922" s="450"/>
      <c r="AW922" s="450"/>
      <c r="AX922" s="450"/>
      <c r="AY922" s="450"/>
      <c r="AZ922" s="450"/>
      <c r="BA922" s="450"/>
      <c r="BB922" s="450"/>
      <c r="BC922" s="450"/>
      <c r="BD922" s="450"/>
      <c r="BE922" s="450"/>
      <c r="BF922" s="450"/>
      <c r="BG922" s="450"/>
      <c r="BH922" s="450"/>
      <c r="BI922" s="450"/>
      <c r="BJ922" s="450"/>
      <c r="BK922" s="450"/>
      <c r="BL922" s="450"/>
      <c r="BM922" s="450"/>
    </row>
    <row r="923" spans="1:65" ht="11.15">
      <c r="A923" s="450"/>
      <c r="B923" s="450"/>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c r="Z923" s="450"/>
      <c r="AA923" s="450"/>
      <c r="AB923" s="450"/>
      <c r="AC923" s="450"/>
      <c r="AD923" s="450"/>
      <c r="AE923" s="450"/>
      <c r="AF923" s="450"/>
      <c r="AG923" s="450"/>
      <c r="AH923" s="450"/>
      <c r="AI923" s="450"/>
      <c r="AJ923" s="450"/>
      <c r="AK923" s="450"/>
      <c r="AL923" s="450"/>
      <c r="AM923" s="450"/>
      <c r="AN923" s="450"/>
      <c r="AO923" s="450"/>
      <c r="AP923" s="450"/>
      <c r="AQ923" s="450"/>
      <c r="AR923" s="450"/>
      <c r="AS923" s="450"/>
      <c r="AT923" s="450"/>
      <c r="AU923" s="450"/>
      <c r="AV923" s="450"/>
      <c r="AW923" s="450"/>
      <c r="AX923" s="450"/>
      <c r="AY923" s="450"/>
      <c r="AZ923" s="450"/>
      <c r="BA923" s="450"/>
      <c r="BB923" s="450"/>
      <c r="BC923" s="450"/>
      <c r="BD923" s="450"/>
      <c r="BE923" s="450"/>
      <c r="BF923" s="450"/>
      <c r="BG923" s="450"/>
      <c r="BH923" s="450"/>
      <c r="BI923" s="450"/>
      <c r="BJ923" s="450"/>
      <c r="BK923" s="450"/>
      <c r="BL923" s="450"/>
      <c r="BM923" s="450"/>
    </row>
    <row r="924" spans="1:65" ht="11.15">
      <c r="A924" s="450"/>
      <c r="B924" s="450"/>
      <c r="C924" s="450"/>
      <c r="D924" s="450"/>
      <c r="E924" s="450"/>
      <c r="F924" s="450"/>
      <c r="G924" s="450"/>
      <c r="H924" s="450"/>
      <c r="I924" s="450"/>
      <c r="J924" s="450"/>
      <c r="K924" s="450"/>
      <c r="L924" s="450"/>
      <c r="M924" s="450"/>
      <c r="N924" s="450"/>
      <c r="O924" s="450"/>
      <c r="P924" s="450"/>
      <c r="Q924" s="450"/>
      <c r="R924" s="450"/>
      <c r="S924" s="450"/>
      <c r="T924" s="450"/>
      <c r="U924" s="450"/>
      <c r="V924" s="450"/>
      <c r="W924" s="450"/>
      <c r="X924" s="450"/>
      <c r="Y924" s="450"/>
      <c r="Z924" s="450"/>
      <c r="AA924" s="450"/>
      <c r="AB924" s="450"/>
      <c r="AC924" s="450"/>
      <c r="AD924" s="450"/>
      <c r="AE924" s="450"/>
      <c r="AF924" s="450"/>
      <c r="AG924" s="450"/>
      <c r="AH924" s="450"/>
      <c r="AI924" s="450"/>
      <c r="AJ924" s="450"/>
      <c r="AK924" s="450"/>
      <c r="AL924" s="450"/>
      <c r="AM924" s="450"/>
      <c r="AN924" s="450"/>
      <c r="AO924" s="450"/>
      <c r="AP924" s="450"/>
      <c r="AQ924" s="450"/>
      <c r="AR924" s="450"/>
      <c r="AS924" s="450"/>
      <c r="AT924" s="450"/>
      <c r="AU924" s="450"/>
      <c r="AV924" s="450"/>
      <c r="AW924" s="450"/>
      <c r="AX924" s="450"/>
      <c r="AY924" s="450"/>
      <c r="AZ924" s="450"/>
      <c r="BA924" s="450"/>
      <c r="BB924" s="450"/>
      <c r="BC924" s="450"/>
      <c r="BD924" s="450"/>
      <c r="BE924" s="450"/>
      <c r="BF924" s="450"/>
      <c r="BG924" s="450"/>
      <c r="BH924" s="450"/>
      <c r="BI924" s="450"/>
      <c r="BJ924" s="450"/>
      <c r="BK924" s="450"/>
      <c r="BL924" s="450"/>
      <c r="BM924" s="450"/>
    </row>
    <row r="925" spans="1:65" ht="11.15">
      <c r="A925" s="450"/>
      <c r="B925" s="450"/>
      <c r="C925" s="450"/>
      <c r="D925" s="450"/>
      <c r="E925" s="450"/>
      <c r="F925" s="450"/>
      <c r="G925" s="450"/>
      <c r="H925" s="450"/>
      <c r="I925" s="450"/>
      <c r="J925" s="450"/>
      <c r="K925" s="450"/>
      <c r="L925" s="450"/>
      <c r="M925" s="450"/>
      <c r="N925" s="450"/>
      <c r="O925" s="450"/>
      <c r="P925" s="450"/>
      <c r="Q925" s="450"/>
      <c r="R925" s="450"/>
      <c r="S925" s="450"/>
      <c r="T925" s="450"/>
      <c r="U925" s="450"/>
      <c r="V925" s="450"/>
      <c r="W925" s="450"/>
      <c r="X925" s="450"/>
      <c r="Y925" s="450"/>
      <c r="Z925" s="450"/>
      <c r="AA925" s="450"/>
      <c r="AB925" s="450"/>
      <c r="AC925" s="450"/>
      <c r="AD925" s="450"/>
      <c r="AE925" s="450"/>
      <c r="AF925" s="450"/>
      <c r="AG925" s="450"/>
      <c r="AH925" s="450"/>
      <c r="AI925" s="450"/>
      <c r="AJ925" s="450"/>
      <c r="AK925" s="450"/>
      <c r="AL925" s="450"/>
      <c r="AM925" s="450"/>
      <c r="AN925" s="450"/>
      <c r="AO925" s="450"/>
      <c r="AP925" s="450"/>
      <c r="AQ925" s="450"/>
      <c r="AR925" s="450"/>
      <c r="AS925" s="450"/>
      <c r="AT925" s="450"/>
      <c r="AU925" s="450"/>
      <c r="AV925" s="450"/>
      <c r="AW925" s="450"/>
      <c r="AX925" s="450"/>
      <c r="AY925" s="450"/>
      <c r="AZ925" s="450"/>
      <c r="BA925" s="450"/>
      <c r="BB925" s="450"/>
      <c r="BC925" s="450"/>
      <c r="BD925" s="450"/>
      <c r="BE925" s="450"/>
      <c r="BF925" s="450"/>
      <c r="BG925" s="450"/>
      <c r="BH925" s="450"/>
      <c r="BI925" s="450"/>
      <c r="BJ925" s="450"/>
      <c r="BK925" s="450"/>
      <c r="BL925" s="450"/>
      <c r="BM925" s="450"/>
    </row>
    <row r="926" spans="1:65" ht="11.15">
      <c r="A926" s="450"/>
      <c r="B926" s="450"/>
      <c r="C926" s="450"/>
      <c r="D926" s="450"/>
      <c r="E926" s="450"/>
      <c r="F926" s="450"/>
      <c r="G926" s="450"/>
      <c r="H926" s="450"/>
      <c r="I926" s="450"/>
      <c r="J926" s="450"/>
      <c r="K926" s="450"/>
      <c r="L926" s="450"/>
      <c r="M926" s="450"/>
      <c r="N926" s="450"/>
      <c r="O926" s="450"/>
      <c r="P926" s="450"/>
      <c r="Q926" s="450"/>
      <c r="R926" s="450"/>
      <c r="S926" s="450"/>
      <c r="T926" s="450"/>
      <c r="U926" s="450"/>
      <c r="V926" s="450"/>
      <c r="W926" s="450"/>
      <c r="X926" s="450"/>
      <c r="Y926" s="450"/>
      <c r="Z926" s="450"/>
      <c r="AA926" s="450"/>
      <c r="AB926" s="450"/>
      <c r="AC926" s="450"/>
      <c r="AD926" s="450"/>
      <c r="AE926" s="450"/>
      <c r="AF926" s="450"/>
      <c r="AG926" s="450"/>
      <c r="AH926" s="450"/>
      <c r="AI926" s="450"/>
      <c r="AJ926" s="450"/>
      <c r="AK926" s="450"/>
      <c r="AL926" s="450"/>
      <c r="AM926" s="450"/>
      <c r="AN926" s="450"/>
      <c r="AO926" s="450"/>
      <c r="AP926" s="450"/>
      <c r="AQ926" s="450"/>
      <c r="AR926" s="450"/>
      <c r="AS926" s="450"/>
      <c r="AT926" s="450"/>
      <c r="AU926" s="450"/>
      <c r="AV926" s="450"/>
      <c r="AW926" s="450"/>
      <c r="AX926" s="450"/>
      <c r="AY926" s="450"/>
      <c r="AZ926" s="450"/>
      <c r="BA926" s="450"/>
      <c r="BB926" s="450"/>
      <c r="BC926" s="450"/>
      <c r="BD926" s="450"/>
      <c r="BE926" s="450"/>
      <c r="BF926" s="450"/>
      <c r="BG926" s="450"/>
      <c r="BH926" s="450"/>
      <c r="BI926" s="450"/>
      <c r="BJ926" s="450"/>
      <c r="BK926" s="450"/>
      <c r="BL926" s="450"/>
      <c r="BM926" s="450"/>
    </row>
    <row r="927" spans="1:65" ht="11.15">
      <c r="A927" s="450"/>
      <c r="B927" s="450"/>
      <c r="C927" s="450"/>
      <c r="D927" s="450"/>
      <c r="E927" s="450"/>
      <c r="F927" s="450"/>
      <c r="G927" s="450"/>
      <c r="H927" s="450"/>
      <c r="I927" s="450"/>
      <c r="J927" s="450"/>
      <c r="K927" s="450"/>
      <c r="L927" s="450"/>
      <c r="M927" s="450"/>
      <c r="N927" s="450"/>
      <c r="O927" s="450"/>
      <c r="P927" s="450"/>
      <c r="Q927" s="450"/>
      <c r="R927" s="450"/>
      <c r="S927" s="450"/>
      <c r="T927" s="450"/>
      <c r="U927" s="450"/>
      <c r="V927" s="450"/>
      <c r="W927" s="450"/>
      <c r="X927" s="450"/>
      <c r="Y927" s="450"/>
      <c r="Z927" s="450"/>
      <c r="AA927" s="450"/>
      <c r="AB927" s="450"/>
      <c r="AC927" s="450"/>
      <c r="AD927" s="450"/>
      <c r="AE927" s="450"/>
      <c r="AF927" s="450"/>
      <c r="AG927" s="450"/>
      <c r="AH927" s="450"/>
      <c r="AI927" s="450"/>
      <c r="AJ927" s="450"/>
      <c r="AK927" s="450"/>
      <c r="AL927" s="450"/>
      <c r="AM927" s="450"/>
      <c r="AN927" s="450"/>
      <c r="AO927" s="450"/>
      <c r="AP927" s="450"/>
      <c r="AQ927" s="450"/>
      <c r="AR927" s="450"/>
      <c r="AS927" s="450"/>
      <c r="AT927" s="450"/>
      <c r="AU927" s="450"/>
      <c r="AV927" s="450"/>
      <c r="AW927" s="450"/>
      <c r="AX927" s="450"/>
      <c r="AY927" s="450"/>
      <c r="AZ927" s="450"/>
      <c r="BA927" s="450"/>
      <c r="BB927" s="450"/>
      <c r="BC927" s="450"/>
      <c r="BD927" s="450"/>
      <c r="BE927" s="450"/>
      <c r="BF927" s="450"/>
      <c r="BG927" s="450"/>
      <c r="BH927" s="450"/>
      <c r="BI927" s="450"/>
      <c r="BJ927" s="450"/>
      <c r="BK927" s="450"/>
      <c r="BL927" s="450"/>
      <c r="BM927" s="450"/>
    </row>
    <row r="928" spans="1:65" ht="11.15">
      <c r="A928" s="450"/>
      <c r="B928" s="450"/>
      <c r="C928" s="450"/>
      <c r="D928" s="450"/>
      <c r="E928" s="450"/>
      <c r="F928" s="450"/>
      <c r="G928" s="450"/>
      <c r="H928" s="450"/>
      <c r="I928" s="450"/>
      <c r="J928" s="450"/>
      <c r="K928" s="450"/>
      <c r="L928" s="450"/>
      <c r="M928" s="450"/>
      <c r="N928" s="450"/>
      <c r="O928" s="450"/>
      <c r="P928" s="450"/>
      <c r="Q928" s="450"/>
      <c r="R928" s="450"/>
      <c r="S928" s="450"/>
      <c r="T928" s="450"/>
      <c r="U928" s="450"/>
      <c r="V928" s="450"/>
      <c r="W928" s="450"/>
      <c r="X928" s="450"/>
      <c r="Y928" s="450"/>
      <c r="Z928" s="450"/>
      <c r="AA928" s="450"/>
      <c r="AB928" s="450"/>
      <c r="AC928" s="450"/>
      <c r="AD928" s="450"/>
      <c r="AE928" s="450"/>
      <c r="AF928" s="450"/>
      <c r="AG928" s="450"/>
      <c r="AH928" s="450"/>
      <c r="AI928" s="450"/>
      <c r="AJ928" s="450"/>
      <c r="AK928" s="450"/>
      <c r="AL928" s="450"/>
      <c r="AM928" s="450"/>
      <c r="AN928" s="450"/>
      <c r="AO928" s="450"/>
      <c r="AP928" s="450"/>
      <c r="AQ928" s="450"/>
      <c r="AR928" s="450"/>
      <c r="AS928" s="450"/>
      <c r="AT928" s="450"/>
      <c r="AU928" s="450"/>
      <c r="AV928" s="450"/>
      <c r="AW928" s="450"/>
      <c r="AX928" s="450"/>
      <c r="AY928" s="450"/>
      <c r="AZ928" s="450"/>
      <c r="BA928" s="450"/>
      <c r="BB928" s="450"/>
      <c r="BC928" s="450"/>
      <c r="BD928" s="450"/>
      <c r="BE928" s="450"/>
      <c r="BF928" s="450"/>
      <c r="BG928" s="450"/>
      <c r="BH928" s="450"/>
      <c r="BI928" s="450"/>
      <c r="BJ928" s="450"/>
      <c r="BK928" s="450"/>
      <c r="BL928" s="450"/>
      <c r="BM928" s="450"/>
    </row>
    <row r="929" spans="1:65" ht="11.15">
      <c r="A929" s="450"/>
      <c r="B929" s="450"/>
      <c r="C929" s="450"/>
      <c r="D929" s="450"/>
      <c r="E929" s="450"/>
      <c r="F929" s="450"/>
      <c r="G929" s="450"/>
      <c r="H929" s="450"/>
      <c r="I929" s="450"/>
      <c r="J929" s="450"/>
      <c r="K929" s="450"/>
      <c r="L929" s="450"/>
      <c r="M929" s="450"/>
      <c r="N929" s="450"/>
      <c r="O929" s="450"/>
      <c r="P929" s="450"/>
      <c r="Q929" s="450"/>
      <c r="R929" s="450"/>
      <c r="S929" s="450"/>
      <c r="T929" s="450"/>
      <c r="U929" s="450"/>
      <c r="V929" s="450"/>
      <c r="W929" s="450"/>
      <c r="X929" s="450"/>
      <c r="Y929" s="450"/>
      <c r="Z929" s="450"/>
      <c r="AA929" s="450"/>
      <c r="AB929" s="450"/>
      <c r="AC929" s="450"/>
      <c r="AD929" s="450"/>
      <c r="AE929" s="450"/>
      <c r="AF929" s="450"/>
      <c r="AG929" s="450"/>
      <c r="AH929" s="450"/>
      <c r="AI929" s="450"/>
      <c r="AJ929" s="450"/>
      <c r="AK929" s="450"/>
      <c r="AL929" s="450"/>
      <c r="AM929" s="450"/>
      <c r="AN929" s="450"/>
      <c r="AO929" s="450"/>
      <c r="AP929" s="450"/>
      <c r="AQ929" s="450"/>
      <c r="AR929" s="450"/>
      <c r="AS929" s="450"/>
      <c r="AT929" s="450"/>
      <c r="AU929" s="450"/>
      <c r="AV929" s="450"/>
      <c r="AW929" s="450"/>
      <c r="AX929" s="450"/>
      <c r="AY929" s="450"/>
      <c r="AZ929" s="450"/>
      <c r="BA929" s="450"/>
      <c r="BB929" s="450"/>
      <c r="BC929" s="450"/>
      <c r="BD929" s="450"/>
      <c r="BE929" s="450"/>
      <c r="BF929" s="450"/>
      <c r="BG929" s="450"/>
      <c r="BH929" s="450"/>
      <c r="BI929" s="450"/>
      <c r="BJ929" s="450"/>
      <c r="BK929" s="450"/>
      <c r="BL929" s="450"/>
      <c r="BM929" s="450"/>
    </row>
    <row r="930" spans="1:65" ht="11.15">
      <c r="A930" s="450"/>
      <c r="B930" s="450"/>
      <c r="C930" s="450"/>
      <c r="D930" s="450"/>
      <c r="E930" s="450"/>
      <c r="F930" s="450"/>
      <c r="G930" s="450"/>
      <c r="H930" s="450"/>
      <c r="I930" s="450"/>
      <c r="J930" s="450"/>
      <c r="K930" s="450"/>
      <c r="L930" s="450"/>
      <c r="M930" s="450"/>
      <c r="N930" s="450"/>
      <c r="O930" s="450"/>
      <c r="P930" s="450"/>
      <c r="Q930" s="450"/>
      <c r="R930" s="450"/>
      <c r="S930" s="450"/>
      <c r="T930" s="450"/>
      <c r="U930" s="450"/>
      <c r="V930" s="450"/>
      <c r="W930" s="450"/>
      <c r="X930" s="450"/>
      <c r="Y930" s="450"/>
      <c r="Z930" s="450"/>
      <c r="AA930" s="450"/>
      <c r="AB930" s="450"/>
      <c r="AC930" s="450"/>
      <c r="AD930" s="450"/>
      <c r="AE930" s="450"/>
      <c r="AF930" s="450"/>
      <c r="AG930" s="450"/>
      <c r="AH930" s="450"/>
      <c r="AI930" s="450"/>
      <c r="AJ930" s="450"/>
      <c r="AK930" s="450"/>
      <c r="AL930" s="450"/>
      <c r="AM930" s="450"/>
      <c r="AN930" s="450"/>
      <c r="AO930" s="450"/>
      <c r="AP930" s="450"/>
      <c r="AQ930" s="450"/>
      <c r="AR930" s="450"/>
      <c r="AS930" s="450"/>
      <c r="AT930" s="450"/>
      <c r="AU930" s="450"/>
      <c r="AV930" s="450"/>
      <c r="AW930" s="450"/>
      <c r="AX930" s="450"/>
      <c r="AY930" s="450"/>
      <c r="AZ930" s="450"/>
      <c r="BA930" s="450"/>
      <c r="BB930" s="450"/>
      <c r="BC930" s="450"/>
      <c r="BD930" s="450"/>
      <c r="BE930" s="450"/>
      <c r="BF930" s="450"/>
      <c r="BG930" s="450"/>
      <c r="BH930" s="450"/>
      <c r="BI930" s="450"/>
      <c r="BJ930" s="450"/>
      <c r="BK930" s="450"/>
      <c r="BL930" s="450"/>
      <c r="BM930" s="450"/>
    </row>
    <row r="931" spans="1:65" ht="11.15">
      <c r="A931" s="450"/>
      <c r="B931" s="450"/>
      <c r="C931" s="450"/>
      <c r="D931" s="450"/>
      <c r="E931" s="450"/>
      <c r="F931" s="450"/>
      <c r="G931" s="450"/>
      <c r="H931" s="450"/>
      <c r="I931" s="450"/>
      <c r="J931" s="450"/>
      <c r="K931" s="450"/>
      <c r="L931" s="450"/>
      <c r="M931" s="450"/>
      <c r="N931" s="450"/>
      <c r="O931" s="450"/>
      <c r="P931" s="450"/>
      <c r="Q931" s="450"/>
      <c r="R931" s="450"/>
      <c r="S931" s="450"/>
      <c r="T931" s="450"/>
      <c r="U931" s="450"/>
      <c r="V931" s="450"/>
      <c r="W931" s="450"/>
      <c r="X931" s="450"/>
      <c r="Y931" s="450"/>
      <c r="Z931" s="450"/>
      <c r="AA931" s="450"/>
      <c r="AB931" s="450"/>
      <c r="AC931" s="450"/>
      <c r="AD931" s="450"/>
      <c r="AE931" s="450"/>
      <c r="AF931" s="450"/>
      <c r="AG931" s="450"/>
      <c r="AH931" s="450"/>
      <c r="AI931" s="450"/>
      <c r="AJ931" s="450"/>
      <c r="AK931" s="450"/>
      <c r="AL931" s="450"/>
      <c r="AM931" s="450"/>
      <c r="AN931" s="450"/>
      <c r="AO931" s="450"/>
      <c r="AP931" s="450"/>
      <c r="AQ931" s="450"/>
      <c r="AR931" s="450"/>
      <c r="AS931" s="450"/>
      <c r="AT931" s="450"/>
      <c r="AU931" s="450"/>
      <c r="AV931" s="450"/>
      <c r="AW931" s="450"/>
      <c r="AX931" s="450"/>
      <c r="AY931" s="450"/>
      <c r="AZ931" s="450"/>
      <c r="BA931" s="450"/>
      <c r="BB931" s="450"/>
      <c r="BC931" s="450"/>
      <c r="BD931" s="450"/>
      <c r="BE931" s="450"/>
      <c r="BF931" s="450"/>
      <c r="BG931" s="450"/>
      <c r="BH931" s="450"/>
      <c r="BI931" s="450"/>
      <c r="BJ931" s="450"/>
      <c r="BK931" s="450"/>
      <c r="BL931" s="450"/>
      <c r="BM931" s="450"/>
    </row>
    <row r="932" spans="1:65" ht="11.15">
      <c r="A932" s="450"/>
      <c r="B932" s="450"/>
      <c r="C932" s="450"/>
      <c r="D932" s="450"/>
      <c r="E932" s="450"/>
      <c r="F932" s="450"/>
      <c r="G932" s="450"/>
      <c r="H932" s="450"/>
      <c r="I932" s="450"/>
      <c r="J932" s="450"/>
      <c r="K932" s="450"/>
      <c r="L932" s="450"/>
      <c r="M932" s="450"/>
      <c r="N932" s="450"/>
      <c r="O932" s="450"/>
      <c r="P932" s="450"/>
      <c r="Q932" s="450"/>
      <c r="R932" s="450"/>
      <c r="S932" s="450"/>
      <c r="T932" s="450"/>
      <c r="U932" s="450"/>
      <c r="V932" s="450"/>
      <c r="W932" s="450"/>
      <c r="X932" s="450"/>
      <c r="Y932" s="450"/>
      <c r="Z932" s="450"/>
      <c r="AA932" s="450"/>
      <c r="AB932" s="450"/>
      <c r="AC932" s="450"/>
      <c r="AD932" s="450"/>
      <c r="AE932" s="450"/>
      <c r="AF932" s="450"/>
      <c r="AG932" s="450"/>
      <c r="AH932" s="450"/>
      <c r="AI932" s="450"/>
      <c r="AJ932" s="450"/>
      <c r="AK932" s="450"/>
      <c r="AL932" s="450"/>
      <c r="AM932" s="450"/>
      <c r="AN932" s="450"/>
      <c r="AO932" s="450"/>
      <c r="AP932" s="450"/>
      <c r="AQ932" s="450"/>
      <c r="AR932" s="450"/>
      <c r="AS932" s="450"/>
      <c r="AT932" s="450"/>
      <c r="AU932" s="450"/>
      <c r="AV932" s="450"/>
      <c r="AW932" s="450"/>
      <c r="AX932" s="450"/>
      <c r="AY932" s="450"/>
      <c r="AZ932" s="450"/>
      <c r="BA932" s="450"/>
      <c r="BB932" s="450"/>
      <c r="BC932" s="450"/>
      <c r="BD932" s="450"/>
      <c r="BE932" s="450"/>
      <c r="BF932" s="450"/>
      <c r="BG932" s="450"/>
      <c r="BH932" s="450"/>
      <c r="BI932" s="450"/>
      <c r="BJ932" s="450"/>
      <c r="BK932" s="450"/>
      <c r="BL932" s="450"/>
      <c r="BM932" s="450"/>
    </row>
    <row r="933" spans="1:65" ht="11.15">
      <c r="A933" s="450"/>
      <c r="B933" s="450"/>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c r="Z933" s="450"/>
      <c r="AA933" s="450"/>
      <c r="AB933" s="450"/>
      <c r="AC933" s="450"/>
      <c r="AD933" s="450"/>
      <c r="AE933" s="450"/>
      <c r="AF933" s="450"/>
      <c r="AG933" s="450"/>
      <c r="AH933" s="450"/>
      <c r="AI933" s="450"/>
      <c r="AJ933" s="450"/>
      <c r="AK933" s="450"/>
      <c r="AL933" s="450"/>
      <c r="AM933" s="450"/>
      <c r="AN933" s="450"/>
      <c r="AO933" s="450"/>
      <c r="AP933" s="450"/>
      <c r="AQ933" s="450"/>
      <c r="AR933" s="450"/>
      <c r="AS933" s="450"/>
      <c r="AT933" s="450"/>
      <c r="AU933" s="450"/>
      <c r="AV933" s="450"/>
      <c r="AW933" s="450"/>
      <c r="AX933" s="450"/>
      <c r="AY933" s="450"/>
      <c r="AZ933" s="450"/>
      <c r="BA933" s="450"/>
      <c r="BB933" s="450"/>
      <c r="BC933" s="450"/>
      <c r="BD933" s="450"/>
      <c r="BE933" s="450"/>
      <c r="BF933" s="450"/>
      <c r="BG933" s="450"/>
      <c r="BH933" s="450"/>
      <c r="BI933" s="450"/>
      <c r="BJ933" s="450"/>
      <c r="BK933" s="450"/>
      <c r="BL933" s="450"/>
      <c r="BM933" s="450"/>
    </row>
    <row r="934" spans="1:65" ht="11.15">
      <c r="A934" s="450"/>
      <c r="B934" s="450"/>
      <c r="C934" s="450"/>
      <c r="D934" s="450"/>
      <c r="E934" s="450"/>
      <c r="F934" s="450"/>
      <c r="G934" s="450"/>
      <c r="H934" s="450"/>
      <c r="I934" s="450"/>
      <c r="J934" s="450"/>
      <c r="K934" s="450"/>
      <c r="L934" s="450"/>
      <c r="M934" s="450"/>
      <c r="N934" s="450"/>
      <c r="O934" s="450"/>
      <c r="P934" s="450"/>
      <c r="Q934" s="450"/>
      <c r="R934" s="450"/>
      <c r="S934" s="450"/>
      <c r="T934" s="450"/>
      <c r="U934" s="450"/>
      <c r="V934" s="450"/>
      <c r="W934" s="450"/>
      <c r="X934" s="450"/>
      <c r="Y934" s="450"/>
      <c r="Z934" s="450"/>
      <c r="AA934" s="450"/>
      <c r="AB934" s="450"/>
      <c r="AC934" s="450"/>
      <c r="AD934" s="450"/>
      <c r="AE934" s="450"/>
      <c r="AF934" s="450"/>
      <c r="AG934" s="450"/>
      <c r="AH934" s="450"/>
      <c r="AI934" s="450"/>
      <c r="AJ934" s="450"/>
      <c r="AK934" s="450"/>
      <c r="AL934" s="450"/>
      <c r="AM934" s="450"/>
      <c r="AN934" s="450"/>
      <c r="AO934" s="450"/>
      <c r="AP934" s="450"/>
      <c r="AQ934" s="450"/>
      <c r="AR934" s="450"/>
      <c r="AS934" s="450"/>
      <c r="AT934" s="450"/>
      <c r="AU934" s="450"/>
      <c r="AV934" s="450"/>
      <c r="AW934" s="450"/>
      <c r="AX934" s="450"/>
      <c r="AY934" s="450"/>
      <c r="AZ934" s="450"/>
      <c r="BA934" s="450"/>
      <c r="BB934" s="450"/>
      <c r="BC934" s="450"/>
      <c r="BD934" s="450"/>
      <c r="BE934" s="450"/>
      <c r="BF934" s="450"/>
      <c r="BG934" s="450"/>
      <c r="BH934" s="450"/>
      <c r="BI934" s="450"/>
      <c r="BJ934" s="450"/>
      <c r="BK934" s="450"/>
      <c r="BL934" s="450"/>
      <c r="BM934" s="450"/>
    </row>
    <row r="935" spans="1:65" ht="11.15">
      <c r="A935" s="450"/>
      <c r="B935" s="450"/>
      <c r="C935" s="450"/>
      <c r="D935" s="450"/>
      <c r="E935" s="450"/>
      <c r="F935" s="450"/>
      <c r="G935" s="450"/>
      <c r="H935" s="450"/>
      <c r="I935" s="450"/>
      <c r="J935" s="450"/>
      <c r="K935" s="450"/>
      <c r="L935" s="450"/>
      <c r="M935" s="450"/>
      <c r="N935" s="450"/>
      <c r="O935" s="450"/>
      <c r="P935" s="450"/>
      <c r="Q935" s="450"/>
      <c r="R935" s="450"/>
      <c r="S935" s="450"/>
      <c r="T935" s="450"/>
      <c r="U935" s="450"/>
      <c r="V935" s="450"/>
      <c r="W935" s="450"/>
      <c r="X935" s="450"/>
      <c r="Y935" s="450"/>
      <c r="Z935" s="450"/>
      <c r="AA935" s="450"/>
      <c r="AB935" s="450"/>
      <c r="AC935" s="450"/>
      <c r="AD935" s="450"/>
      <c r="AE935" s="450"/>
      <c r="AF935" s="450"/>
      <c r="AG935" s="450"/>
      <c r="AH935" s="450"/>
      <c r="AI935" s="450"/>
      <c r="AJ935" s="450"/>
      <c r="AK935" s="450"/>
      <c r="AL935" s="450"/>
      <c r="AM935" s="450"/>
      <c r="AN935" s="450"/>
      <c r="AO935" s="450"/>
      <c r="AP935" s="450"/>
      <c r="AQ935" s="450"/>
      <c r="AR935" s="450"/>
      <c r="AS935" s="450"/>
      <c r="AT935" s="450"/>
      <c r="AU935" s="450"/>
      <c r="AV935" s="450"/>
      <c r="AW935" s="450"/>
      <c r="AX935" s="450"/>
      <c r="AY935" s="450"/>
      <c r="AZ935" s="450"/>
      <c r="BA935" s="450"/>
      <c r="BB935" s="450"/>
      <c r="BC935" s="450"/>
      <c r="BD935" s="450"/>
      <c r="BE935" s="450"/>
      <c r="BF935" s="450"/>
      <c r="BG935" s="450"/>
      <c r="BH935" s="450"/>
      <c r="BI935" s="450"/>
      <c r="BJ935" s="450"/>
      <c r="BK935" s="450"/>
      <c r="BL935" s="450"/>
      <c r="BM935" s="450"/>
    </row>
    <row r="936" spans="1:65" ht="11.15">
      <c r="A936" s="450"/>
      <c r="B936" s="450"/>
      <c r="C936" s="450"/>
      <c r="D936" s="450"/>
      <c r="E936" s="450"/>
      <c r="F936" s="450"/>
      <c r="G936" s="450"/>
      <c r="H936" s="450"/>
      <c r="I936" s="450"/>
      <c r="J936" s="450"/>
      <c r="K936" s="450"/>
      <c r="L936" s="450"/>
      <c r="M936" s="450"/>
      <c r="N936" s="450"/>
      <c r="O936" s="450"/>
      <c r="P936" s="450"/>
      <c r="Q936" s="450"/>
      <c r="R936" s="450"/>
      <c r="S936" s="450"/>
      <c r="T936" s="450"/>
      <c r="U936" s="450"/>
      <c r="V936" s="450"/>
      <c r="W936" s="450"/>
      <c r="X936" s="450"/>
      <c r="Y936" s="450"/>
      <c r="Z936" s="450"/>
      <c r="AA936" s="450"/>
      <c r="AB936" s="450"/>
      <c r="AC936" s="450"/>
      <c r="AD936" s="450"/>
      <c r="AE936" s="450"/>
      <c r="AF936" s="450"/>
      <c r="AG936" s="450"/>
      <c r="AH936" s="450"/>
      <c r="AI936" s="450"/>
      <c r="AJ936" s="450"/>
      <c r="AK936" s="450"/>
      <c r="AL936" s="450"/>
      <c r="AM936" s="450"/>
      <c r="AN936" s="450"/>
      <c r="AO936" s="450"/>
      <c r="AP936" s="450"/>
      <c r="AQ936" s="450"/>
      <c r="AR936" s="450"/>
      <c r="AS936" s="450"/>
      <c r="AT936" s="450"/>
      <c r="AU936" s="450"/>
      <c r="AV936" s="450"/>
      <c r="AW936" s="450"/>
      <c r="AX936" s="450"/>
      <c r="AY936" s="450"/>
      <c r="AZ936" s="450"/>
      <c r="BA936" s="450"/>
      <c r="BB936" s="450"/>
      <c r="BC936" s="450"/>
      <c r="BD936" s="450"/>
      <c r="BE936" s="450"/>
      <c r="BF936" s="450"/>
      <c r="BG936" s="450"/>
      <c r="BH936" s="450"/>
      <c r="BI936" s="450"/>
      <c r="BJ936" s="450"/>
      <c r="BK936" s="450"/>
      <c r="BL936" s="450"/>
      <c r="BM936" s="450"/>
    </row>
    <row r="937" spans="1:65" ht="11.15">
      <c r="A937" s="450"/>
      <c r="B937" s="450"/>
      <c r="C937" s="450"/>
      <c r="D937" s="450"/>
      <c r="E937" s="450"/>
      <c r="F937" s="450"/>
      <c r="G937" s="450"/>
      <c r="H937" s="450"/>
      <c r="I937" s="450"/>
      <c r="J937" s="450"/>
      <c r="K937" s="450"/>
      <c r="L937" s="450"/>
      <c r="M937" s="450"/>
      <c r="N937" s="450"/>
      <c r="O937" s="450"/>
      <c r="P937" s="450"/>
      <c r="Q937" s="450"/>
      <c r="R937" s="450"/>
      <c r="S937" s="450"/>
      <c r="T937" s="450"/>
      <c r="U937" s="450"/>
      <c r="V937" s="450"/>
      <c r="W937" s="450"/>
      <c r="X937" s="450"/>
      <c r="Y937" s="450"/>
      <c r="Z937" s="450"/>
      <c r="AA937" s="450"/>
      <c r="AB937" s="450"/>
      <c r="AC937" s="450"/>
      <c r="AD937" s="450"/>
      <c r="AE937" s="450"/>
      <c r="AF937" s="450"/>
      <c r="AG937" s="450"/>
      <c r="AH937" s="450"/>
      <c r="AI937" s="450"/>
      <c r="AJ937" s="450"/>
      <c r="AK937" s="450"/>
      <c r="AL937" s="450"/>
      <c r="AM937" s="450"/>
      <c r="AN937" s="450"/>
      <c r="AO937" s="450"/>
      <c r="AP937" s="450"/>
      <c r="AQ937" s="450"/>
      <c r="AR937" s="450"/>
      <c r="AS937" s="450"/>
      <c r="AT937" s="450"/>
      <c r="AU937" s="450"/>
      <c r="AV937" s="450"/>
      <c r="AW937" s="450"/>
      <c r="AX937" s="450"/>
      <c r="AY937" s="450"/>
      <c r="AZ937" s="450"/>
      <c r="BA937" s="450"/>
      <c r="BB937" s="450"/>
      <c r="BC937" s="450"/>
      <c r="BD937" s="450"/>
      <c r="BE937" s="450"/>
      <c r="BF937" s="450"/>
      <c r="BG937" s="450"/>
      <c r="BH937" s="450"/>
      <c r="BI937" s="450"/>
      <c r="BJ937" s="450"/>
      <c r="BK937" s="450"/>
      <c r="BL937" s="450"/>
      <c r="BM937" s="450"/>
    </row>
    <row r="938" spans="1:65" ht="11.15">
      <c r="A938" s="450"/>
      <c r="B938" s="450"/>
      <c r="C938" s="450"/>
      <c r="D938" s="450"/>
      <c r="E938" s="450"/>
      <c r="F938" s="450"/>
      <c r="G938" s="450"/>
      <c r="H938" s="450"/>
      <c r="I938" s="450"/>
      <c r="J938" s="450"/>
      <c r="K938" s="450"/>
      <c r="L938" s="450"/>
      <c r="M938" s="450"/>
      <c r="N938" s="450"/>
      <c r="O938" s="450"/>
      <c r="P938" s="450"/>
      <c r="Q938" s="450"/>
      <c r="R938" s="450"/>
      <c r="S938" s="450"/>
      <c r="T938" s="450"/>
      <c r="U938" s="450"/>
      <c r="V938" s="450"/>
      <c r="W938" s="450"/>
      <c r="X938" s="450"/>
      <c r="Y938" s="450"/>
      <c r="Z938" s="450"/>
      <c r="AA938" s="450"/>
      <c r="AB938" s="450"/>
      <c r="AC938" s="450"/>
      <c r="AD938" s="450"/>
      <c r="AE938" s="450"/>
      <c r="AF938" s="450"/>
      <c r="AG938" s="450"/>
      <c r="AH938" s="450"/>
      <c r="AI938" s="450"/>
      <c r="AJ938" s="450"/>
      <c r="AK938" s="450"/>
      <c r="AL938" s="450"/>
      <c r="AM938" s="450"/>
      <c r="AN938" s="450"/>
      <c r="AO938" s="450"/>
      <c r="AP938" s="450"/>
      <c r="AQ938" s="450"/>
      <c r="AR938" s="450"/>
      <c r="AS938" s="450"/>
      <c r="AT938" s="450"/>
      <c r="AU938" s="450"/>
      <c r="AV938" s="450"/>
      <c r="AW938" s="450"/>
      <c r="AX938" s="450"/>
      <c r="AY938" s="450"/>
      <c r="AZ938" s="450"/>
      <c r="BA938" s="450"/>
      <c r="BB938" s="450"/>
      <c r="BC938" s="450"/>
      <c r="BD938" s="450"/>
      <c r="BE938" s="450"/>
      <c r="BF938" s="450"/>
      <c r="BG938" s="450"/>
      <c r="BH938" s="450"/>
      <c r="BI938" s="450"/>
      <c r="BJ938" s="450"/>
      <c r="BK938" s="450"/>
      <c r="BL938" s="450"/>
      <c r="BM938" s="450"/>
    </row>
    <row r="939" spans="1:65" ht="11.15">
      <c r="A939" s="450"/>
      <c r="B939" s="450"/>
      <c r="C939" s="450"/>
      <c r="D939" s="450"/>
      <c r="E939" s="450"/>
      <c r="F939" s="450"/>
      <c r="G939" s="450"/>
      <c r="H939" s="450"/>
      <c r="I939" s="450"/>
      <c r="J939" s="450"/>
      <c r="K939" s="450"/>
      <c r="L939" s="450"/>
      <c r="M939" s="450"/>
      <c r="N939" s="450"/>
      <c r="O939" s="450"/>
      <c r="P939" s="450"/>
      <c r="Q939" s="450"/>
      <c r="R939" s="450"/>
      <c r="S939" s="450"/>
      <c r="T939" s="450"/>
      <c r="U939" s="450"/>
      <c r="V939" s="450"/>
      <c r="W939" s="450"/>
      <c r="X939" s="450"/>
      <c r="Y939" s="450"/>
      <c r="Z939" s="450"/>
      <c r="AA939" s="450"/>
      <c r="AB939" s="450"/>
      <c r="AC939" s="450"/>
      <c r="AD939" s="450"/>
      <c r="AE939" s="450"/>
      <c r="AF939" s="450"/>
      <c r="AG939" s="450"/>
      <c r="AH939" s="450"/>
      <c r="AI939" s="450"/>
      <c r="AJ939" s="450"/>
      <c r="AK939" s="450"/>
      <c r="AL939" s="450"/>
      <c r="AM939" s="450"/>
      <c r="AN939" s="450"/>
      <c r="AO939" s="450"/>
      <c r="AP939" s="450"/>
      <c r="AQ939" s="450"/>
      <c r="AR939" s="450"/>
      <c r="AS939" s="450"/>
      <c r="AT939" s="450"/>
      <c r="AU939" s="450"/>
      <c r="AV939" s="450"/>
      <c r="AW939" s="450"/>
      <c r="AX939" s="450"/>
      <c r="AY939" s="450"/>
      <c r="AZ939" s="450"/>
      <c r="BA939" s="450"/>
      <c r="BB939" s="450"/>
      <c r="BC939" s="450"/>
      <c r="BD939" s="450"/>
      <c r="BE939" s="450"/>
      <c r="BF939" s="450"/>
      <c r="BG939" s="450"/>
      <c r="BH939" s="450"/>
      <c r="BI939" s="450"/>
      <c r="BJ939" s="450"/>
      <c r="BK939" s="450"/>
      <c r="BL939" s="450"/>
      <c r="BM939" s="450"/>
    </row>
    <row r="940" spans="1:65" ht="11.15">
      <c r="A940" s="450"/>
      <c r="B940" s="450"/>
      <c r="C940" s="450"/>
      <c r="D940" s="450"/>
      <c r="E940" s="450"/>
      <c r="F940" s="450"/>
      <c r="G940" s="450"/>
      <c r="H940" s="450"/>
      <c r="I940" s="450"/>
      <c r="J940" s="450"/>
      <c r="K940" s="450"/>
      <c r="L940" s="450"/>
      <c r="M940" s="450"/>
      <c r="N940" s="450"/>
      <c r="O940" s="450"/>
      <c r="P940" s="450"/>
      <c r="Q940" s="450"/>
      <c r="R940" s="450"/>
      <c r="S940" s="450"/>
      <c r="T940" s="450"/>
      <c r="U940" s="450"/>
      <c r="V940" s="450"/>
      <c r="W940" s="450"/>
      <c r="X940" s="450"/>
      <c r="Y940" s="450"/>
      <c r="Z940" s="450"/>
      <c r="AA940" s="450"/>
      <c r="AB940" s="450"/>
      <c r="AC940" s="450"/>
      <c r="AD940" s="450"/>
      <c r="AE940" s="450"/>
      <c r="AF940" s="450"/>
      <c r="AG940" s="450"/>
      <c r="AH940" s="450"/>
      <c r="AI940" s="450"/>
      <c r="AJ940" s="450"/>
      <c r="AK940" s="450"/>
      <c r="AL940" s="450"/>
      <c r="AM940" s="450"/>
      <c r="AN940" s="450"/>
      <c r="AO940" s="450"/>
      <c r="AP940" s="450"/>
      <c r="AQ940" s="450"/>
      <c r="AR940" s="450"/>
      <c r="AS940" s="450"/>
      <c r="AT940" s="450"/>
      <c r="AU940" s="450"/>
      <c r="AV940" s="450"/>
      <c r="AW940" s="450"/>
      <c r="AX940" s="450"/>
      <c r="AY940" s="450"/>
      <c r="AZ940" s="450"/>
      <c r="BA940" s="450"/>
      <c r="BB940" s="450"/>
      <c r="BC940" s="450"/>
      <c r="BD940" s="450"/>
      <c r="BE940" s="450"/>
      <c r="BF940" s="450"/>
      <c r="BG940" s="450"/>
      <c r="BH940" s="450"/>
      <c r="BI940" s="450"/>
      <c r="BJ940" s="450"/>
      <c r="BK940" s="450"/>
      <c r="BL940" s="450"/>
      <c r="BM940" s="450"/>
    </row>
    <row r="941" spans="1:65" ht="11.15">
      <c r="A941" s="450"/>
      <c r="B941" s="450"/>
      <c r="C941" s="450"/>
      <c r="D941" s="450"/>
      <c r="E941" s="450"/>
      <c r="F941" s="450"/>
      <c r="G941" s="450"/>
      <c r="H941" s="450"/>
      <c r="I941" s="450"/>
      <c r="J941" s="450"/>
      <c r="K941" s="450"/>
      <c r="L941" s="450"/>
      <c r="M941" s="450"/>
      <c r="N941" s="450"/>
      <c r="O941" s="450"/>
      <c r="P941" s="450"/>
      <c r="Q941" s="450"/>
      <c r="R941" s="450"/>
      <c r="S941" s="450"/>
      <c r="T941" s="450"/>
      <c r="U941" s="450"/>
      <c r="V941" s="450"/>
      <c r="W941" s="450"/>
      <c r="X941" s="450"/>
      <c r="Y941" s="450"/>
      <c r="Z941" s="450"/>
      <c r="AA941" s="450"/>
      <c r="AB941" s="450"/>
      <c r="AC941" s="450"/>
      <c r="AD941" s="450"/>
      <c r="AE941" s="450"/>
      <c r="AF941" s="450"/>
      <c r="AG941" s="450"/>
      <c r="AH941" s="450"/>
      <c r="AI941" s="450"/>
      <c r="AJ941" s="450"/>
      <c r="AK941" s="450"/>
      <c r="AL941" s="450"/>
      <c r="AM941" s="450"/>
      <c r="AN941" s="450"/>
      <c r="AO941" s="450"/>
      <c r="AP941" s="450"/>
      <c r="AQ941" s="450"/>
      <c r="AR941" s="450"/>
      <c r="AS941" s="450"/>
      <c r="AT941" s="450"/>
      <c r="AU941" s="450"/>
      <c r="AV941" s="450"/>
      <c r="AW941" s="450"/>
      <c r="AX941" s="450"/>
      <c r="AY941" s="450"/>
      <c r="AZ941" s="450"/>
      <c r="BA941" s="450"/>
      <c r="BB941" s="450"/>
      <c r="BC941" s="450"/>
      <c r="BD941" s="450"/>
      <c r="BE941" s="450"/>
      <c r="BF941" s="450"/>
      <c r="BG941" s="450"/>
      <c r="BH941" s="450"/>
      <c r="BI941" s="450"/>
      <c r="BJ941" s="450"/>
      <c r="BK941" s="450"/>
      <c r="BL941" s="450"/>
      <c r="BM941" s="450"/>
    </row>
    <row r="942" spans="1:65" ht="11.15">
      <c r="A942" s="450"/>
      <c r="B942" s="450"/>
      <c r="C942" s="450"/>
      <c r="D942" s="450"/>
      <c r="E942" s="450"/>
      <c r="F942" s="450"/>
      <c r="G942" s="450"/>
      <c r="H942" s="450"/>
      <c r="I942" s="450"/>
      <c r="J942" s="450"/>
      <c r="K942" s="450"/>
      <c r="L942" s="450"/>
      <c r="M942" s="450"/>
      <c r="N942" s="450"/>
      <c r="O942" s="450"/>
      <c r="P942" s="450"/>
      <c r="Q942" s="450"/>
      <c r="R942" s="450"/>
      <c r="S942" s="450"/>
      <c r="T942" s="450"/>
      <c r="U942" s="450"/>
      <c r="V942" s="450"/>
      <c r="W942" s="450"/>
      <c r="X942" s="450"/>
      <c r="Y942" s="450"/>
      <c r="Z942" s="450"/>
      <c r="AA942" s="450"/>
      <c r="AB942" s="450"/>
      <c r="AC942" s="450"/>
      <c r="AD942" s="450"/>
      <c r="AE942" s="450"/>
      <c r="AF942" s="450"/>
      <c r="AG942" s="450"/>
      <c r="AH942" s="450"/>
      <c r="AI942" s="450"/>
      <c r="AJ942" s="450"/>
      <c r="AK942" s="450"/>
      <c r="AL942" s="450"/>
      <c r="AM942" s="450"/>
      <c r="AN942" s="450"/>
      <c r="AO942" s="450"/>
      <c r="AP942" s="450"/>
      <c r="AQ942" s="450"/>
      <c r="AR942" s="450"/>
      <c r="AS942" s="450"/>
      <c r="AT942" s="450"/>
      <c r="AU942" s="450"/>
      <c r="AV942" s="450"/>
      <c r="AW942" s="450"/>
      <c r="AX942" s="450"/>
      <c r="AY942" s="450"/>
      <c r="AZ942" s="450"/>
      <c r="BA942" s="450"/>
      <c r="BB942" s="450"/>
      <c r="BC942" s="450"/>
      <c r="BD942" s="450"/>
      <c r="BE942" s="450"/>
      <c r="BF942" s="450"/>
      <c r="BG942" s="450"/>
      <c r="BH942" s="450"/>
      <c r="BI942" s="450"/>
      <c r="BJ942" s="450"/>
      <c r="BK942" s="450"/>
      <c r="BL942" s="450"/>
      <c r="BM942" s="450"/>
    </row>
    <row r="943" spans="1:65" ht="11.15">
      <c r="A943" s="450"/>
      <c r="B943" s="450"/>
      <c r="C943" s="450"/>
      <c r="D943" s="450"/>
      <c r="E943" s="450"/>
      <c r="F943" s="450"/>
      <c r="G943" s="450"/>
      <c r="H943" s="450"/>
      <c r="I943" s="450"/>
      <c r="J943" s="450"/>
      <c r="K943" s="450"/>
      <c r="L943" s="450"/>
      <c r="M943" s="450"/>
      <c r="N943" s="450"/>
      <c r="O943" s="450"/>
      <c r="P943" s="450"/>
      <c r="Q943" s="450"/>
      <c r="R943" s="450"/>
      <c r="S943" s="450"/>
      <c r="T943" s="450"/>
      <c r="U943" s="450"/>
      <c r="V943" s="450"/>
      <c r="W943" s="450"/>
      <c r="X943" s="450"/>
      <c r="Y943" s="450"/>
      <c r="Z943" s="450"/>
      <c r="AA943" s="450"/>
      <c r="AB943" s="450"/>
      <c r="AC943" s="450"/>
      <c r="AD943" s="450"/>
      <c r="AE943" s="450"/>
      <c r="AF943" s="450"/>
      <c r="AG943" s="450"/>
      <c r="AH943" s="450"/>
      <c r="AI943" s="450"/>
      <c r="AJ943" s="450"/>
      <c r="AK943" s="450"/>
      <c r="AL943" s="450"/>
      <c r="AM943" s="450"/>
      <c r="AN943" s="450"/>
      <c r="AO943" s="450"/>
      <c r="AP943" s="450"/>
      <c r="AQ943" s="450"/>
      <c r="AR943" s="450"/>
      <c r="AS943" s="450"/>
      <c r="AT943" s="450"/>
      <c r="AU943" s="450"/>
      <c r="AV943" s="450"/>
      <c r="AW943" s="450"/>
      <c r="AX943" s="450"/>
      <c r="AY943" s="450"/>
      <c r="AZ943" s="450"/>
      <c r="BA943" s="450"/>
      <c r="BB943" s="450"/>
      <c r="BC943" s="450"/>
      <c r="BD943" s="450"/>
      <c r="BE943" s="450"/>
      <c r="BF943" s="450"/>
      <c r="BG943" s="450"/>
      <c r="BH943" s="450"/>
      <c r="BI943" s="450"/>
      <c r="BJ943" s="450"/>
      <c r="BK943" s="450"/>
      <c r="BL943" s="450"/>
      <c r="BM943" s="450"/>
    </row>
    <row r="944" spans="1:65" ht="11.15">
      <c r="A944" s="450"/>
      <c r="B944" s="450"/>
      <c r="C944" s="450"/>
      <c r="D944" s="450"/>
      <c r="E944" s="450"/>
      <c r="F944" s="450"/>
      <c r="G944" s="450"/>
      <c r="H944" s="450"/>
      <c r="I944" s="450"/>
      <c r="J944" s="450"/>
      <c r="K944" s="450"/>
      <c r="L944" s="450"/>
      <c r="M944" s="450"/>
      <c r="N944" s="450"/>
      <c r="O944" s="450"/>
      <c r="P944" s="450"/>
      <c r="Q944" s="450"/>
      <c r="R944" s="450"/>
      <c r="S944" s="450"/>
      <c r="T944" s="450"/>
      <c r="U944" s="450"/>
      <c r="V944" s="450"/>
      <c r="W944" s="450"/>
      <c r="X944" s="450"/>
      <c r="Y944" s="450"/>
      <c r="Z944" s="450"/>
      <c r="AA944" s="450"/>
      <c r="AB944" s="450"/>
      <c r="AC944" s="450"/>
      <c r="AD944" s="450"/>
      <c r="AE944" s="450"/>
      <c r="AF944" s="450"/>
      <c r="AG944" s="450"/>
      <c r="AH944" s="450"/>
      <c r="AI944" s="450"/>
      <c r="AJ944" s="450"/>
      <c r="AK944" s="450"/>
      <c r="AL944" s="450"/>
      <c r="AM944" s="450"/>
      <c r="AN944" s="450"/>
      <c r="AO944" s="450"/>
      <c r="AP944" s="450"/>
      <c r="AQ944" s="450"/>
      <c r="AR944" s="450"/>
      <c r="AS944" s="450"/>
      <c r="AT944" s="450"/>
      <c r="AU944" s="450"/>
      <c r="AV944" s="450"/>
      <c r="AW944" s="450"/>
      <c r="AX944" s="450"/>
      <c r="AY944" s="450"/>
      <c r="AZ944" s="450"/>
      <c r="BA944" s="450"/>
      <c r="BB944" s="450"/>
      <c r="BC944" s="450"/>
      <c r="BD944" s="450"/>
      <c r="BE944" s="450"/>
      <c r="BF944" s="450"/>
      <c r="BG944" s="450"/>
      <c r="BH944" s="450"/>
      <c r="BI944" s="450"/>
      <c r="BJ944" s="450"/>
      <c r="BK944" s="450"/>
      <c r="BL944" s="450"/>
      <c r="BM944" s="450"/>
    </row>
    <row r="945" spans="1:65" ht="11.15">
      <c r="A945" s="450"/>
      <c r="B945" s="450"/>
      <c r="C945" s="450"/>
      <c r="D945" s="450"/>
      <c r="E945" s="450"/>
      <c r="F945" s="450"/>
      <c r="G945" s="450"/>
      <c r="H945" s="450"/>
      <c r="I945" s="450"/>
      <c r="J945" s="450"/>
      <c r="K945" s="450"/>
      <c r="L945" s="450"/>
      <c r="M945" s="450"/>
      <c r="N945" s="450"/>
      <c r="O945" s="450"/>
      <c r="P945" s="450"/>
      <c r="Q945" s="450"/>
      <c r="R945" s="450"/>
      <c r="S945" s="450"/>
      <c r="T945" s="450"/>
      <c r="U945" s="450"/>
      <c r="V945" s="450"/>
      <c r="W945" s="450"/>
      <c r="X945" s="450"/>
      <c r="Y945" s="450"/>
      <c r="Z945" s="450"/>
      <c r="AA945" s="450"/>
      <c r="AB945" s="450"/>
      <c r="AC945" s="450"/>
      <c r="AD945" s="450"/>
      <c r="AE945" s="450"/>
      <c r="AF945" s="450"/>
      <c r="AG945" s="450"/>
      <c r="AH945" s="450"/>
      <c r="AI945" s="450"/>
      <c r="AJ945" s="450"/>
      <c r="AK945" s="450"/>
      <c r="AL945" s="450"/>
      <c r="AM945" s="450"/>
      <c r="AN945" s="450"/>
      <c r="AO945" s="450"/>
      <c r="AP945" s="450"/>
      <c r="AQ945" s="450"/>
      <c r="AR945" s="450"/>
      <c r="AS945" s="450"/>
      <c r="AT945" s="450"/>
      <c r="AU945" s="450"/>
      <c r="AV945" s="450"/>
      <c r="AW945" s="450"/>
      <c r="AX945" s="450"/>
      <c r="AY945" s="450"/>
      <c r="AZ945" s="450"/>
      <c r="BA945" s="450"/>
      <c r="BB945" s="450"/>
      <c r="BC945" s="450"/>
      <c r="BD945" s="450"/>
      <c r="BE945" s="450"/>
      <c r="BF945" s="450"/>
      <c r="BG945" s="450"/>
      <c r="BH945" s="450"/>
      <c r="BI945" s="450"/>
      <c r="BJ945" s="450"/>
      <c r="BK945" s="450"/>
      <c r="BL945" s="450"/>
      <c r="BM945" s="450"/>
    </row>
    <row r="946" spans="1:65" ht="11.15">
      <c r="A946" s="450"/>
      <c r="B946" s="450"/>
      <c r="C946" s="450"/>
      <c r="D946" s="450"/>
      <c r="E946" s="450"/>
      <c r="F946" s="450"/>
      <c r="G946" s="450"/>
      <c r="H946" s="450"/>
      <c r="I946" s="450"/>
      <c r="J946" s="450"/>
      <c r="K946" s="450"/>
      <c r="L946" s="450"/>
      <c r="M946" s="450"/>
      <c r="N946" s="450"/>
      <c r="O946" s="450"/>
      <c r="P946" s="450"/>
      <c r="Q946" s="450"/>
      <c r="R946" s="450"/>
      <c r="S946" s="450"/>
      <c r="T946" s="450"/>
      <c r="U946" s="450"/>
      <c r="V946" s="450"/>
      <c r="W946" s="450"/>
      <c r="X946" s="450"/>
      <c r="Y946" s="450"/>
      <c r="Z946" s="450"/>
      <c r="AA946" s="450"/>
      <c r="AB946" s="450"/>
      <c r="AC946" s="450"/>
      <c r="AD946" s="450"/>
      <c r="AE946" s="450"/>
      <c r="AF946" s="450"/>
      <c r="AG946" s="450"/>
      <c r="AH946" s="450"/>
      <c r="AI946" s="450"/>
      <c r="AJ946" s="450"/>
      <c r="AK946" s="450"/>
      <c r="AL946" s="450"/>
      <c r="AM946" s="450"/>
      <c r="AN946" s="450"/>
      <c r="AO946" s="450"/>
      <c r="AP946" s="450"/>
      <c r="AQ946" s="450"/>
      <c r="AR946" s="450"/>
      <c r="AS946" s="450"/>
      <c r="AT946" s="450"/>
      <c r="AU946" s="450"/>
      <c r="AV946" s="450"/>
      <c r="AW946" s="450"/>
      <c r="AX946" s="450"/>
      <c r="AY946" s="450"/>
      <c r="AZ946" s="450"/>
      <c r="BA946" s="450"/>
      <c r="BB946" s="450"/>
      <c r="BC946" s="450"/>
      <c r="BD946" s="450"/>
      <c r="BE946" s="450"/>
      <c r="BF946" s="450"/>
      <c r="BG946" s="450"/>
      <c r="BH946" s="450"/>
      <c r="BI946" s="450"/>
      <c r="BJ946" s="450"/>
      <c r="BK946" s="450"/>
      <c r="BL946" s="450"/>
      <c r="BM946" s="450"/>
    </row>
    <row r="947" spans="1:65" ht="11.15">
      <c r="A947" s="450"/>
      <c r="B947" s="450"/>
      <c r="C947" s="450"/>
      <c r="D947" s="450"/>
      <c r="E947" s="450"/>
      <c r="F947" s="450"/>
      <c r="G947" s="450"/>
      <c r="H947" s="450"/>
      <c r="I947" s="450"/>
      <c r="J947" s="450"/>
      <c r="K947" s="450"/>
      <c r="L947" s="450"/>
      <c r="M947" s="450"/>
      <c r="N947" s="450"/>
      <c r="O947" s="450"/>
      <c r="P947" s="450"/>
      <c r="Q947" s="450"/>
      <c r="R947" s="450"/>
      <c r="S947" s="450"/>
      <c r="T947" s="450"/>
      <c r="U947" s="450"/>
      <c r="V947" s="450"/>
      <c r="W947" s="450"/>
      <c r="X947" s="450"/>
      <c r="Y947" s="450"/>
      <c r="Z947" s="450"/>
      <c r="AA947" s="450"/>
      <c r="AB947" s="450"/>
      <c r="AC947" s="450"/>
      <c r="AD947" s="450"/>
      <c r="AE947" s="450"/>
      <c r="AF947" s="450"/>
      <c r="AG947" s="450"/>
      <c r="AH947" s="450"/>
      <c r="AI947" s="450"/>
      <c r="AJ947" s="450"/>
      <c r="AK947" s="450"/>
      <c r="AL947" s="450"/>
      <c r="AM947" s="450"/>
      <c r="AN947" s="450"/>
      <c r="AO947" s="450"/>
      <c r="AP947" s="450"/>
      <c r="AQ947" s="450"/>
      <c r="AR947" s="450"/>
      <c r="AS947" s="450"/>
      <c r="AT947" s="450"/>
      <c r="AU947" s="450"/>
      <c r="AV947" s="450"/>
      <c r="AW947" s="450"/>
      <c r="AX947" s="450"/>
      <c r="AY947" s="450"/>
      <c r="AZ947" s="450"/>
      <c r="BA947" s="450"/>
      <c r="BB947" s="450"/>
      <c r="BC947" s="450"/>
      <c r="BD947" s="450"/>
      <c r="BE947" s="450"/>
      <c r="BF947" s="450"/>
      <c r="BG947" s="450"/>
      <c r="BH947" s="450"/>
      <c r="BI947" s="450"/>
      <c r="BJ947" s="450"/>
      <c r="BK947" s="450"/>
      <c r="BL947" s="450"/>
      <c r="BM947" s="450"/>
    </row>
    <row r="948" spans="1:65" ht="11.15">
      <c r="A948" s="450"/>
      <c r="B948" s="450"/>
      <c r="C948" s="450"/>
      <c r="D948" s="450"/>
      <c r="E948" s="450"/>
      <c r="F948" s="450"/>
      <c r="G948" s="450"/>
      <c r="H948" s="450"/>
      <c r="I948" s="450"/>
      <c r="J948" s="450"/>
      <c r="K948" s="450"/>
      <c r="L948" s="450"/>
      <c r="M948" s="450"/>
      <c r="N948" s="450"/>
      <c r="O948" s="450"/>
      <c r="P948" s="450"/>
      <c r="Q948" s="450"/>
      <c r="R948" s="450"/>
      <c r="S948" s="450"/>
      <c r="T948" s="450"/>
      <c r="U948" s="450"/>
      <c r="V948" s="450"/>
      <c r="W948" s="450"/>
      <c r="X948" s="450"/>
      <c r="Y948" s="450"/>
      <c r="Z948" s="450"/>
      <c r="AA948" s="450"/>
      <c r="AB948" s="450"/>
      <c r="AC948" s="450"/>
      <c r="AD948" s="450"/>
      <c r="AE948" s="450"/>
      <c r="AF948" s="450"/>
      <c r="AG948" s="450"/>
      <c r="AH948" s="450"/>
      <c r="AI948" s="450"/>
      <c r="AJ948" s="450"/>
      <c r="AK948" s="450"/>
      <c r="AL948" s="450"/>
      <c r="AM948" s="450"/>
      <c r="AN948" s="450"/>
      <c r="AO948" s="450"/>
      <c r="AP948" s="450"/>
      <c r="AQ948" s="450"/>
      <c r="AR948" s="450"/>
      <c r="AS948" s="450"/>
      <c r="AT948" s="450"/>
      <c r="AU948" s="450"/>
      <c r="AV948" s="450"/>
      <c r="AW948" s="450"/>
      <c r="AX948" s="450"/>
      <c r="AY948" s="450"/>
      <c r="AZ948" s="450"/>
      <c r="BA948" s="450"/>
      <c r="BB948" s="450"/>
      <c r="BC948" s="450"/>
      <c r="BD948" s="450"/>
      <c r="BE948" s="450"/>
      <c r="BF948" s="450"/>
      <c r="BG948" s="450"/>
      <c r="BH948" s="450"/>
      <c r="BI948" s="450"/>
      <c r="BJ948" s="450"/>
      <c r="BK948" s="450"/>
      <c r="BL948" s="450"/>
      <c r="BM948" s="450"/>
    </row>
    <row r="949" spans="1:65" ht="11.15">
      <c r="A949" s="450"/>
      <c r="B949" s="450"/>
      <c r="C949" s="450"/>
      <c r="D949" s="450"/>
      <c r="E949" s="450"/>
      <c r="F949" s="450"/>
      <c r="G949" s="450"/>
      <c r="H949" s="450"/>
      <c r="I949" s="450"/>
      <c r="J949" s="450"/>
      <c r="K949" s="450"/>
      <c r="L949" s="450"/>
      <c r="M949" s="450"/>
      <c r="N949" s="450"/>
      <c r="O949" s="450"/>
      <c r="P949" s="450"/>
      <c r="Q949" s="450"/>
      <c r="R949" s="450"/>
      <c r="S949" s="450"/>
      <c r="T949" s="450"/>
      <c r="U949" s="450"/>
      <c r="V949" s="450"/>
      <c r="W949" s="450"/>
      <c r="X949" s="450"/>
      <c r="Y949" s="450"/>
      <c r="Z949" s="450"/>
      <c r="AA949" s="450"/>
      <c r="AB949" s="450"/>
      <c r="AC949" s="450"/>
      <c r="AD949" s="450"/>
      <c r="AE949" s="450"/>
      <c r="AF949" s="450"/>
      <c r="AG949" s="450"/>
      <c r="AH949" s="450"/>
      <c r="AI949" s="450"/>
      <c r="AJ949" s="450"/>
      <c r="AK949" s="450"/>
      <c r="AL949" s="450"/>
      <c r="AM949" s="450"/>
      <c r="AN949" s="450"/>
      <c r="AO949" s="450"/>
      <c r="AP949" s="450"/>
      <c r="AQ949" s="450"/>
      <c r="AR949" s="450"/>
      <c r="AS949" s="450"/>
      <c r="AT949" s="450"/>
      <c r="AU949" s="450"/>
      <c r="AV949" s="450"/>
      <c r="AW949" s="450"/>
      <c r="AX949" s="450"/>
      <c r="AY949" s="450"/>
      <c r="AZ949" s="450"/>
      <c r="BA949" s="450"/>
      <c r="BB949" s="450"/>
      <c r="BC949" s="450"/>
      <c r="BD949" s="450"/>
      <c r="BE949" s="450"/>
      <c r="BF949" s="450"/>
      <c r="BG949" s="450"/>
      <c r="BH949" s="450"/>
      <c r="BI949" s="450"/>
      <c r="BJ949" s="450"/>
      <c r="BK949" s="450"/>
      <c r="BL949" s="450"/>
      <c r="BM949" s="450"/>
    </row>
    <row r="950" spans="1:65" ht="11.15">
      <c r="A950" s="450"/>
      <c r="B950" s="450"/>
      <c r="C950" s="450"/>
      <c r="D950" s="450"/>
      <c r="E950" s="450"/>
      <c r="F950" s="450"/>
      <c r="G950" s="450"/>
      <c r="H950" s="450"/>
      <c r="I950" s="450"/>
      <c r="J950" s="450"/>
      <c r="K950" s="450"/>
      <c r="L950" s="450"/>
      <c r="M950" s="450"/>
      <c r="N950" s="450"/>
      <c r="O950" s="450"/>
      <c r="P950" s="450"/>
      <c r="Q950" s="450"/>
      <c r="R950" s="450"/>
      <c r="S950" s="450"/>
      <c r="T950" s="450"/>
      <c r="U950" s="450"/>
      <c r="V950" s="450"/>
      <c r="W950" s="450"/>
      <c r="X950" s="450"/>
      <c r="Y950" s="450"/>
      <c r="Z950" s="450"/>
      <c r="AA950" s="450"/>
      <c r="AB950" s="450"/>
      <c r="AC950" s="450"/>
      <c r="AD950" s="450"/>
      <c r="AE950" s="450"/>
      <c r="AF950" s="450"/>
      <c r="AG950" s="450"/>
      <c r="AH950" s="450"/>
      <c r="AI950" s="450"/>
      <c r="AJ950" s="450"/>
      <c r="AK950" s="450"/>
      <c r="AL950" s="450"/>
      <c r="AM950" s="450"/>
      <c r="AN950" s="450"/>
      <c r="AO950" s="450"/>
      <c r="AP950" s="450"/>
      <c r="AQ950" s="450"/>
      <c r="AR950" s="450"/>
      <c r="AS950" s="450"/>
      <c r="AT950" s="450"/>
      <c r="AU950" s="450"/>
      <c r="AV950" s="450"/>
      <c r="AW950" s="450"/>
      <c r="AX950" s="450"/>
      <c r="AY950" s="450"/>
      <c r="AZ950" s="450"/>
      <c r="BA950" s="450"/>
      <c r="BB950" s="450"/>
      <c r="BC950" s="450"/>
      <c r="BD950" s="450"/>
      <c r="BE950" s="450"/>
      <c r="BF950" s="450"/>
      <c r="BG950" s="450"/>
      <c r="BH950" s="450"/>
      <c r="BI950" s="450"/>
      <c r="BJ950" s="450"/>
      <c r="BK950" s="450"/>
      <c r="BL950" s="450"/>
      <c r="BM950" s="450"/>
    </row>
    <row r="951" spans="1:65" ht="11.15">
      <c r="A951" s="450"/>
      <c r="B951" s="450"/>
      <c r="C951" s="450"/>
      <c r="D951" s="450"/>
      <c r="E951" s="450"/>
      <c r="F951" s="450"/>
      <c r="G951" s="450"/>
      <c r="H951" s="450"/>
      <c r="I951" s="450"/>
      <c r="J951" s="450"/>
      <c r="K951" s="450"/>
      <c r="L951" s="450"/>
      <c r="M951" s="450"/>
      <c r="N951" s="450"/>
      <c r="O951" s="450"/>
      <c r="P951" s="450"/>
      <c r="Q951" s="450"/>
      <c r="R951" s="450"/>
      <c r="S951" s="450"/>
      <c r="T951" s="450"/>
      <c r="U951" s="450"/>
      <c r="V951" s="450"/>
      <c r="W951" s="450"/>
      <c r="X951" s="450"/>
      <c r="Y951" s="450"/>
      <c r="Z951" s="450"/>
      <c r="AA951" s="450"/>
      <c r="AB951" s="450"/>
      <c r="AC951" s="450"/>
      <c r="AD951" s="450"/>
      <c r="AE951" s="450"/>
      <c r="AF951" s="450"/>
      <c r="AG951" s="450"/>
      <c r="AH951" s="450"/>
      <c r="AI951" s="450"/>
      <c r="AJ951" s="450"/>
      <c r="AK951" s="450"/>
      <c r="AL951" s="450"/>
      <c r="AM951" s="450"/>
      <c r="AN951" s="450"/>
      <c r="AO951" s="450"/>
      <c r="AP951" s="450"/>
      <c r="AQ951" s="450"/>
      <c r="AR951" s="450"/>
      <c r="AS951" s="450"/>
      <c r="AT951" s="450"/>
      <c r="AU951" s="450"/>
      <c r="AV951" s="450"/>
      <c r="AW951" s="450"/>
      <c r="AX951" s="450"/>
      <c r="AY951" s="450"/>
      <c r="AZ951" s="450"/>
      <c r="BA951" s="450"/>
      <c r="BB951" s="450"/>
      <c r="BC951" s="450"/>
      <c r="BD951" s="450"/>
      <c r="BE951" s="450"/>
      <c r="BF951" s="450"/>
      <c r="BG951" s="450"/>
      <c r="BH951" s="450"/>
      <c r="BI951" s="450"/>
      <c r="BJ951" s="450"/>
      <c r="BK951" s="450"/>
      <c r="BL951" s="450"/>
      <c r="BM951" s="450"/>
    </row>
    <row r="952" spans="1:65" ht="11.15">
      <c r="A952" s="450"/>
      <c r="B952" s="450"/>
      <c r="C952" s="450"/>
      <c r="D952" s="450"/>
      <c r="E952" s="450"/>
      <c r="F952" s="450"/>
      <c r="G952" s="450"/>
      <c r="H952" s="450"/>
      <c r="I952" s="450"/>
      <c r="J952" s="450"/>
      <c r="K952" s="450"/>
      <c r="L952" s="450"/>
      <c r="M952" s="450"/>
      <c r="N952" s="450"/>
      <c r="O952" s="450"/>
      <c r="P952" s="450"/>
      <c r="Q952" s="450"/>
      <c r="R952" s="450"/>
      <c r="S952" s="450"/>
      <c r="T952" s="450"/>
      <c r="U952" s="450"/>
      <c r="V952" s="450"/>
      <c r="W952" s="450"/>
      <c r="X952" s="450"/>
      <c r="Y952" s="450"/>
      <c r="Z952" s="450"/>
      <c r="AA952" s="450"/>
      <c r="AB952" s="450"/>
      <c r="AC952" s="450"/>
      <c r="AD952" s="450"/>
      <c r="AE952" s="450"/>
      <c r="AF952" s="450"/>
      <c r="AG952" s="450"/>
      <c r="AH952" s="450"/>
      <c r="AI952" s="450"/>
      <c r="AJ952" s="450"/>
      <c r="AK952" s="450"/>
      <c r="AL952" s="450"/>
      <c r="AM952" s="450"/>
      <c r="AN952" s="450"/>
      <c r="AO952" s="450"/>
      <c r="AP952" s="450"/>
      <c r="AQ952" s="450"/>
      <c r="AR952" s="450"/>
      <c r="AS952" s="450"/>
      <c r="AT952" s="450"/>
      <c r="AU952" s="450"/>
      <c r="AV952" s="450"/>
      <c r="AW952" s="450"/>
      <c r="AX952" s="450"/>
      <c r="AY952" s="450"/>
      <c r="AZ952" s="450"/>
      <c r="BA952" s="450"/>
      <c r="BB952" s="450"/>
      <c r="BC952" s="450"/>
      <c r="BD952" s="450"/>
      <c r="BE952" s="450"/>
      <c r="BF952" s="450"/>
      <c r="BG952" s="450"/>
      <c r="BH952" s="450"/>
      <c r="BI952" s="450"/>
      <c r="BJ952" s="450"/>
      <c r="BK952" s="450"/>
      <c r="BL952" s="450"/>
      <c r="BM952" s="450"/>
    </row>
    <row r="953" spans="1:65" ht="11.15">
      <c r="A953" s="450"/>
      <c r="B953" s="450"/>
      <c r="C953" s="450"/>
      <c r="D953" s="450"/>
      <c r="E953" s="450"/>
      <c r="F953" s="450"/>
      <c r="G953" s="450"/>
      <c r="H953" s="450"/>
      <c r="I953" s="450"/>
      <c r="J953" s="450"/>
      <c r="K953" s="450"/>
      <c r="L953" s="450"/>
      <c r="M953" s="450"/>
      <c r="N953" s="450"/>
      <c r="O953" s="450"/>
      <c r="P953" s="450"/>
      <c r="Q953" s="450"/>
      <c r="R953" s="450"/>
      <c r="S953" s="450"/>
      <c r="T953" s="450"/>
      <c r="U953" s="450"/>
      <c r="V953" s="450"/>
      <c r="W953" s="450"/>
      <c r="X953" s="450"/>
      <c r="Y953" s="450"/>
      <c r="Z953" s="450"/>
      <c r="AA953" s="450"/>
      <c r="AB953" s="450"/>
      <c r="AC953" s="450"/>
      <c r="AD953" s="450"/>
      <c r="AE953" s="450"/>
      <c r="AF953" s="450"/>
      <c r="AG953" s="450"/>
      <c r="AH953" s="450"/>
      <c r="AI953" s="450"/>
      <c r="AJ953" s="450"/>
      <c r="AK953" s="450"/>
      <c r="AL953" s="450"/>
      <c r="AM953" s="450"/>
      <c r="AN953" s="450"/>
      <c r="AO953" s="450"/>
      <c r="AP953" s="450"/>
      <c r="AQ953" s="450"/>
      <c r="AR953" s="450"/>
      <c r="AS953" s="450"/>
      <c r="AT953" s="450"/>
      <c r="AU953" s="450"/>
      <c r="AV953" s="450"/>
      <c r="AW953" s="450"/>
      <c r="AX953" s="450"/>
      <c r="AY953" s="450"/>
      <c r="AZ953" s="450"/>
      <c r="BA953" s="450"/>
      <c r="BB953" s="450"/>
      <c r="BC953" s="450"/>
      <c r="BD953" s="450"/>
      <c r="BE953" s="450"/>
      <c r="BF953" s="450"/>
      <c r="BG953" s="450"/>
      <c r="BH953" s="450"/>
      <c r="BI953" s="450"/>
      <c r="BJ953" s="450"/>
      <c r="BK953" s="450"/>
      <c r="BL953" s="450"/>
      <c r="BM953" s="450"/>
    </row>
    <row r="954" spans="1:65" ht="11.15">
      <c r="A954" s="450"/>
      <c r="B954" s="450"/>
      <c r="C954" s="450"/>
      <c r="D954" s="450"/>
      <c r="E954" s="450"/>
      <c r="F954" s="450"/>
      <c r="G954" s="450"/>
      <c r="H954" s="450"/>
      <c r="I954" s="450"/>
      <c r="J954" s="450"/>
      <c r="K954" s="450"/>
      <c r="L954" s="450"/>
      <c r="M954" s="450"/>
      <c r="N954" s="450"/>
      <c r="O954" s="450"/>
      <c r="P954" s="450"/>
      <c r="Q954" s="450"/>
      <c r="R954" s="450"/>
      <c r="S954" s="450"/>
      <c r="T954" s="450"/>
      <c r="U954" s="450"/>
      <c r="V954" s="450"/>
      <c r="W954" s="450"/>
      <c r="X954" s="450"/>
      <c r="Y954" s="450"/>
      <c r="Z954" s="450"/>
      <c r="AA954" s="450"/>
      <c r="AB954" s="450"/>
      <c r="AC954" s="450"/>
      <c r="AD954" s="450"/>
      <c r="AE954" s="450"/>
      <c r="AF954" s="450"/>
      <c r="AG954" s="450"/>
      <c r="AH954" s="450"/>
      <c r="AI954" s="450"/>
      <c r="AJ954" s="450"/>
      <c r="AK954" s="450"/>
      <c r="AL954" s="450"/>
      <c r="AM954" s="450"/>
      <c r="AN954" s="450"/>
      <c r="AO954" s="450"/>
      <c r="AP954" s="450"/>
      <c r="AQ954" s="450"/>
      <c r="AR954" s="450"/>
      <c r="AS954" s="450"/>
      <c r="AT954" s="450"/>
      <c r="AU954" s="450"/>
      <c r="AV954" s="450"/>
      <c r="AW954" s="450"/>
      <c r="AX954" s="450"/>
      <c r="AY954" s="450"/>
      <c r="AZ954" s="450"/>
      <c r="BA954" s="450"/>
      <c r="BB954" s="450"/>
      <c r="BC954" s="450"/>
      <c r="BD954" s="450"/>
      <c r="BE954" s="450"/>
      <c r="BF954" s="450"/>
      <c r="BG954" s="450"/>
      <c r="BH954" s="450"/>
      <c r="BI954" s="450"/>
      <c r="BJ954" s="450"/>
      <c r="BK954" s="450"/>
      <c r="BL954" s="450"/>
      <c r="BM954" s="450"/>
    </row>
    <row r="955" spans="1:65" ht="11.15">
      <c r="A955" s="450"/>
      <c r="B955" s="450"/>
      <c r="C955" s="450"/>
      <c r="D955" s="450"/>
      <c r="E955" s="450"/>
      <c r="F955" s="450"/>
      <c r="G955" s="450"/>
      <c r="H955" s="450"/>
      <c r="I955" s="450"/>
      <c r="J955" s="450"/>
      <c r="K955" s="450"/>
      <c r="L955" s="450"/>
      <c r="M955" s="450"/>
      <c r="N955" s="450"/>
      <c r="O955" s="450"/>
      <c r="P955" s="450"/>
      <c r="Q955" s="450"/>
      <c r="R955" s="450"/>
      <c r="S955" s="450"/>
      <c r="T955" s="450"/>
      <c r="U955" s="450"/>
      <c r="V955" s="450"/>
      <c r="W955" s="450"/>
      <c r="X955" s="450"/>
      <c r="Y955" s="450"/>
      <c r="Z955" s="450"/>
      <c r="AA955" s="450"/>
      <c r="AB955" s="450"/>
      <c r="AC955" s="450"/>
      <c r="AD955" s="450"/>
      <c r="AE955" s="450"/>
      <c r="AF955" s="450"/>
      <c r="AG955" s="450"/>
      <c r="AH955" s="450"/>
      <c r="AI955" s="450"/>
      <c r="AJ955" s="450"/>
      <c r="AK955" s="450"/>
      <c r="AL955" s="450"/>
      <c r="AM955" s="450"/>
      <c r="AN955" s="450"/>
      <c r="AO955" s="450"/>
      <c r="AP955" s="450"/>
      <c r="AQ955" s="450"/>
      <c r="AR955" s="450"/>
      <c r="AS955" s="450"/>
      <c r="AT955" s="450"/>
      <c r="AU955" s="450"/>
      <c r="AV955" s="450"/>
      <c r="AW955" s="450"/>
      <c r="AX955" s="450"/>
      <c r="AY955" s="450"/>
      <c r="AZ955" s="450"/>
      <c r="BA955" s="450"/>
      <c r="BB955" s="450"/>
      <c r="BC955" s="450"/>
      <c r="BD955" s="450"/>
      <c r="BE955" s="450"/>
      <c r="BF955" s="450"/>
      <c r="BG955" s="450"/>
      <c r="BH955" s="450"/>
      <c r="BI955" s="450"/>
      <c r="BJ955" s="450"/>
      <c r="BK955" s="450"/>
      <c r="BL955" s="450"/>
      <c r="BM955" s="450"/>
    </row>
    <row r="956" spans="1:65" ht="11.15">
      <c r="A956" s="450"/>
      <c r="B956" s="450"/>
      <c r="C956" s="450"/>
      <c r="D956" s="450"/>
      <c r="E956" s="450"/>
      <c r="F956" s="450"/>
      <c r="G956" s="450"/>
      <c r="H956" s="450"/>
      <c r="I956" s="450"/>
      <c r="J956" s="450"/>
      <c r="K956" s="450"/>
      <c r="L956" s="450"/>
      <c r="M956" s="450"/>
      <c r="N956" s="450"/>
      <c r="O956" s="450"/>
      <c r="P956" s="450"/>
      <c r="Q956" s="450"/>
      <c r="R956" s="450"/>
      <c r="S956" s="450"/>
      <c r="T956" s="450"/>
      <c r="U956" s="450"/>
      <c r="V956" s="450"/>
      <c r="W956" s="450"/>
      <c r="X956" s="450"/>
      <c r="Y956" s="450"/>
      <c r="Z956" s="450"/>
      <c r="AA956" s="450"/>
      <c r="AB956" s="450"/>
      <c r="AC956" s="450"/>
      <c r="AD956" s="450"/>
      <c r="AE956" s="450"/>
      <c r="AF956" s="450"/>
      <c r="AG956" s="450"/>
      <c r="AH956" s="450"/>
      <c r="AI956" s="450"/>
      <c r="AJ956" s="450"/>
      <c r="AK956" s="450"/>
      <c r="AL956" s="450"/>
      <c r="AM956" s="450"/>
      <c r="AN956" s="450"/>
      <c r="AO956" s="450"/>
      <c r="AP956" s="450"/>
      <c r="AQ956" s="450"/>
      <c r="AR956" s="450"/>
      <c r="AS956" s="450"/>
      <c r="AT956" s="450"/>
      <c r="AU956" s="450"/>
      <c r="AV956" s="450"/>
      <c r="AW956" s="450"/>
      <c r="AX956" s="450"/>
      <c r="AY956" s="450"/>
      <c r="AZ956" s="450"/>
      <c r="BA956" s="450"/>
      <c r="BB956" s="450"/>
      <c r="BC956" s="450"/>
      <c r="BD956" s="450"/>
      <c r="BE956" s="450"/>
      <c r="BF956" s="450"/>
      <c r="BG956" s="450"/>
      <c r="BH956" s="450"/>
      <c r="BI956" s="450"/>
      <c r="BJ956" s="450"/>
      <c r="BK956" s="450"/>
      <c r="BL956" s="450"/>
      <c r="BM956" s="450"/>
    </row>
    <row r="957" spans="1:65" ht="11.15">
      <c r="A957" s="450"/>
      <c r="B957" s="450"/>
      <c r="C957" s="450"/>
      <c r="D957" s="450"/>
      <c r="E957" s="450"/>
      <c r="F957" s="450"/>
      <c r="G957" s="450"/>
      <c r="H957" s="450"/>
      <c r="I957" s="450"/>
      <c r="J957" s="450"/>
      <c r="K957" s="450"/>
      <c r="L957" s="450"/>
      <c r="M957" s="450"/>
      <c r="N957" s="450"/>
      <c r="O957" s="450"/>
      <c r="P957" s="450"/>
      <c r="Q957" s="450"/>
      <c r="R957" s="450"/>
      <c r="S957" s="450"/>
      <c r="T957" s="450"/>
      <c r="U957" s="450"/>
      <c r="V957" s="450"/>
      <c r="W957" s="450"/>
      <c r="X957" s="450"/>
      <c r="Y957" s="450"/>
      <c r="Z957" s="450"/>
      <c r="AA957" s="450"/>
      <c r="AB957" s="450"/>
      <c r="AC957" s="450"/>
      <c r="AD957" s="450"/>
      <c r="AE957" s="450"/>
      <c r="AF957" s="450"/>
      <c r="AG957" s="450"/>
      <c r="AH957" s="450"/>
      <c r="AI957" s="450"/>
      <c r="AJ957" s="450"/>
      <c r="AK957" s="450"/>
      <c r="AL957" s="450"/>
      <c r="AM957" s="450"/>
      <c r="AN957" s="450"/>
      <c r="AO957" s="450"/>
      <c r="AP957" s="450"/>
      <c r="AQ957" s="450"/>
      <c r="AR957" s="450"/>
      <c r="AS957" s="450"/>
      <c r="AT957" s="450"/>
      <c r="AU957" s="450"/>
      <c r="AV957" s="450"/>
      <c r="AW957" s="450"/>
      <c r="AX957" s="450"/>
      <c r="AY957" s="450"/>
      <c r="AZ957" s="450"/>
      <c r="BA957" s="450"/>
      <c r="BB957" s="450"/>
      <c r="BC957" s="450"/>
      <c r="BD957" s="450"/>
      <c r="BE957" s="450"/>
      <c r="BF957" s="450"/>
      <c r="BG957" s="450"/>
      <c r="BH957" s="450"/>
      <c r="BI957" s="450"/>
      <c r="BJ957" s="450"/>
      <c r="BK957" s="450"/>
      <c r="BL957" s="450"/>
      <c r="BM957" s="450"/>
    </row>
    <row r="958" spans="1:65" ht="11.15">
      <c r="A958" s="450"/>
      <c r="B958" s="450"/>
      <c r="C958" s="450"/>
      <c r="D958" s="450"/>
      <c r="E958" s="450"/>
      <c r="F958" s="450"/>
      <c r="G958" s="450"/>
      <c r="H958" s="450"/>
      <c r="I958" s="450"/>
      <c r="J958" s="450"/>
      <c r="K958" s="450"/>
      <c r="L958" s="450"/>
      <c r="M958" s="450"/>
      <c r="N958" s="450"/>
      <c r="O958" s="450"/>
      <c r="P958" s="450"/>
      <c r="Q958" s="450"/>
      <c r="R958" s="450"/>
      <c r="S958" s="450"/>
      <c r="T958" s="450"/>
      <c r="U958" s="450"/>
      <c r="V958" s="450"/>
      <c r="W958" s="450"/>
      <c r="X958" s="450"/>
      <c r="Y958" s="450"/>
      <c r="Z958" s="450"/>
      <c r="AA958" s="450"/>
      <c r="AB958" s="450"/>
      <c r="AC958" s="450"/>
      <c r="AD958" s="450"/>
      <c r="AE958" s="450"/>
      <c r="AF958" s="450"/>
      <c r="AG958" s="450"/>
      <c r="AH958" s="450"/>
      <c r="AI958" s="450"/>
      <c r="AJ958" s="450"/>
      <c r="AK958" s="450"/>
      <c r="AL958" s="450"/>
      <c r="AM958" s="450"/>
      <c r="AN958" s="450"/>
      <c r="AO958" s="450"/>
      <c r="AP958" s="450"/>
      <c r="AQ958" s="450"/>
      <c r="AR958" s="450"/>
      <c r="AS958" s="450"/>
      <c r="AT958" s="450"/>
      <c r="AU958" s="450"/>
      <c r="AV958" s="450"/>
      <c r="AW958" s="450"/>
      <c r="AX958" s="450"/>
      <c r="AY958" s="450"/>
      <c r="AZ958" s="450"/>
      <c r="BA958" s="450"/>
      <c r="BB958" s="450"/>
      <c r="BC958" s="450"/>
      <c r="BD958" s="450"/>
      <c r="BE958" s="450"/>
      <c r="BF958" s="450"/>
      <c r="BG958" s="450"/>
      <c r="BH958" s="450"/>
      <c r="BI958" s="450"/>
      <c r="BJ958" s="450"/>
      <c r="BK958" s="450"/>
      <c r="BL958" s="450"/>
      <c r="BM958" s="450"/>
    </row>
    <row r="959" spans="1:65" ht="11.15">
      <c r="A959" s="450"/>
      <c r="B959" s="450"/>
      <c r="C959" s="450"/>
      <c r="D959" s="450"/>
      <c r="E959" s="450"/>
      <c r="F959" s="450"/>
      <c r="G959" s="450"/>
      <c r="H959" s="450"/>
      <c r="I959" s="450"/>
      <c r="J959" s="450"/>
      <c r="K959" s="450"/>
      <c r="L959" s="450"/>
      <c r="M959" s="450"/>
      <c r="N959" s="450"/>
      <c r="O959" s="450"/>
      <c r="P959" s="450"/>
      <c r="Q959" s="450"/>
      <c r="R959" s="450"/>
      <c r="S959" s="450"/>
      <c r="T959" s="450"/>
      <c r="U959" s="450"/>
      <c r="V959" s="450"/>
      <c r="W959" s="450"/>
      <c r="X959" s="450"/>
      <c r="Y959" s="450"/>
      <c r="Z959" s="450"/>
      <c r="AA959" s="450"/>
      <c r="AB959" s="450"/>
      <c r="AC959" s="450"/>
      <c r="AD959" s="450"/>
      <c r="AE959" s="450"/>
      <c r="AF959" s="450"/>
      <c r="AG959" s="450"/>
      <c r="AH959" s="450"/>
      <c r="AI959" s="450"/>
      <c r="AJ959" s="450"/>
      <c r="AK959" s="450"/>
      <c r="AL959" s="450"/>
      <c r="AM959" s="450"/>
      <c r="AN959" s="450"/>
      <c r="AO959" s="450"/>
      <c r="AP959" s="450"/>
      <c r="AQ959" s="450"/>
      <c r="AR959" s="450"/>
      <c r="AS959" s="450"/>
      <c r="AT959" s="450"/>
      <c r="AU959" s="450"/>
      <c r="AV959" s="450"/>
      <c r="AW959" s="450"/>
      <c r="AX959" s="450"/>
      <c r="AY959" s="450"/>
      <c r="AZ959" s="450"/>
      <c r="BA959" s="450"/>
      <c r="BB959" s="450"/>
      <c r="BC959" s="450"/>
      <c r="BD959" s="450"/>
      <c r="BE959" s="450"/>
      <c r="BF959" s="450"/>
      <c r="BG959" s="450"/>
      <c r="BH959" s="450"/>
      <c r="BI959" s="450"/>
      <c r="BJ959" s="450"/>
      <c r="BK959" s="450"/>
      <c r="BL959" s="450"/>
      <c r="BM959" s="450"/>
    </row>
    <row r="960" spans="1:65" ht="11.15">
      <c r="A960" s="450"/>
      <c r="B960" s="450"/>
      <c r="C960" s="450"/>
      <c r="D960" s="450"/>
      <c r="E960" s="450"/>
      <c r="F960" s="450"/>
      <c r="G960" s="450"/>
      <c r="H960" s="450"/>
      <c r="I960" s="450"/>
      <c r="J960" s="450"/>
      <c r="K960" s="450"/>
      <c r="L960" s="450"/>
      <c r="M960" s="450"/>
      <c r="N960" s="450"/>
      <c r="O960" s="450"/>
      <c r="P960" s="450"/>
      <c r="Q960" s="450"/>
      <c r="R960" s="450"/>
      <c r="S960" s="450"/>
      <c r="T960" s="450"/>
      <c r="U960" s="450"/>
      <c r="V960" s="450"/>
      <c r="W960" s="450"/>
      <c r="X960" s="450"/>
      <c r="Y960" s="450"/>
      <c r="Z960" s="450"/>
      <c r="AA960" s="450"/>
      <c r="AB960" s="450"/>
      <c r="AC960" s="450"/>
      <c r="AD960" s="450"/>
      <c r="AE960" s="450"/>
      <c r="AF960" s="450"/>
      <c r="AG960" s="450"/>
      <c r="AH960" s="450"/>
      <c r="AI960" s="450"/>
      <c r="AJ960" s="450"/>
      <c r="AK960" s="450"/>
      <c r="AL960" s="450"/>
      <c r="AM960" s="450"/>
      <c r="AN960" s="450"/>
      <c r="AO960" s="450"/>
      <c r="AP960" s="450"/>
      <c r="AQ960" s="450"/>
      <c r="AR960" s="450"/>
      <c r="AS960" s="450"/>
      <c r="AT960" s="450"/>
      <c r="AU960" s="450"/>
      <c r="AV960" s="450"/>
      <c r="AW960" s="450"/>
      <c r="AX960" s="450"/>
      <c r="AY960" s="450"/>
      <c r="AZ960" s="450"/>
      <c r="BA960" s="450"/>
      <c r="BB960" s="450"/>
      <c r="BC960" s="450"/>
      <c r="BD960" s="450"/>
      <c r="BE960" s="450"/>
      <c r="BF960" s="450"/>
      <c r="BG960" s="450"/>
      <c r="BH960" s="450"/>
      <c r="BI960" s="450"/>
      <c r="BJ960" s="450"/>
      <c r="BK960" s="450"/>
      <c r="BL960" s="450"/>
      <c r="BM960" s="450"/>
    </row>
    <row r="961" spans="1:65" ht="11.15">
      <c r="A961" s="450"/>
      <c r="B961" s="450"/>
      <c r="C961" s="450"/>
      <c r="D961" s="450"/>
      <c r="E961" s="450"/>
      <c r="F961" s="450"/>
      <c r="G961" s="450"/>
      <c r="H961" s="450"/>
      <c r="I961" s="450"/>
      <c r="J961" s="450"/>
      <c r="K961" s="450"/>
      <c r="L961" s="450"/>
      <c r="M961" s="450"/>
      <c r="N961" s="450"/>
      <c r="O961" s="450"/>
      <c r="P961" s="450"/>
      <c r="Q961" s="450"/>
      <c r="R961" s="450"/>
      <c r="S961" s="450"/>
      <c r="T961" s="450"/>
      <c r="U961" s="450"/>
      <c r="V961" s="450"/>
      <c r="W961" s="450"/>
      <c r="X961" s="450"/>
      <c r="Y961" s="450"/>
      <c r="Z961" s="450"/>
      <c r="AA961" s="450"/>
      <c r="AB961" s="450"/>
      <c r="AC961" s="450"/>
      <c r="AD961" s="450"/>
      <c r="AE961" s="450"/>
      <c r="AF961" s="450"/>
      <c r="AG961" s="450"/>
      <c r="AH961" s="450"/>
      <c r="AI961" s="450"/>
      <c r="AJ961" s="450"/>
      <c r="AK961" s="450"/>
      <c r="AL961" s="450"/>
      <c r="AM961" s="450"/>
      <c r="AN961" s="450"/>
      <c r="AO961" s="450"/>
      <c r="AP961" s="450"/>
      <c r="AQ961" s="450"/>
      <c r="AR961" s="450"/>
      <c r="AS961" s="450"/>
      <c r="AT961" s="450"/>
      <c r="AU961" s="450"/>
      <c r="AV961" s="450"/>
      <c r="AW961" s="450"/>
      <c r="AX961" s="450"/>
      <c r="AY961" s="450"/>
      <c r="AZ961" s="450"/>
      <c r="BA961" s="450"/>
      <c r="BB961" s="450"/>
      <c r="BC961" s="450"/>
      <c r="BD961" s="450"/>
      <c r="BE961" s="450"/>
      <c r="BF961" s="450"/>
      <c r="BG961" s="450"/>
      <c r="BH961" s="450"/>
      <c r="BI961" s="450"/>
      <c r="BJ961" s="450"/>
      <c r="BK961" s="450"/>
      <c r="BL961" s="450"/>
      <c r="BM961" s="450"/>
    </row>
    <row r="962" spans="1:65" ht="11.15">
      <c r="A962" s="450"/>
      <c r="B962" s="450"/>
      <c r="C962" s="450"/>
      <c r="D962" s="450"/>
      <c r="E962" s="450"/>
      <c r="F962" s="450"/>
      <c r="G962" s="450"/>
      <c r="H962" s="450"/>
      <c r="I962" s="450"/>
      <c r="J962" s="450"/>
      <c r="K962" s="450"/>
      <c r="L962" s="450"/>
      <c r="M962" s="450"/>
      <c r="N962" s="450"/>
      <c r="O962" s="450"/>
      <c r="P962" s="450"/>
      <c r="Q962" s="450"/>
      <c r="R962" s="450"/>
      <c r="S962" s="450"/>
      <c r="T962" s="450"/>
      <c r="U962" s="450"/>
      <c r="V962" s="450"/>
      <c r="W962" s="450"/>
      <c r="X962" s="450"/>
      <c r="Y962" s="450"/>
      <c r="Z962" s="450"/>
      <c r="AA962" s="450"/>
      <c r="AB962" s="450"/>
      <c r="AC962" s="450"/>
      <c r="AD962" s="450"/>
      <c r="AE962" s="450"/>
      <c r="AF962" s="450"/>
      <c r="AG962" s="450"/>
      <c r="AH962" s="450"/>
      <c r="AI962" s="450"/>
      <c r="AJ962" s="450"/>
      <c r="AK962" s="450"/>
      <c r="AL962" s="450"/>
      <c r="AM962" s="450"/>
      <c r="AN962" s="450"/>
      <c r="AO962" s="450"/>
      <c r="AP962" s="450"/>
      <c r="AQ962" s="450"/>
      <c r="AR962" s="450"/>
      <c r="AS962" s="450"/>
      <c r="AT962" s="450"/>
      <c r="AU962" s="450"/>
      <c r="AV962" s="450"/>
      <c r="AW962" s="450"/>
      <c r="AX962" s="450"/>
      <c r="AY962" s="450"/>
      <c r="AZ962" s="450"/>
      <c r="BA962" s="450"/>
      <c r="BB962" s="450"/>
      <c r="BC962" s="450"/>
      <c r="BD962" s="450"/>
      <c r="BE962" s="450"/>
      <c r="BF962" s="450"/>
      <c r="BG962" s="450"/>
      <c r="BH962" s="450"/>
      <c r="BI962" s="450"/>
      <c r="BJ962" s="450"/>
      <c r="BK962" s="450"/>
      <c r="BL962" s="450"/>
      <c r="BM962" s="450"/>
    </row>
    <row r="963" spans="1:65" ht="11.15">
      <c r="A963" s="450"/>
      <c r="B963" s="450"/>
      <c r="C963" s="450"/>
      <c r="D963" s="450"/>
      <c r="E963" s="450"/>
      <c r="F963" s="450"/>
      <c r="G963" s="450"/>
      <c r="H963" s="450"/>
      <c r="I963" s="450"/>
      <c r="J963" s="450"/>
      <c r="K963" s="450"/>
      <c r="L963" s="450"/>
      <c r="M963" s="450"/>
      <c r="N963" s="450"/>
      <c r="O963" s="450"/>
      <c r="P963" s="450"/>
      <c r="Q963" s="450"/>
      <c r="R963" s="450"/>
      <c r="S963" s="450"/>
      <c r="T963" s="450"/>
      <c r="U963" s="450"/>
      <c r="V963" s="450"/>
      <c r="W963" s="450"/>
      <c r="X963" s="450"/>
      <c r="Y963" s="450"/>
      <c r="Z963" s="450"/>
      <c r="AA963" s="450"/>
      <c r="AB963" s="450"/>
      <c r="AC963" s="450"/>
      <c r="AD963" s="450"/>
      <c r="AE963" s="450"/>
      <c r="AF963" s="450"/>
      <c r="AG963" s="450"/>
      <c r="AH963" s="450"/>
      <c r="AI963" s="450"/>
      <c r="AJ963" s="450"/>
      <c r="AK963" s="450"/>
      <c r="AL963" s="450"/>
      <c r="AM963" s="450"/>
      <c r="AN963" s="450"/>
      <c r="AO963" s="450"/>
      <c r="AP963" s="450"/>
      <c r="AQ963" s="450"/>
      <c r="AR963" s="450"/>
      <c r="AS963" s="450"/>
      <c r="AT963" s="450"/>
      <c r="AU963" s="450"/>
      <c r="AV963" s="450"/>
      <c r="AW963" s="450"/>
      <c r="AX963" s="450"/>
      <c r="AY963" s="450"/>
      <c r="AZ963" s="450"/>
      <c r="BA963" s="450"/>
      <c r="BB963" s="450"/>
      <c r="BC963" s="450"/>
      <c r="BD963" s="450"/>
      <c r="BE963" s="450"/>
      <c r="BF963" s="450"/>
      <c r="BG963" s="450"/>
      <c r="BH963" s="450"/>
      <c r="BI963" s="450"/>
      <c r="BJ963" s="450"/>
      <c r="BK963" s="450"/>
      <c r="BL963" s="450"/>
      <c r="BM963" s="450"/>
    </row>
    <row r="964" spans="1:65" ht="11.15">
      <c r="A964" s="450"/>
      <c r="B964" s="450"/>
      <c r="C964" s="450"/>
      <c r="D964" s="450"/>
      <c r="E964" s="450"/>
      <c r="F964" s="450"/>
      <c r="G964" s="450"/>
      <c r="H964" s="450"/>
      <c r="I964" s="450"/>
      <c r="J964" s="450"/>
      <c r="K964" s="450"/>
      <c r="L964" s="450"/>
      <c r="M964" s="450"/>
      <c r="N964" s="450"/>
      <c r="O964" s="450"/>
      <c r="P964" s="450"/>
      <c r="Q964" s="450"/>
      <c r="R964" s="450"/>
      <c r="S964" s="450"/>
      <c r="T964" s="450"/>
      <c r="U964" s="450"/>
      <c r="V964" s="450"/>
      <c r="W964" s="450"/>
      <c r="X964" s="450"/>
      <c r="Y964" s="450"/>
      <c r="Z964" s="450"/>
      <c r="AA964" s="450"/>
      <c r="AB964" s="450"/>
      <c r="AC964" s="450"/>
      <c r="AD964" s="450"/>
      <c r="AE964" s="450"/>
      <c r="AF964" s="450"/>
      <c r="AG964" s="450"/>
      <c r="AH964" s="450"/>
      <c r="AI964" s="450"/>
      <c r="AJ964" s="450"/>
      <c r="AK964" s="450"/>
      <c r="AL964" s="450"/>
      <c r="AM964" s="450"/>
      <c r="AN964" s="450"/>
      <c r="AO964" s="450"/>
      <c r="AP964" s="450"/>
      <c r="AQ964" s="450"/>
      <c r="AR964" s="450"/>
      <c r="AS964" s="450"/>
      <c r="AT964" s="450"/>
      <c r="AU964" s="450"/>
      <c r="AV964" s="450"/>
      <c r="AW964" s="450"/>
      <c r="AX964" s="450"/>
      <c r="AY964" s="450"/>
      <c r="AZ964" s="450"/>
      <c r="BA964" s="450"/>
      <c r="BB964" s="450"/>
      <c r="BC964" s="450"/>
      <c r="BD964" s="450"/>
      <c r="BE964" s="450"/>
      <c r="BF964" s="450"/>
      <c r="BG964" s="450"/>
      <c r="BH964" s="450"/>
      <c r="BI964" s="450"/>
      <c r="BJ964" s="450"/>
      <c r="BK964" s="450"/>
      <c r="BL964" s="450"/>
      <c r="BM964" s="450"/>
    </row>
    <row r="965" spans="1:65" ht="11.15">
      <c r="A965" s="450"/>
      <c r="B965" s="450"/>
      <c r="C965" s="450"/>
      <c r="D965" s="450"/>
      <c r="E965" s="450"/>
      <c r="F965" s="450"/>
      <c r="G965" s="450"/>
      <c r="H965" s="450"/>
      <c r="I965" s="450"/>
      <c r="J965" s="450"/>
      <c r="K965" s="450"/>
      <c r="L965" s="450"/>
      <c r="M965" s="450"/>
      <c r="N965" s="450"/>
      <c r="O965" s="450"/>
      <c r="P965" s="450"/>
      <c r="Q965" s="450"/>
      <c r="R965" s="450"/>
      <c r="S965" s="450"/>
      <c r="T965" s="450"/>
      <c r="U965" s="450"/>
      <c r="V965" s="450"/>
      <c r="W965" s="450"/>
      <c r="X965" s="450"/>
      <c r="Y965" s="450"/>
      <c r="Z965" s="450"/>
      <c r="AA965" s="450"/>
      <c r="AB965" s="450"/>
      <c r="AC965" s="450"/>
      <c r="AD965" s="450"/>
      <c r="AE965" s="450"/>
      <c r="AF965" s="450"/>
      <c r="AG965" s="450"/>
      <c r="AH965" s="450"/>
      <c r="AI965" s="450"/>
      <c r="AJ965" s="450"/>
      <c r="AK965" s="450"/>
      <c r="AL965" s="450"/>
      <c r="AM965" s="450"/>
      <c r="AN965" s="450"/>
      <c r="AO965" s="450"/>
      <c r="AP965" s="450"/>
      <c r="AQ965" s="450"/>
      <c r="AR965" s="450"/>
      <c r="AS965" s="450"/>
      <c r="AT965" s="450"/>
      <c r="AU965" s="450"/>
      <c r="AV965" s="450"/>
      <c r="AW965" s="450"/>
      <c r="AX965" s="450"/>
      <c r="AY965" s="450"/>
      <c r="AZ965" s="450"/>
      <c r="BA965" s="450"/>
      <c r="BB965" s="450"/>
      <c r="BC965" s="450"/>
      <c r="BD965" s="450"/>
      <c r="BE965" s="450"/>
      <c r="BF965" s="450"/>
      <c r="BG965" s="450"/>
      <c r="BH965" s="450"/>
      <c r="BI965" s="450"/>
      <c r="BJ965" s="450"/>
      <c r="BK965" s="450"/>
      <c r="BL965" s="450"/>
      <c r="BM965" s="450"/>
    </row>
    <row r="966" spans="1:65" ht="11.15">
      <c r="A966" s="450"/>
      <c r="B966" s="450"/>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c r="Z966" s="450"/>
      <c r="AA966" s="450"/>
      <c r="AB966" s="450"/>
      <c r="AC966" s="450"/>
      <c r="AD966" s="450"/>
      <c r="AE966" s="450"/>
      <c r="AF966" s="450"/>
      <c r="AG966" s="450"/>
      <c r="AH966" s="450"/>
      <c r="AI966" s="450"/>
      <c r="AJ966" s="450"/>
      <c r="AK966" s="450"/>
      <c r="AL966" s="450"/>
      <c r="AM966" s="450"/>
      <c r="AN966" s="450"/>
      <c r="AO966" s="450"/>
      <c r="AP966" s="450"/>
      <c r="AQ966" s="450"/>
      <c r="AR966" s="450"/>
      <c r="AS966" s="450"/>
      <c r="AT966" s="450"/>
      <c r="AU966" s="450"/>
      <c r="AV966" s="450"/>
      <c r="AW966" s="450"/>
      <c r="AX966" s="450"/>
      <c r="AY966" s="450"/>
      <c r="AZ966" s="450"/>
      <c r="BA966" s="450"/>
      <c r="BB966" s="450"/>
      <c r="BC966" s="450"/>
      <c r="BD966" s="450"/>
      <c r="BE966" s="450"/>
      <c r="BF966" s="450"/>
      <c r="BG966" s="450"/>
      <c r="BH966" s="450"/>
      <c r="BI966" s="450"/>
      <c r="BJ966" s="450"/>
      <c r="BK966" s="450"/>
      <c r="BL966" s="450"/>
      <c r="BM966" s="450"/>
    </row>
    <row r="967" spans="1:65" ht="11.15">
      <c r="A967" s="450"/>
      <c r="B967" s="450"/>
      <c r="C967" s="450"/>
      <c r="D967" s="450"/>
      <c r="E967" s="450"/>
      <c r="F967" s="450"/>
      <c r="G967" s="450"/>
      <c r="H967" s="450"/>
      <c r="I967" s="450"/>
      <c r="J967" s="450"/>
      <c r="K967" s="450"/>
      <c r="L967" s="450"/>
      <c r="M967" s="450"/>
      <c r="N967" s="450"/>
      <c r="O967" s="450"/>
      <c r="P967" s="450"/>
      <c r="Q967" s="450"/>
      <c r="R967" s="450"/>
      <c r="S967" s="450"/>
      <c r="T967" s="450"/>
      <c r="U967" s="450"/>
      <c r="V967" s="450"/>
      <c r="W967" s="450"/>
      <c r="X967" s="450"/>
      <c r="Y967" s="450"/>
      <c r="Z967" s="450"/>
      <c r="AA967" s="450"/>
      <c r="AB967" s="450"/>
      <c r="AC967" s="450"/>
      <c r="AD967" s="450"/>
      <c r="AE967" s="450"/>
      <c r="AF967" s="450"/>
      <c r="AG967" s="450"/>
      <c r="AH967" s="450"/>
      <c r="AI967" s="450"/>
      <c r="AJ967" s="450"/>
      <c r="AK967" s="450"/>
      <c r="AL967" s="450"/>
      <c r="AM967" s="450"/>
      <c r="AN967" s="450"/>
      <c r="AO967" s="450"/>
      <c r="AP967" s="450"/>
      <c r="AQ967" s="450"/>
      <c r="AR967" s="450"/>
      <c r="AS967" s="450"/>
      <c r="AT967" s="450"/>
      <c r="AU967" s="450"/>
      <c r="AV967" s="450"/>
      <c r="AW967" s="450"/>
      <c r="AX967" s="450"/>
      <c r="AY967" s="450"/>
      <c r="AZ967" s="450"/>
      <c r="BA967" s="450"/>
      <c r="BB967" s="450"/>
      <c r="BC967" s="450"/>
      <c r="BD967" s="450"/>
      <c r="BE967" s="450"/>
      <c r="BF967" s="450"/>
      <c r="BG967" s="450"/>
      <c r="BH967" s="450"/>
      <c r="BI967" s="450"/>
      <c r="BJ967" s="450"/>
      <c r="BK967" s="450"/>
      <c r="BL967" s="450"/>
      <c r="BM967" s="450"/>
    </row>
    <row r="968" spans="1:65" ht="11.15">
      <c r="A968" s="450"/>
      <c r="B968" s="450"/>
      <c r="C968" s="450"/>
      <c r="D968" s="450"/>
      <c r="E968" s="450"/>
      <c r="F968" s="450"/>
      <c r="G968" s="450"/>
      <c r="H968" s="450"/>
      <c r="I968" s="450"/>
      <c r="J968" s="450"/>
      <c r="K968" s="450"/>
      <c r="L968" s="450"/>
      <c r="M968" s="450"/>
      <c r="N968" s="450"/>
      <c r="O968" s="450"/>
      <c r="P968" s="450"/>
      <c r="Q968" s="450"/>
      <c r="R968" s="450"/>
      <c r="S968" s="450"/>
      <c r="T968" s="450"/>
      <c r="U968" s="450"/>
      <c r="V968" s="450"/>
      <c r="W968" s="450"/>
      <c r="X968" s="450"/>
      <c r="Y968" s="450"/>
      <c r="Z968" s="450"/>
      <c r="AA968" s="450"/>
      <c r="AB968" s="450"/>
      <c r="AC968" s="450"/>
      <c r="AD968" s="450"/>
      <c r="AE968" s="450"/>
      <c r="AF968" s="450"/>
      <c r="AG968" s="450"/>
      <c r="AH968" s="450"/>
      <c r="AI968" s="450"/>
      <c r="AJ968" s="450"/>
      <c r="AK968" s="450"/>
      <c r="AL968" s="450"/>
      <c r="AM968" s="450"/>
      <c r="AN968" s="450"/>
      <c r="AO968" s="450"/>
      <c r="AP968" s="450"/>
      <c r="AQ968" s="450"/>
      <c r="AR968" s="450"/>
      <c r="AS968" s="450"/>
      <c r="AT968" s="450"/>
      <c r="AU968" s="450"/>
      <c r="AV968" s="450"/>
      <c r="AW968" s="450"/>
      <c r="AX968" s="450"/>
      <c r="AY968" s="450"/>
      <c r="AZ968" s="450"/>
      <c r="BA968" s="450"/>
      <c r="BB968" s="450"/>
      <c r="BC968" s="450"/>
      <c r="BD968" s="450"/>
      <c r="BE968" s="450"/>
      <c r="BF968" s="450"/>
      <c r="BG968" s="450"/>
      <c r="BH968" s="450"/>
      <c r="BI968" s="450"/>
      <c r="BJ968" s="450"/>
      <c r="BK968" s="450"/>
      <c r="BL968" s="450"/>
      <c r="BM968" s="450"/>
    </row>
    <row r="969" spans="1:65" ht="11.15">
      <c r="A969" s="450"/>
      <c r="B969" s="450"/>
      <c r="C969" s="450"/>
      <c r="D969" s="450"/>
      <c r="E969" s="450"/>
      <c r="F969" s="450"/>
      <c r="G969" s="450"/>
      <c r="H969" s="450"/>
      <c r="I969" s="450"/>
      <c r="J969" s="450"/>
      <c r="K969" s="450"/>
      <c r="L969" s="450"/>
      <c r="M969" s="450"/>
      <c r="N969" s="450"/>
      <c r="O969" s="450"/>
      <c r="P969" s="450"/>
      <c r="Q969" s="450"/>
      <c r="R969" s="450"/>
      <c r="S969" s="450"/>
      <c r="T969" s="450"/>
      <c r="U969" s="450"/>
      <c r="V969" s="450"/>
      <c r="W969" s="450"/>
      <c r="X969" s="450"/>
      <c r="Y969" s="450"/>
      <c r="Z969" s="450"/>
      <c r="AA969" s="450"/>
      <c r="AB969" s="450"/>
      <c r="AC969" s="450"/>
      <c r="AD969" s="450"/>
      <c r="AE969" s="450"/>
      <c r="AF969" s="450"/>
      <c r="AG969" s="450"/>
      <c r="AH969" s="450"/>
      <c r="AI969" s="450"/>
      <c r="AJ969" s="450"/>
      <c r="AK969" s="450"/>
      <c r="AL969" s="450"/>
      <c r="AM969" s="450"/>
      <c r="AN969" s="450"/>
      <c r="AO969" s="450"/>
      <c r="AP969" s="450"/>
      <c r="AQ969" s="450"/>
      <c r="AR969" s="450"/>
      <c r="AS969" s="450"/>
      <c r="AT969" s="450"/>
      <c r="AU969" s="450"/>
      <c r="AV969" s="450"/>
      <c r="AW969" s="450"/>
      <c r="AX969" s="450"/>
      <c r="AY969" s="450"/>
      <c r="AZ969" s="450"/>
      <c r="BA969" s="450"/>
      <c r="BB969" s="450"/>
      <c r="BC969" s="450"/>
      <c r="BD969" s="450"/>
      <c r="BE969" s="450"/>
      <c r="BF969" s="450"/>
      <c r="BG969" s="450"/>
      <c r="BH969" s="450"/>
      <c r="BI969" s="450"/>
      <c r="BJ969" s="450"/>
      <c r="BK969" s="450"/>
      <c r="BL969" s="450"/>
      <c r="BM969" s="450"/>
    </row>
    <row r="970" spans="1:65" ht="11.15">
      <c r="A970" s="450"/>
      <c r="B970" s="450"/>
      <c r="C970" s="450"/>
      <c r="D970" s="450"/>
      <c r="E970" s="450"/>
      <c r="F970" s="450"/>
      <c r="G970" s="450"/>
      <c r="H970" s="450"/>
      <c r="I970" s="450"/>
      <c r="J970" s="450"/>
      <c r="K970" s="450"/>
      <c r="L970" s="450"/>
      <c r="M970" s="450"/>
      <c r="N970" s="450"/>
      <c r="O970" s="450"/>
      <c r="P970" s="450"/>
      <c r="Q970" s="450"/>
      <c r="R970" s="450"/>
      <c r="S970" s="450"/>
      <c r="T970" s="450"/>
      <c r="U970" s="450"/>
      <c r="V970" s="450"/>
      <c r="W970" s="450"/>
      <c r="X970" s="450"/>
      <c r="Y970" s="450"/>
      <c r="Z970" s="450"/>
      <c r="AA970" s="450"/>
      <c r="AB970" s="450"/>
      <c r="AC970" s="450"/>
      <c r="AD970" s="450"/>
      <c r="AE970" s="450"/>
      <c r="AF970" s="450"/>
      <c r="AG970" s="450"/>
      <c r="AH970" s="450"/>
      <c r="AI970" s="450"/>
      <c r="AJ970" s="450"/>
      <c r="AK970" s="450"/>
      <c r="AL970" s="450"/>
      <c r="AM970" s="450"/>
      <c r="AN970" s="450"/>
      <c r="AO970" s="450"/>
      <c r="AP970" s="450"/>
      <c r="AQ970" s="450"/>
      <c r="AR970" s="450"/>
      <c r="AS970" s="450"/>
      <c r="AT970" s="450"/>
      <c r="AU970" s="450"/>
      <c r="AV970" s="450"/>
      <c r="AW970" s="450"/>
      <c r="AX970" s="450"/>
      <c r="AY970" s="450"/>
      <c r="AZ970" s="450"/>
      <c r="BA970" s="450"/>
      <c r="BB970" s="450"/>
      <c r="BC970" s="450"/>
      <c r="BD970" s="450"/>
      <c r="BE970" s="450"/>
      <c r="BF970" s="450"/>
      <c r="BG970" s="450"/>
      <c r="BH970" s="450"/>
      <c r="BI970" s="450"/>
      <c r="BJ970" s="450"/>
      <c r="BK970" s="450"/>
      <c r="BL970" s="450"/>
      <c r="BM970" s="450"/>
    </row>
    <row r="971" spans="1:65" ht="11.15">
      <c r="A971" s="450"/>
      <c r="B971" s="450"/>
      <c r="C971" s="450"/>
      <c r="D971" s="450"/>
      <c r="E971" s="450"/>
      <c r="F971" s="450"/>
      <c r="G971" s="450"/>
      <c r="H971" s="450"/>
      <c r="I971" s="450"/>
      <c r="J971" s="450"/>
      <c r="K971" s="450"/>
      <c r="L971" s="450"/>
      <c r="M971" s="450"/>
      <c r="N971" s="450"/>
      <c r="O971" s="450"/>
      <c r="P971" s="450"/>
      <c r="Q971" s="450"/>
      <c r="R971" s="450"/>
      <c r="S971" s="450"/>
      <c r="T971" s="450"/>
      <c r="U971" s="450"/>
      <c r="V971" s="450"/>
      <c r="W971" s="450"/>
      <c r="X971" s="450"/>
      <c r="Y971" s="450"/>
      <c r="Z971" s="450"/>
      <c r="AA971" s="450"/>
      <c r="AB971" s="450"/>
      <c r="AC971" s="450"/>
      <c r="AD971" s="450"/>
      <c r="AE971" s="450"/>
      <c r="AF971" s="450"/>
      <c r="AG971" s="450"/>
      <c r="AH971" s="450"/>
      <c r="AI971" s="450"/>
      <c r="AJ971" s="450"/>
      <c r="AK971" s="450"/>
      <c r="AL971" s="450"/>
      <c r="AM971" s="450"/>
      <c r="AN971" s="450"/>
      <c r="AO971" s="450"/>
      <c r="AP971" s="450"/>
      <c r="AQ971" s="450"/>
      <c r="AR971" s="450"/>
      <c r="AS971" s="450"/>
      <c r="AT971" s="450"/>
      <c r="AU971" s="450"/>
      <c r="AV971" s="450"/>
      <c r="AW971" s="450"/>
      <c r="AX971" s="450"/>
      <c r="AY971" s="450"/>
      <c r="AZ971" s="450"/>
      <c r="BA971" s="450"/>
      <c r="BB971" s="450"/>
      <c r="BC971" s="450"/>
      <c r="BD971" s="450"/>
      <c r="BE971" s="450"/>
      <c r="BF971" s="450"/>
      <c r="BG971" s="450"/>
      <c r="BH971" s="450"/>
      <c r="BI971" s="450"/>
      <c r="BJ971" s="450"/>
      <c r="BK971" s="450"/>
      <c r="BL971" s="450"/>
      <c r="BM971" s="450"/>
    </row>
    <row r="972" spans="1:65" ht="11.15">
      <c r="A972" s="450"/>
      <c r="B972" s="450"/>
      <c r="C972" s="450"/>
      <c r="D972" s="450"/>
      <c r="E972" s="450"/>
      <c r="F972" s="450"/>
      <c r="G972" s="450"/>
      <c r="H972" s="450"/>
      <c r="I972" s="450"/>
      <c r="J972" s="450"/>
      <c r="K972" s="450"/>
      <c r="L972" s="450"/>
      <c r="M972" s="450"/>
      <c r="N972" s="450"/>
      <c r="O972" s="450"/>
      <c r="P972" s="450"/>
      <c r="Q972" s="450"/>
      <c r="R972" s="450"/>
      <c r="S972" s="450"/>
      <c r="T972" s="450"/>
      <c r="U972" s="450"/>
      <c r="V972" s="450"/>
      <c r="W972" s="450"/>
      <c r="X972" s="450"/>
      <c r="Y972" s="450"/>
      <c r="Z972" s="450"/>
      <c r="AA972" s="450"/>
      <c r="AB972" s="450"/>
      <c r="AC972" s="450"/>
      <c r="AD972" s="450"/>
      <c r="AE972" s="450"/>
      <c r="AF972" s="450"/>
      <c r="AG972" s="450"/>
      <c r="AH972" s="450"/>
      <c r="AI972" s="450"/>
      <c r="AJ972" s="450"/>
      <c r="AK972" s="450"/>
      <c r="AL972" s="450"/>
      <c r="AM972" s="450"/>
      <c r="AN972" s="450"/>
      <c r="AO972" s="450"/>
      <c r="AP972" s="450"/>
      <c r="AQ972" s="450"/>
      <c r="AR972" s="450"/>
      <c r="AS972" s="450"/>
      <c r="AT972" s="450"/>
      <c r="AU972" s="450"/>
      <c r="AV972" s="450"/>
      <c r="AW972" s="450"/>
      <c r="AX972" s="450"/>
      <c r="AY972" s="450"/>
      <c r="AZ972" s="450"/>
      <c r="BA972" s="450"/>
      <c r="BB972" s="450"/>
      <c r="BC972" s="450"/>
      <c r="BD972" s="450"/>
      <c r="BE972" s="450"/>
      <c r="BF972" s="450"/>
      <c r="BG972" s="450"/>
      <c r="BH972" s="450"/>
      <c r="BI972" s="450"/>
      <c r="BJ972" s="450"/>
      <c r="BK972" s="450"/>
      <c r="BL972" s="450"/>
      <c r="BM972" s="450"/>
    </row>
    <row r="973" spans="1:65" ht="11.15">
      <c r="A973" s="450"/>
      <c r="B973" s="450"/>
      <c r="C973" s="450"/>
      <c r="D973" s="450"/>
      <c r="E973" s="450"/>
      <c r="F973" s="450"/>
      <c r="G973" s="450"/>
      <c r="H973" s="450"/>
      <c r="I973" s="450"/>
      <c r="J973" s="450"/>
      <c r="K973" s="450"/>
      <c r="L973" s="450"/>
      <c r="M973" s="450"/>
      <c r="N973" s="450"/>
      <c r="O973" s="450"/>
      <c r="P973" s="450"/>
      <c r="Q973" s="450"/>
      <c r="R973" s="450"/>
      <c r="S973" s="450"/>
      <c r="T973" s="450"/>
      <c r="U973" s="450"/>
      <c r="V973" s="450"/>
      <c r="W973" s="450"/>
      <c r="X973" s="450"/>
      <c r="Y973" s="450"/>
      <c r="Z973" s="450"/>
      <c r="AA973" s="450"/>
      <c r="AB973" s="450"/>
      <c r="AC973" s="450"/>
      <c r="AD973" s="450"/>
      <c r="AE973" s="450"/>
      <c r="AF973" s="450"/>
      <c r="AG973" s="450"/>
      <c r="AH973" s="450"/>
      <c r="AI973" s="450"/>
      <c r="AJ973" s="450"/>
      <c r="AK973" s="450"/>
      <c r="AL973" s="450"/>
      <c r="AM973" s="450"/>
      <c r="AN973" s="450"/>
      <c r="AO973" s="450"/>
      <c r="AP973" s="450"/>
      <c r="AQ973" s="450"/>
      <c r="AR973" s="450"/>
      <c r="AS973" s="450"/>
      <c r="AT973" s="450"/>
      <c r="AU973" s="450"/>
      <c r="AV973" s="450"/>
      <c r="AW973" s="450"/>
      <c r="AX973" s="450"/>
      <c r="AY973" s="450"/>
      <c r="AZ973" s="450"/>
      <c r="BA973" s="450"/>
      <c r="BB973" s="450"/>
      <c r="BC973" s="450"/>
      <c r="BD973" s="450"/>
      <c r="BE973" s="450"/>
      <c r="BF973" s="450"/>
      <c r="BG973" s="450"/>
      <c r="BH973" s="450"/>
      <c r="BI973" s="450"/>
      <c r="BJ973" s="450"/>
      <c r="BK973" s="450"/>
      <c r="BL973" s="450"/>
      <c r="BM973" s="450"/>
    </row>
    <row r="974" spans="1:65" ht="11.15">
      <c r="A974" s="450"/>
      <c r="B974" s="450"/>
      <c r="C974" s="450"/>
      <c r="D974" s="450"/>
      <c r="E974" s="450"/>
      <c r="F974" s="450"/>
      <c r="G974" s="450"/>
      <c r="H974" s="450"/>
      <c r="I974" s="450"/>
      <c r="J974" s="450"/>
      <c r="K974" s="450"/>
      <c r="L974" s="450"/>
      <c r="M974" s="450"/>
      <c r="N974" s="450"/>
      <c r="O974" s="450"/>
      <c r="P974" s="450"/>
      <c r="Q974" s="450"/>
      <c r="R974" s="450"/>
      <c r="S974" s="450"/>
      <c r="T974" s="450"/>
      <c r="U974" s="450"/>
      <c r="V974" s="450"/>
      <c r="W974" s="450"/>
      <c r="X974" s="450"/>
      <c r="Y974" s="450"/>
      <c r="Z974" s="450"/>
      <c r="AA974" s="450"/>
      <c r="AB974" s="450"/>
      <c r="AC974" s="450"/>
      <c r="AD974" s="450"/>
      <c r="AE974" s="450"/>
      <c r="AF974" s="450"/>
      <c r="AG974" s="450"/>
      <c r="AH974" s="450"/>
      <c r="AI974" s="450"/>
      <c r="AJ974" s="450"/>
      <c r="AK974" s="450"/>
      <c r="AL974" s="450"/>
      <c r="AM974" s="450"/>
      <c r="AN974" s="450"/>
      <c r="AO974" s="450"/>
      <c r="AP974" s="450"/>
      <c r="AQ974" s="450"/>
      <c r="AR974" s="450"/>
      <c r="AS974" s="450"/>
      <c r="AT974" s="450"/>
      <c r="AU974" s="450"/>
      <c r="AV974" s="450"/>
      <c r="AW974" s="450"/>
      <c r="AX974" s="450"/>
      <c r="AY974" s="450"/>
      <c r="AZ974" s="450"/>
      <c r="BA974" s="450"/>
      <c r="BB974" s="450"/>
      <c r="BC974" s="450"/>
      <c r="BD974" s="450"/>
      <c r="BE974" s="450"/>
      <c r="BF974" s="450"/>
      <c r="BG974" s="450"/>
      <c r="BH974" s="450"/>
      <c r="BI974" s="450"/>
      <c r="BJ974" s="450"/>
      <c r="BK974" s="450"/>
      <c r="BL974" s="450"/>
      <c r="BM974" s="450"/>
    </row>
    <row r="975" spans="1:65" ht="11.15">
      <c r="A975" s="450"/>
      <c r="B975" s="450"/>
      <c r="C975" s="450"/>
      <c r="D975" s="450"/>
      <c r="E975" s="450"/>
      <c r="F975" s="450"/>
      <c r="G975" s="450"/>
      <c r="H975" s="450"/>
      <c r="I975" s="450"/>
      <c r="J975" s="450"/>
      <c r="K975" s="450"/>
      <c r="L975" s="450"/>
      <c r="M975" s="450"/>
      <c r="N975" s="450"/>
      <c r="O975" s="450"/>
      <c r="P975" s="450"/>
      <c r="Q975" s="450"/>
      <c r="R975" s="450"/>
      <c r="S975" s="450"/>
      <c r="T975" s="450"/>
      <c r="U975" s="450"/>
      <c r="V975" s="450"/>
      <c r="W975" s="450"/>
      <c r="X975" s="450"/>
      <c r="Y975" s="450"/>
      <c r="Z975" s="450"/>
      <c r="AA975" s="450"/>
      <c r="AB975" s="450"/>
      <c r="AC975" s="450"/>
      <c r="AD975" s="450"/>
      <c r="AE975" s="450"/>
      <c r="AF975" s="450"/>
      <c r="AG975" s="450"/>
      <c r="AH975" s="450"/>
      <c r="AI975" s="450"/>
      <c r="AJ975" s="450"/>
      <c r="AK975" s="450"/>
      <c r="AL975" s="450"/>
      <c r="AM975" s="450"/>
      <c r="AN975" s="450"/>
      <c r="AO975" s="450"/>
      <c r="AP975" s="450"/>
      <c r="AQ975" s="450"/>
      <c r="AR975" s="450"/>
      <c r="AS975" s="450"/>
      <c r="AT975" s="450"/>
      <c r="AU975" s="450"/>
      <c r="AV975" s="450"/>
      <c r="AW975" s="450"/>
      <c r="AX975" s="450"/>
      <c r="AY975" s="450"/>
      <c r="AZ975" s="450"/>
      <c r="BA975" s="450"/>
      <c r="BB975" s="450"/>
      <c r="BC975" s="450"/>
      <c r="BD975" s="450"/>
      <c r="BE975" s="450"/>
      <c r="BF975" s="450"/>
      <c r="BG975" s="450"/>
      <c r="BH975" s="450"/>
      <c r="BI975" s="450"/>
      <c r="BJ975" s="450"/>
      <c r="BK975" s="450"/>
      <c r="BL975" s="450"/>
      <c r="BM975" s="450"/>
    </row>
    <row r="976" spans="1:65" ht="11.15">
      <c r="A976" s="450"/>
      <c r="B976" s="450"/>
      <c r="C976" s="450"/>
      <c r="D976" s="450"/>
      <c r="E976" s="450"/>
      <c r="F976" s="450"/>
      <c r="G976" s="450"/>
      <c r="H976" s="450"/>
      <c r="I976" s="450"/>
      <c r="J976" s="450"/>
      <c r="K976" s="450"/>
      <c r="L976" s="450"/>
      <c r="M976" s="450"/>
      <c r="N976" s="450"/>
      <c r="O976" s="450"/>
      <c r="P976" s="450"/>
      <c r="Q976" s="450"/>
      <c r="R976" s="450"/>
      <c r="S976" s="450"/>
      <c r="T976" s="450"/>
      <c r="U976" s="450"/>
      <c r="V976" s="450"/>
      <c r="W976" s="450"/>
      <c r="X976" s="450"/>
      <c r="Y976" s="450"/>
      <c r="Z976" s="450"/>
      <c r="AA976" s="450"/>
      <c r="AB976" s="450"/>
      <c r="AC976" s="450"/>
      <c r="AD976" s="450"/>
      <c r="AE976" s="450"/>
      <c r="AF976" s="450"/>
      <c r="AG976" s="450"/>
      <c r="AH976" s="450"/>
      <c r="AI976" s="450"/>
      <c r="AJ976" s="450"/>
      <c r="AK976" s="450"/>
      <c r="AL976" s="450"/>
      <c r="AM976" s="450"/>
      <c r="AN976" s="450"/>
      <c r="AO976" s="450"/>
      <c r="AP976" s="450"/>
      <c r="AQ976" s="450"/>
      <c r="AR976" s="450"/>
      <c r="AS976" s="450"/>
      <c r="AT976" s="450"/>
      <c r="AU976" s="450"/>
      <c r="AV976" s="450"/>
      <c r="AW976" s="450"/>
      <c r="AX976" s="450"/>
      <c r="AY976" s="450"/>
      <c r="AZ976" s="450"/>
      <c r="BA976" s="450"/>
      <c r="BB976" s="450"/>
      <c r="BC976" s="450"/>
      <c r="BD976" s="450"/>
      <c r="BE976" s="450"/>
      <c r="BF976" s="450"/>
      <c r="BG976" s="450"/>
      <c r="BH976" s="450"/>
      <c r="BI976" s="450"/>
      <c r="BJ976" s="450"/>
      <c r="BK976" s="450"/>
      <c r="BL976" s="450"/>
      <c r="BM976" s="450"/>
    </row>
    <row r="977" spans="1:65" ht="11.15">
      <c r="A977" s="450"/>
      <c r="B977" s="450"/>
      <c r="C977" s="450"/>
      <c r="D977" s="450"/>
      <c r="E977" s="450"/>
      <c r="F977" s="450"/>
      <c r="G977" s="450"/>
      <c r="H977" s="450"/>
      <c r="I977" s="450"/>
      <c r="J977" s="450"/>
      <c r="K977" s="450"/>
      <c r="L977" s="450"/>
      <c r="M977" s="450"/>
      <c r="N977" s="450"/>
      <c r="O977" s="450"/>
      <c r="P977" s="450"/>
      <c r="Q977" s="450"/>
      <c r="R977" s="450"/>
      <c r="S977" s="450"/>
      <c r="T977" s="450"/>
      <c r="U977" s="450"/>
      <c r="V977" s="450"/>
      <c r="W977" s="450"/>
      <c r="X977" s="450"/>
      <c r="Y977" s="450"/>
      <c r="Z977" s="450"/>
      <c r="AA977" s="450"/>
      <c r="AB977" s="450"/>
      <c r="AC977" s="450"/>
      <c r="AD977" s="450"/>
      <c r="AE977" s="450"/>
      <c r="AF977" s="450"/>
      <c r="AG977" s="450"/>
      <c r="AH977" s="450"/>
      <c r="AI977" s="450"/>
      <c r="AJ977" s="450"/>
      <c r="AK977" s="450"/>
      <c r="AL977" s="450"/>
      <c r="AM977" s="450"/>
      <c r="AN977" s="450"/>
      <c r="AO977" s="450"/>
      <c r="AP977" s="450"/>
      <c r="AQ977" s="450"/>
      <c r="AR977" s="450"/>
      <c r="AS977" s="450"/>
      <c r="AT977" s="450"/>
      <c r="AU977" s="450"/>
      <c r="AV977" s="450"/>
      <c r="AW977" s="450"/>
      <c r="AX977" s="450"/>
      <c r="AY977" s="450"/>
      <c r="AZ977" s="450"/>
      <c r="BA977" s="450"/>
      <c r="BB977" s="450"/>
      <c r="BC977" s="450"/>
      <c r="BD977" s="450"/>
      <c r="BE977" s="450"/>
      <c r="BF977" s="450"/>
      <c r="BG977" s="450"/>
      <c r="BH977" s="450"/>
      <c r="BI977" s="450"/>
      <c r="BJ977" s="450"/>
      <c r="BK977" s="450"/>
      <c r="BL977" s="450"/>
      <c r="BM977" s="450"/>
    </row>
    <row r="978" spans="1:65" ht="11.15">
      <c r="A978" s="450"/>
      <c r="B978" s="450"/>
      <c r="C978" s="450"/>
      <c r="D978" s="450"/>
      <c r="E978" s="450"/>
      <c r="F978" s="450"/>
      <c r="G978" s="450"/>
      <c r="H978" s="450"/>
      <c r="I978" s="450"/>
      <c r="J978" s="450"/>
      <c r="K978" s="450"/>
      <c r="L978" s="450"/>
      <c r="M978" s="450"/>
      <c r="N978" s="450"/>
      <c r="O978" s="450"/>
      <c r="P978" s="450"/>
      <c r="Q978" s="450"/>
      <c r="R978" s="450"/>
      <c r="S978" s="450"/>
      <c r="T978" s="450"/>
      <c r="U978" s="450"/>
      <c r="V978" s="450"/>
      <c r="W978" s="450"/>
      <c r="X978" s="450"/>
      <c r="Y978" s="450"/>
      <c r="Z978" s="450"/>
      <c r="AA978" s="450"/>
      <c r="AB978" s="450"/>
      <c r="AC978" s="450"/>
      <c r="AD978" s="450"/>
      <c r="AE978" s="450"/>
      <c r="AF978" s="450"/>
      <c r="AG978" s="450"/>
      <c r="AH978" s="450"/>
      <c r="AI978" s="450"/>
      <c r="AJ978" s="450"/>
      <c r="AK978" s="450"/>
      <c r="AL978" s="450"/>
      <c r="AM978" s="450"/>
      <c r="AN978" s="450"/>
      <c r="AO978" s="450"/>
      <c r="AP978" s="450"/>
      <c r="AQ978" s="450"/>
      <c r="AR978" s="450"/>
      <c r="AS978" s="450"/>
      <c r="AT978" s="450"/>
      <c r="AU978" s="450"/>
      <c r="AV978" s="450"/>
      <c r="AW978" s="450"/>
      <c r="AX978" s="450"/>
      <c r="AY978" s="450"/>
      <c r="AZ978" s="450"/>
      <c r="BA978" s="450"/>
      <c r="BB978" s="450"/>
      <c r="BC978" s="450"/>
      <c r="BD978" s="450"/>
      <c r="BE978" s="450"/>
      <c r="BF978" s="450"/>
      <c r="BG978" s="450"/>
      <c r="BH978" s="450"/>
      <c r="BI978" s="450"/>
      <c r="BJ978" s="450"/>
      <c r="BK978" s="450"/>
      <c r="BL978" s="450"/>
      <c r="BM978" s="450"/>
    </row>
    <row r="979" spans="1:65" ht="11.15">
      <c r="A979" s="450"/>
      <c r="B979" s="450"/>
      <c r="C979" s="450"/>
      <c r="D979" s="450"/>
      <c r="E979" s="450"/>
      <c r="F979" s="450"/>
      <c r="G979" s="450"/>
      <c r="H979" s="450"/>
      <c r="I979" s="450"/>
      <c r="J979" s="450"/>
      <c r="K979" s="450"/>
      <c r="L979" s="450"/>
      <c r="M979" s="450"/>
      <c r="N979" s="450"/>
      <c r="O979" s="450"/>
      <c r="P979" s="450"/>
      <c r="Q979" s="450"/>
      <c r="R979" s="450"/>
      <c r="S979" s="450"/>
      <c r="T979" s="450"/>
      <c r="U979" s="450"/>
      <c r="V979" s="450"/>
      <c r="W979" s="450"/>
      <c r="X979" s="450"/>
      <c r="Y979" s="450"/>
      <c r="Z979" s="450"/>
      <c r="AA979" s="450"/>
      <c r="AB979" s="450"/>
      <c r="AC979" s="450"/>
      <c r="AD979" s="450"/>
      <c r="AE979" s="450"/>
      <c r="AF979" s="450"/>
      <c r="AG979" s="450"/>
      <c r="AH979" s="450"/>
      <c r="AI979" s="450"/>
      <c r="AJ979" s="450"/>
      <c r="AK979" s="450"/>
      <c r="AL979" s="450"/>
      <c r="AM979" s="450"/>
      <c r="AN979" s="450"/>
      <c r="AO979" s="450"/>
      <c r="AP979" s="450"/>
      <c r="AQ979" s="450"/>
      <c r="AR979" s="450"/>
      <c r="AS979" s="450"/>
      <c r="AT979" s="450"/>
      <c r="AU979" s="450"/>
      <c r="AV979" s="450"/>
      <c r="AW979" s="450"/>
      <c r="AX979" s="450"/>
      <c r="AY979" s="450"/>
      <c r="AZ979" s="450"/>
      <c r="BA979" s="450"/>
      <c r="BB979" s="450"/>
      <c r="BC979" s="450"/>
      <c r="BD979" s="450"/>
      <c r="BE979" s="450"/>
      <c r="BF979" s="450"/>
      <c r="BG979" s="450"/>
      <c r="BH979" s="450"/>
      <c r="BI979" s="450"/>
      <c r="BJ979" s="450"/>
      <c r="BK979" s="450"/>
      <c r="BL979" s="450"/>
      <c r="BM979" s="450"/>
    </row>
    <row r="980" spans="1:65" ht="11.15">
      <c r="A980" s="450"/>
      <c r="B980" s="450"/>
      <c r="C980" s="450"/>
      <c r="D980" s="450"/>
      <c r="E980" s="450"/>
      <c r="F980" s="450"/>
      <c r="G980" s="450"/>
      <c r="H980" s="450"/>
      <c r="I980" s="450"/>
      <c r="J980" s="450"/>
      <c r="K980" s="450"/>
      <c r="L980" s="450"/>
      <c r="M980" s="450"/>
      <c r="N980" s="450"/>
      <c r="O980" s="450"/>
      <c r="P980" s="450"/>
      <c r="Q980" s="450"/>
      <c r="R980" s="450"/>
      <c r="S980" s="450"/>
      <c r="T980" s="450"/>
      <c r="U980" s="450"/>
      <c r="V980" s="450"/>
      <c r="W980" s="450"/>
      <c r="X980" s="450"/>
      <c r="Y980" s="450"/>
      <c r="Z980" s="450"/>
      <c r="AA980" s="450"/>
      <c r="AB980" s="450"/>
      <c r="AC980" s="450"/>
      <c r="AD980" s="450"/>
      <c r="AE980" s="450"/>
      <c r="AF980" s="450"/>
      <c r="AG980" s="450"/>
      <c r="AH980" s="450"/>
      <c r="AI980" s="450"/>
      <c r="AJ980" s="450"/>
      <c r="AK980" s="450"/>
      <c r="AL980" s="450"/>
      <c r="AM980" s="450"/>
      <c r="AN980" s="450"/>
      <c r="AO980" s="450"/>
      <c r="AP980" s="450"/>
      <c r="AQ980" s="450"/>
      <c r="AR980" s="450"/>
      <c r="AS980" s="450"/>
      <c r="AT980" s="450"/>
      <c r="AU980" s="450"/>
      <c r="AV980" s="450"/>
      <c r="AW980" s="450"/>
      <c r="AX980" s="450"/>
      <c r="AY980" s="450"/>
      <c r="AZ980" s="450"/>
      <c r="BA980" s="450"/>
      <c r="BB980" s="450"/>
      <c r="BC980" s="450"/>
      <c r="BD980" s="450"/>
      <c r="BE980" s="450"/>
      <c r="BF980" s="450"/>
      <c r="BG980" s="450"/>
      <c r="BH980" s="450"/>
      <c r="BI980" s="450"/>
      <c r="BJ980" s="450"/>
      <c r="BK980" s="450"/>
      <c r="BL980" s="450"/>
      <c r="BM980" s="450"/>
    </row>
    <row r="981" spans="1:65" ht="11.15">
      <c r="A981" s="450"/>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0"/>
      <c r="AD981" s="450"/>
      <c r="AE981" s="450"/>
      <c r="AF981" s="450"/>
      <c r="AG981" s="450"/>
      <c r="AH981" s="450"/>
      <c r="AI981" s="450"/>
      <c r="AJ981" s="450"/>
      <c r="AK981" s="450"/>
      <c r="AL981" s="450"/>
      <c r="AM981" s="450"/>
      <c r="AN981" s="450"/>
      <c r="AO981" s="450"/>
      <c r="AP981" s="450"/>
      <c r="AQ981" s="450"/>
      <c r="AR981" s="450"/>
      <c r="AS981" s="450"/>
      <c r="AT981" s="450"/>
      <c r="AU981" s="450"/>
      <c r="AV981" s="450"/>
      <c r="AW981" s="450"/>
      <c r="AX981" s="450"/>
      <c r="AY981" s="450"/>
      <c r="AZ981" s="450"/>
      <c r="BA981" s="450"/>
      <c r="BB981" s="450"/>
      <c r="BC981" s="450"/>
      <c r="BD981" s="450"/>
      <c r="BE981" s="450"/>
      <c r="BF981" s="450"/>
      <c r="BG981" s="450"/>
      <c r="BH981" s="450"/>
      <c r="BI981" s="450"/>
      <c r="BJ981" s="450"/>
      <c r="BK981" s="450"/>
      <c r="BL981" s="450"/>
      <c r="BM981" s="450"/>
    </row>
    <row r="982" spans="1:65" ht="11.15">
      <c r="A982" s="450"/>
      <c r="B982" s="450"/>
      <c r="C982" s="450"/>
      <c r="D982" s="450"/>
      <c r="E982" s="450"/>
      <c r="F982" s="450"/>
      <c r="G982" s="450"/>
      <c r="H982" s="450"/>
      <c r="I982" s="450"/>
      <c r="J982" s="450"/>
      <c r="K982" s="450"/>
      <c r="L982" s="450"/>
      <c r="M982" s="450"/>
      <c r="N982" s="450"/>
      <c r="O982" s="450"/>
      <c r="P982" s="450"/>
      <c r="Q982" s="450"/>
      <c r="R982" s="450"/>
      <c r="S982" s="450"/>
      <c r="T982" s="450"/>
      <c r="U982" s="450"/>
      <c r="V982" s="450"/>
      <c r="W982" s="450"/>
      <c r="X982" s="450"/>
      <c r="Y982" s="450"/>
      <c r="Z982" s="450"/>
      <c r="AA982" s="450"/>
      <c r="AB982" s="450"/>
      <c r="AC982" s="450"/>
      <c r="AD982" s="450"/>
      <c r="AE982" s="450"/>
      <c r="AF982" s="450"/>
      <c r="AG982" s="450"/>
      <c r="AH982" s="450"/>
      <c r="AI982" s="450"/>
      <c r="AJ982" s="450"/>
      <c r="AK982" s="450"/>
      <c r="AL982" s="450"/>
      <c r="AM982" s="450"/>
      <c r="AN982" s="450"/>
      <c r="AO982" s="450"/>
      <c r="AP982" s="450"/>
      <c r="AQ982" s="450"/>
      <c r="AR982" s="450"/>
      <c r="AS982" s="450"/>
      <c r="AT982" s="450"/>
      <c r="AU982" s="450"/>
      <c r="AV982" s="450"/>
      <c r="AW982" s="450"/>
      <c r="AX982" s="450"/>
      <c r="AY982" s="450"/>
      <c r="AZ982" s="450"/>
      <c r="BA982" s="450"/>
      <c r="BB982" s="450"/>
      <c r="BC982" s="450"/>
      <c r="BD982" s="450"/>
      <c r="BE982" s="450"/>
      <c r="BF982" s="450"/>
      <c r="BG982" s="450"/>
      <c r="BH982" s="450"/>
      <c r="BI982" s="450"/>
      <c r="BJ982" s="450"/>
      <c r="BK982" s="450"/>
      <c r="BL982" s="450"/>
      <c r="BM982" s="450"/>
    </row>
    <row r="983" spans="1:65" ht="11.15">
      <c r="A983" s="450"/>
      <c r="B983" s="450"/>
      <c r="C983" s="450"/>
      <c r="D983" s="450"/>
      <c r="E983" s="450"/>
      <c r="F983" s="450"/>
      <c r="G983" s="450"/>
      <c r="H983" s="450"/>
      <c r="I983" s="450"/>
      <c r="J983" s="450"/>
      <c r="K983" s="450"/>
      <c r="L983" s="450"/>
      <c r="M983" s="450"/>
      <c r="N983" s="450"/>
      <c r="O983" s="450"/>
      <c r="P983" s="450"/>
      <c r="Q983" s="450"/>
      <c r="R983" s="450"/>
      <c r="S983" s="450"/>
      <c r="T983" s="450"/>
      <c r="U983" s="450"/>
      <c r="V983" s="450"/>
      <c r="W983" s="450"/>
      <c r="X983" s="450"/>
      <c r="Y983" s="450"/>
      <c r="Z983" s="450"/>
      <c r="AA983" s="450"/>
      <c r="AB983" s="450"/>
      <c r="AC983" s="450"/>
      <c r="AD983" s="450"/>
      <c r="AE983" s="450"/>
      <c r="AF983" s="450"/>
      <c r="AG983" s="450"/>
      <c r="AH983" s="450"/>
      <c r="AI983" s="450"/>
      <c r="AJ983" s="450"/>
      <c r="AK983" s="450"/>
      <c r="AL983" s="450"/>
      <c r="AM983" s="450"/>
      <c r="AN983" s="450"/>
      <c r="AO983" s="450"/>
      <c r="AP983" s="450"/>
      <c r="AQ983" s="450"/>
      <c r="AR983" s="450"/>
      <c r="AS983" s="450"/>
      <c r="AT983" s="450"/>
      <c r="AU983" s="450"/>
      <c r="AV983" s="450"/>
      <c r="AW983" s="450"/>
      <c r="AX983" s="450"/>
      <c r="AY983" s="450"/>
      <c r="AZ983" s="450"/>
      <c r="BA983" s="450"/>
      <c r="BB983" s="450"/>
      <c r="BC983" s="450"/>
      <c r="BD983" s="450"/>
      <c r="BE983" s="450"/>
      <c r="BF983" s="450"/>
      <c r="BG983" s="450"/>
      <c r="BH983" s="450"/>
      <c r="BI983" s="450"/>
      <c r="BJ983" s="450"/>
      <c r="BK983" s="450"/>
      <c r="BL983" s="450"/>
      <c r="BM983" s="450"/>
    </row>
    <row r="984" spans="1:65" ht="11.15">
      <c r="A984" s="450"/>
      <c r="B984" s="450"/>
      <c r="C984" s="450"/>
      <c r="D984" s="450"/>
      <c r="E984" s="450"/>
      <c r="F984" s="450"/>
      <c r="G984" s="450"/>
      <c r="H984" s="450"/>
      <c r="I984" s="450"/>
      <c r="J984" s="450"/>
      <c r="K984" s="450"/>
      <c r="L984" s="450"/>
      <c r="M984" s="450"/>
      <c r="N984" s="450"/>
      <c r="O984" s="450"/>
      <c r="P984" s="450"/>
      <c r="Q984" s="450"/>
      <c r="R984" s="450"/>
      <c r="S984" s="450"/>
      <c r="T984" s="450"/>
      <c r="U984" s="450"/>
      <c r="V984" s="450"/>
      <c r="W984" s="450"/>
      <c r="X984" s="450"/>
      <c r="Y984" s="450"/>
      <c r="Z984" s="450"/>
      <c r="AA984" s="450"/>
      <c r="AB984" s="450"/>
      <c r="AC984" s="450"/>
      <c r="AD984" s="450"/>
      <c r="AE984" s="450"/>
      <c r="AF984" s="450"/>
      <c r="AG984" s="450"/>
      <c r="AH984" s="450"/>
      <c r="AI984" s="450"/>
      <c r="AJ984" s="450"/>
      <c r="AK984" s="450"/>
      <c r="AL984" s="450"/>
      <c r="AM984" s="450"/>
      <c r="AN984" s="450"/>
      <c r="AO984" s="450"/>
      <c r="AP984" s="450"/>
      <c r="AQ984" s="450"/>
      <c r="AR984" s="450"/>
      <c r="AS984" s="450"/>
      <c r="AT984" s="450"/>
      <c r="AU984" s="450"/>
      <c r="AV984" s="450"/>
      <c r="AW984" s="450"/>
      <c r="AX984" s="450"/>
      <c r="AY984" s="450"/>
      <c r="AZ984" s="450"/>
      <c r="BA984" s="450"/>
      <c r="BB984" s="450"/>
      <c r="BC984" s="450"/>
      <c r="BD984" s="450"/>
      <c r="BE984" s="450"/>
      <c r="BF984" s="450"/>
      <c r="BG984" s="450"/>
      <c r="BH984" s="450"/>
      <c r="BI984" s="450"/>
      <c r="BJ984" s="450"/>
      <c r="BK984" s="450"/>
      <c r="BL984" s="450"/>
      <c r="BM984" s="450"/>
    </row>
    <row r="985" spans="1:65" ht="11.15">
      <c r="A985" s="450"/>
      <c r="B985" s="450"/>
      <c r="C985" s="450"/>
      <c r="D985" s="450"/>
      <c r="E985" s="450"/>
      <c r="F985" s="450"/>
      <c r="G985" s="450"/>
      <c r="H985" s="450"/>
      <c r="I985" s="450"/>
      <c r="J985" s="450"/>
      <c r="K985" s="450"/>
      <c r="L985" s="450"/>
      <c r="M985" s="450"/>
      <c r="N985" s="450"/>
      <c r="O985" s="450"/>
      <c r="P985" s="450"/>
      <c r="Q985" s="450"/>
      <c r="R985" s="450"/>
      <c r="S985" s="450"/>
      <c r="T985" s="450"/>
      <c r="U985" s="450"/>
      <c r="V985" s="450"/>
      <c r="W985" s="450"/>
      <c r="X985" s="450"/>
      <c r="Y985" s="450"/>
      <c r="Z985" s="450"/>
      <c r="AA985" s="450"/>
      <c r="AB985" s="450"/>
      <c r="AC985" s="450"/>
      <c r="AD985" s="450"/>
      <c r="AE985" s="450"/>
      <c r="AF985" s="450"/>
      <c r="AG985" s="450"/>
      <c r="AH985" s="450"/>
      <c r="AI985" s="450"/>
      <c r="AJ985" s="450"/>
      <c r="AK985" s="450"/>
      <c r="AL985" s="450"/>
      <c r="AM985" s="450"/>
      <c r="AN985" s="450"/>
      <c r="AO985" s="450"/>
      <c r="AP985" s="450"/>
      <c r="AQ985" s="450"/>
      <c r="AR985" s="450"/>
      <c r="AS985" s="450"/>
      <c r="AT985" s="450"/>
      <c r="AU985" s="450"/>
      <c r="AV985" s="450"/>
      <c r="AW985" s="450"/>
      <c r="AX985" s="450"/>
      <c r="AY985" s="450"/>
      <c r="AZ985" s="450"/>
      <c r="BA985" s="450"/>
      <c r="BB985" s="450"/>
      <c r="BC985" s="450"/>
      <c r="BD985" s="450"/>
      <c r="BE985" s="450"/>
      <c r="BF985" s="450"/>
      <c r="BG985" s="450"/>
      <c r="BH985" s="450"/>
      <c r="BI985" s="450"/>
      <c r="BJ985" s="450"/>
      <c r="BK985" s="450"/>
      <c r="BL985" s="450"/>
      <c r="BM985" s="450"/>
    </row>
    <row r="986" spans="1:65" ht="11.15">
      <c r="A986" s="450"/>
      <c r="B986" s="450"/>
      <c r="C986" s="450"/>
      <c r="D986" s="450"/>
      <c r="E986" s="450"/>
      <c r="F986" s="450"/>
      <c r="G986" s="450"/>
      <c r="H986" s="450"/>
      <c r="I986" s="450"/>
      <c r="J986" s="450"/>
      <c r="K986" s="450"/>
      <c r="L986" s="450"/>
      <c r="M986" s="450"/>
      <c r="N986" s="450"/>
      <c r="O986" s="450"/>
      <c r="P986" s="450"/>
      <c r="Q986" s="450"/>
      <c r="R986" s="450"/>
      <c r="S986" s="450"/>
      <c r="T986" s="450"/>
      <c r="U986" s="450"/>
      <c r="V986" s="450"/>
      <c r="W986" s="450"/>
      <c r="X986" s="450"/>
      <c r="Y986" s="450"/>
      <c r="Z986" s="450"/>
      <c r="AA986" s="450"/>
      <c r="AB986" s="450"/>
      <c r="AC986" s="450"/>
      <c r="AD986" s="450"/>
      <c r="AE986" s="450"/>
      <c r="AF986" s="450"/>
      <c r="AG986" s="450"/>
      <c r="AH986" s="450"/>
      <c r="AI986" s="450"/>
      <c r="AJ986" s="450"/>
      <c r="AK986" s="450"/>
      <c r="AL986" s="450"/>
      <c r="AM986" s="450"/>
      <c r="AN986" s="450"/>
      <c r="AO986" s="450"/>
      <c r="AP986" s="450"/>
      <c r="AQ986" s="450"/>
      <c r="AR986" s="450"/>
      <c r="AS986" s="450"/>
      <c r="AT986" s="450"/>
      <c r="AU986" s="450"/>
      <c r="AV986" s="450"/>
      <c r="AW986" s="450"/>
      <c r="AX986" s="450"/>
      <c r="AY986" s="450"/>
      <c r="AZ986" s="450"/>
      <c r="BA986" s="450"/>
      <c r="BB986" s="450"/>
      <c r="BC986" s="450"/>
      <c r="BD986" s="450"/>
      <c r="BE986" s="450"/>
      <c r="BF986" s="450"/>
      <c r="BG986" s="450"/>
      <c r="BH986" s="450"/>
      <c r="BI986" s="450"/>
      <c r="BJ986" s="450"/>
      <c r="BK986" s="450"/>
      <c r="BL986" s="450"/>
      <c r="BM986" s="450"/>
    </row>
    <row r="987" spans="1:65" ht="11.15">
      <c r="A987" s="450"/>
      <c r="B987" s="450"/>
      <c r="C987" s="450"/>
      <c r="D987" s="450"/>
      <c r="E987" s="450"/>
      <c r="F987" s="450"/>
      <c r="G987" s="450"/>
      <c r="H987" s="450"/>
      <c r="I987" s="450"/>
      <c r="J987" s="450"/>
      <c r="K987" s="450"/>
      <c r="L987" s="450"/>
      <c r="M987" s="450"/>
      <c r="N987" s="450"/>
      <c r="O987" s="450"/>
      <c r="P987" s="450"/>
      <c r="Q987" s="450"/>
      <c r="R987" s="450"/>
      <c r="S987" s="450"/>
      <c r="T987" s="450"/>
      <c r="U987" s="450"/>
      <c r="V987" s="450"/>
      <c r="W987" s="450"/>
      <c r="X987" s="450"/>
      <c r="Y987" s="450"/>
      <c r="Z987" s="450"/>
      <c r="AA987" s="450"/>
      <c r="AB987" s="450"/>
      <c r="AC987" s="450"/>
      <c r="AD987" s="450"/>
      <c r="AE987" s="450"/>
      <c r="AF987" s="450"/>
      <c r="AG987" s="450"/>
      <c r="AH987" s="450"/>
      <c r="AI987" s="450"/>
      <c r="AJ987" s="450"/>
      <c r="AK987" s="450"/>
      <c r="AL987" s="450"/>
      <c r="AM987" s="450"/>
      <c r="AN987" s="450"/>
      <c r="AO987" s="450"/>
      <c r="AP987" s="450"/>
      <c r="AQ987" s="450"/>
      <c r="AR987" s="450"/>
      <c r="AS987" s="450"/>
      <c r="AT987" s="450"/>
      <c r="AU987" s="450"/>
      <c r="AV987" s="450"/>
      <c r="AW987" s="450"/>
      <c r="AX987" s="450"/>
      <c r="AY987" s="450"/>
      <c r="AZ987" s="450"/>
      <c r="BA987" s="450"/>
      <c r="BB987" s="450"/>
      <c r="BC987" s="450"/>
      <c r="BD987" s="450"/>
      <c r="BE987" s="450"/>
      <c r="BF987" s="450"/>
      <c r="BG987" s="450"/>
      <c r="BH987" s="450"/>
      <c r="BI987" s="450"/>
      <c r="BJ987" s="450"/>
      <c r="BK987" s="450"/>
      <c r="BL987" s="450"/>
      <c r="BM987" s="450"/>
    </row>
    <row r="988" spans="1:65" ht="11.15">
      <c r="A988" s="450"/>
      <c r="B988" s="450"/>
      <c r="C988" s="450"/>
      <c r="D988" s="450"/>
      <c r="E988" s="450"/>
      <c r="F988" s="450"/>
      <c r="G988" s="450"/>
      <c r="H988" s="450"/>
      <c r="I988" s="450"/>
      <c r="J988" s="450"/>
      <c r="K988" s="450"/>
      <c r="L988" s="450"/>
      <c r="M988" s="450"/>
      <c r="N988" s="450"/>
      <c r="O988" s="450"/>
      <c r="P988" s="450"/>
      <c r="Q988" s="450"/>
      <c r="R988" s="450"/>
      <c r="S988" s="450"/>
      <c r="T988" s="450"/>
      <c r="U988" s="450"/>
      <c r="V988" s="450"/>
      <c r="W988" s="450"/>
      <c r="X988" s="450"/>
      <c r="Y988" s="450"/>
      <c r="Z988" s="450"/>
      <c r="AA988" s="450"/>
      <c r="AB988" s="450"/>
      <c r="AC988" s="450"/>
      <c r="AD988" s="450"/>
      <c r="AE988" s="450"/>
      <c r="AF988" s="450"/>
      <c r="AG988" s="450"/>
      <c r="AH988" s="450"/>
      <c r="AI988" s="450"/>
      <c r="AJ988" s="450"/>
      <c r="AK988" s="450"/>
      <c r="AL988" s="450"/>
      <c r="AM988" s="450"/>
      <c r="AN988" s="450"/>
      <c r="AO988" s="450"/>
      <c r="AP988" s="450"/>
      <c r="AQ988" s="450"/>
      <c r="AR988" s="450"/>
      <c r="AS988" s="450"/>
      <c r="AT988" s="450"/>
      <c r="AU988" s="450"/>
      <c r="AV988" s="450"/>
      <c r="AW988" s="450"/>
      <c r="AX988" s="450"/>
      <c r="AY988" s="450"/>
      <c r="AZ988" s="450"/>
      <c r="BA988" s="450"/>
      <c r="BB988" s="450"/>
      <c r="BC988" s="450"/>
      <c r="BD988" s="450"/>
      <c r="BE988" s="450"/>
      <c r="BF988" s="450"/>
      <c r="BG988" s="450"/>
      <c r="BH988" s="450"/>
      <c r="BI988" s="450"/>
      <c r="BJ988" s="450"/>
      <c r="BK988" s="450"/>
      <c r="BL988" s="450"/>
      <c r="BM988" s="450"/>
    </row>
    <row r="989" spans="1:65" ht="11.15">
      <c r="A989" s="450"/>
      <c r="B989" s="450"/>
      <c r="C989" s="450"/>
      <c r="D989" s="450"/>
      <c r="E989" s="450"/>
      <c r="F989" s="450"/>
      <c r="G989" s="450"/>
      <c r="H989" s="450"/>
      <c r="I989" s="450"/>
      <c r="J989" s="450"/>
      <c r="K989" s="450"/>
      <c r="L989" s="450"/>
      <c r="M989" s="450"/>
      <c r="N989" s="450"/>
      <c r="O989" s="450"/>
      <c r="P989" s="450"/>
      <c r="Q989" s="450"/>
      <c r="R989" s="450"/>
      <c r="S989" s="450"/>
      <c r="T989" s="450"/>
      <c r="U989" s="450"/>
      <c r="V989" s="450"/>
      <c r="W989" s="450"/>
      <c r="X989" s="450"/>
      <c r="Y989" s="450"/>
      <c r="Z989" s="450"/>
      <c r="AA989" s="450"/>
      <c r="AB989" s="450"/>
      <c r="AC989" s="450"/>
      <c r="AD989" s="450"/>
      <c r="AE989" s="450"/>
      <c r="AF989" s="450"/>
      <c r="AG989" s="450"/>
      <c r="AH989" s="450"/>
      <c r="AI989" s="450"/>
      <c r="AJ989" s="450"/>
      <c r="AK989" s="450"/>
      <c r="AL989" s="450"/>
      <c r="AM989" s="450"/>
      <c r="AN989" s="450"/>
      <c r="AO989" s="450"/>
      <c r="AP989" s="450"/>
      <c r="AQ989" s="450"/>
      <c r="AR989" s="450"/>
      <c r="AS989" s="450"/>
      <c r="AT989" s="450"/>
      <c r="AU989" s="450"/>
      <c r="AV989" s="450"/>
      <c r="AW989" s="450"/>
      <c r="AX989" s="450"/>
      <c r="AY989" s="450"/>
      <c r="AZ989" s="450"/>
      <c r="BA989" s="450"/>
      <c r="BB989" s="450"/>
      <c r="BC989" s="450"/>
      <c r="BD989" s="450"/>
      <c r="BE989" s="450"/>
      <c r="BF989" s="450"/>
      <c r="BG989" s="450"/>
      <c r="BH989" s="450"/>
      <c r="BI989" s="450"/>
      <c r="BJ989" s="450"/>
      <c r="BK989" s="450"/>
      <c r="BL989" s="450"/>
      <c r="BM989" s="450"/>
    </row>
    <row r="990" spans="1:65" ht="11.15">
      <c r="A990" s="450"/>
      <c r="B990" s="450"/>
      <c r="C990" s="450"/>
      <c r="D990" s="450"/>
      <c r="E990" s="450"/>
      <c r="F990" s="450"/>
      <c r="G990" s="450"/>
      <c r="H990" s="450"/>
      <c r="I990" s="450"/>
      <c r="J990" s="450"/>
      <c r="K990" s="450"/>
      <c r="L990" s="450"/>
      <c r="M990" s="450"/>
      <c r="N990" s="450"/>
      <c r="O990" s="450"/>
      <c r="P990" s="450"/>
      <c r="Q990" s="450"/>
      <c r="R990" s="450"/>
      <c r="S990" s="450"/>
      <c r="T990" s="450"/>
      <c r="U990" s="450"/>
      <c r="V990" s="450"/>
      <c r="W990" s="450"/>
      <c r="X990" s="450"/>
      <c r="Y990" s="450"/>
      <c r="Z990" s="450"/>
      <c r="AA990" s="450"/>
      <c r="AB990" s="450"/>
      <c r="AC990" s="450"/>
      <c r="AD990" s="450"/>
      <c r="AE990" s="450"/>
      <c r="AF990" s="450"/>
      <c r="AG990" s="450"/>
      <c r="AH990" s="450"/>
      <c r="AI990" s="450"/>
      <c r="AJ990" s="450"/>
      <c r="AK990" s="450"/>
      <c r="AL990" s="450"/>
      <c r="AM990" s="450"/>
      <c r="AN990" s="450"/>
      <c r="AO990" s="450"/>
      <c r="AP990" s="450"/>
      <c r="AQ990" s="450"/>
      <c r="AR990" s="450"/>
      <c r="AS990" s="450"/>
      <c r="AT990" s="450"/>
      <c r="AU990" s="450"/>
      <c r="AV990" s="450"/>
      <c r="AW990" s="450"/>
      <c r="AX990" s="450"/>
      <c r="AY990" s="450"/>
      <c r="AZ990" s="450"/>
      <c r="BA990" s="450"/>
      <c r="BB990" s="450"/>
      <c r="BC990" s="450"/>
      <c r="BD990" s="450"/>
      <c r="BE990" s="450"/>
      <c r="BF990" s="450"/>
      <c r="BG990" s="450"/>
      <c r="BH990" s="450"/>
      <c r="BI990" s="450"/>
      <c r="BJ990" s="450"/>
      <c r="BK990" s="450"/>
      <c r="BL990" s="450"/>
      <c r="BM990" s="450"/>
    </row>
    <row r="991" spans="1:65" ht="11.15">
      <c r="A991" s="450"/>
      <c r="B991" s="450"/>
      <c r="C991" s="450"/>
      <c r="D991" s="450"/>
      <c r="E991" s="450"/>
      <c r="F991" s="450"/>
      <c r="G991" s="450"/>
      <c r="H991" s="450"/>
      <c r="I991" s="450"/>
      <c r="J991" s="450"/>
      <c r="K991" s="450"/>
      <c r="L991" s="450"/>
      <c r="M991" s="450"/>
      <c r="N991" s="450"/>
      <c r="O991" s="450"/>
      <c r="P991" s="450"/>
      <c r="Q991" s="450"/>
      <c r="R991" s="450"/>
      <c r="S991" s="450"/>
      <c r="T991" s="450"/>
      <c r="U991" s="450"/>
      <c r="V991" s="450"/>
      <c r="W991" s="450"/>
      <c r="X991" s="450"/>
      <c r="Y991" s="450"/>
      <c r="Z991" s="450"/>
      <c r="AA991" s="450"/>
      <c r="AB991" s="450"/>
      <c r="AC991" s="450"/>
      <c r="AD991" s="450"/>
      <c r="AE991" s="450"/>
      <c r="AF991" s="450"/>
      <c r="AG991" s="450"/>
      <c r="AH991" s="450"/>
      <c r="AI991" s="450"/>
      <c r="AJ991" s="450"/>
      <c r="AK991" s="450"/>
      <c r="AL991" s="450"/>
      <c r="AM991" s="450"/>
      <c r="AN991" s="450"/>
      <c r="AO991" s="450"/>
      <c r="AP991" s="450"/>
      <c r="AQ991" s="450"/>
      <c r="AR991" s="450"/>
      <c r="AS991" s="450"/>
      <c r="AT991" s="450"/>
      <c r="AU991" s="450"/>
      <c r="AV991" s="450"/>
      <c r="AW991" s="450"/>
      <c r="AX991" s="450"/>
      <c r="AY991" s="450"/>
      <c r="AZ991" s="450"/>
      <c r="BA991" s="450"/>
      <c r="BB991" s="450"/>
      <c r="BC991" s="450"/>
      <c r="BD991" s="450"/>
      <c r="BE991" s="450"/>
      <c r="BF991" s="450"/>
      <c r="BG991" s="450"/>
      <c r="BH991" s="450"/>
      <c r="BI991" s="450"/>
      <c r="BJ991" s="450"/>
      <c r="BK991" s="450"/>
      <c r="BL991" s="450"/>
      <c r="BM991" s="450"/>
    </row>
    <row r="992" spans="1:65" ht="11.15">
      <c r="A992" s="450"/>
      <c r="B992" s="450"/>
      <c r="C992" s="450"/>
      <c r="D992" s="450"/>
      <c r="E992" s="450"/>
      <c r="F992" s="450"/>
      <c r="G992" s="450"/>
      <c r="H992" s="450"/>
      <c r="I992" s="450"/>
      <c r="J992" s="450"/>
      <c r="K992" s="450"/>
      <c r="L992" s="450"/>
      <c r="M992" s="450"/>
      <c r="N992" s="450"/>
      <c r="O992" s="450"/>
      <c r="P992" s="450"/>
      <c r="Q992" s="450"/>
      <c r="R992" s="450"/>
      <c r="S992" s="450"/>
      <c r="T992" s="450"/>
      <c r="U992" s="450"/>
      <c r="V992" s="450"/>
      <c r="W992" s="450"/>
      <c r="X992" s="450"/>
      <c r="Y992" s="450"/>
      <c r="Z992" s="450"/>
      <c r="AA992" s="450"/>
      <c r="AB992" s="450"/>
      <c r="AC992" s="450"/>
      <c r="AD992" s="450"/>
      <c r="AE992" s="450"/>
      <c r="AF992" s="450"/>
      <c r="AG992" s="450"/>
      <c r="AH992" s="450"/>
      <c r="AI992" s="450"/>
      <c r="AJ992" s="450"/>
      <c r="AK992" s="450"/>
      <c r="AL992" s="450"/>
      <c r="AM992" s="450"/>
      <c r="AN992" s="450"/>
      <c r="AO992" s="450"/>
      <c r="AP992" s="450"/>
      <c r="AQ992" s="450"/>
      <c r="AR992" s="450"/>
      <c r="AS992" s="450"/>
      <c r="AT992" s="450"/>
      <c r="AU992" s="450"/>
      <c r="AV992" s="450"/>
      <c r="AW992" s="450"/>
      <c r="AX992" s="450"/>
      <c r="AY992" s="450"/>
      <c r="AZ992" s="450"/>
      <c r="BA992" s="450"/>
      <c r="BB992" s="450"/>
      <c r="BC992" s="450"/>
      <c r="BD992" s="450"/>
      <c r="BE992" s="450"/>
      <c r="BF992" s="450"/>
      <c r="BG992" s="450"/>
      <c r="BH992" s="450"/>
      <c r="BI992" s="450"/>
      <c r="BJ992" s="450"/>
      <c r="BK992" s="450"/>
      <c r="BL992" s="450"/>
      <c r="BM992" s="450"/>
    </row>
    <row r="993" spans="1:65" ht="11.15">
      <c r="A993" s="450"/>
      <c r="B993" s="450"/>
      <c r="C993" s="450"/>
      <c r="D993" s="450"/>
      <c r="E993" s="450"/>
      <c r="F993" s="450"/>
      <c r="G993" s="450"/>
      <c r="H993" s="450"/>
      <c r="I993" s="450"/>
      <c r="J993" s="450"/>
      <c r="K993" s="450"/>
      <c r="L993" s="450"/>
      <c r="M993" s="450"/>
      <c r="N993" s="450"/>
      <c r="O993" s="450"/>
      <c r="P993" s="450"/>
      <c r="Q993" s="450"/>
      <c r="R993" s="450"/>
      <c r="S993" s="450"/>
      <c r="T993" s="450"/>
      <c r="U993" s="450"/>
      <c r="V993" s="450"/>
      <c r="W993" s="450"/>
      <c r="X993" s="450"/>
      <c r="Y993" s="450"/>
      <c r="Z993" s="450"/>
      <c r="AA993" s="450"/>
      <c r="AB993" s="450"/>
      <c r="AC993" s="450"/>
      <c r="AD993" s="450"/>
      <c r="AE993" s="450"/>
      <c r="AF993" s="450"/>
      <c r="AG993" s="450"/>
      <c r="AH993" s="450"/>
      <c r="AI993" s="450"/>
      <c r="AJ993" s="450"/>
      <c r="AK993" s="450"/>
      <c r="AL993" s="450"/>
      <c r="AM993" s="450"/>
      <c r="AN993" s="450"/>
      <c r="AO993" s="450"/>
      <c r="AP993" s="450"/>
      <c r="AQ993" s="450"/>
      <c r="AR993" s="450"/>
      <c r="AS993" s="450"/>
      <c r="AT993" s="450"/>
      <c r="AU993" s="450"/>
      <c r="AV993" s="450"/>
      <c r="AW993" s="450"/>
      <c r="AX993" s="450"/>
      <c r="AY993" s="450"/>
      <c r="AZ993" s="450"/>
      <c r="BA993" s="450"/>
      <c r="BB993" s="450"/>
      <c r="BC993" s="450"/>
      <c r="BD993" s="450"/>
      <c r="BE993" s="450"/>
      <c r="BF993" s="450"/>
      <c r="BG993" s="450"/>
      <c r="BH993" s="450"/>
      <c r="BI993" s="450"/>
      <c r="BJ993" s="450"/>
      <c r="BK993" s="450"/>
      <c r="BL993" s="450"/>
      <c r="BM993" s="450"/>
    </row>
    <row r="994" spans="1:65" ht="11.15">
      <c r="A994" s="450"/>
      <c r="B994" s="450"/>
      <c r="C994" s="450"/>
      <c r="D994" s="450"/>
      <c r="E994" s="450"/>
      <c r="F994" s="450"/>
      <c r="G994" s="450"/>
      <c r="H994" s="450"/>
      <c r="I994" s="450"/>
      <c r="J994" s="450"/>
      <c r="K994" s="450"/>
      <c r="L994" s="450"/>
      <c r="M994" s="450"/>
      <c r="N994" s="450"/>
      <c r="O994" s="450"/>
      <c r="P994" s="450"/>
      <c r="Q994" s="450"/>
      <c r="R994" s="450"/>
      <c r="S994" s="450"/>
      <c r="T994" s="450"/>
      <c r="U994" s="450"/>
      <c r="V994" s="450"/>
      <c r="W994" s="450"/>
      <c r="X994" s="450"/>
      <c r="Y994" s="450"/>
      <c r="Z994" s="450"/>
      <c r="AA994" s="450"/>
      <c r="AB994" s="450"/>
      <c r="AC994" s="450"/>
      <c r="AD994" s="450"/>
      <c r="AE994" s="450"/>
      <c r="AF994" s="450"/>
      <c r="AG994" s="450"/>
      <c r="AH994" s="450"/>
      <c r="AI994" s="450"/>
      <c r="AJ994" s="450"/>
      <c r="AK994" s="450"/>
      <c r="AL994" s="450"/>
      <c r="AM994" s="450"/>
      <c r="AN994" s="450"/>
      <c r="AO994" s="450"/>
      <c r="AP994" s="450"/>
      <c r="AQ994" s="450"/>
      <c r="AR994" s="450"/>
      <c r="AS994" s="450"/>
      <c r="AT994" s="450"/>
      <c r="AU994" s="450"/>
      <c r="AV994" s="450"/>
      <c r="AW994" s="450"/>
      <c r="AX994" s="450"/>
      <c r="AY994" s="450"/>
      <c r="AZ994" s="450"/>
      <c r="BA994" s="450"/>
      <c r="BB994" s="450"/>
      <c r="BC994" s="450"/>
      <c r="BD994" s="450"/>
      <c r="BE994" s="450"/>
      <c r="BF994" s="450"/>
      <c r="BG994" s="450"/>
      <c r="BH994" s="450"/>
      <c r="BI994" s="450"/>
      <c r="BJ994" s="450"/>
      <c r="BK994" s="450"/>
      <c r="BL994" s="450"/>
      <c r="BM994" s="450"/>
    </row>
    <row r="995" spans="1:65" ht="11.15">
      <c r="A995" s="450"/>
      <c r="B995" s="450"/>
      <c r="C995" s="450"/>
      <c r="D995" s="450"/>
      <c r="E995" s="450"/>
      <c r="F995" s="450"/>
      <c r="G995" s="450"/>
      <c r="H995" s="450"/>
      <c r="I995" s="450"/>
      <c r="J995" s="450"/>
      <c r="K995" s="450"/>
      <c r="L995" s="450"/>
      <c r="M995" s="450"/>
      <c r="N995" s="450"/>
      <c r="O995" s="450"/>
      <c r="P995" s="450"/>
      <c r="Q995" s="450"/>
      <c r="R995" s="450"/>
      <c r="S995" s="450"/>
      <c r="T995" s="450"/>
      <c r="U995" s="450"/>
      <c r="V995" s="450"/>
      <c r="W995" s="450"/>
      <c r="X995" s="450"/>
      <c r="Y995" s="450"/>
      <c r="Z995" s="450"/>
      <c r="AA995" s="450"/>
      <c r="AB995" s="450"/>
      <c r="AC995" s="450"/>
      <c r="AD995" s="450"/>
      <c r="AE995" s="450"/>
      <c r="AF995" s="450"/>
      <c r="AG995" s="450"/>
      <c r="AH995" s="450"/>
      <c r="AI995" s="450"/>
      <c r="AJ995" s="450"/>
      <c r="AK995" s="450"/>
      <c r="AL995" s="450"/>
      <c r="AM995" s="450"/>
      <c r="AN995" s="450"/>
      <c r="AO995" s="450"/>
      <c r="AP995" s="450"/>
      <c r="AQ995" s="450"/>
      <c r="AR995" s="450"/>
      <c r="AS995" s="450"/>
      <c r="AT995" s="450"/>
      <c r="AU995" s="450"/>
      <c r="AV995" s="450"/>
      <c r="AW995" s="450"/>
      <c r="AX995" s="450"/>
      <c r="AY995" s="450"/>
      <c r="AZ995" s="450"/>
      <c r="BA995" s="450"/>
      <c r="BB995" s="450"/>
      <c r="BC995" s="450"/>
      <c r="BD995" s="450"/>
      <c r="BE995" s="450"/>
      <c r="BF995" s="450"/>
      <c r="BG995" s="450"/>
      <c r="BH995" s="450"/>
      <c r="BI995" s="450"/>
      <c r="BJ995" s="450"/>
      <c r="BK995" s="450"/>
      <c r="BL995" s="450"/>
      <c r="BM995" s="450"/>
    </row>
    <row r="996" spans="1:65" ht="11.15">
      <c r="A996" s="450"/>
      <c r="B996" s="450"/>
      <c r="C996" s="450"/>
      <c r="D996" s="450"/>
      <c r="E996" s="450"/>
      <c r="F996" s="450"/>
      <c r="G996" s="450"/>
      <c r="H996" s="450"/>
      <c r="I996" s="450"/>
      <c r="J996" s="450"/>
      <c r="K996" s="450"/>
      <c r="L996" s="450"/>
      <c r="M996" s="450"/>
      <c r="N996" s="450"/>
      <c r="O996" s="450"/>
      <c r="P996" s="450"/>
      <c r="Q996" s="450"/>
      <c r="R996" s="450"/>
      <c r="S996" s="450"/>
      <c r="T996" s="450"/>
      <c r="U996" s="450"/>
      <c r="V996" s="450"/>
      <c r="W996" s="450"/>
      <c r="X996" s="450"/>
      <c r="Y996" s="450"/>
      <c r="Z996" s="450"/>
      <c r="AA996" s="450"/>
      <c r="AB996" s="450"/>
      <c r="AC996" s="450"/>
      <c r="AD996" s="450"/>
      <c r="AE996" s="450"/>
      <c r="AF996" s="450"/>
      <c r="AG996" s="450"/>
      <c r="AH996" s="450"/>
      <c r="AI996" s="450"/>
      <c r="AJ996" s="450"/>
      <c r="AK996" s="450"/>
      <c r="AL996" s="450"/>
      <c r="AM996" s="450"/>
      <c r="AN996" s="450"/>
      <c r="AO996" s="450"/>
      <c r="AP996" s="450"/>
      <c r="AQ996" s="450"/>
      <c r="AR996" s="450"/>
      <c r="AS996" s="450"/>
      <c r="AT996" s="450"/>
      <c r="AU996" s="450"/>
      <c r="AV996" s="450"/>
      <c r="AW996" s="450"/>
      <c r="AX996" s="450"/>
      <c r="AY996" s="450"/>
      <c r="AZ996" s="450"/>
      <c r="BA996" s="450"/>
      <c r="BB996" s="450"/>
      <c r="BC996" s="450"/>
      <c r="BD996" s="450"/>
      <c r="BE996" s="450"/>
      <c r="BF996" s="450"/>
      <c r="BG996" s="450"/>
      <c r="BH996" s="450"/>
      <c r="BI996" s="450"/>
      <c r="BJ996" s="450"/>
      <c r="BK996" s="450"/>
      <c r="BL996" s="450"/>
      <c r="BM996" s="450"/>
    </row>
    <row r="997" spans="1:65" ht="11.15">
      <c r="A997" s="450"/>
      <c r="B997" s="450"/>
      <c r="C997" s="450"/>
      <c r="D997" s="450"/>
      <c r="E997" s="450"/>
      <c r="F997" s="450"/>
      <c r="G997" s="450"/>
      <c r="H997" s="450"/>
      <c r="I997" s="450"/>
      <c r="J997" s="450"/>
      <c r="K997" s="450"/>
      <c r="L997" s="450"/>
      <c r="M997" s="450"/>
      <c r="N997" s="450"/>
      <c r="O997" s="450"/>
      <c r="P997" s="450"/>
      <c r="Q997" s="450"/>
      <c r="R997" s="450"/>
      <c r="S997" s="450"/>
      <c r="T997" s="450"/>
      <c r="U997" s="450"/>
      <c r="V997" s="450"/>
      <c r="W997" s="450"/>
      <c r="X997" s="450"/>
      <c r="Y997" s="450"/>
      <c r="Z997" s="450"/>
      <c r="AA997" s="450"/>
      <c r="AB997" s="450"/>
      <c r="AC997" s="450"/>
      <c r="AD997" s="450"/>
      <c r="AE997" s="450"/>
      <c r="AF997" s="450"/>
      <c r="AG997" s="450"/>
      <c r="AH997" s="450"/>
      <c r="AI997" s="450"/>
      <c r="AJ997" s="450"/>
      <c r="AK997" s="450"/>
      <c r="AL997" s="450"/>
      <c r="AM997" s="450"/>
      <c r="AN997" s="450"/>
      <c r="AO997" s="450"/>
      <c r="AP997" s="450"/>
      <c r="AQ997" s="450"/>
      <c r="AR997" s="450"/>
      <c r="AS997" s="450"/>
      <c r="AT997" s="450"/>
      <c r="AU997" s="450"/>
      <c r="AV997" s="450"/>
      <c r="AW997" s="450"/>
      <c r="AX997" s="450"/>
      <c r="AY997" s="450"/>
      <c r="AZ997" s="450"/>
      <c r="BA997" s="450"/>
      <c r="BB997" s="450"/>
      <c r="BC997" s="450"/>
      <c r="BD997" s="450"/>
      <c r="BE997" s="450"/>
      <c r="BF997" s="450"/>
      <c r="BG997" s="450"/>
      <c r="BH997" s="450"/>
      <c r="BI997" s="450"/>
      <c r="BJ997" s="450"/>
      <c r="BK997" s="450"/>
      <c r="BL997" s="450"/>
      <c r="BM997" s="450"/>
    </row>
    <row r="998" spans="1:65" ht="11.15">
      <c r="A998" s="450"/>
      <c r="B998" s="450"/>
      <c r="C998" s="450"/>
      <c r="D998" s="450"/>
      <c r="E998" s="450"/>
      <c r="F998" s="450"/>
      <c r="G998" s="450"/>
      <c r="H998" s="450"/>
      <c r="I998" s="450"/>
      <c r="J998" s="450"/>
      <c r="K998" s="450"/>
      <c r="L998" s="450"/>
      <c r="M998" s="450"/>
      <c r="N998" s="450"/>
      <c r="O998" s="450"/>
      <c r="P998" s="450"/>
      <c r="Q998" s="450"/>
      <c r="R998" s="450"/>
      <c r="S998" s="450"/>
      <c r="T998" s="450"/>
      <c r="U998" s="450"/>
      <c r="V998" s="450"/>
      <c r="W998" s="450"/>
      <c r="X998" s="450"/>
      <c r="Y998" s="450"/>
      <c r="Z998" s="450"/>
      <c r="AA998" s="450"/>
      <c r="AB998" s="450"/>
      <c r="AC998" s="450"/>
      <c r="AD998" s="450"/>
      <c r="AE998" s="450"/>
      <c r="AF998" s="450"/>
      <c r="AG998" s="450"/>
      <c r="AH998" s="450"/>
      <c r="AI998" s="450"/>
      <c r="AJ998" s="450"/>
      <c r="AK998" s="450"/>
      <c r="AL998" s="450"/>
      <c r="AM998" s="450"/>
      <c r="AN998" s="450"/>
      <c r="AO998" s="450"/>
      <c r="AP998" s="450"/>
      <c r="AQ998" s="450"/>
      <c r="AR998" s="450"/>
      <c r="AS998" s="450"/>
      <c r="AT998" s="450"/>
      <c r="AU998" s="450"/>
      <c r="AV998" s="450"/>
      <c r="AW998" s="450"/>
      <c r="AX998" s="450"/>
      <c r="AY998" s="450"/>
      <c r="AZ998" s="450"/>
      <c r="BA998" s="450"/>
      <c r="BB998" s="450"/>
      <c r="BC998" s="450"/>
      <c r="BD998" s="450"/>
      <c r="BE998" s="450"/>
      <c r="BF998" s="450"/>
      <c r="BG998" s="450"/>
      <c r="BH998" s="450"/>
      <c r="BI998" s="450"/>
      <c r="BJ998" s="450"/>
      <c r="BK998" s="450"/>
      <c r="BL998" s="450"/>
      <c r="BM998" s="450"/>
    </row>
    <row r="999" spans="1:65" ht="11.15">
      <c r="A999" s="450"/>
      <c r="B999" s="450"/>
      <c r="C999" s="450"/>
      <c r="D999" s="450"/>
      <c r="E999" s="450"/>
      <c r="F999" s="450"/>
      <c r="G999" s="450"/>
      <c r="H999" s="450"/>
      <c r="I999" s="450"/>
      <c r="J999" s="450"/>
      <c r="K999" s="450"/>
      <c r="L999" s="450"/>
      <c r="M999" s="450"/>
      <c r="N999" s="450"/>
      <c r="O999" s="450"/>
      <c r="P999" s="450"/>
      <c r="Q999" s="450"/>
      <c r="R999" s="450"/>
      <c r="S999" s="450"/>
      <c r="T999" s="450"/>
      <c r="U999" s="450"/>
      <c r="V999" s="450"/>
      <c r="W999" s="450"/>
      <c r="X999" s="450"/>
      <c r="Y999" s="450"/>
      <c r="Z999" s="450"/>
      <c r="AA999" s="450"/>
      <c r="AB999" s="450"/>
      <c r="AC999" s="450"/>
      <c r="AD999" s="450"/>
      <c r="AE999" s="450"/>
      <c r="AF999" s="450"/>
      <c r="AG999" s="450"/>
      <c r="AH999" s="450"/>
      <c r="AI999" s="450"/>
      <c r="AJ999" s="450"/>
      <c r="AK999" s="450"/>
      <c r="AL999" s="450"/>
      <c r="AM999" s="450"/>
      <c r="AN999" s="450"/>
      <c r="AO999" s="450"/>
      <c r="AP999" s="450"/>
      <c r="AQ999" s="450"/>
      <c r="AR999" s="450"/>
      <c r="AS999" s="450"/>
      <c r="AT999" s="450"/>
      <c r="AU999" s="450"/>
      <c r="AV999" s="450"/>
      <c r="AW999" s="450"/>
      <c r="AX999" s="450"/>
      <c r="AY999" s="450"/>
      <c r="AZ999" s="450"/>
      <c r="BA999" s="450"/>
      <c r="BB999" s="450"/>
      <c r="BC999" s="450"/>
      <c r="BD999" s="450"/>
      <c r="BE999" s="450"/>
      <c r="BF999" s="450"/>
      <c r="BG999" s="450"/>
      <c r="BH999" s="450"/>
      <c r="BI999" s="450"/>
      <c r="BJ999" s="450"/>
      <c r="BK999" s="450"/>
      <c r="BL999" s="450"/>
      <c r="BM999" s="450"/>
    </row>
    <row r="1000" spans="1:65" ht="11.15">
      <c r="A1000" s="450"/>
      <c r="B1000" s="450"/>
      <c r="C1000" s="450"/>
      <c r="D1000" s="450"/>
      <c r="E1000" s="450"/>
      <c r="F1000" s="450"/>
      <c r="G1000" s="450"/>
      <c r="H1000" s="450"/>
      <c r="I1000" s="450"/>
      <c r="J1000" s="450"/>
      <c r="K1000" s="450"/>
      <c r="L1000" s="450"/>
      <c r="M1000" s="450"/>
      <c r="N1000" s="450"/>
      <c r="O1000" s="450"/>
      <c r="P1000" s="450"/>
      <c r="Q1000" s="450"/>
      <c r="R1000" s="450"/>
      <c r="S1000" s="450"/>
      <c r="T1000" s="450"/>
      <c r="U1000" s="450"/>
      <c r="V1000" s="450"/>
      <c r="W1000" s="450"/>
      <c r="X1000" s="450"/>
      <c r="Y1000" s="450"/>
      <c r="Z1000" s="450"/>
      <c r="AA1000" s="450"/>
      <c r="AB1000" s="450"/>
      <c r="AC1000" s="450"/>
      <c r="AD1000" s="450"/>
      <c r="AE1000" s="450"/>
      <c r="AF1000" s="450"/>
      <c r="AG1000" s="450"/>
      <c r="AH1000" s="450"/>
      <c r="AI1000" s="450"/>
      <c r="AJ1000" s="450"/>
      <c r="AK1000" s="450"/>
      <c r="AL1000" s="450"/>
      <c r="AM1000" s="450"/>
      <c r="AN1000" s="450"/>
      <c r="AO1000" s="450"/>
      <c r="AP1000" s="450"/>
      <c r="AQ1000" s="450"/>
      <c r="AR1000" s="450"/>
      <c r="AS1000" s="450"/>
      <c r="AT1000" s="450"/>
      <c r="AU1000" s="450"/>
      <c r="AV1000" s="450"/>
      <c r="AW1000" s="450"/>
      <c r="AX1000" s="450"/>
      <c r="AY1000" s="450"/>
      <c r="AZ1000" s="450"/>
      <c r="BA1000" s="450"/>
      <c r="BB1000" s="450"/>
      <c r="BC1000" s="450"/>
      <c r="BD1000" s="450"/>
      <c r="BE1000" s="450"/>
      <c r="BF1000" s="450"/>
      <c r="BG1000" s="450"/>
      <c r="BH1000" s="450"/>
      <c r="BI1000" s="450"/>
      <c r="BJ1000" s="450"/>
      <c r="BK1000" s="450"/>
      <c r="BL1000" s="450"/>
      <c r="BM1000" s="450"/>
    </row>
    <row r="1001" spans="1:65" ht="11.15">
      <c r="A1001" s="450"/>
      <c r="B1001" s="450"/>
      <c r="C1001" s="450"/>
      <c r="D1001" s="450"/>
      <c r="E1001" s="450"/>
      <c r="F1001" s="450"/>
      <c r="G1001" s="450"/>
      <c r="H1001" s="450"/>
      <c r="I1001" s="450"/>
      <c r="J1001" s="450"/>
      <c r="K1001" s="450"/>
      <c r="L1001" s="450"/>
      <c r="M1001" s="450"/>
      <c r="N1001" s="450"/>
      <c r="O1001" s="450"/>
      <c r="P1001" s="450"/>
      <c r="Q1001" s="450"/>
      <c r="R1001" s="450"/>
      <c r="S1001" s="450"/>
      <c r="T1001" s="450"/>
      <c r="U1001" s="450"/>
      <c r="V1001" s="450"/>
      <c r="W1001" s="450"/>
      <c r="X1001" s="450"/>
      <c r="Y1001" s="450"/>
      <c r="Z1001" s="450"/>
      <c r="AA1001" s="450"/>
      <c r="AB1001" s="450"/>
      <c r="AC1001" s="450"/>
      <c r="AD1001" s="450"/>
      <c r="AE1001" s="450"/>
      <c r="AF1001" s="450"/>
      <c r="AG1001" s="450"/>
      <c r="AH1001" s="450"/>
      <c r="AI1001" s="450"/>
      <c r="AJ1001" s="450"/>
      <c r="AK1001" s="450"/>
      <c r="AL1001" s="450"/>
      <c r="AM1001" s="450"/>
      <c r="AN1001" s="450"/>
      <c r="AO1001" s="450"/>
      <c r="AP1001" s="450"/>
      <c r="AQ1001" s="450"/>
      <c r="AR1001" s="450"/>
      <c r="AS1001" s="450"/>
      <c r="AT1001" s="450"/>
      <c r="AU1001" s="450"/>
      <c r="AV1001" s="450"/>
      <c r="AW1001" s="450"/>
      <c r="AX1001" s="450"/>
      <c r="AY1001" s="450"/>
      <c r="AZ1001" s="450"/>
      <c r="BA1001" s="450"/>
      <c r="BB1001" s="450"/>
      <c r="BC1001" s="450"/>
      <c r="BD1001" s="450"/>
      <c r="BE1001" s="450"/>
      <c r="BF1001" s="450"/>
      <c r="BG1001" s="450"/>
      <c r="BH1001" s="450"/>
      <c r="BI1001" s="450"/>
      <c r="BJ1001" s="450"/>
      <c r="BK1001" s="450"/>
      <c r="BL1001" s="450"/>
      <c r="BM1001" s="450"/>
    </row>
    <row r="1002" spans="1:65" ht="11.15">
      <c r="A1002" s="450"/>
      <c r="B1002" s="450"/>
      <c r="C1002" s="450"/>
      <c r="D1002" s="450"/>
      <c r="E1002" s="450"/>
      <c r="F1002" s="450"/>
      <c r="G1002" s="450"/>
      <c r="H1002" s="450"/>
      <c r="I1002" s="450"/>
      <c r="J1002" s="450"/>
      <c r="K1002" s="450"/>
      <c r="L1002" s="450"/>
      <c r="M1002" s="450"/>
      <c r="N1002" s="450"/>
      <c r="O1002" s="450"/>
      <c r="P1002" s="450"/>
      <c r="Q1002" s="450"/>
      <c r="R1002" s="450"/>
      <c r="S1002" s="450"/>
      <c r="T1002" s="450"/>
      <c r="U1002" s="450"/>
      <c r="V1002" s="450"/>
      <c r="W1002" s="450"/>
      <c r="X1002" s="450"/>
      <c r="Y1002" s="450"/>
      <c r="Z1002" s="450"/>
      <c r="AA1002" s="450"/>
      <c r="AB1002" s="450"/>
      <c r="AC1002" s="450"/>
      <c r="AD1002" s="450"/>
      <c r="AE1002" s="450"/>
      <c r="AF1002" s="450"/>
      <c r="AG1002" s="450"/>
      <c r="AH1002" s="450"/>
      <c r="AI1002" s="450"/>
      <c r="AJ1002" s="450"/>
      <c r="AK1002" s="450"/>
      <c r="AL1002" s="450"/>
      <c r="AM1002" s="450"/>
      <c r="AN1002" s="450"/>
      <c r="AO1002" s="450"/>
      <c r="AP1002" s="450"/>
      <c r="AQ1002" s="450"/>
      <c r="AR1002" s="450"/>
      <c r="AS1002" s="450"/>
      <c r="AT1002" s="450"/>
      <c r="AU1002" s="450"/>
      <c r="AV1002" s="450"/>
      <c r="AW1002" s="450"/>
      <c r="AX1002" s="450"/>
      <c r="AY1002" s="450"/>
      <c r="AZ1002" s="450"/>
      <c r="BA1002" s="450"/>
      <c r="BB1002" s="450"/>
      <c r="BC1002" s="450"/>
      <c r="BD1002" s="450"/>
      <c r="BE1002" s="450"/>
      <c r="BF1002" s="450"/>
      <c r="BG1002" s="450"/>
      <c r="BH1002" s="450"/>
      <c r="BI1002" s="450"/>
      <c r="BJ1002" s="450"/>
      <c r="BK1002" s="450"/>
      <c r="BL1002" s="450"/>
      <c r="BM1002" s="450"/>
    </row>
    <row r="1003" spans="1:65" ht="11.15">
      <c r="A1003" s="450"/>
      <c r="B1003" s="450"/>
      <c r="C1003" s="450"/>
      <c r="D1003" s="450"/>
      <c r="E1003" s="450"/>
      <c r="F1003" s="450"/>
      <c r="G1003" s="450"/>
      <c r="H1003" s="450"/>
      <c r="I1003" s="450"/>
      <c r="J1003" s="450"/>
      <c r="K1003" s="450"/>
      <c r="L1003" s="450"/>
      <c r="M1003" s="450"/>
      <c r="N1003" s="450"/>
      <c r="O1003" s="450"/>
      <c r="P1003" s="450"/>
      <c r="Q1003" s="450"/>
      <c r="R1003" s="450"/>
      <c r="S1003" s="450"/>
      <c r="T1003" s="450"/>
      <c r="U1003" s="450"/>
      <c r="V1003" s="450"/>
      <c r="W1003" s="450"/>
      <c r="X1003" s="450"/>
      <c r="Y1003" s="450"/>
      <c r="Z1003" s="450"/>
      <c r="AA1003" s="450"/>
      <c r="AB1003" s="450"/>
      <c r="AC1003" s="450"/>
      <c r="AD1003" s="450"/>
      <c r="AE1003" s="450"/>
      <c r="AF1003" s="450"/>
      <c r="AG1003" s="450"/>
      <c r="AH1003" s="450"/>
      <c r="AI1003" s="450"/>
      <c r="AJ1003" s="450"/>
      <c r="AK1003" s="450"/>
      <c r="AL1003" s="450"/>
      <c r="AM1003" s="450"/>
      <c r="AN1003" s="450"/>
      <c r="AO1003" s="450"/>
      <c r="AP1003" s="450"/>
      <c r="AQ1003" s="450"/>
      <c r="AR1003" s="450"/>
      <c r="AS1003" s="450"/>
      <c r="AT1003" s="450"/>
      <c r="AU1003" s="450"/>
      <c r="AV1003" s="450"/>
      <c r="AW1003" s="450"/>
      <c r="AX1003" s="450"/>
      <c r="AY1003" s="450"/>
      <c r="AZ1003" s="450"/>
      <c r="BA1003" s="450"/>
      <c r="BB1003" s="450"/>
      <c r="BC1003" s="450"/>
      <c r="BD1003" s="450"/>
      <c r="BE1003" s="450"/>
      <c r="BF1003" s="450"/>
      <c r="BG1003" s="450"/>
      <c r="BH1003" s="450"/>
      <c r="BI1003" s="450"/>
      <c r="BJ1003" s="450"/>
      <c r="BK1003" s="450"/>
      <c r="BL1003" s="450"/>
      <c r="BM1003" s="450"/>
    </row>
    <row r="1004" spans="1:65" ht="11.15">
      <c r="A1004" s="450"/>
      <c r="B1004" s="450"/>
      <c r="C1004" s="450"/>
      <c r="D1004" s="450"/>
      <c r="E1004" s="450"/>
      <c r="F1004" s="450"/>
      <c r="G1004" s="450"/>
      <c r="H1004" s="450"/>
      <c r="I1004" s="450"/>
      <c r="J1004" s="450"/>
      <c r="K1004" s="450"/>
      <c r="L1004" s="450"/>
      <c r="M1004" s="450"/>
      <c r="N1004" s="450"/>
      <c r="O1004" s="450"/>
      <c r="P1004" s="450"/>
      <c r="Q1004" s="450"/>
      <c r="R1004" s="450"/>
      <c r="S1004" s="450"/>
      <c r="T1004" s="450"/>
      <c r="U1004" s="450"/>
      <c r="V1004" s="450"/>
      <c r="W1004" s="450"/>
      <c r="X1004" s="450"/>
      <c r="Y1004" s="450"/>
      <c r="Z1004" s="450"/>
      <c r="AA1004" s="450"/>
      <c r="AB1004" s="450"/>
      <c r="AC1004" s="450"/>
      <c r="AD1004" s="450"/>
      <c r="AE1004" s="450"/>
      <c r="AF1004" s="450"/>
      <c r="AG1004" s="450"/>
      <c r="AH1004" s="450"/>
      <c r="AI1004" s="450"/>
      <c r="AJ1004" s="450"/>
      <c r="AK1004" s="450"/>
      <c r="AL1004" s="450"/>
      <c r="AM1004" s="450"/>
      <c r="AN1004" s="450"/>
      <c r="AO1004" s="450"/>
      <c r="AP1004" s="450"/>
      <c r="AQ1004" s="450"/>
      <c r="AR1004" s="450"/>
      <c r="AS1004" s="450"/>
      <c r="AT1004" s="450"/>
      <c r="AU1004" s="450"/>
      <c r="AV1004" s="450"/>
      <c r="AW1004" s="450"/>
      <c r="AX1004" s="450"/>
      <c r="AY1004" s="450"/>
      <c r="AZ1004" s="450"/>
      <c r="BA1004" s="450"/>
      <c r="BB1004" s="450"/>
      <c r="BC1004" s="450"/>
      <c r="BD1004" s="450"/>
      <c r="BE1004" s="450"/>
      <c r="BF1004" s="450"/>
      <c r="BG1004" s="450"/>
      <c r="BH1004" s="450"/>
      <c r="BI1004" s="450"/>
      <c r="BJ1004" s="450"/>
      <c r="BK1004" s="450"/>
      <c r="BL1004" s="450"/>
      <c r="BM1004" s="450"/>
    </row>
    <row r="1005" spans="1:65" ht="11.15">
      <c r="A1005" s="450"/>
      <c r="B1005" s="450"/>
      <c r="C1005" s="450"/>
      <c r="D1005" s="450"/>
      <c r="E1005" s="450"/>
      <c r="F1005" s="450"/>
      <c r="G1005" s="450"/>
      <c r="H1005" s="450"/>
      <c r="I1005" s="450"/>
      <c r="J1005" s="450"/>
      <c r="K1005" s="450"/>
      <c r="L1005" s="450"/>
      <c r="M1005" s="450"/>
      <c r="N1005" s="450"/>
      <c r="O1005" s="450"/>
      <c r="P1005" s="450"/>
      <c r="Q1005" s="450"/>
      <c r="R1005" s="450"/>
      <c r="S1005" s="450"/>
      <c r="T1005" s="450"/>
      <c r="U1005" s="450"/>
      <c r="V1005" s="450"/>
      <c r="W1005" s="450"/>
      <c r="X1005" s="450"/>
      <c r="Y1005" s="450"/>
      <c r="Z1005" s="450"/>
      <c r="AA1005" s="450"/>
      <c r="AB1005" s="450"/>
      <c r="AC1005" s="450"/>
      <c r="AD1005" s="450"/>
      <c r="AE1005" s="450"/>
      <c r="AF1005" s="450"/>
      <c r="AG1005" s="450"/>
      <c r="AH1005" s="450"/>
      <c r="AI1005" s="450"/>
      <c r="AJ1005" s="450"/>
      <c r="AK1005" s="450"/>
      <c r="AL1005" s="450"/>
      <c r="AM1005" s="450"/>
      <c r="AN1005" s="450"/>
      <c r="AO1005" s="450"/>
      <c r="AP1005" s="450"/>
      <c r="AQ1005" s="450"/>
      <c r="AR1005" s="450"/>
      <c r="AS1005" s="450"/>
      <c r="AT1005" s="450"/>
      <c r="AU1005" s="450"/>
      <c r="AV1005" s="450"/>
      <c r="AW1005" s="450"/>
      <c r="AX1005" s="450"/>
      <c r="AY1005" s="450"/>
      <c r="AZ1005" s="450"/>
      <c r="BA1005" s="450"/>
      <c r="BB1005" s="450"/>
      <c r="BC1005" s="450"/>
      <c r="BD1005" s="450"/>
      <c r="BE1005" s="450"/>
      <c r="BF1005" s="450"/>
      <c r="BG1005" s="450"/>
      <c r="BH1005" s="450"/>
      <c r="BI1005" s="450"/>
      <c r="BJ1005" s="450"/>
      <c r="BK1005" s="450"/>
      <c r="BL1005" s="450"/>
      <c r="BM1005" s="450"/>
    </row>
    <row r="1006" spans="1:65" ht="11.15">
      <c r="A1006" s="450"/>
      <c r="B1006" s="450"/>
      <c r="C1006" s="450"/>
      <c r="D1006" s="450"/>
      <c r="E1006" s="450"/>
      <c r="F1006" s="450"/>
      <c r="G1006" s="450"/>
      <c r="H1006" s="450"/>
      <c r="I1006" s="450"/>
      <c r="J1006" s="450"/>
      <c r="K1006" s="450"/>
      <c r="L1006" s="450"/>
      <c r="M1006" s="450"/>
      <c r="N1006" s="450"/>
      <c r="O1006" s="450"/>
      <c r="P1006" s="450"/>
      <c r="Q1006" s="450"/>
      <c r="R1006" s="450"/>
      <c r="S1006" s="450"/>
      <c r="T1006" s="450"/>
      <c r="U1006" s="450"/>
      <c r="V1006" s="450"/>
      <c r="W1006" s="450"/>
      <c r="X1006" s="450"/>
      <c r="Y1006" s="450"/>
      <c r="Z1006" s="450"/>
      <c r="AA1006" s="450"/>
      <c r="AB1006" s="450"/>
      <c r="AC1006" s="450"/>
      <c r="AD1006" s="450"/>
      <c r="AE1006" s="450"/>
      <c r="AF1006" s="450"/>
      <c r="AG1006" s="450"/>
      <c r="AH1006" s="450"/>
      <c r="AI1006" s="450"/>
      <c r="AJ1006" s="450"/>
      <c r="AK1006" s="450"/>
      <c r="AL1006" s="450"/>
      <c r="AM1006" s="450"/>
      <c r="AN1006" s="450"/>
      <c r="AO1006" s="450"/>
      <c r="AP1006" s="450"/>
      <c r="AQ1006" s="450"/>
      <c r="AR1006" s="450"/>
      <c r="AS1006" s="450"/>
      <c r="AT1006" s="450"/>
      <c r="AU1006" s="450"/>
      <c r="AV1006" s="450"/>
      <c r="AW1006" s="450"/>
      <c r="AX1006" s="450"/>
      <c r="AY1006" s="450"/>
      <c r="AZ1006" s="450"/>
      <c r="BA1006" s="450"/>
      <c r="BB1006" s="450"/>
      <c r="BC1006" s="450"/>
      <c r="BD1006" s="450"/>
      <c r="BE1006" s="450"/>
      <c r="BF1006" s="450"/>
      <c r="BG1006" s="450"/>
      <c r="BH1006" s="450"/>
      <c r="BI1006" s="450"/>
      <c r="BJ1006" s="450"/>
      <c r="BK1006" s="450"/>
      <c r="BL1006" s="450"/>
      <c r="BM1006" s="450"/>
    </row>
    <row r="1007" spans="1:65" ht="11.15">
      <c r="A1007" s="450"/>
      <c r="B1007" s="450"/>
      <c r="C1007" s="450"/>
      <c r="D1007" s="450"/>
      <c r="E1007" s="450"/>
      <c r="F1007" s="450"/>
      <c r="G1007" s="450"/>
      <c r="H1007" s="450"/>
      <c r="I1007" s="450"/>
      <c r="J1007" s="450"/>
      <c r="K1007" s="450"/>
      <c r="L1007" s="450"/>
      <c r="M1007" s="450"/>
      <c r="N1007" s="450"/>
      <c r="O1007" s="450"/>
      <c r="P1007" s="450"/>
      <c r="Q1007" s="450"/>
      <c r="R1007" s="450"/>
      <c r="S1007" s="450"/>
      <c r="T1007" s="450"/>
      <c r="U1007" s="450"/>
      <c r="V1007" s="450"/>
      <c r="W1007" s="450"/>
      <c r="X1007" s="450"/>
      <c r="Y1007" s="450"/>
      <c r="Z1007" s="450"/>
      <c r="AA1007" s="450"/>
      <c r="AB1007" s="450"/>
      <c r="AC1007" s="450"/>
      <c r="AD1007" s="450"/>
      <c r="AE1007" s="450"/>
      <c r="AF1007" s="450"/>
      <c r="AG1007" s="450"/>
      <c r="AH1007" s="450"/>
      <c r="AI1007" s="450"/>
      <c r="AJ1007" s="450"/>
      <c r="AK1007" s="450"/>
      <c r="AL1007" s="450"/>
      <c r="AM1007" s="450"/>
      <c r="AN1007" s="450"/>
      <c r="AO1007" s="450"/>
      <c r="AP1007" s="450"/>
      <c r="AQ1007" s="450"/>
      <c r="AR1007" s="450"/>
      <c r="AS1007" s="450"/>
      <c r="AT1007" s="450"/>
      <c r="AU1007" s="450"/>
      <c r="AV1007" s="450"/>
      <c r="AW1007" s="450"/>
      <c r="AX1007" s="450"/>
      <c r="AY1007" s="450"/>
      <c r="AZ1007" s="450"/>
      <c r="BA1007" s="450"/>
      <c r="BB1007" s="450"/>
      <c r="BC1007" s="450"/>
      <c r="BD1007" s="450"/>
      <c r="BE1007" s="450"/>
      <c r="BF1007" s="450"/>
      <c r="BG1007" s="450"/>
      <c r="BH1007" s="450"/>
      <c r="BI1007" s="450"/>
      <c r="BJ1007" s="450"/>
      <c r="BK1007" s="450"/>
      <c r="BL1007" s="450"/>
      <c r="BM1007" s="450"/>
    </row>
    <row r="1008" spans="1:65" ht="11.15">
      <c r="A1008" s="450"/>
      <c r="B1008" s="450"/>
      <c r="C1008" s="450"/>
      <c r="D1008" s="450"/>
      <c r="E1008" s="450"/>
      <c r="F1008" s="450"/>
      <c r="G1008" s="450"/>
      <c r="H1008" s="450"/>
      <c r="I1008" s="450"/>
      <c r="J1008" s="450"/>
      <c r="K1008" s="450"/>
      <c r="L1008" s="450"/>
      <c r="M1008" s="450"/>
      <c r="N1008" s="450"/>
      <c r="O1008" s="450"/>
      <c r="P1008" s="450"/>
      <c r="Q1008" s="450"/>
      <c r="R1008" s="450"/>
      <c r="S1008" s="450"/>
      <c r="T1008" s="450"/>
      <c r="U1008" s="450"/>
      <c r="V1008" s="450"/>
      <c r="W1008" s="450"/>
      <c r="X1008" s="450"/>
      <c r="Y1008" s="450"/>
      <c r="Z1008" s="450"/>
      <c r="AA1008" s="450"/>
      <c r="AB1008" s="450"/>
      <c r="AC1008" s="450"/>
      <c r="AD1008" s="450"/>
      <c r="AE1008" s="450"/>
      <c r="AF1008" s="450"/>
      <c r="AG1008" s="450"/>
      <c r="AH1008" s="450"/>
      <c r="AI1008" s="450"/>
      <c r="AJ1008" s="450"/>
      <c r="AK1008" s="450"/>
      <c r="AL1008" s="450"/>
      <c r="AM1008" s="450"/>
      <c r="AN1008" s="450"/>
      <c r="AO1008" s="450"/>
      <c r="AP1008" s="450"/>
      <c r="AQ1008" s="450"/>
      <c r="AR1008" s="450"/>
      <c r="AS1008" s="450"/>
      <c r="AT1008" s="450"/>
      <c r="AU1008" s="450"/>
      <c r="AV1008" s="450"/>
      <c r="AW1008" s="450"/>
      <c r="AX1008" s="450"/>
      <c r="AY1008" s="450"/>
      <c r="AZ1008" s="450"/>
      <c r="BA1008" s="450"/>
      <c r="BB1008" s="450"/>
      <c r="BC1008" s="450"/>
      <c r="BD1008" s="450"/>
      <c r="BE1008" s="450"/>
      <c r="BF1008" s="450"/>
      <c r="BG1008" s="450"/>
      <c r="BH1008" s="450"/>
      <c r="BI1008" s="450"/>
      <c r="BJ1008" s="450"/>
      <c r="BK1008" s="450"/>
      <c r="BL1008" s="450"/>
      <c r="BM1008" s="450"/>
    </row>
    <row r="1009" spans="1:65" ht="11.15">
      <c r="A1009" s="450"/>
      <c r="B1009" s="450"/>
      <c r="C1009" s="450"/>
      <c r="D1009" s="450"/>
      <c r="E1009" s="450"/>
      <c r="F1009" s="450"/>
      <c r="G1009" s="450"/>
      <c r="H1009" s="450"/>
      <c r="I1009" s="450"/>
      <c r="J1009" s="450"/>
      <c r="K1009" s="450"/>
      <c r="L1009" s="450"/>
      <c r="M1009" s="450"/>
      <c r="N1009" s="450"/>
      <c r="O1009" s="450"/>
      <c r="P1009" s="450"/>
      <c r="Q1009" s="450"/>
      <c r="R1009" s="450"/>
      <c r="S1009" s="450"/>
      <c r="T1009" s="450"/>
      <c r="U1009" s="450"/>
      <c r="V1009" s="450"/>
      <c r="W1009" s="450"/>
      <c r="X1009" s="450"/>
      <c r="Y1009" s="450"/>
      <c r="Z1009" s="450"/>
      <c r="AA1009" s="450"/>
      <c r="AB1009" s="450"/>
      <c r="AC1009" s="450"/>
      <c r="AD1009" s="450"/>
      <c r="AE1009" s="450"/>
      <c r="AF1009" s="450"/>
      <c r="AG1009" s="450"/>
      <c r="AH1009" s="450"/>
      <c r="AI1009" s="450"/>
      <c r="AJ1009" s="450"/>
      <c r="AK1009" s="450"/>
      <c r="AL1009" s="450"/>
      <c r="AM1009" s="450"/>
      <c r="AN1009" s="450"/>
      <c r="AO1009" s="450"/>
      <c r="AP1009" s="450"/>
      <c r="AQ1009" s="450"/>
      <c r="AR1009" s="450"/>
      <c r="AS1009" s="450"/>
      <c r="AT1009" s="450"/>
      <c r="AU1009" s="450"/>
      <c r="AV1009" s="450"/>
      <c r="AW1009" s="450"/>
      <c r="AX1009" s="450"/>
      <c r="AY1009" s="450"/>
      <c r="AZ1009" s="450"/>
      <c r="BA1009" s="450"/>
      <c r="BB1009" s="450"/>
      <c r="BC1009" s="450"/>
      <c r="BD1009" s="450"/>
      <c r="BE1009" s="450"/>
      <c r="BF1009" s="450"/>
      <c r="BG1009" s="450"/>
      <c r="BH1009" s="450"/>
      <c r="BI1009" s="450"/>
      <c r="BJ1009" s="450"/>
      <c r="BK1009" s="450"/>
      <c r="BL1009" s="450"/>
      <c r="BM1009" s="450"/>
    </row>
    <row r="1010" spans="1:65" ht="11.15">
      <c r="A1010" s="450"/>
      <c r="B1010" s="450"/>
      <c r="C1010" s="450"/>
      <c r="D1010" s="450"/>
      <c r="E1010" s="450"/>
      <c r="F1010" s="450"/>
      <c r="G1010" s="450"/>
      <c r="H1010" s="450"/>
      <c r="I1010" s="450"/>
      <c r="J1010" s="450"/>
      <c r="K1010" s="450"/>
      <c r="L1010" s="450"/>
      <c r="M1010" s="450"/>
      <c r="N1010" s="450"/>
      <c r="O1010" s="450"/>
      <c r="P1010" s="450"/>
      <c r="Q1010" s="450"/>
      <c r="R1010" s="450"/>
      <c r="S1010" s="450"/>
      <c r="T1010" s="450"/>
      <c r="U1010" s="450"/>
      <c r="V1010" s="450"/>
      <c r="W1010" s="450"/>
      <c r="X1010" s="450"/>
      <c r="Y1010" s="450"/>
      <c r="Z1010" s="450"/>
      <c r="AA1010" s="450"/>
      <c r="AB1010" s="450"/>
      <c r="AC1010" s="450"/>
      <c r="AD1010" s="450"/>
      <c r="AE1010" s="450"/>
      <c r="AF1010" s="450"/>
      <c r="AG1010" s="450"/>
      <c r="AH1010" s="450"/>
      <c r="AI1010" s="450"/>
      <c r="AJ1010" s="450"/>
      <c r="AK1010" s="450"/>
      <c r="AL1010" s="450"/>
      <c r="AM1010" s="450"/>
      <c r="AN1010" s="450"/>
      <c r="AO1010" s="450"/>
      <c r="AP1010" s="450"/>
      <c r="AQ1010" s="450"/>
      <c r="AR1010" s="450"/>
      <c r="AS1010" s="450"/>
      <c r="AT1010" s="450"/>
      <c r="AU1010" s="450"/>
      <c r="AV1010" s="450"/>
      <c r="AW1010" s="450"/>
      <c r="AX1010" s="450"/>
      <c r="AY1010" s="450"/>
      <c r="AZ1010" s="450"/>
      <c r="BA1010" s="450"/>
      <c r="BB1010" s="450"/>
      <c r="BC1010" s="450"/>
      <c r="BD1010" s="450"/>
      <c r="BE1010" s="450"/>
      <c r="BF1010" s="450"/>
      <c r="BG1010" s="450"/>
      <c r="BH1010" s="450"/>
      <c r="BI1010" s="450"/>
      <c r="BJ1010" s="450"/>
      <c r="BK1010" s="450"/>
      <c r="BL1010" s="450"/>
      <c r="BM1010" s="450"/>
    </row>
    <row r="1011" spans="1:65" ht="11.15">
      <c r="A1011" s="450"/>
      <c r="B1011" s="450"/>
      <c r="C1011" s="450"/>
      <c r="D1011" s="450"/>
      <c r="E1011" s="450"/>
      <c r="F1011" s="450"/>
      <c r="G1011" s="450"/>
      <c r="H1011" s="450"/>
      <c r="I1011" s="450"/>
      <c r="J1011" s="450"/>
      <c r="K1011" s="450"/>
      <c r="L1011" s="450"/>
      <c r="M1011" s="450"/>
      <c r="N1011" s="450"/>
      <c r="O1011" s="450"/>
      <c r="P1011" s="450"/>
      <c r="Q1011" s="450"/>
      <c r="R1011" s="450"/>
      <c r="S1011" s="450"/>
      <c r="T1011" s="450"/>
      <c r="U1011" s="450"/>
      <c r="V1011" s="450"/>
      <c r="W1011" s="450"/>
      <c r="X1011" s="450"/>
      <c r="Y1011" s="450"/>
      <c r="Z1011" s="450"/>
      <c r="AA1011" s="450"/>
      <c r="AB1011" s="450"/>
      <c r="AC1011" s="450"/>
      <c r="AD1011" s="450"/>
      <c r="AE1011" s="450"/>
      <c r="AF1011" s="450"/>
      <c r="AG1011" s="450"/>
      <c r="AH1011" s="450"/>
      <c r="AI1011" s="450"/>
      <c r="AJ1011" s="450"/>
      <c r="AK1011" s="450"/>
      <c r="AL1011" s="450"/>
      <c r="AM1011" s="450"/>
      <c r="AN1011" s="450"/>
      <c r="AO1011" s="450"/>
      <c r="AP1011" s="450"/>
      <c r="AQ1011" s="450"/>
      <c r="AR1011" s="450"/>
      <c r="AS1011" s="450"/>
      <c r="AT1011" s="450"/>
      <c r="AU1011" s="450"/>
      <c r="AV1011" s="450"/>
      <c r="AW1011" s="450"/>
      <c r="AX1011" s="450"/>
      <c r="AY1011" s="450"/>
      <c r="AZ1011" s="450"/>
      <c r="BA1011" s="450"/>
      <c r="BB1011" s="450"/>
      <c r="BC1011" s="450"/>
      <c r="BD1011" s="450"/>
      <c r="BE1011" s="450"/>
      <c r="BF1011" s="450"/>
      <c r="BG1011" s="450"/>
      <c r="BH1011" s="450"/>
      <c r="BI1011" s="450"/>
      <c r="BJ1011" s="450"/>
      <c r="BK1011" s="450"/>
      <c r="BL1011" s="450"/>
      <c r="BM1011" s="450"/>
    </row>
    <row r="1012" spans="1:65" ht="11.15">
      <c r="A1012" s="450"/>
      <c r="B1012" s="450"/>
      <c r="C1012" s="450"/>
      <c r="D1012" s="450"/>
      <c r="E1012" s="450"/>
      <c r="F1012" s="450"/>
      <c r="G1012" s="450"/>
      <c r="H1012" s="450"/>
      <c r="I1012" s="450"/>
      <c r="J1012" s="450"/>
      <c r="K1012" s="450"/>
      <c r="L1012" s="450"/>
      <c r="M1012" s="450"/>
      <c r="N1012" s="450"/>
      <c r="O1012" s="450"/>
      <c r="P1012" s="450"/>
      <c r="Q1012" s="450"/>
      <c r="R1012" s="450"/>
      <c r="S1012" s="450"/>
      <c r="T1012" s="450"/>
      <c r="U1012" s="450"/>
      <c r="V1012" s="450"/>
      <c r="W1012" s="450"/>
      <c r="X1012" s="450"/>
      <c r="Y1012" s="450"/>
      <c r="Z1012" s="450"/>
      <c r="AA1012" s="450"/>
      <c r="AB1012" s="450"/>
      <c r="AC1012" s="450"/>
      <c r="AD1012" s="450"/>
      <c r="AE1012" s="450"/>
      <c r="AF1012" s="450"/>
      <c r="AG1012" s="450"/>
      <c r="AH1012" s="450"/>
      <c r="AI1012" s="450"/>
      <c r="AJ1012" s="450"/>
      <c r="AK1012" s="450"/>
      <c r="AL1012" s="450"/>
      <c r="AM1012" s="450"/>
      <c r="AN1012" s="450"/>
      <c r="AO1012" s="450"/>
      <c r="AP1012" s="450"/>
      <c r="AQ1012" s="450"/>
      <c r="AR1012" s="450"/>
      <c r="AS1012" s="450"/>
      <c r="AT1012" s="450"/>
      <c r="AU1012" s="450"/>
      <c r="AV1012" s="450"/>
      <c r="AW1012" s="450"/>
      <c r="AX1012" s="450"/>
      <c r="AY1012" s="450"/>
      <c r="AZ1012" s="450"/>
      <c r="BA1012" s="450"/>
      <c r="BB1012" s="450"/>
      <c r="BC1012" s="450"/>
      <c r="BD1012" s="450"/>
      <c r="BE1012" s="450"/>
      <c r="BF1012" s="450"/>
      <c r="BG1012" s="450"/>
      <c r="BH1012" s="450"/>
      <c r="BI1012" s="450"/>
      <c r="BJ1012" s="450"/>
      <c r="BK1012" s="450"/>
      <c r="BL1012" s="450"/>
      <c r="BM1012" s="450"/>
    </row>
    <row r="1013" spans="1:65" ht="11.15">
      <c r="A1013" s="450"/>
      <c r="B1013" s="450"/>
      <c r="C1013" s="450"/>
      <c r="D1013" s="450"/>
      <c r="E1013" s="450"/>
      <c r="F1013" s="450"/>
      <c r="G1013" s="450"/>
      <c r="H1013" s="450"/>
      <c r="I1013" s="450"/>
      <c r="J1013" s="450"/>
      <c r="K1013" s="450"/>
      <c r="L1013" s="450"/>
      <c r="M1013" s="450"/>
      <c r="N1013" s="450"/>
      <c r="O1013" s="450"/>
      <c r="P1013" s="450"/>
      <c r="Q1013" s="450"/>
      <c r="R1013" s="450"/>
      <c r="S1013" s="450"/>
      <c r="T1013" s="450"/>
      <c r="U1013" s="450"/>
      <c r="V1013" s="450"/>
      <c r="W1013" s="450"/>
      <c r="X1013" s="450"/>
      <c r="Y1013" s="450"/>
      <c r="Z1013" s="450"/>
      <c r="AA1013" s="450"/>
      <c r="AB1013" s="450"/>
      <c r="AC1013" s="450"/>
      <c r="AD1013" s="450"/>
      <c r="AE1013" s="450"/>
      <c r="AF1013" s="450"/>
      <c r="AG1013" s="450"/>
      <c r="AH1013" s="450"/>
      <c r="AI1013" s="450"/>
      <c r="AJ1013" s="450"/>
      <c r="AK1013" s="450"/>
      <c r="AL1013" s="450"/>
      <c r="AM1013" s="450"/>
      <c r="AN1013" s="450"/>
      <c r="AO1013" s="450"/>
      <c r="AP1013" s="450"/>
      <c r="AQ1013" s="450"/>
      <c r="AR1013" s="450"/>
      <c r="AS1013" s="450"/>
      <c r="AT1013" s="450"/>
      <c r="AU1013" s="450"/>
      <c r="AV1013" s="450"/>
      <c r="AW1013" s="450"/>
      <c r="AX1013" s="450"/>
      <c r="AY1013" s="450"/>
      <c r="AZ1013" s="450"/>
      <c r="BA1013" s="450"/>
      <c r="BB1013" s="450"/>
      <c r="BC1013" s="450"/>
      <c r="BD1013" s="450"/>
      <c r="BE1013" s="450"/>
      <c r="BF1013" s="450"/>
      <c r="BG1013" s="450"/>
      <c r="BH1013" s="450"/>
      <c r="BI1013" s="450"/>
      <c r="BJ1013" s="450"/>
      <c r="BK1013" s="450"/>
      <c r="BL1013" s="450"/>
      <c r="BM1013" s="450"/>
    </row>
    <row r="1014" spans="1:65" ht="11.15">
      <c r="A1014" s="450"/>
      <c r="B1014" s="450"/>
      <c r="C1014" s="450"/>
      <c r="D1014" s="450"/>
      <c r="E1014" s="450"/>
      <c r="F1014" s="450"/>
      <c r="G1014" s="450"/>
      <c r="H1014" s="450"/>
      <c r="I1014" s="450"/>
      <c r="J1014" s="450"/>
      <c r="K1014" s="450"/>
      <c r="L1014" s="450"/>
      <c r="M1014" s="450"/>
      <c r="N1014" s="450"/>
      <c r="O1014" s="450"/>
      <c r="P1014" s="450"/>
      <c r="Q1014" s="450"/>
      <c r="R1014" s="450"/>
      <c r="S1014" s="450"/>
      <c r="T1014" s="450"/>
      <c r="U1014" s="450"/>
      <c r="V1014" s="450"/>
      <c r="W1014" s="450"/>
      <c r="X1014" s="450"/>
      <c r="Y1014" s="450"/>
      <c r="Z1014" s="450"/>
      <c r="AA1014" s="450"/>
      <c r="AB1014" s="450"/>
      <c r="AC1014" s="450"/>
      <c r="AD1014" s="450"/>
      <c r="AE1014" s="450"/>
      <c r="AF1014" s="450"/>
      <c r="AG1014" s="450"/>
      <c r="AH1014" s="450"/>
      <c r="AI1014" s="450"/>
      <c r="AJ1014" s="450"/>
      <c r="AK1014" s="450"/>
      <c r="AL1014" s="450"/>
      <c r="AM1014" s="450"/>
      <c r="AN1014" s="450"/>
      <c r="AO1014" s="450"/>
      <c r="AP1014" s="450"/>
      <c r="AQ1014" s="450"/>
      <c r="AR1014" s="450"/>
      <c r="AS1014" s="450"/>
      <c r="AT1014" s="450"/>
      <c r="AU1014" s="450"/>
      <c r="AV1014" s="450"/>
      <c r="AW1014" s="450"/>
      <c r="AX1014" s="450"/>
      <c r="AY1014" s="450"/>
      <c r="AZ1014" s="450"/>
      <c r="BA1014" s="450"/>
      <c r="BB1014" s="450"/>
      <c r="BC1014" s="450"/>
      <c r="BD1014" s="450"/>
      <c r="BE1014" s="450"/>
      <c r="BF1014" s="450"/>
      <c r="BG1014" s="450"/>
      <c r="BH1014" s="450"/>
      <c r="BI1014" s="450"/>
      <c r="BJ1014" s="450"/>
      <c r="BK1014" s="450"/>
      <c r="BL1014" s="450"/>
      <c r="BM1014" s="450"/>
    </row>
    <row r="1015" spans="1:65" ht="11.15">
      <c r="A1015" s="450"/>
      <c r="B1015" s="450"/>
      <c r="C1015" s="450"/>
      <c r="D1015" s="450"/>
      <c r="E1015" s="450"/>
      <c r="F1015" s="450"/>
      <c r="G1015" s="450"/>
      <c r="H1015" s="450"/>
      <c r="I1015" s="450"/>
      <c r="J1015" s="450"/>
      <c r="K1015" s="450"/>
      <c r="L1015" s="450"/>
      <c r="M1015" s="450"/>
      <c r="N1015" s="450"/>
      <c r="O1015" s="450"/>
      <c r="P1015" s="450"/>
      <c r="Q1015" s="450"/>
      <c r="R1015" s="450"/>
      <c r="S1015" s="450"/>
      <c r="T1015" s="450"/>
      <c r="U1015" s="450"/>
      <c r="V1015" s="450"/>
      <c r="W1015" s="450"/>
      <c r="X1015" s="450"/>
      <c r="Y1015" s="450"/>
      <c r="Z1015" s="450"/>
      <c r="AA1015" s="450"/>
      <c r="AB1015" s="450"/>
      <c r="AC1015" s="450"/>
      <c r="AD1015" s="450"/>
      <c r="AE1015" s="450"/>
      <c r="AF1015" s="450"/>
      <c r="AG1015" s="450"/>
      <c r="AH1015" s="450"/>
      <c r="AI1015" s="450"/>
      <c r="AJ1015" s="450"/>
      <c r="AK1015" s="450"/>
      <c r="AL1015" s="450"/>
      <c r="AM1015" s="450"/>
      <c r="AN1015" s="450"/>
      <c r="AO1015" s="450"/>
      <c r="AP1015" s="450"/>
      <c r="AQ1015" s="450"/>
      <c r="AR1015" s="450"/>
      <c r="AS1015" s="450"/>
      <c r="AT1015" s="450"/>
      <c r="AU1015" s="450"/>
      <c r="AV1015" s="450"/>
      <c r="AW1015" s="450"/>
      <c r="AX1015" s="450"/>
      <c r="AY1015" s="450"/>
      <c r="AZ1015" s="450"/>
      <c r="BA1015" s="450"/>
      <c r="BB1015" s="450"/>
      <c r="BC1015" s="450"/>
      <c r="BD1015" s="450"/>
      <c r="BE1015" s="450"/>
      <c r="BF1015" s="450"/>
      <c r="BG1015" s="450"/>
      <c r="BH1015" s="450"/>
      <c r="BI1015" s="450"/>
      <c r="BJ1015" s="450"/>
      <c r="BK1015" s="450"/>
      <c r="BL1015" s="450"/>
      <c r="BM1015" s="450"/>
    </row>
    <row r="1016" spans="1:65" ht="11.15">
      <c r="A1016" s="450"/>
      <c r="B1016" s="450"/>
      <c r="C1016" s="450"/>
      <c r="D1016" s="450"/>
      <c r="E1016" s="450"/>
      <c r="F1016" s="450"/>
      <c r="G1016" s="450"/>
      <c r="H1016" s="450"/>
      <c r="I1016" s="450"/>
      <c r="J1016" s="450"/>
      <c r="K1016" s="450"/>
      <c r="L1016" s="450"/>
      <c r="M1016" s="450"/>
      <c r="N1016" s="450"/>
      <c r="O1016" s="450"/>
      <c r="P1016" s="450"/>
      <c r="Q1016" s="450"/>
      <c r="R1016" s="450"/>
      <c r="S1016" s="450"/>
      <c r="T1016" s="450"/>
      <c r="U1016" s="450"/>
      <c r="V1016" s="450"/>
      <c r="W1016" s="450"/>
      <c r="X1016" s="450"/>
      <c r="Y1016" s="450"/>
      <c r="Z1016" s="450"/>
      <c r="AA1016" s="450"/>
      <c r="AB1016" s="450"/>
      <c r="AC1016" s="450"/>
      <c r="AD1016" s="450"/>
      <c r="AE1016" s="450"/>
      <c r="AF1016" s="450"/>
      <c r="AG1016" s="450"/>
      <c r="AH1016" s="450"/>
      <c r="AI1016" s="450"/>
      <c r="AJ1016" s="450"/>
      <c r="AK1016" s="450"/>
      <c r="AL1016" s="450"/>
      <c r="AM1016" s="450"/>
      <c r="AN1016" s="450"/>
      <c r="AO1016" s="450"/>
      <c r="AP1016" s="450"/>
      <c r="AQ1016" s="450"/>
      <c r="AR1016" s="450"/>
      <c r="AS1016" s="450"/>
      <c r="AT1016" s="450"/>
      <c r="AU1016" s="450"/>
      <c r="AV1016" s="450"/>
      <c r="AW1016" s="450"/>
      <c r="AX1016" s="450"/>
      <c r="AY1016" s="450"/>
      <c r="AZ1016" s="450"/>
      <c r="BA1016" s="450"/>
      <c r="BB1016" s="450"/>
      <c r="BC1016" s="450"/>
      <c r="BD1016" s="450"/>
      <c r="BE1016" s="450"/>
      <c r="BF1016" s="450"/>
      <c r="BG1016" s="450"/>
      <c r="BH1016" s="450"/>
      <c r="BI1016" s="450"/>
      <c r="BJ1016" s="450"/>
      <c r="BK1016" s="450"/>
      <c r="BL1016" s="450"/>
      <c r="BM1016" s="450"/>
    </row>
    <row r="1017" spans="1:65" ht="11.15">
      <c r="A1017" s="450"/>
      <c r="B1017" s="450"/>
      <c r="C1017" s="450"/>
      <c r="D1017" s="450"/>
      <c r="E1017" s="450"/>
      <c r="F1017" s="450"/>
      <c r="G1017" s="450"/>
      <c r="H1017" s="450"/>
      <c r="I1017" s="450"/>
      <c r="J1017" s="450"/>
      <c r="K1017" s="450"/>
      <c r="L1017" s="450"/>
      <c r="M1017" s="450"/>
      <c r="N1017" s="450"/>
      <c r="O1017" s="450"/>
      <c r="P1017" s="450"/>
      <c r="Q1017" s="450"/>
      <c r="R1017" s="450"/>
      <c r="S1017" s="450"/>
      <c r="T1017" s="450"/>
      <c r="U1017" s="450"/>
      <c r="V1017" s="450"/>
      <c r="W1017" s="450"/>
      <c r="X1017" s="450"/>
      <c r="Y1017" s="450"/>
      <c r="Z1017" s="450"/>
      <c r="AA1017" s="450"/>
      <c r="AB1017" s="450"/>
      <c r="AC1017" s="450"/>
      <c r="AD1017" s="450"/>
      <c r="AE1017" s="450"/>
      <c r="AF1017" s="450"/>
      <c r="AG1017" s="450"/>
      <c r="AH1017" s="450"/>
      <c r="AI1017" s="450"/>
      <c r="AJ1017" s="450"/>
      <c r="AK1017" s="450"/>
      <c r="AL1017" s="450"/>
      <c r="AM1017" s="450"/>
      <c r="AN1017" s="450"/>
      <c r="AO1017" s="450"/>
      <c r="AP1017" s="450"/>
      <c r="AQ1017" s="450"/>
      <c r="AR1017" s="450"/>
      <c r="AS1017" s="450"/>
      <c r="AT1017" s="450"/>
      <c r="AU1017" s="450"/>
      <c r="AV1017" s="450"/>
      <c r="AW1017" s="450"/>
      <c r="AX1017" s="450"/>
      <c r="AY1017" s="450"/>
      <c r="AZ1017" s="450"/>
      <c r="BA1017" s="450"/>
      <c r="BB1017" s="450"/>
      <c r="BC1017" s="450"/>
      <c r="BD1017" s="450"/>
      <c r="BE1017" s="450"/>
      <c r="BF1017" s="450"/>
      <c r="BG1017" s="450"/>
      <c r="BH1017" s="450"/>
      <c r="BI1017" s="450"/>
      <c r="BJ1017" s="450"/>
      <c r="BK1017" s="450"/>
      <c r="BL1017" s="450"/>
      <c r="BM1017" s="450"/>
    </row>
    <row r="1018" spans="1:65" ht="11.15">
      <c r="A1018" s="450"/>
      <c r="B1018" s="450"/>
      <c r="C1018" s="450"/>
      <c r="D1018" s="450"/>
      <c r="E1018" s="450"/>
      <c r="F1018" s="450"/>
      <c r="G1018" s="450"/>
      <c r="H1018" s="450"/>
      <c r="I1018" s="450"/>
      <c r="J1018" s="450"/>
      <c r="K1018" s="450"/>
      <c r="L1018" s="450"/>
      <c r="M1018" s="450"/>
      <c r="N1018" s="450"/>
      <c r="O1018" s="450"/>
      <c r="P1018" s="450"/>
      <c r="Q1018" s="450"/>
      <c r="R1018" s="450"/>
      <c r="S1018" s="450"/>
      <c r="T1018" s="450"/>
      <c r="U1018" s="450"/>
      <c r="V1018" s="450"/>
      <c r="W1018" s="450"/>
      <c r="X1018" s="450"/>
      <c r="Y1018" s="450"/>
      <c r="Z1018" s="450"/>
      <c r="AA1018" s="450"/>
      <c r="AB1018" s="450"/>
      <c r="AC1018" s="450"/>
      <c r="AD1018" s="450"/>
      <c r="AE1018" s="450"/>
      <c r="AF1018" s="450"/>
      <c r="AG1018" s="450"/>
      <c r="AH1018" s="450"/>
      <c r="AI1018" s="450"/>
      <c r="AJ1018" s="450"/>
      <c r="AK1018" s="450"/>
      <c r="AL1018" s="450"/>
      <c r="AM1018" s="450"/>
      <c r="AN1018" s="450"/>
      <c r="AO1018" s="450"/>
      <c r="AP1018" s="450"/>
      <c r="AQ1018" s="450"/>
      <c r="AR1018" s="450"/>
      <c r="AS1018" s="450"/>
      <c r="AT1018" s="450"/>
      <c r="AU1018" s="450"/>
      <c r="AV1018" s="450"/>
      <c r="AW1018" s="450"/>
      <c r="AX1018" s="450"/>
      <c r="AY1018" s="450"/>
      <c r="AZ1018" s="450"/>
      <c r="BA1018" s="450"/>
      <c r="BB1018" s="450"/>
      <c r="BC1018" s="450"/>
      <c r="BD1018" s="450"/>
      <c r="BE1018" s="450"/>
      <c r="BF1018" s="450"/>
      <c r="BG1018" s="450"/>
      <c r="BH1018" s="450"/>
      <c r="BI1018" s="450"/>
      <c r="BJ1018" s="450"/>
      <c r="BK1018" s="450"/>
      <c r="BL1018" s="450"/>
      <c r="BM1018" s="450"/>
    </row>
    <row r="1019" spans="1:65" ht="11.15">
      <c r="A1019" s="450"/>
      <c r="B1019" s="450"/>
      <c r="C1019" s="450"/>
      <c r="D1019" s="450"/>
      <c r="E1019" s="450"/>
      <c r="F1019" s="450"/>
      <c r="G1019" s="450"/>
      <c r="H1019" s="450"/>
      <c r="I1019" s="450"/>
      <c r="J1019" s="450"/>
      <c r="K1019" s="450"/>
      <c r="L1019" s="450"/>
      <c r="M1019" s="450"/>
      <c r="N1019" s="450"/>
      <c r="O1019" s="450"/>
      <c r="P1019" s="450"/>
      <c r="Q1019" s="450"/>
      <c r="R1019" s="450"/>
      <c r="S1019" s="450"/>
      <c r="T1019" s="450"/>
      <c r="U1019" s="450"/>
      <c r="V1019" s="450"/>
      <c r="W1019" s="450"/>
      <c r="X1019" s="450"/>
      <c r="Y1019" s="450"/>
      <c r="Z1019" s="450"/>
      <c r="AA1019" s="450"/>
      <c r="AB1019" s="450"/>
      <c r="AC1019" s="450"/>
      <c r="AD1019" s="450"/>
      <c r="AE1019" s="450"/>
      <c r="AF1019" s="450"/>
      <c r="AG1019" s="450"/>
      <c r="AH1019" s="450"/>
      <c r="AI1019" s="450"/>
      <c r="AJ1019" s="450"/>
      <c r="AK1019" s="450"/>
      <c r="AL1019" s="450"/>
      <c r="AM1019" s="450"/>
      <c r="AN1019" s="450"/>
      <c r="AO1019" s="450"/>
      <c r="AP1019" s="450"/>
      <c r="AQ1019" s="450"/>
      <c r="AR1019" s="450"/>
      <c r="AS1019" s="450"/>
      <c r="AT1019" s="450"/>
      <c r="AU1019" s="450"/>
      <c r="AV1019" s="450"/>
      <c r="AW1019" s="450"/>
      <c r="AX1019" s="450"/>
      <c r="AY1019" s="450"/>
      <c r="AZ1019" s="450"/>
      <c r="BA1019" s="450"/>
      <c r="BB1019" s="450"/>
      <c r="BC1019" s="450"/>
      <c r="BD1019" s="450"/>
      <c r="BE1019" s="450"/>
      <c r="BF1019" s="450"/>
      <c r="BG1019" s="450"/>
      <c r="BH1019" s="450"/>
      <c r="BI1019" s="450"/>
      <c r="BJ1019" s="450"/>
      <c r="BK1019" s="450"/>
      <c r="BL1019" s="450"/>
      <c r="BM1019" s="450"/>
    </row>
    <row r="1020" spans="1:65" ht="11.15">
      <c r="A1020" s="450"/>
      <c r="B1020" s="450"/>
      <c r="C1020" s="450"/>
      <c r="D1020" s="450"/>
      <c r="E1020" s="450"/>
      <c r="F1020" s="450"/>
      <c r="G1020" s="450"/>
      <c r="H1020" s="450"/>
      <c r="I1020" s="450"/>
      <c r="J1020" s="450"/>
      <c r="K1020" s="450"/>
      <c r="L1020" s="450"/>
      <c r="M1020" s="450"/>
      <c r="N1020" s="450"/>
      <c r="O1020" s="450"/>
      <c r="P1020" s="450"/>
      <c r="Q1020" s="450"/>
      <c r="R1020" s="450"/>
      <c r="S1020" s="450"/>
      <c r="T1020" s="450"/>
      <c r="U1020" s="450"/>
      <c r="V1020" s="450"/>
      <c r="W1020" s="450"/>
      <c r="X1020" s="450"/>
      <c r="Y1020" s="450"/>
      <c r="Z1020" s="450"/>
      <c r="AA1020" s="450"/>
      <c r="AB1020" s="450"/>
      <c r="AC1020" s="450"/>
      <c r="AD1020" s="450"/>
      <c r="AE1020" s="450"/>
      <c r="AF1020" s="450"/>
      <c r="AG1020" s="450"/>
      <c r="AH1020" s="450"/>
      <c r="AI1020" s="450"/>
      <c r="AJ1020" s="450"/>
      <c r="AK1020" s="450"/>
      <c r="AL1020" s="450"/>
      <c r="AM1020" s="450"/>
      <c r="AN1020" s="450"/>
      <c r="AO1020" s="450"/>
      <c r="AP1020" s="450"/>
      <c r="AQ1020" s="450"/>
      <c r="AR1020" s="450"/>
      <c r="AS1020" s="450"/>
      <c r="AT1020" s="450"/>
      <c r="AU1020" s="450"/>
      <c r="AV1020" s="450"/>
      <c r="AW1020" s="450"/>
      <c r="AX1020" s="450"/>
      <c r="AY1020" s="450"/>
      <c r="AZ1020" s="450"/>
      <c r="BA1020" s="450"/>
      <c r="BB1020" s="450"/>
      <c r="BC1020" s="450"/>
      <c r="BD1020" s="450"/>
      <c r="BE1020" s="450"/>
      <c r="BF1020" s="450"/>
      <c r="BG1020" s="450"/>
      <c r="BH1020" s="450"/>
      <c r="BI1020" s="450"/>
      <c r="BJ1020" s="450"/>
      <c r="BK1020" s="450"/>
      <c r="BL1020" s="450"/>
      <c r="BM1020" s="450"/>
    </row>
    <row r="1021" spans="1:65" ht="11.15">
      <c r="A1021" s="450"/>
      <c r="B1021" s="450"/>
      <c r="C1021" s="450"/>
      <c r="D1021" s="450"/>
      <c r="E1021" s="450"/>
      <c r="F1021" s="450"/>
      <c r="G1021" s="450"/>
      <c r="H1021" s="450"/>
      <c r="I1021" s="450"/>
      <c r="J1021" s="450"/>
      <c r="K1021" s="450"/>
      <c r="L1021" s="450"/>
      <c r="M1021" s="450"/>
      <c r="N1021" s="450"/>
      <c r="O1021" s="450"/>
      <c r="P1021" s="450"/>
      <c r="Q1021" s="450"/>
      <c r="R1021" s="450"/>
      <c r="S1021" s="450"/>
      <c r="T1021" s="450"/>
      <c r="U1021" s="450"/>
      <c r="V1021" s="450"/>
      <c r="W1021" s="450"/>
      <c r="X1021" s="450"/>
      <c r="Y1021" s="450"/>
      <c r="Z1021" s="450"/>
      <c r="AA1021" s="450"/>
      <c r="AB1021" s="450"/>
      <c r="AC1021" s="450"/>
      <c r="AD1021" s="450"/>
      <c r="AE1021" s="450"/>
      <c r="AF1021" s="450"/>
      <c r="AG1021" s="450"/>
      <c r="AH1021" s="450"/>
      <c r="AI1021" s="450"/>
      <c r="AJ1021" s="450"/>
      <c r="AK1021" s="450"/>
      <c r="AL1021" s="450"/>
      <c r="AM1021" s="450"/>
      <c r="AN1021" s="450"/>
      <c r="AO1021" s="450"/>
      <c r="AP1021" s="450"/>
      <c r="AQ1021" s="450"/>
      <c r="AR1021" s="450"/>
      <c r="AS1021" s="450"/>
      <c r="AT1021" s="450"/>
      <c r="AU1021" s="450"/>
      <c r="AV1021" s="450"/>
      <c r="AW1021" s="450"/>
      <c r="AX1021" s="450"/>
      <c r="AY1021" s="450"/>
      <c r="AZ1021" s="450"/>
      <c r="BA1021" s="450"/>
      <c r="BB1021" s="450"/>
      <c r="BC1021" s="450"/>
      <c r="BD1021" s="450"/>
      <c r="BE1021" s="450"/>
      <c r="BF1021" s="450"/>
      <c r="BG1021" s="450"/>
      <c r="BH1021" s="450"/>
      <c r="BI1021" s="450"/>
      <c r="BJ1021" s="450"/>
      <c r="BK1021" s="450"/>
      <c r="BL1021" s="450"/>
      <c r="BM1021" s="450"/>
    </row>
    <row r="1022" spans="1:65" ht="11.15">
      <c r="A1022" s="450"/>
      <c r="B1022" s="450"/>
      <c r="C1022" s="450"/>
      <c r="D1022" s="450"/>
      <c r="E1022" s="450"/>
      <c r="F1022" s="450"/>
      <c r="G1022" s="450"/>
      <c r="H1022" s="450"/>
      <c r="I1022" s="450"/>
      <c r="J1022" s="450"/>
      <c r="K1022" s="450"/>
      <c r="L1022" s="450"/>
      <c r="M1022" s="450"/>
      <c r="N1022" s="450"/>
      <c r="O1022" s="450"/>
      <c r="P1022" s="450"/>
      <c r="Q1022" s="450"/>
      <c r="R1022" s="450"/>
      <c r="S1022" s="450"/>
      <c r="T1022" s="450"/>
      <c r="U1022" s="450"/>
      <c r="V1022" s="450"/>
      <c r="W1022" s="450"/>
      <c r="X1022" s="450"/>
      <c r="Y1022" s="450"/>
      <c r="Z1022" s="450"/>
      <c r="AA1022" s="450"/>
      <c r="AB1022" s="450"/>
      <c r="AC1022" s="450"/>
      <c r="AD1022" s="450"/>
      <c r="AE1022" s="450"/>
      <c r="AF1022" s="450"/>
      <c r="AG1022" s="450"/>
      <c r="AH1022" s="450"/>
      <c r="AI1022" s="450"/>
      <c r="AJ1022" s="450"/>
      <c r="AK1022" s="450"/>
      <c r="AL1022" s="450"/>
      <c r="AM1022" s="450"/>
      <c r="AN1022" s="450"/>
      <c r="AO1022" s="450"/>
      <c r="AP1022" s="450"/>
      <c r="AQ1022" s="450"/>
      <c r="AR1022" s="450"/>
      <c r="AS1022" s="450"/>
      <c r="AT1022" s="450"/>
      <c r="AU1022" s="450"/>
      <c r="AV1022" s="450"/>
      <c r="AW1022" s="450"/>
      <c r="AX1022" s="450"/>
      <c r="AY1022" s="450"/>
      <c r="AZ1022" s="450"/>
      <c r="BA1022" s="450"/>
      <c r="BB1022" s="450"/>
      <c r="BC1022" s="450"/>
      <c r="BD1022" s="450"/>
      <c r="BE1022" s="450"/>
      <c r="BF1022" s="450"/>
      <c r="BG1022" s="450"/>
      <c r="BH1022" s="450"/>
      <c r="BI1022" s="450"/>
      <c r="BJ1022" s="450"/>
      <c r="BK1022" s="450"/>
      <c r="BL1022" s="450"/>
      <c r="BM1022" s="450"/>
    </row>
    <row r="1023" spans="1:65" ht="11.15">
      <c r="A1023" s="450"/>
      <c r="B1023" s="450"/>
      <c r="C1023" s="450"/>
      <c r="D1023" s="450"/>
      <c r="E1023" s="450"/>
      <c r="F1023" s="450"/>
      <c r="G1023" s="450"/>
      <c r="H1023" s="450"/>
      <c r="I1023" s="450"/>
      <c r="J1023" s="450"/>
      <c r="K1023" s="450"/>
      <c r="L1023" s="450"/>
      <c r="M1023" s="450"/>
      <c r="N1023" s="450"/>
      <c r="O1023" s="450"/>
      <c r="P1023" s="450"/>
      <c r="Q1023" s="450"/>
      <c r="R1023" s="450"/>
      <c r="S1023" s="450"/>
      <c r="T1023" s="450"/>
      <c r="U1023" s="450"/>
      <c r="V1023" s="450"/>
      <c r="W1023" s="450"/>
      <c r="X1023" s="450"/>
      <c r="Y1023" s="450"/>
      <c r="Z1023" s="450"/>
      <c r="AA1023" s="450"/>
      <c r="AB1023" s="450"/>
      <c r="AC1023" s="450"/>
      <c r="AD1023" s="450"/>
      <c r="AE1023" s="450"/>
      <c r="AF1023" s="450"/>
      <c r="AG1023" s="450"/>
      <c r="AH1023" s="450"/>
      <c r="AI1023" s="450"/>
      <c r="AJ1023" s="450"/>
      <c r="AK1023" s="450"/>
      <c r="AL1023" s="450"/>
      <c r="AM1023" s="450"/>
      <c r="AN1023" s="450"/>
      <c r="AO1023" s="450"/>
      <c r="AP1023" s="450"/>
      <c r="AQ1023" s="450"/>
      <c r="AR1023" s="450"/>
      <c r="AS1023" s="450"/>
      <c r="AT1023" s="450"/>
      <c r="AU1023" s="450"/>
      <c r="AV1023" s="450"/>
      <c r="AW1023" s="450"/>
      <c r="AX1023" s="450"/>
      <c r="AY1023" s="450"/>
      <c r="AZ1023" s="450"/>
      <c r="BA1023" s="450"/>
      <c r="BB1023" s="450"/>
      <c r="BC1023" s="450"/>
      <c r="BD1023" s="450"/>
      <c r="BE1023" s="450"/>
      <c r="BF1023" s="450"/>
      <c r="BG1023" s="450"/>
      <c r="BH1023" s="450"/>
      <c r="BI1023" s="450"/>
      <c r="BJ1023" s="450"/>
      <c r="BK1023" s="450"/>
      <c r="BL1023" s="450"/>
      <c r="BM1023" s="450"/>
    </row>
    <row r="1024" spans="1:65" ht="11.15">
      <c r="A1024" s="450"/>
      <c r="B1024" s="450"/>
      <c r="C1024" s="450"/>
      <c r="D1024" s="450"/>
      <c r="E1024" s="450"/>
      <c r="F1024" s="450"/>
      <c r="G1024" s="450"/>
      <c r="H1024" s="450"/>
      <c r="I1024" s="450"/>
      <c r="J1024" s="450"/>
      <c r="K1024" s="450"/>
      <c r="L1024" s="450"/>
      <c r="M1024" s="450"/>
      <c r="N1024" s="450"/>
      <c r="O1024" s="450"/>
      <c r="P1024" s="450"/>
      <c r="Q1024" s="450"/>
      <c r="R1024" s="450"/>
      <c r="S1024" s="450"/>
      <c r="T1024" s="450"/>
      <c r="U1024" s="450"/>
      <c r="V1024" s="450"/>
      <c r="W1024" s="450"/>
      <c r="X1024" s="450"/>
      <c r="Y1024" s="450"/>
      <c r="Z1024" s="450"/>
      <c r="AA1024" s="450"/>
      <c r="AB1024" s="450"/>
      <c r="AC1024" s="450"/>
      <c r="AD1024" s="450"/>
      <c r="AE1024" s="450"/>
      <c r="AF1024" s="450"/>
      <c r="AG1024" s="450"/>
      <c r="AH1024" s="450"/>
      <c r="AI1024" s="450"/>
      <c r="AJ1024" s="450"/>
      <c r="AK1024" s="450"/>
      <c r="AL1024" s="450"/>
      <c r="AM1024" s="450"/>
      <c r="AN1024" s="450"/>
      <c r="AO1024" s="450"/>
      <c r="AP1024" s="450"/>
      <c r="AQ1024" s="450"/>
      <c r="AR1024" s="450"/>
      <c r="AS1024" s="450"/>
      <c r="AT1024" s="450"/>
      <c r="AU1024" s="450"/>
      <c r="AV1024" s="450"/>
      <c r="AW1024" s="450"/>
      <c r="AX1024" s="450"/>
      <c r="AY1024" s="450"/>
      <c r="AZ1024" s="450"/>
      <c r="BA1024" s="450"/>
      <c r="BB1024" s="450"/>
      <c r="BC1024" s="450"/>
      <c r="BD1024" s="450"/>
      <c r="BE1024" s="450"/>
      <c r="BF1024" s="450"/>
      <c r="BG1024" s="450"/>
      <c r="BH1024" s="450"/>
      <c r="BI1024" s="450"/>
      <c r="BJ1024" s="450"/>
      <c r="BK1024" s="450"/>
      <c r="BL1024" s="450"/>
      <c r="BM1024" s="450"/>
    </row>
    <row r="1025" spans="1:65" ht="11.15">
      <c r="A1025" s="450"/>
      <c r="B1025" s="450"/>
      <c r="C1025" s="450"/>
      <c r="D1025" s="450"/>
      <c r="E1025" s="450"/>
      <c r="F1025" s="450"/>
      <c r="G1025" s="450"/>
      <c r="H1025" s="450"/>
      <c r="I1025" s="450"/>
      <c r="J1025" s="450"/>
      <c r="K1025" s="450"/>
      <c r="L1025" s="450"/>
      <c r="M1025" s="450"/>
      <c r="N1025" s="450"/>
      <c r="O1025" s="450"/>
      <c r="P1025" s="450"/>
      <c r="Q1025" s="450"/>
      <c r="R1025" s="450"/>
      <c r="S1025" s="450"/>
      <c r="T1025" s="450"/>
      <c r="U1025" s="450"/>
      <c r="V1025" s="450"/>
      <c r="W1025" s="450"/>
      <c r="X1025" s="450"/>
      <c r="Y1025" s="450"/>
      <c r="Z1025" s="450"/>
      <c r="AA1025" s="450"/>
      <c r="AB1025" s="450"/>
      <c r="AC1025" s="450"/>
      <c r="AD1025" s="450"/>
      <c r="AE1025" s="450"/>
      <c r="AF1025" s="450"/>
      <c r="AG1025" s="450"/>
      <c r="AH1025" s="450"/>
      <c r="AI1025" s="450"/>
      <c r="AJ1025" s="450"/>
      <c r="AK1025" s="450"/>
      <c r="AL1025" s="450"/>
      <c r="AM1025" s="450"/>
      <c r="AN1025" s="450"/>
      <c r="AO1025" s="450"/>
      <c r="AP1025" s="450"/>
      <c r="AQ1025" s="450"/>
      <c r="AR1025" s="450"/>
      <c r="AS1025" s="450"/>
      <c r="AT1025" s="450"/>
      <c r="AU1025" s="450"/>
      <c r="AV1025" s="450"/>
      <c r="AW1025" s="450"/>
      <c r="AX1025" s="450"/>
      <c r="AY1025" s="450"/>
      <c r="AZ1025" s="450"/>
      <c r="BA1025" s="450"/>
      <c r="BB1025" s="450"/>
      <c r="BC1025" s="450"/>
      <c r="BD1025" s="450"/>
      <c r="BE1025" s="450"/>
      <c r="BF1025" s="450"/>
      <c r="BG1025" s="450"/>
      <c r="BH1025" s="450"/>
      <c r="BI1025" s="450"/>
      <c r="BJ1025" s="450"/>
      <c r="BK1025" s="450"/>
      <c r="BL1025" s="450"/>
      <c r="BM1025" s="450"/>
    </row>
    <row r="1026" spans="1:65" ht="11.15">
      <c r="A1026" s="450"/>
      <c r="B1026" s="450"/>
      <c r="C1026" s="450"/>
      <c r="D1026" s="450"/>
      <c r="E1026" s="450"/>
      <c r="F1026" s="450"/>
      <c r="G1026" s="450"/>
      <c r="H1026" s="450"/>
      <c r="I1026" s="450"/>
      <c r="J1026" s="450"/>
      <c r="K1026" s="450"/>
      <c r="L1026" s="450"/>
      <c r="M1026" s="450"/>
      <c r="N1026" s="450"/>
      <c r="O1026" s="450"/>
      <c r="P1026" s="450"/>
      <c r="Q1026" s="450"/>
      <c r="R1026" s="450"/>
      <c r="S1026" s="450"/>
      <c r="T1026" s="450"/>
      <c r="U1026" s="450"/>
      <c r="V1026" s="450"/>
      <c r="W1026" s="450"/>
      <c r="X1026" s="450"/>
      <c r="Y1026" s="450"/>
      <c r="Z1026" s="450"/>
      <c r="AA1026" s="450"/>
      <c r="AB1026" s="450"/>
      <c r="AC1026" s="450"/>
      <c r="AD1026" s="450"/>
      <c r="AE1026" s="450"/>
      <c r="AF1026" s="450"/>
      <c r="AG1026" s="450"/>
      <c r="AH1026" s="450"/>
      <c r="AI1026" s="450"/>
      <c r="AJ1026" s="450"/>
      <c r="AK1026" s="450"/>
      <c r="AL1026" s="450"/>
      <c r="AM1026" s="450"/>
      <c r="AN1026" s="450"/>
      <c r="AO1026" s="450"/>
      <c r="AP1026" s="450"/>
      <c r="AQ1026" s="450"/>
      <c r="AR1026" s="450"/>
      <c r="AS1026" s="450"/>
      <c r="AT1026" s="450"/>
      <c r="AU1026" s="450"/>
      <c r="AV1026" s="450"/>
      <c r="AW1026" s="450"/>
      <c r="AX1026" s="450"/>
      <c r="AY1026" s="450"/>
      <c r="AZ1026" s="450"/>
      <c r="BA1026" s="450"/>
      <c r="BB1026" s="450"/>
      <c r="BC1026" s="450"/>
      <c r="BD1026" s="450"/>
      <c r="BE1026" s="450"/>
      <c r="BF1026" s="450"/>
      <c r="BG1026" s="450"/>
      <c r="BH1026" s="450"/>
      <c r="BI1026" s="450"/>
      <c r="BJ1026" s="450"/>
      <c r="BK1026" s="450"/>
      <c r="BL1026" s="450"/>
      <c r="BM1026" s="450"/>
    </row>
    <row r="1027" spans="1:65" ht="11.15">
      <c r="A1027" s="450"/>
      <c r="B1027" s="450"/>
      <c r="C1027" s="450"/>
      <c r="D1027" s="450"/>
      <c r="E1027" s="450"/>
      <c r="F1027" s="450"/>
      <c r="G1027" s="450"/>
      <c r="H1027" s="450"/>
      <c r="I1027" s="450"/>
      <c r="J1027" s="450"/>
      <c r="K1027" s="450"/>
      <c r="L1027" s="450"/>
      <c r="M1027" s="450"/>
      <c r="N1027" s="450"/>
      <c r="O1027" s="450"/>
      <c r="P1027" s="450"/>
      <c r="Q1027" s="450"/>
      <c r="R1027" s="450"/>
      <c r="S1027" s="450"/>
      <c r="T1027" s="450"/>
      <c r="U1027" s="450"/>
      <c r="V1027" s="450"/>
      <c r="W1027" s="450"/>
      <c r="X1027" s="450"/>
      <c r="Y1027" s="450"/>
      <c r="Z1027" s="450"/>
      <c r="AA1027" s="450"/>
      <c r="AB1027" s="450"/>
      <c r="AC1027" s="450"/>
      <c r="AD1027" s="450"/>
      <c r="AE1027" s="450"/>
      <c r="AF1027" s="450"/>
      <c r="AG1027" s="450"/>
      <c r="AH1027" s="450"/>
      <c r="AI1027" s="450"/>
      <c r="AJ1027" s="450"/>
      <c r="AK1027" s="450"/>
      <c r="AL1027" s="450"/>
      <c r="AM1027" s="450"/>
      <c r="AN1027" s="450"/>
      <c r="AO1027" s="450"/>
      <c r="AP1027" s="450"/>
      <c r="AQ1027" s="450"/>
      <c r="AR1027" s="450"/>
      <c r="AS1027" s="450"/>
      <c r="AT1027" s="450"/>
      <c r="AU1027" s="450"/>
      <c r="AV1027" s="450"/>
      <c r="AW1027" s="450"/>
      <c r="AX1027" s="450"/>
      <c r="AY1027" s="450"/>
      <c r="AZ1027" s="450"/>
      <c r="BA1027" s="450"/>
      <c r="BB1027" s="450"/>
      <c r="BC1027" s="450"/>
      <c r="BD1027" s="450"/>
      <c r="BE1027" s="450"/>
      <c r="BF1027" s="450"/>
      <c r="BG1027" s="450"/>
      <c r="BH1027" s="450"/>
      <c r="BI1027" s="450"/>
      <c r="BJ1027" s="450"/>
      <c r="BK1027" s="450"/>
      <c r="BL1027" s="450"/>
      <c r="BM1027" s="450"/>
    </row>
    <row r="1028" spans="1:65" ht="11.15">
      <c r="A1028" s="450"/>
      <c r="B1028" s="450"/>
      <c r="C1028" s="450"/>
      <c r="D1028" s="450"/>
      <c r="E1028" s="450"/>
      <c r="F1028" s="450"/>
      <c r="G1028" s="450"/>
      <c r="H1028" s="450"/>
      <c r="I1028" s="450"/>
      <c r="J1028" s="450"/>
      <c r="K1028" s="450"/>
      <c r="L1028" s="450"/>
      <c r="M1028" s="450"/>
      <c r="N1028" s="450"/>
      <c r="O1028" s="450"/>
      <c r="P1028" s="450"/>
      <c r="Q1028" s="450"/>
      <c r="R1028" s="450"/>
      <c r="S1028" s="450"/>
      <c r="T1028" s="450"/>
      <c r="U1028" s="450"/>
      <c r="V1028" s="450"/>
      <c r="W1028" s="450"/>
      <c r="X1028" s="450"/>
      <c r="Y1028" s="450"/>
      <c r="Z1028" s="450"/>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0"/>
    </row>
    <row r="1029" spans="1:65" ht="11.15">
      <c r="A1029" s="450"/>
      <c r="B1029" s="450"/>
      <c r="C1029" s="450"/>
      <c r="D1029" s="450"/>
      <c r="E1029" s="450"/>
      <c r="F1029" s="450"/>
      <c r="G1029" s="450"/>
      <c r="H1029" s="450"/>
      <c r="I1029" s="450"/>
      <c r="J1029" s="450"/>
      <c r="K1029" s="450"/>
      <c r="L1029" s="450"/>
      <c r="M1029" s="450"/>
      <c r="N1029" s="450"/>
      <c r="O1029" s="450"/>
      <c r="P1029" s="450"/>
      <c r="Q1029" s="450"/>
      <c r="R1029" s="450"/>
      <c r="S1029" s="450"/>
      <c r="T1029" s="450"/>
      <c r="U1029" s="450"/>
      <c r="V1029" s="450"/>
      <c r="W1029" s="450"/>
      <c r="X1029" s="450"/>
      <c r="Y1029" s="450"/>
      <c r="Z1029" s="450"/>
      <c r="AA1029" s="450"/>
      <c r="AB1029" s="450"/>
      <c r="AC1029" s="450"/>
      <c r="AD1029" s="450"/>
      <c r="AE1029" s="450"/>
      <c r="AF1029" s="450"/>
      <c r="AG1029" s="450"/>
      <c r="AH1029" s="450"/>
      <c r="AI1029" s="450"/>
      <c r="AJ1029" s="450"/>
      <c r="AK1029" s="450"/>
      <c r="AL1029" s="450"/>
      <c r="AM1029" s="450"/>
      <c r="AN1029" s="450"/>
      <c r="AO1029" s="450"/>
      <c r="AP1029" s="450"/>
      <c r="AQ1029" s="450"/>
      <c r="AR1029" s="450"/>
      <c r="AS1029" s="450"/>
      <c r="AT1029" s="450"/>
      <c r="AU1029" s="450"/>
      <c r="AV1029" s="450"/>
      <c r="AW1029" s="450"/>
      <c r="AX1029" s="450"/>
      <c r="AY1029" s="450"/>
      <c r="AZ1029" s="450"/>
      <c r="BA1029" s="450"/>
      <c r="BB1029" s="450"/>
      <c r="BC1029" s="450"/>
      <c r="BD1029" s="450"/>
      <c r="BE1029" s="450"/>
      <c r="BF1029" s="450"/>
      <c r="BG1029" s="450"/>
      <c r="BH1029" s="450"/>
      <c r="BI1029" s="450"/>
      <c r="BJ1029" s="450"/>
      <c r="BK1029" s="450"/>
      <c r="BL1029" s="450"/>
      <c r="BM1029" s="450"/>
    </row>
    <row r="1030" spans="1:65" ht="11.15">
      <c r="A1030" s="450"/>
      <c r="B1030" s="450"/>
      <c r="C1030" s="450"/>
      <c r="D1030" s="450"/>
      <c r="E1030" s="450"/>
      <c r="F1030" s="450"/>
      <c r="G1030" s="450"/>
      <c r="H1030" s="450"/>
      <c r="I1030" s="450"/>
      <c r="J1030" s="450"/>
      <c r="K1030" s="450"/>
      <c r="L1030" s="450"/>
      <c r="M1030" s="450"/>
      <c r="N1030" s="450"/>
      <c r="O1030" s="450"/>
      <c r="P1030" s="450"/>
      <c r="Q1030" s="450"/>
      <c r="R1030" s="450"/>
      <c r="S1030" s="450"/>
      <c r="T1030" s="450"/>
      <c r="U1030" s="450"/>
      <c r="V1030" s="450"/>
      <c r="W1030" s="450"/>
      <c r="X1030" s="450"/>
      <c r="Y1030" s="450"/>
      <c r="Z1030" s="450"/>
      <c r="AA1030" s="450"/>
      <c r="AB1030" s="450"/>
      <c r="AC1030" s="450"/>
      <c r="AD1030" s="450"/>
      <c r="AE1030" s="450"/>
      <c r="AF1030" s="450"/>
      <c r="AG1030" s="450"/>
      <c r="AH1030" s="450"/>
      <c r="AI1030" s="450"/>
      <c r="AJ1030" s="450"/>
      <c r="AK1030" s="450"/>
      <c r="AL1030" s="450"/>
      <c r="AM1030" s="450"/>
      <c r="AN1030" s="450"/>
      <c r="AO1030" s="450"/>
      <c r="AP1030" s="450"/>
      <c r="AQ1030" s="450"/>
      <c r="AR1030" s="450"/>
      <c r="AS1030" s="450"/>
      <c r="AT1030" s="450"/>
      <c r="AU1030" s="450"/>
      <c r="AV1030" s="450"/>
      <c r="AW1030" s="450"/>
      <c r="AX1030" s="450"/>
      <c r="AY1030" s="450"/>
      <c r="AZ1030" s="450"/>
      <c r="BA1030" s="450"/>
      <c r="BB1030" s="450"/>
      <c r="BC1030" s="450"/>
      <c r="BD1030" s="450"/>
      <c r="BE1030" s="450"/>
      <c r="BF1030" s="450"/>
      <c r="BG1030" s="450"/>
      <c r="BH1030" s="450"/>
      <c r="BI1030" s="450"/>
      <c r="BJ1030" s="450"/>
      <c r="BK1030" s="450"/>
      <c r="BL1030" s="450"/>
      <c r="BM1030" s="450"/>
    </row>
    <row r="1031" spans="1:65" ht="11.15">
      <c r="A1031" s="450"/>
      <c r="B1031" s="450"/>
      <c r="C1031" s="450"/>
      <c r="D1031" s="450"/>
      <c r="E1031" s="450"/>
      <c r="F1031" s="450"/>
      <c r="G1031" s="450"/>
      <c r="H1031" s="450"/>
      <c r="I1031" s="450"/>
      <c r="J1031" s="450"/>
      <c r="K1031" s="450"/>
      <c r="L1031" s="450"/>
      <c r="M1031" s="450"/>
      <c r="N1031" s="450"/>
      <c r="O1031" s="450"/>
      <c r="P1031" s="450"/>
      <c r="Q1031" s="450"/>
      <c r="R1031" s="450"/>
      <c r="S1031" s="450"/>
      <c r="T1031" s="450"/>
      <c r="U1031" s="450"/>
      <c r="V1031" s="450"/>
      <c r="W1031" s="450"/>
      <c r="X1031" s="450"/>
      <c r="Y1031" s="450"/>
      <c r="Z1031" s="450"/>
      <c r="AA1031" s="450"/>
      <c r="AB1031" s="450"/>
      <c r="AC1031" s="450"/>
      <c r="AD1031" s="450"/>
      <c r="AE1031" s="450"/>
      <c r="AF1031" s="450"/>
      <c r="AG1031" s="450"/>
      <c r="AH1031" s="450"/>
      <c r="AI1031" s="450"/>
      <c r="AJ1031" s="450"/>
      <c r="AK1031" s="450"/>
      <c r="AL1031" s="450"/>
      <c r="AM1031" s="450"/>
      <c r="AN1031" s="450"/>
      <c r="AO1031" s="450"/>
      <c r="AP1031" s="450"/>
      <c r="AQ1031" s="450"/>
      <c r="AR1031" s="450"/>
      <c r="AS1031" s="450"/>
      <c r="AT1031" s="450"/>
      <c r="AU1031" s="450"/>
      <c r="AV1031" s="450"/>
      <c r="AW1031" s="450"/>
      <c r="AX1031" s="450"/>
      <c r="AY1031" s="450"/>
      <c r="AZ1031" s="450"/>
      <c r="BA1031" s="450"/>
      <c r="BB1031" s="450"/>
      <c r="BC1031" s="450"/>
      <c r="BD1031" s="450"/>
      <c r="BE1031" s="450"/>
      <c r="BF1031" s="450"/>
      <c r="BG1031" s="450"/>
      <c r="BH1031" s="450"/>
      <c r="BI1031" s="450"/>
      <c r="BJ1031" s="450"/>
      <c r="BK1031" s="450"/>
      <c r="BL1031" s="450"/>
      <c r="BM1031" s="450"/>
    </row>
    <row r="1032" spans="1:65" ht="11.15">
      <c r="A1032" s="450"/>
      <c r="B1032" s="450"/>
      <c r="C1032" s="450"/>
      <c r="D1032" s="450"/>
      <c r="E1032" s="450"/>
      <c r="F1032" s="450"/>
      <c r="G1032" s="450"/>
      <c r="H1032" s="450"/>
      <c r="I1032" s="450"/>
      <c r="J1032" s="450"/>
      <c r="K1032" s="450"/>
      <c r="L1032" s="450"/>
      <c r="M1032" s="450"/>
      <c r="N1032" s="450"/>
      <c r="O1032" s="450"/>
      <c r="P1032" s="450"/>
      <c r="Q1032" s="450"/>
      <c r="R1032" s="450"/>
      <c r="S1032" s="450"/>
      <c r="T1032" s="450"/>
      <c r="U1032" s="450"/>
      <c r="V1032" s="450"/>
      <c r="W1032" s="450"/>
      <c r="X1032" s="450"/>
      <c r="Y1032" s="450"/>
      <c r="Z1032" s="450"/>
      <c r="AA1032" s="450"/>
      <c r="AB1032" s="450"/>
      <c r="AC1032" s="450"/>
      <c r="AD1032" s="450"/>
      <c r="AE1032" s="450"/>
      <c r="AF1032" s="450"/>
      <c r="AG1032" s="450"/>
      <c r="AH1032" s="450"/>
      <c r="AI1032" s="450"/>
      <c r="AJ1032" s="450"/>
      <c r="AK1032" s="450"/>
      <c r="AL1032" s="450"/>
      <c r="AM1032" s="450"/>
      <c r="AN1032" s="450"/>
      <c r="AO1032" s="450"/>
      <c r="AP1032" s="450"/>
      <c r="AQ1032" s="450"/>
      <c r="AR1032" s="450"/>
      <c r="AS1032" s="450"/>
      <c r="AT1032" s="450"/>
      <c r="AU1032" s="450"/>
      <c r="AV1032" s="450"/>
      <c r="AW1032" s="450"/>
      <c r="AX1032" s="450"/>
      <c r="AY1032" s="450"/>
      <c r="AZ1032" s="450"/>
      <c r="BA1032" s="450"/>
      <c r="BB1032" s="450"/>
      <c r="BC1032" s="450"/>
      <c r="BD1032" s="450"/>
      <c r="BE1032" s="450"/>
      <c r="BF1032" s="450"/>
      <c r="BG1032" s="450"/>
      <c r="BH1032" s="450"/>
      <c r="BI1032" s="450"/>
      <c r="BJ1032" s="450"/>
      <c r="BK1032" s="450"/>
      <c r="BL1032" s="450"/>
      <c r="BM1032" s="450"/>
    </row>
    <row r="1033" spans="1:65" ht="11.15">
      <c r="A1033" s="450"/>
      <c r="B1033" s="450"/>
      <c r="C1033" s="450"/>
      <c r="D1033" s="450"/>
      <c r="E1033" s="450"/>
      <c r="F1033" s="450"/>
      <c r="G1033" s="450"/>
      <c r="H1033" s="450"/>
      <c r="I1033" s="450"/>
      <c r="J1033" s="450"/>
      <c r="K1033" s="450"/>
      <c r="L1033" s="450"/>
      <c r="M1033" s="450"/>
      <c r="N1033" s="450"/>
      <c r="O1033" s="450"/>
      <c r="P1033" s="450"/>
      <c r="Q1033" s="450"/>
      <c r="R1033" s="450"/>
      <c r="S1033" s="450"/>
      <c r="T1033" s="450"/>
      <c r="U1033" s="450"/>
      <c r="V1033" s="450"/>
      <c r="W1033" s="450"/>
      <c r="X1033" s="450"/>
      <c r="Y1033" s="450"/>
      <c r="Z1033" s="450"/>
      <c r="AA1033" s="450"/>
      <c r="AB1033" s="450"/>
      <c r="AC1033" s="450"/>
      <c r="AD1033" s="450"/>
      <c r="AE1033" s="450"/>
      <c r="AF1033" s="450"/>
      <c r="AG1033" s="450"/>
      <c r="AH1033" s="450"/>
      <c r="AI1033" s="450"/>
      <c r="AJ1033" s="450"/>
      <c r="AK1033" s="450"/>
      <c r="AL1033" s="450"/>
      <c r="AM1033" s="450"/>
      <c r="AN1033" s="450"/>
      <c r="AO1033" s="450"/>
      <c r="AP1033" s="450"/>
      <c r="AQ1033" s="450"/>
      <c r="AR1033" s="450"/>
      <c r="AS1033" s="450"/>
      <c r="AT1033" s="450"/>
      <c r="AU1033" s="450"/>
      <c r="AV1033" s="450"/>
      <c r="AW1033" s="450"/>
      <c r="AX1033" s="450"/>
      <c r="AY1033" s="450"/>
      <c r="AZ1033" s="450"/>
      <c r="BA1033" s="450"/>
      <c r="BB1033" s="450"/>
      <c r="BC1033" s="450"/>
      <c r="BD1033" s="450"/>
      <c r="BE1033" s="450"/>
      <c r="BF1033" s="450"/>
      <c r="BG1033" s="450"/>
      <c r="BH1033" s="450"/>
      <c r="BI1033" s="450"/>
      <c r="BJ1033" s="450"/>
      <c r="BK1033" s="450"/>
      <c r="BL1033" s="450"/>
      <c r="BM1033" s="450"/>
    </row>
    <row r="1034" spans="1:65" ht="11.15">
      <c r="A1034" s="450"/>
      <c r="B1034" s="450"/>
      <c r="C1034" s="450"/>
      <c r="D1034" s="450"/>
      <c r="E1034" s="450"/>
      <c r="F1034" s="450"/>
      <c r="G1034" s="450"/>
      <c r="H1034" s="450"/>
      <c r="I1034" s="450"/>
      <c r="J1034" s="450"/>
      <c r="K1034" s="450"/>
      <c r="L1034" s="450"/>
      <c r="M1034" s="450"/>
      <c r="N1034" s="450"/>
      <c r="O1034" s="450"/>
      <c r="P1034" s="450"/>
      <c r="Q1034" s="450"/>
      <c r="R1034" s="450"/>
      <c r="S1034" s="450"/>
      <c r="T1034" s="450"/>
      <c r="U1034" s="450"/>
      <c r="V1034" s="450"/>
      <c r="W1034" s="450"/>
      <c r="X1034" s="450"/>
      <c r="Y1034" s="450"/>
      <c r="Z1034" s="450"/>
      <c r="AA1034" s="450"/>
      <c r="AB1034" s="450"/>
      <c r="AC1034" s="450"/>
      <c r="AD1034" s="450"/>
      <c r="AE1034" s="450"/>
      <c r="AF1034" s="450"/>
      <c r="AG1034" s="450"/>
      <c r="AH1034" s="450"/>
      <c r="AI1034" s="450"/>
      <c r="AJ1034" s="450"/>
      <c r="AK1034" s="450"/>
      <c r="AL1034" s="450"/>
      <c r="AM1034" s="450"/>
      <c r="AN1034" s="450"/>
      <c r="AO1034" s="450"/>
      <c r="AP1034" s="450"/>
      <c r="AQ1034" s="450"/>
      <c r="AR1034" s="450"/>
      <c r="AS1034" s="450"/>
      <c r="AT1034" s="450"/>
      <c r="AU1034" s="450"/>
      <c r="AV1034" s="450"/>
      <c r="AW1034" s="450"/>
      <c r="AX1034" s="450"/>
      <c r="AY1034" s="450"/>
      <c r="AZ1034" s="450"/>
      <c r="BA1034" s="450"/>
      <c r="BB1034" s="450"/>
      <c r="BC1034" s="450"/>
      <c r="BD1034" s="450"/>
      <c r="BE1034" s="450"/>
      <c r="BF1034" s="450"/>
      <c r="BG1034" s="450"/>
      <c r="BH1034" s="450"/>
      <c r="BI1034" s="450"/>
      <c r="BJ1034" s="450"/>
      <c r="BK1034" s="450"/>
      <c r="BL1034" s="450"/>
      <c r="BM1034" s="450"/>
    </row>
    <row r="1035" spans="1:65" ht="11.15">
      <c r="A1035" s="450"/>
      <c r="B1035" s="450"/>
      <c r="C1035" s="450"/>
      <c r="D1035" s="450"/>
      <c r="E1035" s="450"/>
      <c r="F1035" s="450"/>
      <c r="G1035" s="450"/>
      <c r="H1035" s="450"/>
      <c r="I1035" s="450"/>
      <c r="J1035" s="450"/>
      <c r="K1035" s="450"/>
      <c r="L1035" s="450"/>
      <c r="M1035" s="450"/>
      <c r="N1035" s="450"/>
      <c r="O1035" s="450"/>
      <c r="P1035" s="450"/>
      <c r="Q1035" s="450"/>
      <c r="R1035" s="450"/>
      <c r="S1035" s="450"/>
      <c r="T1035" s="450"/>
      <c r="U1035" s="450"/>
      <c r="V1035" s="450"/>
      <c r="W1035" s="450"/>
      <c r="X1035" s="450"/>
      <c r="Y1035" s="450"/>
      <c r="Z1035" s="450"/>
      <c r="AA1035" s="450"/>
      <c r="AB1035" s="450"/>
      <c r="AC1035" s="450"/>
      <c r="AD1035" s="450"/>
      <c r="AE1035" s="450"/>
      <c r="AF1035" s="450"/>
      <c r="AG1035" s="450"/>
      <c r="AH1035" s="450"/>
      <c r="AI1035" s="450"/>
      <c r="AJ1035" s="450"/>
      <c r="AK1035" s="450"/>
      <c r="AL1035" s="450"/>
      <c r="AM1035" s="450"/>
      <c r="AN1035" s="450"/>
      <c r="AO1035" s="450"/>
      <c r="AP1035" s="450"/>
      <c r="AQ1035" s="450"/>
      <c r="AR1035" s="450"/>
      <c r="AS1035" s="450"/>
      <c r="AT1035" s="450"/>
      <c r="AU1035" s="450"/>
      <c r="AV1035" s="450"/>
      <c r="AW1035" s="450"/>
      <c r="AX1035" s="450"/>
      <c r="AY1035" s="450"/>
      <c r="AZ1035" s="450"/>
      <c r="BA1035" s="450"/>
      <c r="BB1035" s="450"/>
      <c r="BC1035" s="450"/>
      <c r="BD1035" s="450"/>
      <c r="BE1035" s="450"/>
      <c r="BF1035" s="450"/>
      <c r="BG1035" s="450"/>
      <c r="BH1035" s="450"/>
      <c r="BI1035" s="450"/>
      <c r="BJ1035" s="450"/>
      <c r="BK1035" s="450"/>
      <c r="BL1035" s="450"/>
      <c r="BM1035" s="450"/>
    </row>
    <row r="1036" spans="1:65" ht="11.15">
      <c r="A1036" s="450"/>
      <c r="B1036" s="450"/>
      <c r="C1036" s="450"/>
      <c r="D1036" s="450"/>
      <c r="E1036" s="450"/>
      <c r="F1036" s="450"/>
      <c r="G1036" s="450"/>
      <c r="H1036" s="450"/>
      <c r="I1036" s="450"/>
      <c r="J1036" s="450"/>
      <c r="K1036" s="450"/>
      <c r="L1036" s="450"/>
      <c r="M1036" s="450"/>
      <c r="N1036" s="450"/>
      <c r="O1036" s="450"/>
      <c r="P1036" s="450"/>
      <c r="Q1036" s="450"/>
      <c r="R1036" s="450"/>
      <c r="S1036" s="450"/>
      <c r="T1036" s="450"/>
      <c r="U1036" s="450"/>
      <c r="V1036" s="450"/>
      <c r="W1036" s="450"/>
      <c r="X1036" s="450"/>
      <c r="Y1036" s="450"/>
      <c r="Z1036" s="450"/>
      <c r="AA1036" s="450"/>
      <c r="AB1036" s="450"/>
      <c r="AC1036" s="450"/>
      <c r="AD1036" s="450"/>
      <c r="AE1036" s="450"/>
      <c r="AF1036" s="450"/>
      <c r="AG1036" s="450"/>
      <c r="AH1036" s="450"/>
      <c r="AI1036" s="450"/>
      <c r="AJ1036" s="450"/>
      <c r="AK1036" s="450"/>
      <c r="AL1036" s="450"/>
      <c r="AM1036" s="450"/>
      <c r="AN1036" s="450"/>
      <c r="AO1036" s="450"/>
      <c r="AP1036" s="450"/>
      <c r="AQ1036" s="450"/>
      <c r="AR1036" s="450"/>
      <c r="AS1036" s="450"/>
      <c r="AT1036" s="450"/>
      <c r="AU1036" s="450"/>
      <c r="AV1036" s="450"/>
      <c r="AW1036" s="450"/>
      <c r="AX1036" s="450"/>
      <c r="AY1036" s="450"/>
      <c r="AZ1036" s="450"/>
      <c r="BA1036" s="450"/>
      <c r="BB1036" s="450"/>
      <c r="BC1036" s="450"/>
      <c r="BD1036" s="450"/>
      <c r="BE1036" s="450"/>
      <c r="BF1036" s="450"/>
      <c r="BG1036" s="450"/>
      <c r="BH1036" s="450"/>
      <c r="BI1036" s="450"/>
      <c r="BJ1036" s="450"/>
      <c r="BK1036" s="450"/>
      <c r="BL1036" s="450"/>
      <c r="BM1036" s="450"/>
    </row>
    <row r="1037" spans="1:65" ht="11.15">
      <c r="A1037" s="450"/>
      <c r="B1037" s="450"/>
      <c r="C1037" s="450"/>
      <c r="D1037" s="450"/>
      <c r="E1037" s="450"/>
      <c r="F1037" s="450"/>
      <c r="G1037" s="450"/>
      <c r="H1037" s="450"/>
      <c r="I1037" s="450"/>
      <c r="J1037" s="450"/>
      <c r="K1037" s="450"/>
      <c r="L1037" s="450"/>
      <c r="M1037" s="450"/>
      <c r="N1037" s="450"/>
      <c r="O1037" s="450"/>
      <c r="P1037" s="450"/>
      <c r="Q1037" s="450"/>
      <c r="R1037" s="450"/>
      <c r="S1037" s="450"/>
      <c r="T1037" s="450"/>
      <c r="U1037" s="450"/>
      <c r="V1037" s="450"/>
      <c r="W1037" s="450"/>
      <c r="X1037" s="450"/>
      <c r="Y1037" s="450"/>
      <c r="Z1037" s="450"/>
      <c r="AA1037" s="450"/>
      <c r="AB1037" s="450"/>
      <c r="AC1037" s="450"/>
      <c r="AD1037" s="450"/>
      <c r="AE1037" s="450"/>
      <c r="AF1037" s="450"/>
      <c r="AG1037" s="450"/>
      <c r="AH1037" s="450"/>
      <c r="AI1037" s="450"/>
      <c r="AJ1037" s="450"/>
      <c r="AK1037" s="450"/>
      <c r="AL1037" s="450"/>
      <c r="AM1037" s="450"/>
      <c r="AN1037" s="450"/>
      <c r="AO1037" s="450"/>
      <c r="AP1037" s="450"/>
      <c r="AQ1037" s="450"/>
      <c r="AR1037" s="450"/>
      <c r="AS1037" s="450"/>
      <c r="AT1037" s="450"/>
      <c r="AU1037" s="450"/>
      <c r="AV1037" s="450"/>
      <c r="AW1037" s="450"/>
      <c r="AX1037" s="450"/>
      <c r="AY1037" s="450"/>
      <c r="AZ1037" s="450"/>
      <c r="BA1037" s="450"/>
      <c r="BB1037" s="450"/>
      <c r="BC1037" s="450"/>
      <c r="BD1037" s="450"/>
      <c r="BE1037" s="450"/>
      <c r="BF1037" s="450"/>
      <c r="BG1037" s="450"/>
      <c r="BH1037" s="450"/>
      <c r="BI1037" s="450"/>
      <c r="BJ1037" s="450"/>
      <c r="BK1037" s="450"/>
      <c r="BL1037" s="450"/>
      <c r="BM1037" s="450"/>
    </row>
    <row r="1038" spans="1:65" ht="11.15">
      <c r="A1038" s="450"/>
      <c r="B1038" s="450"/>
      <c r="C1038" s="450"/>
      <c r="D1038" s="450"/>
      <c r="E1038" s="450"/>
      <c r="F1038" s="450"/>
      <c r="G1038" s="450"/>
      <c r="H1038" s="450"/>
      <c r="I1038" s="450"/>
      <c r="J1038" s="450"/>
      <c r="K1038" s="450"/>
      <c r="L1038" s="450"/>
      <c r="M1038" s="450"/>
      <c r="N1038" s="450"/>
      <c r="O1038" s="450"/>
      <c r="P1038" s="450"/>
      <c r="Q1038" s="450"/>
      <c r="R1038" s="450"/>
      <c r="S1038" s="450"/>
      <c r="T1038" s="450"/>
      <c r="U1038" s="450"/>
      <c r="V1038" s="450"/>
      <c r="W1038" s="450"/>
      <c r="X1038" s="450"/>
      <c r="Y1038" s="450"/>
      <c r="Z1038" s="450"/>
      <c r="AA1038" s="450"/>
      <c r="AB1038" s="450"/>
      <c r="AC1038" s="450"/>
      <c r="AD1038" s="450"/>
      <c r="AE1038" s="450"/>
      <c r="AF1038" s="450"/>
      <c r="AG1038" s="450"/>
      <c r="AH1038" s="450"/>
      <c r="AI1038" s="450"/>
      <c r="AJ1038" s="450"/>
      <c r="AK1038" s="450"/>
      <c r="AL1038" s="450"/>
      <c r="AM1038" s="450"/>
      <c r="AN1038" s="450"/>
      <c r="AO1038" s="450"/>
      <c r="AP1038" s="450"/>
      <c r="AQ1038" s="450"/>
      <c r="AR1038" s="450"/>
      <c r="AS1038" s="450"/>
      <c r="AT1038" s="450"/>
      <c r="AU1038" s="450"/>
      <c r="AV1038" s="450"/>
      <c r="AW1038" s="450"/>
      <c r="AX1038" s="450"/>
      <c r="AY1038" s="450"/>
      <c r="AZ1038" s="450"/>
      <c r="BA1038" s="450"/>
      <c r="BB1038" s="450"/>
      <c r="BC1038" s="450"/>
      <c r="BD1038" s="450"/>
      <c r="BE1038" s="450"/>
      <c r="BF1038" s="450"/>
      <c r="BG1038" s="450"/>
      <c r="BH1038" s="450"/>
      <c r="BI1038" s="450"/>
      <c r="BJ1038" s="450"/>
      <c r="BK1038" s="450"/>
      <c r="BL1038" s="450"/>
      <c r="BM1038" s="450"/>
    </row>
    <row r="1039" spans="1:65" ht="11.15">
      <c r="A1039" s="450"/>
      <c r="B1039" s="450"/>
      <c r="C1039" s="450"/>
      <c r="D1039" s="450"/>
      <c r="E1039" s="450"/>
      <c r="F1039" s="450"/>
      <c r="G1039" s="450"/>
      <c r="H1039" s="450"/>
      <c r="I1039" s="450"/>
      <c r="J1039" s="450"/>
      <c r="K1039" s="450"/>
      <c r="L1039" s="450"/>
      <c r="M1039" s="450"/>
      <c r="N1039" s="450"/>
      <c r="O1039" s="450"/>
      <c r="P1039" s="450"/>
      <c r="Q1039" s="450"/>
      <c r="R1039" s="450"/>
      <c r="S1039" s="450"/>
      <c r="T1039" s="450"/>
      <c r="U1039" s="450"/>
      <c r="V1039" s="450"/>
      <c r="W1039" s="450"/>
      <c r="X1039" s="450"/>
      <c r="Y1039" s="450"/>
      <c r="Z1039" s="450"/>
      <c r="AA1039" s="450"/>
      <c r="AB1039" s="450"/>
      <c r="AC1039" s="450"/>
      <c r="AD1039" s="450"/>
      <c r="AE1039" s="450"/>
      <c r="AF1039" s="450"/>
      <c r="AG1039" s="450"/>
      <c r="AH1039" s="450"/>
      <c r="AI1039" s="450"/>
      <c r="AJ1039" s="450"/>
      <c r="AK1039" s="450"/>
      <c r="AL1039" s="450"/>
      <c r="AM1039" s="450"/>
      <c r="AN1039" s="450"/>
      <c r="AO1039" s="450"/>
      <c r="AP1039" s="450"/>
      <c r="AQ1039" s="450"/>
      <c r="AR1039" s="450"/>
      <c r="AS1039" s="450"/>
      <c r="AT1039" s="450"/>
      <c r="AU1039" s="450"/>
      <c r="AV1039" s="450"/>
      <c r="AW1039" s="450"/>
      <c r="AX1039" s="450"/>
      <c r="AY1039" s="450"/>
      <c r="AZ1039" s="450"/>
      <c r="BA1039" s="450"/>
      <c r="BB1039" s="450"/>
      <c r="BC1039" s="450"/>
      <c r="BD1039" s="450"/>
      <c r="BE1039" s="450"/>
      <c r="BF1039" s="450"/>
      <c r="BG1039" s="450"/>
      <c r="BH1039" s="450"/>
      <c r="BI1039" s="450"/>
      <c r="BJ1039" s="450"/>
      <c r="BK1039" s="450"/>
      <c r="BL1039" s="450"/>
      <c r="BM1039" s="450"/>
    </row>
    <row r="1040" spans="1:65" ht="11.15">
      <c r="A1040" s="450"/>
      <c r="B1040" s="450"/>
      <c r="C1040" s="450"/>
      <c r="D1040" s="450"/>
      <c r="E1040" s="450"/>
      <c r="F1040" s="450"/>
      <c r="G1040" s="450"/>
      <c r="H1040" s="450"/>
      <c r="I1040" s="450"/>
      <c r="J1040" s="450"/>
      <c r="K1040" s="450"/>
      <c r="L1040" s="450"/>
      <c r="M1040" s="450"/>
      <c r="N1040" s="450"/>
      <c r="O1040" s="450"/>
      <c r="P1040" s="450"/>
      <c r="Q1040" s="450"/>
      <c r="R1040" s="450"/>
      <c r="S1040" s="450"/>
      <c r="T1040" s="450"/>
      <c r="U1040" s="450"/>
      <c r="V1040" s="450"/>
      <c r="W1040" s="450"/>
      <c r="X1040" s="450"/>
      <c r="Y1040" s="450"/>
      <c r="Z1040" s="450"/>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0"/>
    </row>
    <row r="1041" spans="1:65" ht="11.15">
      <c r="A1041" s="450"/>
      <c r="B1041" s="450"/>
      <c r="C1041" s="450"/>
      <c r="D1041" s="450"/>
      <c r="E1041" s="450"/>
      <c r="F1041" s="450"/>
      <c r="G1041" s="450"/>
      <c r="H1041" s="450"/>
      <c r="I1041" s="450"/>
      <c r="J1041" s="450"/>
      <c r="K1041" s="450"/>
      <c r="L1041" s="450"/>
      <c r="M1041" s="450"/>
      <c r="N1041" s="450"/>
      <c r="O1041" s="450"/>
      <c r="P1041" s="450"/>
      <c r="Q1041" s="450"/>
      <c r="R1041" s="450"/>
      <c r="S1041" s="450"/>
      <c r="T1041" s="450"/>
      <c r="U1041" s="450"/>
      <c r="V1041" s="450"/>
      <c r="W1041" s="450"/>
      <c r="X1041" s="450"/>
      <c r="Y1041" s="450"/>
      <c r="Z1041" s="450"/>
      <c r="AA1041" s="450"/>
      <c r="AB1041" s="450"/>
      <c r="AC1041" s="450"/>
      <c r="AD1041" s="450"/>
      <c r="AE1041" s="450"/>
      <c r="AF1041" s="450"/>
      <c r="AG1041" s="450"/>
      <c r="AH1041" s="450"/>
      <c r="AI1041" s="450"/>
      <c r="AJ1041" s="450"/>
      <c r="AK1041" s="450"/>
      <c r="AL1041" s="450"/>
      <c r="AM1041" s="450"/>
      <c r="AN1041" s="450"/>
      <c r="AO1041" s="450"/>
      <c r="AP1041" s="450"/>
      <c r="AQ1041" s="450"/>
      <c r="AR1041" s="450"/>
      <c r="AS1041" s="450"/>
      <c r="AT1041" s="450"/>
      <c r="AU1041" s="450"/>
      <c r="AV1041" s="450"/>
      <c r="AW1041" s="450"/>
      <c r="AX1041" s="450"/>
      <c r="AY1041" s="450"/>
      <c r="AZ1041" s="450"/>
      <c r="BA1041" s="450"/>
      <c r="BB1041" s="450"/>
      <c r="BC1041" s="450"/>
      <c r="BD1041" s="450"/>
      <c r="BE1041" s="450"/>
      <c r="BF1041" s="450"/>
      <c r="BG1041" s="450"/>
      <c r="BH1041" s="450"/>
      <c r="BI1041" s="450"/>
      <c r="BJ1041" s="450"/>
      <c r="BK1041" s="450"/>
      <c r="BL1041" s="450"/>
      <c r="BM1041" s="450"/>
    </row>
    <row r="1042" spans="1:65" ht="11.15">
      <c r="A1042" s="450"/>
      <c r="B1042" s="450"/>
      <c r="C1042" s="450"/>
      <c r="D1042" s="450"/>
      <c r="E1042" s="450"/>
      <c r="F1042" s="450"/>
      <c r="G1042" s="450"/>
      <c r="H1042" s="450"/>
      <c r="I1042" s="450"/>
      <c r="J1042" s="450"/>
      <c r="K1042" s="450"/>
      <c r="L1042" s="450"/>
      <c r="M1042" s="450"/>
      <c r="N1042" s="450"/>
      <c r="O1042" s="450"/>
      <c r="P1042" s="450"/>
      <c r="Q1042" s="450"/>
      <c r="R1042" s="450"/>
      <c r="S1042" s="450"/>
      <c r="T1042" s="450"/>
      <c r="U1042" s="450"/>
      <c r="V1042" s="450"/>
      <c r="W1042" s="450"/>
      <c r="X1042" s="450"/>
      <c r="Y1042" s="450"/>
      <c r="Z1042" s="450"/>
      <c r="AA1042" s="450"/>
      <c r="AB1042" s="450"/>
      <c r="AC1042" s="450"/>
      <c r="AD1042" s="450"/>
      <c r="AE1042" s="450"/>
      <c r="AF1042" s="450"/>
      <c r="AG1042" s="450"/>
      <c r="AH1042" s="450"/>
      <c r="AI1042" s="450"/>
      <c r="AJ1042" s="450"/>
      <c r="AK1042" s="450"/>
      <c r="AL1042" s="450"/>
      <c r="AM1042" s="450"/>
      <c r="AN1042" s="450"/>
      <c r="AO1042" s="450"/>
      <c r="AP1042" s="450"/>
      <c r="AQ1042" s="450"/>
      <c r="AR1042" s="450"/>
      <c r="AS1042" s="450"/>
      <c r="AT1042" s="450"/>
      <c r="AU1042" s="450"/>
      <c r="AV1042" s="450"/>
      <c r="AW1042" s="450"/>
      <c r="AX1042" s="450"/>
      <c r="AY1042" s="450"/>
      <c r="AZ1042" s="450"/>
      <c r="BA1042" s="450"/>
      <c r="BB1042" s="450"/>
      <c r="BC1042" s="450"/>
      <c r="BD1042" s="450"/>
      <c r="BE1042" s="450"/>
      <c r="BF1042" s="450"/>
      <c r="BG1042" s="450"/>
      <c r="BH1042" s="450"/>
      <c r="BI1042" s="450"/>
      <c r="BJ1042" s="450"/>
      <c r="BK1042" s="450"/>
      <c r="BL1042" s="450"/>
      <c r="BM1042" s="450"/>
    </row>
    <row r="1043" spans="1:65" ht="11.15">
      <c r="A1043" s="450"/>
      <c r="B1043" s="450"/>
      <c r="C1043" s="450"/>
      <c r="D1043" s="450"/>
      <c r="E1043" s="450"/>
      <c r="F1043" s="450"/>
      <c r="G1043" s="450"/>
      <c r="H1043" s="450"/>
      <c r="I1043" s="450"/>
      <c r="J1043" s="450"/>
      <c r="K1043" s="450"/>
      <c r="L1043" s="450"/>
      <c r="M1043" s="450"/>
      <c r="N1043" s="450"/>
      <c r="O1043" s="450"/>
      <c r="P1043" s="450"/>
      <c r="Q1043" s="450"/>
      <c r="R1043" s="450"/>
      <c r="S1043" s="450"/>
      <c r="T1043" s="450"/>
      <c r="U1043" s="450"/>
      <c r="V1043" s="450"/>
      <c r="W1043" s="450"/>
      <c r="X1043" s="450"/>
      <c r="Y1043" s="450"/>
      <c r="Z1043" s="450"/>
      <c r="AA1043" s="450"/>
      <c r="AB1043" s="450"/>
      <c r="AC1043" s="450"/>
      <c r="AD1043" s="450"/>
      <c r="AE1043" s="450"/>
      <c r="AF1043" s="450"/>
      <c r="AG1043" s="450"/>
      <c r="AH1043" s="450"/>
      <c r="AI1043" s="450"/>
      <c r="AJ1043" s="450"/>
      <c r="AK1043" s="450"/>
      <c r="AL1043" s="450"/>
      <c r="AM1043" s="450"/>
      <c r="AN1043" s="450"/>
      <c r="AO1043" s="450"/>
      <c r="AP1043" s="450"/>
      <c r="AQ1043" s="450"/>
      <c r="AR1043" s="450"/>
      <c r="AS1043" s="450"/>
      <c r="AT1043" s="450"/>
      <c r="AU1043" s="450"/>
      <c r="AV1043" s="450"/>
      <c r="AW1043" s="450"/>
      <c r="AX1043" s="450"/>
      <c r="AY1043" s="450"/>
      <c r="AZ1043" s="450"/>
      <c r="BA1043" s="450"/>
      <c r="BB1043" s="450"/>
      <c r="BC1043" s="450"/>
      <c r="BD1043" s="450"/>
      <c r="BE1043" s="450"/>
      <c r="BF1043" s="450"/>
      <c r="BG1043" s="450"/>
      <c r="BH1043" s="450"/>
      <c r="BI1043" s="450"/>
      <c r="BJ1043" s="450"/>
      <c r="BK1043" s="450"/>
      <c r="BL1043" s="450"/>
      <c r="BM1043" s="450"/>
    </row>
    <row r="1044" spans="1:65" ht="11.15">
      <c r="A1044" s="450"/>
      <c r="B1044" s="450"/>
      <c r="C1044" s="450"/>
      <c r="D1044" s="450"/>
      <c r="E1044" s="450"/>
      <c r="F1044" s="450"/>
      <c r="G1044" s="450"/>
      <c r="H1044" s="450"/>
      <c r="I1044" s="450"/>
      <c r="J1044" s="450"/>
      <c r="K1044" s="450"/>
      <c r="L1044" s="450"/>
      <c r="M1044" s="450"/>
      <c r="N1044" s="450"/>
      <c r="O1044" s="450"/>
      <c r="P1044" s="450"/>
      <c r="Q1044" s="450"/>
      <c r="R1044" s="450"/>
      <c r="S1044" s="450"/>
      <c r="T1044" s="450"/>
      <c r="U1044" s="450"/>
      <c r="V1044" s="450"/>
      <c r="W1044" s="450"/>
      <c r="X1044" s="450"/>
      <c r="Y1044" s="450"/>
      <c r="Z1044" s="450"/>
      <c r="AA1044" s="450"/>
      <c r="AB1044" s="450"/>
      <c r="AC1044" s="450"/>
      <c r="AD1044" s="450"/>
      <c r="AE1044" s="450"/>
      <c r="AF1044" s="450"/>
      <c r="AG1044" s="450"/>
      <c r="AH1044" s="450"/>
      <c r="AI1044" s="450"/>
      <c r="AJ1044" s="450"/>
      <c r="AK1044" s="450"/>
      <c r="AL1044" s="450"/>
      <c r="AM1044" s="450"/>
      <c r="AN1044" s="450"/>
      <c r="AO1044" s="450"/>
      <c r="AP1044" s="450"/>
      <c r="AQ1044" s="450"/>
      <c r="AR1044" s="450"/>
      <c r="AS1044" s="450"/>
      <c r="AT1044" s="450"/>
      <c r="AU1044" s="450"/>
      <c r="AV1044" s="450"/>
      <c r="AW1044" s="450"/>
      <c r="AX1044" s="450"/>
      <c r="AY1044" s="450"/>
      <c r="AZ1044" s="450"/>
      <c r="BA1044" s="450"/>
      <c r="BB1044" s="450"/>
      <c r="BC1044" s="450"/>
      <c r="BD1044" s="450"/>
      <c r="BE1044" s="450"/>
      <c r="BF1044" s="450"/>
      <c r="BG1044" s="450"/>
      <c r="BH1044" s="450"/>
      <c r="BI1044" s="450"/>
      <c r="BJ1044" s="450"/>
      <c r="BK1044" s="450"/>
      <c r="BL1044" s="450"/>
      <c r="BM1044" s="450"/>
    </row>
    <row r="1045" spans="1:65" ht="11.15">
      <c r="A1045" s="450"/>
      <c r="B1045" s="450"/>
      <c r="C1045" s="450"/>
      <c r="D1045" s="450"/>
      <c r="E1045" s="450"/>
      <c r="F1045" s="450"/>
      <c r="G1045" s="450"/>
      <c r="H1045" s="450"/>
      <c r="I1045" s="450"/>
      <c r="J1045" s="450"/>
      <c r="K1045" s="450"/>
      <c r="L1045" s="450"/>
      <c r="M1045" s="450"/>
      <c r="N1045" s="450"/>
      <c r="O1045" s="450"/>
      <c r="P1045" s="450"/>
      <c r="Q1045" s="450"/>
      <c r="R1045" s="450"/>
      <c r="S1045" s="450"/>
      <c r="T1045" s="450"/>
      <c r="U1045" s="450"/>
      <c r="V1045" s="450"/>
      <c r="W1045" s="450"/>
      <c r="X1045" s="450"/>
      <c r="Y1045" s="450"/>
      <c r="Z1045" s="450"/>
      <c r="AA1045" s="450"/>
      <c r="AB1045" s="450"/>
      <c r="AC1045" s="450"/>
      <c r="AD1045" s="450"/>
      <c r="AE1045" s="450"/>
      <c r="AF1045" s="450"/>
      <c r="AG1045" s="450"/>
      <c r="AH1045" s="450"/>
      <c r="AI1045" s="450"/>
      <c r="AJ1045" s="450"/>
      <c r="AK1045" s="450"/>
      <c r="AL1045" s="450"/>
      <c r="AM1045" s="450"/>
      <c r="AN1045" s="450"/>
      <c r="AO1045" s="450"/>
      <c r="AP1045" s="450"/>
      <c r="AQ1045" s="450"/>
      <c r="AR1045" s="450"/>
      <c r="AS1045" s="450"/>
      <c r="AT1045" s="450"/>
      <c r="AU1045" s="450"/>
      <c r="AV1045" s="450"/>
      <c r="AW1045" s="450"/>
      <c r="AX1045" s="450"/>
      <c r="AY1045" s="450"/>
      <c r="AZ1045" s="450"/>
      <c r="BA1045" s="450"/>
      <c r="BB1045" s="450"/>
      <c r="BC1045" s="450"/>
      <c r="BD1045" s="450"/>
      <c r="BE1045" s="450"/>
      <c r="BF1045" s="450"/>
      <c r="BG1045" s="450"/>
      <c r="BH1045" s="450"/>
      <c r="BI1045" s="450"/>
      <c r="BJ1045" s="450"/>
      <c r="BK1045" s="450"/>
      <c r="BL1045" s="450"/>
      <c r="BM1045" s="450"/>
    </row>
    <row r="1046" spans="1:65" ht="11.15">
      <c r="A1046" s="450"/>
      <c r="B1046" s="450"/>
      <c r="C1046" s="450"/>
      <c r="D1046" s="450"/>
      <c r="E1046" s="450"/>
      <c r="F1046" s="450"/>
      <c r="G1046" s="450"/>
      <c r="H1046" s="450"/>
      <c r="I1046" s="450"/>
      <c r="J1046" s="450"/>
      <c r="K1046" s="450"/>
      <c r="L1046" s="450"/>
      <c r="M1046" s="450"/>
      <c r="N1046" s="450"/>
      <c r="O1046" s="450"/>
      <c r="P1046" s="450"/>
      <c r="Q1046" s="450"/>
      <c r="R1046" s="450"/>
      <c r="S1046" s="450"/>
      <c r="T1046" s="450"/>
      <c r="U1046" s="450"/>
      <c r="V1046" s="450"/>
      <c r="W1046" s="450"/>
      <c r="X1046" s="450"/>
      <c r="Y1046" s="450"/>
      <c r="Z1046" s="450"/>
      <c r="AA1046" s="450"/>
      <c r="AB1046" s="450"/>
      <c r="AC1046" s="450"/>
      <c r="AD1046" s="450"/>
      <c r="AE1046" s="450"/>
      <c r="AF1046" s="450"/>
      <c r="AG1046" s="450"/>
      <c r="AH1046" s="450"/>
      <c r="AI1046" s="450"/>
      <c r="AJ1046" s="450"/>
      <c r="AK1046" s="450"/>
      <c r="AL1046" s="450"/>
      <c r="AM1046" s="450"/>
      <c r="AN1046" s="450"/>
      <c r="AO1046" s="450"/>
      <c r="AP1046" s="450"/>
      <c r="AQ1046" s="450"/>
      <c r="AR1046" s="450"/>
      <c r="AS1046" s="450"/>
      <c r="AT1046" s="450"/>
      <c r="AU1046" s="450"/>
      <c r="AV1046" s="450"/>
      <c r="AW1046" s="450"/>
      <c r="AX1046" s="450"/>
      <c r="AY1046" s="450"/>
      <c r="AZ1046" s="450"/>
      <c r="BA1046" s="450"/>
      <c r="BB1046" s="450"/>
      <c r="BC1046" s="450"/>
      <c r="BD1046" s="450"/>
      <c r="BE1046" s="450"/>
      <c r="BF1046" s="450"/>
      <c r="BG1046" s="450"/>
      <c r="BH1046" s="450"/>
      <c r="BI1046" s="450"/>
      <c r="BJ1046" s="450"/>
      <c r="BK1046" s="450"/>
      <c r="BL1046" s="450"/>
      <c r="BM1046" s="450"/>
    </row>
    <row r="1047" spans="1:65" ht="11.15">
      <c r="A1047" s="450"/>
      <c r="B1047" s="450"/>
      <c r="C1047" s="450"/>
      <c r="D1047" s="450"/>
      <c r="E1047" s="450"/>
      <c r="F1047" s="450"/>
      <c r="G1047" s="450"/>
      <c r="H1047" s="450"/>
      <c r="I1047" s="450"/>
      <c r="J1047" s="450"/>
      <c r="K1047" s="450"/>
      <c r="L1047" s="450"/>
      <c r="M1047" s="450"/>
      <c r="N1047" s="450"/>
      <c r="O1047" s="450"/>
      <c r="P1047" s="450"/>
      <c r="Q1047" s="450"/>
      <c r="R1047" s="450"/>
      <c r="S1047" s="450"/>
      <c r="T1047" s="450"/>
      <c r="U1047" s="450"/>
      <c r="V1047" s="450"/>
      <c r="W1047" s="450"/>
      <c r="X1047" s="450"/>
      <c r="Y1047" s="450"/>
      <c r="Z1047" s="450"/>
      <c r="AA1047" s="450"/>
      <c r="AB1047" s="450"/>
      <c r="AC1047" s="450"/>
      <c r="AD1047" s="450"/>
      <c r="AE1047" s="450"/>
      <c r="AF1047" s="450"/>
      <c r="AG1047" s="450"/>
      <c r="AH1047" s="450"/>
      <c r="AI1047" s="450"/>
      <c r="AJ1047" s="450"/>
      <c r="AK1047" s="450"/>
      <c r="AL1047" s="450"/>
      <c r="AM1047" s="450"/>
      <c r="AN1047" s="450"/>
      <c r="AO1047" s="450"/>
      <c r="AP1047" s="450"/>
      <c r="AQ1047" s="450"/>
      <c r="AR1047" s="450"/>
      <c r="AS1047" s="450"/>
      <c r="AT1047" s="450"/>
      <c r="AU1047" s="450"/>
      <c r="AV1047" s="450"/>
      <c r="AW1047" s="450"/>
      <c r="AX1047" s="450"/>
      <c r="AY1047" s="450"/>
      <c r="AZ1047" s="450"/>
      <c r="BA1047" s="450"/>
      <c r="BB1047" s="450"/>
      <c r="BC1047" s="450"/>
      <c r="BD1047" s="450"/>
      <c r="BE1047" s="450"/>
      <c r="BF1047" s="450"/>
      <c r="BG1047" s="450"/>
      <c r="BH1047" s="450"/>
      <c r="BI1047" s="450"/>
      <c r="BJ1047" s="450"/>
      <c r="BK1047" s="450"/>
      <c r="BL1047" s="450"/>
      <c r="BM1047" s="450"/>
    </row>
    <row r="1048" spans="1:65" ht="11.15">
      <c r="A1048" s="450"/>
      <c r="B1048" s="450"/>
      <c r="C1048" s="450"/>
      <c r="D1048" s="450"/>
      <c r="E1048" s="450"/>
      <c r="F1048" s="450"/>
      <c r="G1048" s="450"/>
      <c r="H1048" s="450"/>
      <c r="I1048" s="450"/>
      <c r="J1048" s="450"/>
      <c r="K1048" s="450"/>
      <c r="L1048" s="450"/>
      <c r="M1048" s="450"/>
      <c r="N1048" s="450"/>
      <c r="O1048" s="450"/>
      <c r="P1048" s="450"/>
      <c r="Q1048" s="450"/>
      <c r="R1048" s="450"/>
      <c r="S1048" s="450"/>
      <c r="T1048" s="450"/>
      <c r="U1048" s="450"/>
      <c r="V1048" s="450"/>
      <c r="W1048" s="450"/>
      <c r="X1048" s="450"/>
      <c r="Y1048" s="450"/>
      <c r="Z1048" s="450"/>
      <c r="AA1048" s="450"/>
      <c r="AB1048" s="450"/>
      <c r="AC1048" s="450"/>
      <c r="AD1048" s="450"/>
      <c r="AE1048" s="450"/>
      <c r="AF1048" s="450"/>
      <c r="AG1048" s="450"/>
      <c r="AH1048" s="450"/>
      <c r="AI1048" s="450"/>
      <c r="AJ1048" s="450"/>
      <c r="AK1048" s="450"/>
      <c r="AL1048" s="450"/>
      <c r="AM1048" s="450"/>
      <c r="AN1048" s="450"/>
      <c r="AO1048" s="450"/>
      <c r="AP1048" s="450"/>
      <c r="AQ1048" s="450"/>
      <c r="AR1048" s="450"/>
      <c r="AS1048" s="450"/>
      <c r="AT1048" s="450"/>
      <c r="AU1048" s="450"/>
      <c r="AV1048" s="450"/>
      <c r="AW1048" s="450"/>
      <c r="AX1048" s="450"/>
      <c r="AY1048" s="450"/>
      <c r="AZ1048" s="450"/>
      <c r="BA1048" s="450"/>
      <c r="BB1048" s="450"/>
      <c r="BC1048" s="450"/>
      <c r="BD1048" s="450"/>
      <c r="BE1048" s="450"/>
      <c r="BF1048" s="450"/>
      <c r="BG1048" s="450"/>
      <c r="BH1048" s="450"/>
      <c r="BI1048" s="450"/>
      <c r="BJ1048" s="450"/>
      <c r="BK1048" s="450"/>
      <c r="BL1048" s="450"/>
      <c r="BM1048" s="450"/>
    </row>
    <row r="1049" spans="1:65" ht="11.15">
      <c r="A1049" s="450"/>
      <c r="B1049" s="450"/>
      <c r="C1049" s="450"/>
      <c r="D1049" s="450"/>
      <c r="E1049" s="450"/>
      <c r="F1049" s="450"/>
      <c r="G1049" s="450"/>
      <c r="H1049" s="450"/>
      <c r="I1049" s="450"/>
      <c r="J1049" s="450"/>
      <c r="K1049" s="450"/>
      <c r="L1049" s="450"/>
      <c r="M1049" s="450"/>
      <c r="N1049" s="450"/>
      <c r="O1049" s="450"/>
      <c r="P1049" s="450"/>
      <c r="Q1049" s="450"/>
      <c r="R1049" s="450"/>
      <c r="S1049" s="450"/>
      <c r="T1049" s="450"/>
      <c r="U1049" s="450"/>
      <c r="V1049" s="450"/>
      <c r="W1049" s="450"/>
      <c r="X1049" s="450"/>
      <c r="Y1049" s="450"/>
      <c r="Z1049" s="450"/>
      <c r="AA1049" s="450"/>
      <c r="AB1049" s="450"/>
      <c r="AC1049" s="450"/>
      <c r="AD1049" s="450"/>
      <c r="AE1049" s="450"/>
      <c r="AF1049" s="450"/>
      <c r="AG1049" s="450"/>
      <c r="AH1049" s="450"/>
      <c r="AI1049" s="450"/>
      <c r="AJ1049" s="450"/>
      <c r="AK1049" s="450"/>
      <c r="AL1049" s="450"/>
      <c r="AM1049" s="450"/>
      <c r="AN1049" s="450"/>
      <c r="AO1049" s="450"/>
      <c r="AP1049" s="450"/>
      <c r="AQ1049" s="450"/>
      <c r="AR1049" s="450"/>
      <c r="AS1049" s="450"/>
      <c r="AT1049" s="450"/>
      <c r="AU1049" s="450"/>
      <c r="AV1049" s="450"/>
      <c r="AW1049" s="450"/>
      <c r="AX1049" s="450"/>
      <c r="AY1049" s="450"/>
      <c r="AZ1049" s="450"/>
      <c r="BA1049" s="450"/>
      <c r="BB1049" s="450"/>
      <c r="BC1049" s="450"/>
      <c r="BD1049" s="450"/>
      <c r="BE1049" s="450"/>
      <c r="BF1049" s="450"/>
      <c r="BG1049" s="450"/>
      <c r="BH1049" s="450"/>
      <c r="BI1049" s="450"/>
      <c r="BJ1049" s="450"/>
      <c r="BK1049" s="450"/>
      <c r="BL1049" s="450"/>
      <c r="BM1049" s="450"/>
    </row>
    <row r="1050" spans="1:65" ht="11.15">
      <c r="A1050" s="450"/>
      <c r="B1050" s="450"/>
      <c r="C1050" s="450"/>
      <c r="D1050" s="450"/>
      <c r="E1050" s="450"/>
      <c r="F1050" s="450"/>
      <c r="G1050" s="450"/>
      <c r="H1050" s="450"/>
      <c r="I1050" s="450"/>
      <c r="J1050" s="450"/>
      <c r="K1050" s="450"/>
      <c r="L1050" s="450"/>
      <c r="M1050" s="450"/>
      <c r="N1050" s="450"/>
      <c r="O1050" s="450"/>
      <c r="P1050" s="450"/>
      <c r="Q1050" s="450"/>
      <c r="R1050" s="450"/>
      <c r="S1050" s="450"/>
      <c r="T1050" s="450"/>
      <c r="U1050" s="450"/>
      <c r="V1050" s="450"/>
      <c r="W1050" s="450"/>
      <c r="X1050" s="450"/>
      <c r="Y1050" s="450"/>
      <c r="Z1050" s="450"/>
      <c r="AA1050" s="450"/>
      <c r="AB1050" s="450"/>
      <c r="AC1050" s="450"/>
      <c r="AD1050" s="450"/>
      <c r="AE1050" s="450"/>
      <c r="AF1050" s="450"/>
      <c r="AG1050" s="450"/>
      <c r="AH1050" s="450"/>
      <c r="AI1050" s="450"/>
      <c r="AJ1050" s="450"/>
      <c r="AK1050" s="450"/>
      <c r="AL1050" s="450"/>
      <c r="AM1050" s="450"/>
      <c r="AN1050" s="450"/>
      <c r="AO1050" s="450"/>
      <c r="AP1050" s="450"/>
      <c r="AQ1050" s="450"/>
      <c r="AR1050" s="450"/>
      <c r="AS1050" s="450"/>
      <c r="AT1050" s="450"/>
      <c r="AU1050" s="450"/>
      <c r="AV1050" s="450"/>
      <c r="AW1050" s="450"/>
      <c r="AX1050" s="450"/>
      <c r="AY1050" s="450"/>
      <c r="AZ1050" s="450"/>
      <c r="BA1050" s="450"/>
      <c r="BB1050" s="450"/>
      <c r="BC1050" s="450"/>
      <c r="BD1050" s="450"/>
      <c r="BE1050" s="450"/>
      <c r="BF1050" s="450"/>
      <c r="BG1050" s="450"/>
      <c r="BH1050" s="450"/>
      <c r="BI1050" s="450"/>
      <c r="BJ1050" s="450"/>
      <c r="BK1050" s="450"/>
      <c r="BL1050" s="450"/>
      <c r="BM1050" s="450"/>
    </row>
    <row r="1051" spans="1:65" ht="11.15">
      <c r="A1051" s="450"/>
      <c r="B1051" s="450"/>
      <c r="C1051" s="450"/>
      <c r="D1051" s="450"/>
      <c r="E1051" s="450"/>
      <c r="F1051" s="450"/>
      <c r="G1051" s="450"/>
      <c r="H1051" s="450"/>
      <c r="I1051" s="450"/>
      <c r="J1051" s="450"/>
      <c r="K1051" s="450"/>
      <c r="L1051" s="450"/>
      <c r="M1051" s="450"/>
      <c r="N1051" s="450"/>
      <c r="O1051" s="450"/>
      <c r="P1051" s="450"/>
      <c r="Q1051" s="450"/>
      <c r="R1051" s="450"/>
      <c r="S1051" s="450"/>
      <c r="T1051" s="450"/>
      <c r="U1051" s="450"/>
      <c r="V1051" s="450"/>
      <c r="W1051" s="450"/>
      <c r="X1051" s="450"/>
      <c r="Y1051" s="450"/>
      <c r="Z1051" s="450"/>
      <c r="AA1051" s="450"/>
      <c r="AB1051" s="450"/>
      <c r="AC1051" s="450"/>
      <c r="AD1051" s="450"/>
      <c r="AE1051" s="450"/>
      <c r="AF1051" s="450"/>
      <c r="AG1051" s="450"/>
      <c r="AH1051" s="450"/>
      <c r="AI1051" s="450"/>
      <c r="AJ1051" s="450"/>
      <c r="AK1051" s="450"/>
      <c r="AL1051" s="450"/>
      <c r="AM1051" s="450"/>
      <c r="AN1051" s="450"/>
      <c r="AO1051" s="450"/>
      <c r="AP1051" s="450"/>
      <c r="AQ1051" s="450"/>
      <c r="AR1051" s="450"/>
      <c r="AS1051" s="450"/>
      <c r="AT1051" s="450"/>
      <c r="AU1051" s="450"/>
      <c r="AV1051" s="450"/>
      <c r="AW1051" s="450"/>
      <c r="AX1051" s="450"/>
      <c r="AY1051" s="450"/>
      <c r="AZ1051" s="450"/>
      <c r="BA1051" s="450"/>
      <c r="BB1051" s="450"/>
      <c r="BC1051" s="450"/>
      <c r="BD1051" s="450"/>
      <c r="BE1051" s="450"/>
      <c r="BF1051" s="450"/>
      <c r="BG1051" s="450"/>
      <c r="BH1051" s="450"/>
      <c r="BI1051" s="450"/>
      <c r="BJ1051" s="450"/>
      <c r="BK1051" s="450"/>
      <c r="BL1051" s="450"/>
      <c r="BM1051" s="450"/>
    </row>
    <row r="1052" spans="1:65" ht="11.15">
      <c r="A1052" s="450"/>
      <c r="B1052" s="450"/>
      <c r="C1052" s="450"/>
      <c r="D1052" s="450"/>
      <c r="E1052" s="450"/>
      <c r="F1052" s="450"/>
      <c r="G1052" s="450"/>
      <c r="H1052" s="450"/>
      <c r="I1052" s="450"/>
      <c r="J1052" s="450"/>
      <c r="K1052" s="450"/>
      <c r="L1052" s="450"/>
      <c r="M1052" s="450"/>
      <c r="N1052" s="450"/>
      <c r="O1052" s="450"/>
      <c r="P1052" s="450"/>
      <c r="Q1052" s="450"/>
      <c r="R1052" s="450"/>
      <c r="S1052" s="450"/>
      <c r="T1052" s="450"/>
      <c r="U1052" s="450"/>
      <c r="V1052" s="450"/>
      <c r="W1052" s="450"/>
      <c r="X1052" s="450"/>
      <c r="Y1052" s="450"/>
      <c r="Z1052" s="450"/>
      <c r="AA1052" s="450"/>
      <c r="AB1052" s="450"/>
      <c r="AC1052" s="450"/>
      <c r="AD1052" s="450"/>
      <c r="AE1052" s="450"/>
      <c r="AF1052" s="450"/>
      <c r="AG1052" s="450"/>
      <c r="AH1052" s="450"/>
      <c r="AI1052" s="450"/>
      <c r="AJ1052" s="450"/>
      <c r="AK1052" s="450"/>
      <c r="AL1052" s="450"/>
      <c r="AM1052" s="450"/>
      <c r="AN1052" s="450"/>
      <c r="AO1052" s="450"/>
      <c r="AP1052" s="450"/>
      <c r="AQ1052" s="450"/>
      <c r="AR1052" s="450"/>
      <c r="AS1052" s="450"/>
      <c r="AT1052" s="450"/>
      <c r="AU1052" s="450"/>
      <c r="AV1052" s="450"/>
      <c r="AW1052" s="450"/>
      <c r="AX1052" s="450"/>
      <c r="AY1052" s="450"/>
      <c r="AZ1052" s="450"/>
      <c r="BA1052" s="450"/>
      <c r="BB1052" s="450"/>
      <c r="BC1052" s="450"/>
      <c r="BD1052" s="450"/>
      <c r="BE1052" s="450"/>
      <c r="BF1052" s="450"/>
      <c r="BG1052" s="450"/>
      <c r="BH1052" s="450"/>
      <c r="BI1052" s="450"/>
      <c r="BJ1052" s="450"/>
      <c r="BK1052" s="450"/>
      <c r="BL1052" s="450"/>
      <c r="BM1052" s="450"/>
    </row>
    <row r="1053" spans="1:65" ht="11.15">
      <c r="A1053" s="450"/>
      <c r="B1053" s="450"/>
      <c r="C1053" s="450"/>
      <c r="D1053" s="450"/>
      <c r="E1053" s="450"/>
      <c r="F1053" s="450"/>
      <c r="G1053" s="450"/>
      <c r="H1053" s="450"/>
      <c r="I1053" s="450"/>
      <c r="J1053" s="450"/>
      <c r="K1053" s="450"/>
      <c r="L1053" s="450"/>
      <c r="M1053" s="450"/>
      <c r="N1053" s="450"/>
      <c r="O1053" s="450"/>
      <c r="P1053" s="450"/>
      <c r="Q1053" s="450"/>
      <c r="R1053" s="450"/>
      <c r="S1053" s="450"/>
      <c r="T1053" s="450"/>
      <c r="U1053" s="450"/>
      <c r="V1053" s="450"/>
      <c r="W1053" s="450"/>
      <c r="X1053" s="450"/>
      <c r="Y1053" s="450"/>
      <c r="Z1053" s="450"/>
      <c r="AA1053" s="450"/>
      <c r="AB1053" s="450"/>
      <c r="AC1053" s="450"/>
      <c r="AD1053" s="450"/>
      <c r="AE1053" s="450"/>
      <c r="AF1053" s="450"/>
      <c r="AG1053" s="450"/>
      <c r="AH1053" s="450"/>
      <c r="AI1053" s="450"/>
      <c r="AJ1053" s="450"/>
      <c r="AK1053" s="450"/>
      <c r="AL1053" s="450"/>
      <c r="AM1053" s="450"/>
      <c r="AN1053" s="450"/>
      <c r="AO1053" s="450"/>
      <c r="AP1053" s="450"/>
      <c r="AQ1053" s="450"/>
      <c r="AR1053" s="450"/>
      <c r="AS1053" s="450"/>
      <c r="AT1053" s="450"/>
      <c r="AU1053" s="450"/>
      <c r="AV1053" s="450"/>
      <c r="AW1053" s="450"/>
      <c r="AX1053" s="450"/>
      <c r="AY1053" s="450"/>
      <c r="AZ1053" s="450"/>
      <c r="BA1053" s="450"/>
      <c r="BB1053" s="450"/>
      <c r="BC1053" s="450"/>
      <c r="BD1053" s="450"/>
      <c r="BE1053" s="450"/>
      <c r="BF1053" s="450"/>
      <c r="BG1053" s="450"/>
      <c r="BH1053" s="450"/>
      <c r="BI1053" s="450"/>
      <c r="BJ1053" s="450"/>
      <c r="BK1053" s="450"/>
      <c r="BL1053" s="450"/>
      <c r="BM1053" s="450"/>
    </row>
    <row r="1054" spans="1:65" ht="11.15">
      <c r="A1054" s="450"/>
      <c r="B1054" s="450"/>
      <c r="C1054" s="450"/>
      <c r="D1054" s="450"/>
      <c r="E1054" s="450"/>
      <c r="F1054" s="450"/>
      <c r="G1054" s="450"/>
      <c r="H1054" s="450"/>
      <c r="I1054" s="450"/>
      <c r="J1054" s="450"/>
      <c r="K1054" s="450"/>
      <c r="L1054" s="450"/>
      <c r="M1054" s="450"/>
      <c r="N1054" s="450"/>
      <c r="O1054" s="450"/>
      <c r="P1054" s="450"/>
      <c r="Q1054" s="450"/>
      <c r="R1054" s="450"/>
      <c r="S1054" s="450"/>
      <c r="T1054" s="450"/>
      <c r="U1054" s="450"/>
      <c r="V1054" s="450"/>
      <c r="W1054" s="450"/>
      <c r="X1054" s="450"/>
      <c r="Y1054" s="450"/>
      <c r="Z1054" s="450"/>
      <c r="AA1054" s="450"/>
      <c r="AB1054" s="450"/>
      <c r="AC1054" s="450"/>
      <c r="AD1054" s="450"/>
      <c r="AE1054" s="450"/>
      <c r="AF1054" s="450"/>
      <c r="AG1054" s="450"/>
      <c r="AH1054" s="450"/>
      <c r="AI1054" s="450"/>
      <c r="AJ1054" s="450"/>
      <c r="AK1054" s="450"/>
      <c r="AL1054" s="450"/>
      <c r="AM1054" s="450"/>
      <c r="AN1054" s="450"/>
      <c r="AO1054" s="450"/>
      <c r="AP1054" s="450"/>
      <c r="AQ1054" s="450"/>
      <c r="AR1054" s="450"/>
      <c r="AS1054" s="450"/>
      <c r="AT1054" s="450"/>
      <c r="AU1054" s="450"/>
      <c r="AV1054" s="450"/>
      <c r="AW1054" s="450"/>
      <c r="AX1054" s="450"/>
      <c r="AY1054" s="450"/>
      <c r="AZ1054" s="450"/>
      <c r="BA1054" s="450"/>
      <c r="BB1054" s="450"/>
      <c r="BC1054" s="450"/>
      <c r="BD1054" s="450"/>
      <c r="BE1054" s="450"/>
      <c r="BF1054" s="450"/>
      <c r="BG1054" s="450"/>
      <c r="BH1054" s="450"/>
      <c r="BI1054" s="450"/>
      <c r="BJ1054" s="450"/>
      <c r="BK1054" s="450"/>
      <c r="BL1054" s="450"/>
      <c r="BM1054" s="450"/>
    </row>
    <row r="1055" spans="1:65" ht="11.15">
      <c r="A1055" s="450"/>
      <c r="B1055" s="450"/>
      <c r="C1055" s="450"/>
      <c r="D1055" s="450"/>
      <c r="E1055" s="450"/>
      <c r="F1055" s="450"/>
      <c r="G1055" s="450"/>
      <c r="H1055" s="450"/>
      <c r="I1055" s="450"/>
      <c r="J1055" s="450"/>
      <c r="K1055" s="450"/>
      <c r="L1055" s="450"/>
      <c r="M1055" s="450"/>
      <c r="N1055" s="450"/>
      <c r="O1055" s="450"/>
      <c r="P1055" s="450"/>
      <c r="Q1055" s="450"/>
      <c r="R1055" s="450"/>
      <c r="S1055" s="450"/>
      <c r="T1055" s="450"/>
      <c r="U1055" s="450"/>
      <c r="V1055" s="450"/>
      <c r="W1055" s="450"/>
      <c r="X1055" s="450"/>
      <c r="Y1055" s="450"/>
      <c r="Z1055" s="450"/>
      <c r="AA1055" s="450"/>
      <c r="AB1055" s="450"/>
      <c r="AC1055" s="450"/>
      <c r="AD1055" s="450"/>
      <c r="AE1055" s="450"/>
      <c r="AF1055" s="450"/>
      <c r="AG1055" s="450"/>
      <c r="AH1055" s="450"/>
      <c r="AI1055" s="450"/>
      <c r="AJ1055" s="450"/>
      <c r="AK1055" s="450"/>
      <c r="AL1055" s="450"/>
      <c r="AM1055" s="450"/>
      <c r="AN1055" s="450"/>
      <c r="AO1055" s="450"/>
      <c r="AP1055" s="450"/>
      <c r="AQ1055" s="450"/>
      <c r="AR1055" s="450"/>
      <c r="AS1055" s="450"/>
      <c r="AT1055" s="450"/>
      <c r="AU1055" s="450"/>
      <c r="AV1055" s="450"/>
      <c r="AW1055" s="450"/>
      <c r="AX1055" s="450"/>
      <c r="AY1055" s="450"/>
      <c r="AZ1055" s="450"/>
      <c r="BA1055" s="450"/>
      <c r="BB1055" s="450"/>
      <c r="BC1055" s="450"/>
      <c r="BD1055" s="450"/>
      <c r="BE1055" s="450"/>
      <c r="BF1055" s="450"/>
      <c r="BG1055" s="450"/>
      <c r="BH1055" s="450"/>
      <c r="BI1055" s="450"/>
      <c r="BJ1055" s="450"/>
      <c r="BK1055" s="450"/>
      <c r="BL1055" s="450"/>
      <c r="BM1055" s="450"/>
    </row>
    <row r="1056" spans="1:65" ht="11.15">
      <c r="A1056" s="450"/>
      <c r="B1056" s="450"/>
      <c r="C1056" s="450"/>
      <c r="D1056" s="450"/>
      <c r="E1056" s="450"/>
      <c r="F1056" s="450"/>
      <c r="G1056" s="450"/>
      <c r="H1056" s="450"/>
      <c r="I1056" s="450"/>
      <c r="J1056" s="450"/>
      <c r="K1056" s="450"/>
      <c r="L1056" s="450"/>
      <c r="M1056" s="450"/>
      <c r="N1056" s="450"/>
      <c r="O1056" s="450"/>
      <c r="P1056" s="450"/>
      <c r="Q1056" s="450"/>
      <c r="R1056" s="450"/>
      <c r="S1056" s="450"/>
      <c r="T1056" s="450"/>
      <c r="U1056" s="450"/>
      <c r="V1056" s="450"/>
      <c r="W1056" s="450"/>
      <c r="X1056" s="450"/>
      <c r="Y1056" s="450"/>
      <c r="Z1056" s="450"/>
      <c r="AA1056" s="450"/>
      <c r="AB1056" s="450"/>
      <c r="AC1056" s="450"/>
      <c r="AD1056" s="450"/>
      <c r="AE1056" s="450"/>
      <c r="AF1056" s="450"/>
      <c r="AG1056" s="450"/>
      <c r="AH1056" s="450"/>
      <c r="AI1056" s="450"/>
      <c r="AJ1056" s="450"/>
      <c r="AK1056" s="450"/>
      <c r="AL1056" s="450"/>
      <c r="AM1056" s="450"/>
      <c r="AN1056" s="450"/>
      <c r="AO1056" s="450"/>
      <c r="AP1056" s="450"/>
      <c r="AQ1056" s="450"/>
      <c r="AR1056" s="450"/>
      <c r="AS1056" s="450"/>
      <c r="AT1056" s="450"/>
      <c r="AU1056" s="450"/>
      <c r="AV1056" s="450"/>
      <c r="AW1056" s="450"/>
      <c r="AX1056" s="450"/>
      <c r="AY1056" s="450"/>
      <c r="AZ1056" s="450"/>
      <c r="BA1056" s="450"/>
      <c r="BB1056" s="450"/>
      <c r="BC1056" s="450"/>
      <c r="BD1056" s="450"/>
      <c r="BE1056" s="450"/>
      <c r="BF1056" s="450"/>
      <c r="BG1056" s="450"/>
      <c r="BH1056" s="450"/>
      <c r="BI1056" s="450"/>
      <c r="BJ1056" s="450"/>
      <c r="BK1056" s="450"/>
      <c r="BL1056" s="450"/>
      <c r="BM1056" s="450"/>
    </row>
    <row r="1057" spans="1:65" ht="11.15">
      <c r="A1057" s="450"/>
      <c r="B1057" s="450"/>
      <c r="C1057" s="450"/>
      <c r="D1057" s="450"/>
      <c r="E1057" s="450"/>
      <c r="F1057" s="450"/>
      <c r="G1057" s="450"/>
      <c r="H1057" s="450"/>
      <c r="I1057" s="450"/>
      <c r="J1057" s="450"/>
      <c r="K1057" s="450"/>
      <c r="L1057" s="450"/>
      <c r="M1057" s="450"/>
      <c r="N1057" s="450"/>
      <c r="O1057" s="450"/>
      <c r="P1057" s="450"/>
      <c r="Q1057" s="450"/>
      <c r="R1057" s="450"/>
      <c r="S1057" s="450"/>
      <c r="T1057" s="450"/>
      <c r="U1057" s="450"/>
      <c r="V1057" s="450"/>
      <c r="W1057" s="450"/>
      <c r="X1057" s="450"/>
      <c r="Y1057" s="450"/>
      <c r="Z1057" s="450"/>
      <c r="AA1057" s="450"/>
      <c r="AB1057" s="450"/>
      <c r="AC1057" s="450"/>
      <c r="AD1057" s="450"/>
      <c r="AE1057" s="450"/>
      <c r="AF1057" s="450"/>
      <c r="AG1057" s="450"/>
      <c r="AH1057" s="450"/>
      <c r="AI1057" s="450"/>
      <c r="AJ1057" s="450"/>
      <c r="AK1057" s="450"/>
      <c r="AL1057" s="450"/>
      <c r="AM1057" s="450"/>
      <c r="AN1057" s="450"/>
      <c r="AO1057" s="450"/>
      <c r="AP1057" s="450"/>
      <c r="AQ1057" s="450"/>
      <c r="AR1057" s="450"/>
      <c r="AS1057" s="450"/>
      <c r="AT1057" s="450"/>
      <c r="AU1057" s="450"/>
      <c r="AV1057" s="450"/>
      <c r="AW1057" s="450"/>
      <c r="AX1057" s="450"/>
      <c r="AY1057" s="450"/>
      <c r="AZ1057" s="450"/>
      <c r="BA1057" s="450"/>
      <c r="BB1057" s="450"/>
      <c r="BC1057" s="450"/>
      <c r="BD1057" s="450"/>
      <c r="BE1057" s="450"/>
      <c r="BF1057" s="450"/>
      <c r="BG1057" s="450"/>
      <c r="BH1057" s="450"/>
      <c r="BI1057" s="450"/>
      <c r="BJ1057" s="450"/>
      <c r="BK1057" s="450"/>
      <c r="BL1057" s="450"/>
      <c r="BM1057" s="450"/>
    </row>
    <row r="1058" spans="1:65" ht="11.15">
      <c r="A1058" s="450"/>
      <c r="B1058" s="450"/>
      <c r="C1058" s="450"/>
      <c r="D1058" s="450"/>
      <c r="E1058" s="450"/>
      <c r="F1058" s="450"/>
      <c r="G1058" s="450"/>
      <c r="H1058" s="450"/>
      <c r="I1058" s="450"/>
      <c r="J1058" s="450"/>
      <c r="K1058" s="450"/>
      <c r="L1058" s="450"/>
      <c r="M1058" s="450"/>
      <c r="N1058" s="450"/>
      <c r="O1058" s="450"/>
      <c r="P1058" s="450"/>
      <c r="Q1058" s="450"/>
      <c r="R1058" s="450"/>
      <c r="S1058" s="450"/>
      <c r="T1058" s="450"/>
      <c r="U1058" s="450"/>
      <c r="V1058" s="450"/>
      <c r="W1058" s="450"/>
      <c r="X1058" s="450"/>
      <c r="Y1058" s="450"/>
      <c r="Z1058" s="450"/>
      <c r="AA1058" s="450"/>
      <c r="AB1058" s="450"/>
      <c r="AC1058" s="450"/>
      <c r="AD1058" s="450"/>
      <c r="AE1058" s="450"/>
      <c r="AF1058" s="450"/>
      <c r="AG1058" s="450"/>
      <c r="AH1058" s="450"/>
      <c r="AI1058" s="450"/>
      <c r="AJ1058" s="450"/>
      <c r="AK1058" s="450"/>
      <c r="AL1058" s="450"/>
      <c r="AM1058" s="450"/>
      <c r="AN1058" s="450"/>
      <c r="AO1058" s="450"/>
      <c r="AP1058" s="450"/>
      <c r="AQ1058" s="450"/>
      <c r="AR1058" s="450"/>
      <c r="AS1058" s="450"/>
      <c r="AT1058" s="450"/>
      <c r="AU1058" s="450"/>
      <c r="AV1058" s="450"/>
      <c r="AW1058" s="450"/>
      <c r="AX1058" s="450"/>
      <c r="AY1058" s="450"/>
      <c r="AZ1058" s="450"/>
      <c r="BA1058" s="450"/>
      <c r="BB1058" s="450"/>
      <c r="BC1058" s="450"/>
      <c r="BD1058" s="450"/>
      <c r="BE1058" s="450"/>
      <c r="BF1058" s="450"/>
      <c r="BG1058" s="450"/>
      <c r="BH1058" s="450"/>
      <c r="BI1058" s="450"/>
      <c r="BJ1058" s="450"/>
      <c r="BK1058" s="450"/>
      <c r="BL1058" s="450"/>
      <c r="BM1058" s="450"/>
    </row>
    <row r="1059" spans="1:65" ht="11.15">
      <c r="A1059" s="450"/>
      <c r="B1059" s="450"/>
      <c r="C1059" s="450"/>
      <c r="D1059" s="450"/>
      <c r="E1059" s="450"/>
      <c r="F1059" s="450"/>
      <c r="G1059" s="450"/>
      <c r="H1059" s="450"/>
      <c r="I1059" s="450"/>
      <c r="J1059" s="450"/>
      <c r="K1059" s="450"/>
      <c r="L1059" s="450"/>
      <c r="M1059" s="450"/>
      <c r="N1059" s="450"/>
      <c r="O1059" s="450"/>
      <c r="P1059" s="450"/>
      <c r="Q1059" s="450"/>
      <c r="R1059" s="450"/>
      <c r="S1059" s="450"/>
      <c r="T1059" s="450"/>
      <c r="U1059" s="450"/>
      <c r="V1059" s="450"/>
      <c r="W1059" s="450"/>
      <c r="X1059" s="450"/>
      <c r="Y1059" s="450"/>
      <c r="Z1059" s="450"/>
      <c r="AA1059" s="450"/>
      <c r="AB1059" s="450"/>
      <c r="AC1059" s="450"/>
      <c r="AD1059" s="450"/>
      <c r="AE1059" s="450"/>
      <c r="AF1059" s="450"/>
      <c r="AG1059" s="450"/>
      <c r="AH1059" s="450"/>
      <c r="AI1059" s="450"/>
      <c r="AJ1059" s="450"/>
      <c r="AK1059" s="450"/>
      <c r="AL1059" s="450"/>
      <c r="AM1059" s="450"/>
      <c r="AN1059" s="450"/>
      <c r="AO1059" s="450"/>
      <c r="AP1059" s="450"/>
      <c r="AQ1059" s="450"/>
      <c r="AR1059" s="450"/>
      <c r="AS1059" s="450"/>
      <c r="AT1059" s="450"/>
      <c r="AU1059" s="450"/>
      <c r="AV1059" s="450"/>
      <c r="AW1059" s="450"/>
      <c r="AX1059" s="450"/>
      <c r="AY1059" s="450"/>
      <c r="AZ1059" s="450"/>
      <c r="BA1059" s="450"/>
      <c r="BB1059" s="450"/>
      <c r="BC1059" s="450"/>
      <c r="BD1059" s="450"/>
      <c r="BE1059" s="450"/>
      <c r="BF1059" s="450"/>
      <c r="BG1059" s="450"/>
      <c r="BH1059" s="450"/>
      <c r="BI1059" s="450"/>
      <c r="BJ1059" s="450"/>
      <c r="BK1059" s="450"/>
      <c r="BL1059" s="450"/>
      <c r="BM1059" s="450"/>
    </row>
    <row r="1060" spans="1:65" ht="11.15">
      <c r="A1060" s="450"/>
      <c r="B1060" s="450"/>
      <c r="C1060" s="450"/>
      <c r="D1060" s="450"/>
      <c r="E1060" s="450"/>
      <c r="F1060" s="450"/>
      <c r="G1060" s="450"/>
      <c r="H1060" s="450"/>
      <c r="I1060" s="450"/>
      <c r="J1060" s="450"/>
      <c r="K1060" s="450"/>
      <c r="L1060" s="450"/>
      <c r="M1060" s="450"/>
      <c r="N1060" s="450"/>
      <c r="O1060" s="450"/>
      <c r="P1060" s="450"/>
      <c r="Q1060" s="450"/>
      <c r="R1060" s="450"/>
      <c r="S1060" s="450"/>
      <c r="T1060" s="450"/>
      <c r="U1060" s="450"/>
      <c r="V1060" s="450"/>
      <c r="W1060" s="450"/>
      <c r="X1060" s="450"/>
      <c r="Y1060" s="450"/>
      <c r="Z1060" s="450"/>
      <c r="AA1060" s="450"/>
      <c r="AB1060" s="450"/>
      <c r="AC1060" s="450"/>
      <c r="AD1060" s="450"/>
      <c r="AE1060" s="450"/>
      <c r="AF1060" s="450"/>
      <c r="AG1060" s="450"/>
      <c r="AH1060" s="450"/>
      <c r="AI1060" s="450"/>
      <c r="AJ1060" s="450"/>
      <c r="AK1060" s="450"/>
      <c r="AL1060" s="450"/>
      <c r="AM1060" s="450"/>
      <c r="AN1060" s="450"/>
      <c r="AO1060" s="450"/>
      <c r="AP1060" s="450"/>
      <c r="AQ1060" s="450"/>
      <c r="AR1060" s="450"/>
      <c r="AS1060" s="450"/>
      <c r="AT1060" s="450"/>
      <c r="AU1060" s="450"/>
      <c r="AV1060" s="450"/>
      <c r="AW1060" s="450"/>
      <c r="AX1060" s="450"/>
      <c r="AY1060" s="450"/>
      <c r="AZ1060" s="450"/>
      <c r="BA1060" s="450"/>
      <c r="BB1060" s="450"/>
      <c r="BC1060" s="450"/>
      <c r="BD1060" s="450"/>
      <c r="BE1060" s="450"/>
      <c r="BF1060" s="450"/>
      <c r="BG1060" s="450"/>
      <c r="BH1060" s="450"/>
      <c r="BI1060" s="450"/>
      <c r="BJ1060" s="450"/>
      <c r="BK1060" s="450"/>
      <c r="BL1060" s="450"/>
      <c r="BM1060" s="450"/>
    </row>
    <row r="1061" spans="1:65" ht="11.15">
      <c r="A1061" s="450"/>
      <c r="B1061" s="450"/>
      <c r="C1061" s="450"/>
      <c r="D1061" s="450"/>
      <c r="E1061" s="450"/>
      <c r="F1061" s="450"/>
      <c r="G1061" s="450"/>
      <c r="H1061" s="450"/>
      <c r="I1061" s="450"/>
      <c r="J1061" s="450"/>
      <c r="K1061" s="450"/>
      <c r="L1061" s="450"/>
      <c r="M1061" s="450"/>
      <c r="N1061" s="450"/>
      <c r="O1061" s="450"/>
      <c r="P1061" s="450"/>
      <c r="Q1061" s="450"/>
      <c r="R1061" s="450"/>
      <c r="S1061" s="450"/>
      <c r="T1061" s="450"/>
      <c r="U1061" s="450"/>
      <c r="V1061" s="450"/>
      <c r="W1061" s="450"/>
      <c r="X1061" s="450"/>
      <c r="Y1061" s="450"/>
      <c r="Z1061" s="450"/>
      <c r="AA1061" s="450"/>
      <c r="AB1061" s="450"/>
      <c r="AC1061" s="450"/>
      <c r="AD1061" s="450"/>
      <c r="AE1061" s="450"/>
      <c r="AF1061" s="450"/>
      <c r="AG1061" s="450"/>
      <c r="AH1061" s="450"/>
      <c r="AI1061" s="450"/>
      <c r="AJ1061" s="450"/>
      <c r="AK1061" s="450"/>
      <c r="AL1061" s="450"/>
      <c r="AM1061" s="450"/>
      <c r="AN1061" s="450"/>
      <c r="AO1061" s="450"/>
      <c r="AP1061" s="450"/>
      <c r="AQ1061" s="450"/>
      <c r="AR1061" s="450"/>
      <c r="AS1061" s="450"/>
      <c r="AT1061" s="450"/>
      <c r="AU1061" s="450"/>
      <c r="AV1061" s="450"/>
      <c r="AW1061" s="450"/>
      <c r="AX1061" s="450"/>
      <c r="AY1061" s="450"/>
      <c r="AZ1061" s="450"/>
      <c r="BA1061" s="450"/>
      <c r="BB1061" s="450"/>
      <c r="BC1061" s="450"/>
      <c r="BD1061" s="450"/>
      <c r="BE1061" s="450"/>
      <c r="BF1061" s="450"/>
      <c r="BG1061" s="450"/>
      <c r="BH1061" s="450"/>
      <c r="BI1061" s="450"/>
      <c r="BJ1061" s="450"/>
      <c r="BK1061" s="450"/>
      <c r="BL1061" s="450"/>
      <c r="BM1061" s="450"/>
    </row>
    <row r="1062" spans="1:65" ht="11.15">
      <c r="A1062" s="450"/>
      <c r="B1062" s="450"/>
      <c r="C1062" s="450"/>
      <c r="D1062" s="450"/>
      <c r="E1062" s="450"/>
      <c r="F1062" s="450"/>
      <c r="G1062" s="450"/>
      <c r="H1062" s="450"/>
      <c r="I1062" s="450"/>
      <c r="J1062" s="450"/>
      <c r="K1062" s="450"/>
      <c r="L1062" s="450"/>
      <c r="M1062" s="450"/>
      <c r="N1062" s="450"/>
      <c r="O1062" s="450"/>
      <c r="P1062" s="450"/>
      <c r="Q1062" s="450"/>
      <c r="R1062" s="450"/>
      <c r="S1062" s="450"/>
      <c r="T1062" s="450"/>
      <c r="U1062" s="450"/>
      <c r="V1062" s="450"/>
      <c r="W1062" s="450"/>
      <c r="X1062" s="450"/>
      <c r="Y1062" s="450"/>
      <c r="Z1062" s="450"/>
      <c r="AA1062" s="450"/>
      <c r="AB1062" s="450"/>
      <c r="AC1062" s="450"/>
      <c r="AD1062" s="450"/>
      <c r="AE1062" s="450"/>
      <c r="AF1062" s="450"/>
      <c r="AG1062" s="450"/>
      <c r="AH1062" s="450"/>
      <c r="AI1062" s="450"/>
      <c r="AJ1062" s="450"/>
      <c r="AK1062" s="450"/>
      <c r="AL1062" s="450"/>
      <c r="AM1062" s="450"/>
      <c r="AN1062" s="450"/>
      <c r="AO1062" s="450"/>
      <c r="AP1062" s="450"/>
      <c r="AQ1062" s="450"/>
      <c r="AR1062" s="450"/>
      <c r="AS1062" s="450"/>
      <c r="AT1062" s="450"/>
      <c r="AU1062" s="450"/>
      <c r="AV1062" s="450"/>
      <c r="AW1062" s="450"/>
      <c r="AX1062" s="450"/>
      <c r="AY1062" s="450"/>
      <c r="AZ1062" s="450"/>
      <c r="BA1062" s="450"/>
      <c r="BB1062" s="450"/>
      <c r="BC1062" s="450"/>
      <c r="BD1062" s="450"/>
      <c r="BE1062" s="450"/>
      <c r="BF1062" s="450"/>
      <c r="BG1062" s="450"/>
      <c r="BH1062" s="450"/>
      <c r="BI1062" s="450"/>
      <c r="BJ1062" s="450"/>
      <c r="BK1062" s="450"/>
      <c r="BL1062" s="450"/>
      <c r="BM1062" s="450"/>
    </row>
    <row r="1063" spans="1:65" ht="11.15">
      <c r="A1063" s="450"/>
      <c r="B1063" s="450"/>
      <c r="C1063" s="450"/>
      <c r="D1063" s="450"/>
      <c r="E1063" s="450"/>
      <c r="F1063" s="450"/>
      <c r="G1063" s="450"/>
      <c r="H1063" s="450"/>
      <c r="I1063" s="450"/>
      <c r="J1063" s="450"/>
      <c r="K1063" s="450"/>
      <c r="L1063" s="450"/>
      <c r="M1063" s="450"/>
      <c r="N1063" s="450"/>
      <c r="O1063" s="450"/>
      <c r="P1063" s="450"/>
      <c r="Q1063" s="450"/>
      <c r="R1063" s="450"/>
      <c r="S1063" s="450"/>
      <c r="T1063" s="450"/>
      <c r="U1063" s="450"/>
      <c r="V1063" s="450"/>
      <c r="W1063" s="450"/>
      <c r="X1063" s="450"/>
      <c r="Y1063" s="450"/>
      <c r="Z1063" s="450"/>
      <c r="AA1063" s="450"/>
      <c r="AB1063" s="450"/>
      <c r="AC1063" s="450"/>
      <c r="AD1063" s="450"/>
      <c r="AE1063" s="450"/>
      <c r="AF1063" s="450"/>
      <c r="AG1063" s="450"/>
      <c r="AH1063" s="450"/>
      <c r="AI1063" s="450"/>
      <c r="AJ1063" s="450"/>
      <c r="AK1063" s="450"/>
      <c r="AL1063" s="450"/>
      <c r="AM1063" s="450"/>
      <c r="AN1063" s="450"/>
      <c r="AO1063" s="450"/>
      <c r="AP1063" s="450"/>
      <c r="AQ1063" s="450"/>
      <c r="AR1063" s="450"/>
      <c r="AS1063" s="450"/>
      <c r="AT1063" s="450"/>
      <c r="AU1063" s="450"/>
      <c r="AV1063" s="450"/>
      <c r="AW1063" s="450"/>
      <c r="AX1063" s="450"/>
      <c r="AY1063" s="450"/>
      <c r="AZ1063" s="450"/>
      <c r="BA1063" s="450"/>
      <c r="BB1063" s="450"/>
      <c r="BC1063" s="450"/>
      <c r="BD1063" s="450"/>
      <c r="BE1063" s="450"/>
      <c r="BF1063" s="450"/>
      <c r="BG1063" s="450"/>
      <c r="BH1063" s="450"/>
      <c r="BI1063" s="450"/>
      <c r="BJ1063" s="450"/>
      <c r="BK1063" s="450"/>
      <c r="BL1063" s="450"/>
      <c r="BM1063" s="450"/>
    </row>
    <row r="1064" spans="1:65" ht="11.15">
      <c r="A1064" s="450"/>
      <c r="B1064" s="450"/>
      <c r="C1064" s="450"/>
      <c r="D1064" s="450"/>
      <c r="E1064" s="450"/>
      <c r="F1064" s="450"/>
      <c r="G1064" s="450"/>
      <c r="H1064" s="450"/>
      <c r="I1064" s="450"/>
      <c r="J1064" s="450"/>
      <c r="K1064" s="450"/>
      <c r="L1064" s="450"/>
      <c r="M1064" s="450"/>
      <c r="N1064" s="450"/>
      <c r="O1064" s="450"/>
      <c r="P1064" s="450"/>
      <c r="Q1064" s="450"/>
      <c r="R1064" s="450"/>
      <c r="S1064" s="450"/>
      <c r="T1064" s="450"/>
      <c r="U1064" s="450"/>
      <c r="V1064" s="450"/>
      <c r="W1064" s="450"/>
      <c r="X1064" s="450"/>
      <c r="Y1064" s="450"/>
      <c r="Z1064" s="450"/>
      <c r="AA1064" s="450"/>
      <c r="AB1064" s="450"/>
      <c r="AC1064" s="450"/>
      <c r="AD1064" s="450"/>
      <c r="AE1064" s="450"/>
      <c r="AF1064" s="450"/>
      <c r="AG1064" s="450"/>
      <c r="AH1064" s="450"/>
      <c r="AI1064" s="450"/>
      <c r="AJ1064" s="450"/>
      <c r="AK1064" s="450"/>
      <c r="AL1064" s="450"/>
      <c r="AM1064" s="450"/>
      <c r="AN1064" s="450"/>
      <c r="AO1064" s="450"/>
      <c r="AP1064" s="450"/>
      <c r="AQ1064" s="450"/>
      <c r="AR1064" s="450"/>
      <c r="AS1064" s="450"/>
      <c r="AT1064" s="450"/>
      <c r="AU1064" s="450"/>
      <c r="AV1064" s="450"/>
      <c r="AW1064" s="450"/>
      <c r="AX1064" s="450"/>
      <c r="AY1064" s="450"/>
      <c r="AZ1064" s="450"/>
      <c r="BA1064" s="450"/>
      <c r="BB1064" s="450"/>
      <c r="BC1064" s="450"/>
      <c r="BD1064" s="450"/>
      <c r="BE1064" s="450"/>
      <c r="BF1064" s="450"/>
      <c r="BG1064" s="450"/>
      <c r="BH1064" s="450"/>
      <c r="BI1064" s="450"/>
      <c r="BJ1064" s="450"/>
      <c r="BK1064" s="450"/>
      <c r="BL1064" s="450"/>
      <c r="BM1064" s="450"/>
    </row>
    <row r="1065" spans="1:65" ht="11.15">
      <c r="A1065" s="450"/>
      <c r="B1065" s="450"/>
      <c r="C1065" s="450"/>
      <c r="D1065" s="450"/>
      <c r="E1065" s="450"/>
      <c r="F1065" s="450"/>
      <c r="G1065" s="450"/>
      <c r="H1065" s="450"/>
      <c r="I1065" s="450"/>
      <c r="J1065" s="450"/>
      <c r="K1065" s="450"/>
      <c r="L1065" s="450"/>
      <c r="M1065" s="450"/>
      <c r="N1065" s="450"/>
      <c r="O1065" s="450"/>
      <c r="P1065" s="450"/>
      <c r="Q1065" s="450"/>
      <c r="R1065" s="450"/>
      <c r="S1065" s="450"/>
      <c r="T1065" s="450"/>
      <c r="U1065" s="450"/>
      <c r="V1065" s="450"/>
      <c r="W1065" s="450"/>
      <c r="X1065" s="450"/>
      <c r="Y1065" s="450"/>
      <c r="Z1065" s="450"/>
      <c r="AA1065" s="450"/>
      <c r="AB1065" s="450"/>
      <c r="AC1065" s="450"/>
      <c r="AD1065" s="450"/>
      <c r="AE1065" s="450"/>
      <c r="AF1065" s="450"/>
      <c r="AG1065" s="450"/>
      <c r="AH1065" s="450"/>
      <c r="AI1065" s="450"/>
      <c r="AJ1065" s="450"/>
      <c r="AK1065" s="450"/>
      <c r="AL1065" s="450"/>
      <c r="AM1065" s="450"/>
      <c r="AN1065" s="450"/>
      <c r="AO1065" s="450"/>
      <c r="AP1065" s="450"/>
      <c r="AQ1065" s="450"/>
      <c r="AR1065" s="450"/>
      <c r="AS1065" s="450"/>
      <c r="AT1065" s="450"/>
      <c r="AU1065" s="450"/>
      <c r="AV1065" s="450"/>
      <c r="AW1065" s="450"/>
      <c r="AX1065" s="450"/>
      <c r="AY1065" s="450"/>
      <c r="AZ1065" s="450"/>
      <c r="BA1065" s="450"/>
      <c r="BB1065" s="450"/>
      <c r="BC1065" s="450"/>
      <c r="BD1065" s="450"/>
      <c r="BE1065" s="450"/>
      <c r="BF1065" s="450"/>
      <c r="BG1065" s="450"/>
      <c r="BH1065" s="450"/>
      <c r="BI1065" s="450"/>
      <c r="BJ1065" s="450"/>
      <c r="BK1065" s="450"/>
      <c r="BL1065" s="450"/>
      <c r="BM1065" s="450"/>
    </row>
    <row r="1066" spans="1:65" ht="11.15">
      <c r="A1066" s="450"/>
      <c r="B1066" s="450"/>
      <c r="C1066" s="450"/>
      <c r="D1066" s="450"/>
      <c r="E1066" s="450"/>
      <c r="F1066" s="450"/>
      <c r="G1066" s="450"/>
      <c r="H1066" s="450"/>
      <c r="I1066" s="450"/>
      <c r="J1066" s="450"/>
      <c r="K1066" s="450"/>
      <c r="L1066" s="450"/>
      <c r="M1066" s="450"/>
      <c r="N1066" s="450"/>
      <c r="O1066" s="450"/>
      <c r="P1066" s="450"/>
      <c r="Q1066" s="450"/>
      <c r="R1066" s="450"/>
      <c r="S1066" s="450"/>
      <c r="T1066" s="450"/>
      <c r="U1066" s="450"/>
      <c r="V1066" s="450"/>
      <c r="W1066" s="450"/>
      <c r="X1066" s="450"/>
      <c r="Y1066" s="450"/>
      <c r="Z1066" s="450"/>
      <c r="AA1066" s="450"/>
      <c r="AB1066" s="450"/>
      <c r="AC1066" s="450"/>
      <c r="AD1066" s="450"/>
      <c r="AE1066" s="450"/>
      <c r="AF1066" s="450"/>
      <c r="AG1066" s="450"/>
      <c r="AH1066" s="450"/>
      <c r="AI1066" s="450"/>
      <c r="AJ1066" s="450"/>
      <c r="AK1066" s="450"/>
      <c r="AL1066" s="450"/>
      <c r="AM1066" s="450"/>
      <c r="AN1066" s="450"/>
      <c r="AO1066" s="450"/>
      <c r="AP1066" s="450"/>
      <c r="AQ1066" s="450"/>
      <c r="AR1066" s="450"/>
      <c r="AS1066" s="450"/>
      <c r="AT1066" s="450"/>
      <c r="AU1066" s="450"/>
      <c r="AV1066" s="450"/>
      <c r="AW1066" s="450"/>
      <c r="AX1066" s="450"/>
      <c r="AY1066" s="450"/>
      <c r="AZ1066" s="450"/>
      <c r="BA1066" s="450"/>
      <c r="BB1066" s="450"/>
      <c r="BC1066" s="450"/>
      <c r="BD1066" s="450"/>
      <c r="BE1066" s="450"/>
      <c r="BF1066" s="450"/>
      <c r="BG1066" s="450"/>
      <c r="BH1066" s="450"/>
      <c r="BI1066" s="450"/>
      <c r="BJ1066" s="450"/>
      <c r="BK1066" s="450"/>
      <c r="BL1066" s="450"/>
      <c r="BM1066" s="450"/>
    </row>
    <row r="1067" spans="1:65" ht="11.15">
      <c r="A1067" s="450"/>
      <c r="B1067" s="450"/>
      <c r="C1067" s="450"/>
      <c r="D1067" s="450"/>
      <c r="E1067" s="450"/>
      <c r="F1067" s="450"/>
      <c r="G1067" s="450"/>
      <c r="H1067" s="450"/>
      <c r="I1067" s="450"/>
      <c r="J1067" s="450"/>
      <c r="K1067" s="450"/>
      <c r="L1067" s="450"/>
      <c r="M1067" s="450"/>
      <c r="N1067" s="450"/>
      <c r="O1067" s="450"/>
      <c r="P1067" s="450"/>
      <c r="Q1067" s="450"/>
      <c r="R1067" s="450"/>
      <c r="S1067" s="450"/>
      <c r="T1067" s="450"/>
      <c r="U1067" s="450"/>
      <c r="V1067" s="450"/>
      <c r="W1067" s="450"/>
      <c r="X1067" s="450"/>
      <c r="Y1067" s="450"/>
      <c r="Z1067" s="450"/>
      <c r="AA1067" s="450"/>
      <c r="AB1067" s="450"/>
      <c r="AC1067" s="450"/>
      <c r="AD1067" s="450"/>
      <c r="AE1067" s="450"/>
      <c r="AF1067" s="450"/>
      <c r="AG1067" s="450"/>
      <c r="AH1067" s="450"/>
      <c r="AI1067" s="450"/>
      <c r="AJ1067" s="450"/>
      <c r="AK1067" s="450"/>
      <c r="AL1067" s="450"/>
      <c r="AM1067" s="450"/>
      <c r="AN1067" s="450"/>
      <c r="AO1067" s="450"/>
      <c r="AP1067" s="450"/>
      <c r="AQ1067" s="450"/>
      <c r="AR1067" s="450"/>
      <c r="AS1067" s="450"/>
      <c r="AT1067" s="450"/>
      <c r="AU1067" s="450"/>
      <c r="AV1067" s="450"/>
      <c r="AW1067" s="450"/>
      <c r="AX1067" s="450"/>
      <c r="AY1067" s="450"/>
      <c r="AZ1067" s="450"/>
      <c r="BA1067" s="450"/>
      <c r="BB1067" s="450"/>
      <c r="BC1067" s="450"/>
      <c r="BD1067" s="450"/>
      <c r="BE1067" s="450"/>
      <c r="BF1067" s="450"/>
      <c r="BG1067" s="450"/>
      <c r="BH1067" s="450"/>
      <c r="BI1067" s="450"/>
      <c r="BJ1067" s="450"/>
      <c r="BK1067" s="450"/>
      <c r="BL1067" s="450"/>
      <c r="BM1067" s="450"/>
    </row>
    <row r="1068" spans="1:65" ht="11.15">
      <c r="A1068" s="450"/>
      <c r="B1068" s="450"/>
      <c r="C1068" s="450"/>
      <c r="D1068" s="450"/>
      <c r="E1068" s="450"/>
      <c r="F1068" s="450"/>
      <c r="G1068" s="450"/>
      <c r="H1068" s="450"/>
      <c r="I1068" s="450"/>
      <c r="J1068" s="450"/>
      <c r="K1068" s="450"/>
      <c r="L1068" s="450"/>
      <c r="M1068" s="450"/>
      <c r="N1068" s="450"/>
      <c r="O1068" s="450"/>
      <c r="P1068" s="450"/>
      <c r="Q1068" s="450"/>
      <c r="R1068" s="450"/>
      <c r="S1068" s="450"/>
      <c r="T1068" s="450"/>
      <c r="U1068" s="450"/>
      <c r="V1068" s="450"/>
      <c r="W1068" s="450"/>
      <c r="X1068" s="450"/>
      <c r="Y1068" s="450"/>
      <c r="Z1068" s="450"/>
      <c r="AA1068" s="450"/>
      <c r="AB1068" s="450"/>
      <c r="AC1068" s="450"/>
      <c r="AD1068" s="450"/>
      <c r="AE1068" s="450"/>
      <c r="AF1068" s="450"/>
      <c r="AG1068" s="450"/>
      <c r="AH1068" s="450"/>
      <c r="AI1068" s="450"/>
      <c r="AJ1068" s="450"/>
      <c r="AK1068" s="450"/>
      <c r="AL1068" s="450"/>
      <c r="AM1068" s="450"/>
      <c r="AN1068" s="450"/>
      <c r="AO1068" s="450"/>
      <c r="AP1068" s="450"/>
      <c r="AQ1068" s="450"/>
      <c r="AR1068" s="450"/>
      <c r="AS1068" s="450"/>
      <c r="AT1068" s="450"/>
      <c r="AU1068" s="450"/>
      <c r="AV1068" s="450"/>
      <c r="AW1068" s="450"/>
      <c r="AX1068" s="450"/>
      <c r="AY1068" s="450"/>
      <c r="AZ1068" s="450"/>
      <c r="BA1068" s="450"/>
      <c r="BB1068" s="450"/>
      <c r="BC1068" s="450"/>
      <c r="BD1068" s="450"/>
      <c r="BE1068" s="450"/>
      <c r="BF1068" s="450"/>
      <c r="BG1068" s="450"/>
      <c r="BH1068" s="450"/>
      <c r="BI1068" s="450"/>
      <c r="BJ1068" s="450"/>
      <c r="BK1068" s="450"/>
      <c r="BL1068" s="450"/>
      <c r="BM1068" s="450"/>
    </row>
    <row r="1069" spans="1:65" ht="11.15">
      <c r="A1069" s="450"/>
      <c r="B1069" s="450"/>
      <c r="C1069" s="450"/>
      <c r="D1069" s="450"/>
      <c r="E1069" s="450"/>
      <c r="F1069" s="450"/>
      <c r="G1069" s="450"/>
      <c r="H1069" s="450"/>
      <c r="I1069" s="450"/>
      <c r="J1069" s="450"/>
      <c r="K1069" s="450"/>
      <c r="L1069" s="450"/>
      <c r="M1069" s="450"/>
      <c r="N1069" s="450"/>
      <c r="O1069" s="450"/>
      <c r="P1069" s="450"/>
      <c r="Q1069" s="450"/>
      <c r="R1069" s="450"/>
      <c r="S1069" s="450"/>
      <c r="T1069" s="450"/>
      <c r="U1069" s="450"/>
      <c r="V1069" s="450"/>
      <c r="W1069" s="450"/>
      <c r="X1069" s="450"/>
      <c r="Y1069" s="450"/>
      <c r="Z1069" s="450"/>
      <c r="AA1069" s="450"/>
      <c r="AB1069" s="450"/>
      <c r="AC1069" s="450"/>
      <c r="AD1069" s="450"/>
      <c r="AE1069" s="450"/>
      <c r="AF1069" s="450"/>
      <c r="AG1069" s="450"/>
      <c r="AH1069" s="450"/>
      <c r="AI1069" s="450"/>
      <c r="AJ1069" s="450"/>
      <c r="AK1069" s="450"/>
      <c r="AL1069" s="450"/>
      <c r="AM1069" s="450"/>
      <c r="AN1069" s="450"/>
      <c r="AO1069" s="450"/>
      <c r="AP1069" s="450"/>
      <c r="AQ1069" s="450"/>
      <c r="AR1069" s="450"/>
      <c r="AS1069" s="450"/>
      <c r="AT1069" s="450"/>
      <c r="AU1069" s="450"/>
      <c r="AV1069" s="450"/>
      <c r="AW1069" s="450"/>
      <c r="AX1069" s="450"/>
      <c r="AY1069" s="450"/>
      <c r="AZ1069" s="450"/>
      <c r="BA1069" s="450"/>
      <c r="BB1069" s="450"/>
      <c r="BC1069" s="450"/>
      <c r="BD1069" s="450"/>
      <c r="BE1069" s="450"/>
      <c r="BF1069" s="450"/>
      <c r="BG1069" s="450"/>
      <c r="BH1069" s="450"/>
      <c r="BI1069" s="450"/>
      <c r="BJ1069" s="450"/>
      <c r="BK1069" s="450"/>
      <c r="BL1069" s="450"/>
      <c r="BM1069" s="450"/>
    </row>
    <row r="1070" spans="1:65" ht="11.15">
      <c r="A1070" s="450"/>
      <c r="B1070" s="450"/>
      <c r="C1070" s="450"/>
      <c r="D1070" s="450"/>
      <c r="E1070" s="450"/>
      <c r="F1070" s="450"/>
      <c r="G1070" s="450"/>
      <c r="H1070" s="450"/>
      <c r="I1070" s="450"/>
      <c r="J1070" s="450"/>
      <c r="K1070" s="450"/>
      <c r="L1070" s="450"/>
      <c r="M1070" s="450"/>
      <c r="N1070" s="450"/>
      <c r="O1070" s="450"/>
      <c r="P1070" s="450"/>
      <c r="Q1070" s="450"/>
      <c r="R1070" s="450"/>
      <c r="S1070" s="450"/>
      <c r="T1070" s="450"/>
      <c r="U1070" s="450"/>
      <c r="V1070" s="450"/>
      <c r="W1070" s="450"/>
      <c r="X1070" s="450"/>
      <c r="Y1070" s="450"/>
      <c r="Z1070" s="450"/>
      <c r="AA1070" s="450"/>
      <c r="AB1070" s="450"/>
      <c r="AC1070" s="450"/>
      <c r="AD1070" s="450"/>
      <c r="AE1070" s="450"/>
      <c r="AF1070" s="450"/>
      <c r="AG1070" s="450"/>
      <c r="AH1070" s="450"/>
      <c r="AI1070" s="450"/>
      <c r="AJ1070" s="450"/>
      <c r="AK1070" s="450"/>
      <c r="AL1070" s="450"/>
      <c r="AM1070" s="450"/>
      <c r="AN1070" s="450"/>
      <c r="AO1070" s="450"/>
      <c r="AP1070" s="450"/>
      <c r="AQ1070" s="450"/>
      <c r="AR1070" s="450"/>
      <c r="AS1070" s="450"/>
      <c r="AT1070" s="450"/>
      <c r="AU1070" s="450"/>
      <c r="AV1070" s="450"/>
      <c r="AW1070" s="450"/>
      <c r="AX1070" s="450"/>
      <c r="AY1070" s="450"/>
      <c r="AZ1070" s="450"/>
      <c r="BA1070" s="450"/>
      <c r="BB1070" s="450"/>
      <c r="BC1070" s="450"/>
      <c r="BD1070" s="450"/>
      <c r="BE1070" s="450"/>
      <c r="BF1070" s="450"/>
      <c r="BG1070" s="450"/>
      <c r="BH1070" s="450"/>
      <c r="BI1070" s="450"/>
      <c r="BJ1070" s="450"/>
      <c r="BK1070" s="450"/>
      <c r="BL1070" s="450"/>
      <c r="BM1070" s="450"/>
    </row>
    <row r="1071" spans="1:65" ht="11.15">
      <c r="A1071" s="450"/>
      <c r="B1071" s="450"/>
      <c r="C1071" s="450"/>
      <c r="D1071" s="450"/>
      <c r="E1071" s="450"/>
      <c r="F1071" s="450"/>
      <c r="G1071" s="450"/>
      <c r="H1071" s="450"/>
      <c r="I1071" s="450"/>
      <c r="J1071" s="450"/>
      <c r="K1071" s="450"/>
      <c r="L1071" s="450"/>
      <c r="M1071" s="450"/>
      <c r="N1071" s="450"/>
      <c r="O1071" s="450"/>
      <c r="P1071" s="450"/>
      <c r="Q1071" s="450"/>
      <c r="R1071" s="450"/>
      <c r="S1071" s="450"/>
      <c r="T1071" s="450"/>
      <c r="U1071" s="450"/>
      <c r="V1071" s="450"/>
      <c r="W1071" s="450"/>
      <c r="X1071" s="450"/>
      <c r="Y1071" s="450"/>
      <c r="Z1071" s="450"/>
      <c r="AA1071" s="450"/>
      <c r="AB1071" s="450"/>
      <c r="AC1071" s="450"/>
      <c r="AD1071" s="450"/>
      <c r="AE1071" s="450"/>
      <c r="AF1071" s="450"/>
      <c r="AG1071" s="450"/>
      <c r="AH1071" s="450"/>
      <c r="AI1071" s="450"/>
      <c r="AJ1071" s="450"/>
      <c r="AK1071" s="450"/>
      <c r="AL1071" s="450"/>
      <c r="AM1071" s="450"/>
      <c r="AN1071" s="450"/>
      <c r="AO1071" s="450"/>
      <c r="AP1071" s="450"/>
      <c r="AQ1071" s="450"/>
      <c r="AR1071" s="450"/>
      <c r="AS1071" s="450"/>
      <c r="AT1071" s="450"/>
      <c r="AU1071" s="450"/>
      <c r="AV1071" s="450"/>
      <c r="AW1071" s="450"/>
      <c r="AX1071" s="450"/>
      <c r="AY1071" s="450"/>
      <c r="AZ1071" s="450"/>
      <c r="BA1071" s="450"/>
      <c r="BB1071" s="450"/>
      <c r="BC1071" s="450"/>
      <c r="BD1071" s="450"/>
      <c r="BE1071" s="450"/>
      <c r="BF1071" s="450"/>
      <c r="BG1071" s="450"/>
      <c r="BH1071" s="450"/>
      <c r="BI1071" s="450"/>
      <c r="BJ1071" s="450"/>
      <c r="BK1071" s="450"/>
      <c r="BL1071" s="450"/>
      <c r="BM1071" s="450"/>
    </row>
    <row r="1072" spans="1:65" ht="11.15">
      <c r="A1072" s="450"/>
      <c r="B1072" s="450"/>
      <c r="C1072" s="450"/>
      <c r="D1072" s="450"/>
      <c r="E1072" s="450"/>
      <c r="F1072" s="450"/>
      <c r="G1072" s="450"/>
      <c r="H1072" s="450"/>
      <c r="I1072" s="450"/>
      <c r="J1072" s="450"/>
      <c r="K1072" s="450"/>
      <c r="L1072" s="450"/>
      <c r="M1072" s="450"/>
      <c r="N1072" s="450"/>
      <c r="O1072" s="450"/>
      <c r="P1072" s="450"/>
      <c r="Q1072" s="450"/>
      <c r="R1072" s="450"/>
      <c r="S1072" s="450"/>
      <c r="T1072" s="450"/>
      <c r="U1072" s="450"/>
      <c r="V1072" s="450"/>
      <c r="W1072" s="450"/>
      <c r="X1072" s="450"/>
      <c r="Y1072" s="450"/>
      <c r="Z1072" s="450"/>
      <c r="AA1072" s="450"/>
      <c r="AB1072" s="450"/>
      <c r="AC1072" s="450"/>
      <c r="AD1072" s="450"/>
      <c r="AE1072" s="450"/>
      <c r="AF1072" s="450"/>
      <c r="AG1072" s="450"/>
      <c r="AH1072" s="450"/>
      <c r="AI1072" s="450"/>
      <c r="AJ1072" s="450"/>
      <c r="AK1072" s="450"/>
      <c r="AL1072" s="450"/>
      <c r="AM1072" s="450"/>
      <c r="AN1072" s="450"/>
      <c r="AO1072" s="450"/>
      <c r="AP1072" s="450"/>
      <c r="AQ1072" s="450"/>
      <c r="AR1072" s="450"/>
      <c r="AS1072" s="450"/>
      <c r="AT1072" s="450"/>
      <c r="AU1072" s="450"/>
      <c r="AV1072" s="450"/>
      <c r="AW1072" s="450"/>
      <c r="AX1072" s="450"/>
      <c r="AY1072" s="450"/>
      <c r="AZ1072" s="450"/>
      <c r="BA1072" s="450"/>
      <c r="BB1072" s="450"/>
      <c r="BC1072" s="450"/>
      <c r="BD1072" s="450"/>
      <c r="BE1072" s="450"/>
      <c r="BF1072" s="450"/>
      <c r="BG1072" s="450"/>
      <c r="BH1072" s="450"/>
      <c r="BI1072" s="450"/>
      <c r="BJ1072" s="450"/>
      <c r="BK1072" s="450"/>
      <c r="BL1072" s="450"/>
      <c r="BM1072" s="450"/>
    </row>
    <row r="1073" spans="1:65" ht="11.15">
      <c r="A1073" s="450"/>
      <c r="B1073" s="450"/>
      <c r="C1073" s="450"/>
      <c r="D1073" s="450"/>
      <c r="E1073" s="450"/>
      <c r="F1073" s="450"/>
      <c r="G1073" s="450"/>
      <c r="H1073" s="450"/>
      <c r="I1073" s="450"/>
      <c r="J1073" s="450"/>
      <c r="K1073" s="450"/>
      <c r="L1073" s="450"/>
      <c r="M1073" s="450"/>
      <c r="N1073" s="450"/>
      <c r="O1073" s="450"/>
      <c r="P1073" s="450"/>
      <c r="Q1073" s="450"/>
      <c r="R1073" s="450"/>
      <c r="S1073" s="450"/>
      <c r="T1073" s="450"/>
      <c r="U1073" s="450"/>
      <c r="V1073" s="450"/>
      <c r="W1073" s="450"/>
      <c r="X1073" s="450"/>
      <c r="Y1073" s="450"/>
      <c r="Z1073" s="450"/>
      <c r="AA1073" s="450"/>
      <c r="AB1073" s="450"/>
      <c r="AC1073" s="450"/>
      <c r="AD1073" s="450"/>
      <c r="AE1073" s="450"/>
      <c r="AF1073" s="450"/>
      <c r="AG1073" s="450"/>
      <c r="AH1073" s="450"/>
      <c r="AI1073" s="450"/>
      <c r="AJ1073" s="450"/>
      <c r="AK1073" s="450"/>
      <c r="AL1073" s="450"/>
      <c r="AM1073" s="450"/>
      <c r="AN1073" s="450"/>
      <c r="AO1073" s="450"/>
      <c r="AP1073" s="450"/>
      <c r="AQ1073" s="450"/>
      <c r="AR1073" s="450"/>
      <c r="AS1073" s="450"/>
      <c r="AT1073" s="450"/>
      <c r="AU1073" s="450"/>
      <c r="AV1073" s="450"/>
      <c r="AW1073" s="450"/>
      <c r="AX1073" s="450"/>
      <c r="AY1073" s="450"/>
      <c r="AZ1073" s="450"/>
      <c r="BA1073" s="450"/>
      <c r="BB1073" s="450"/>
      <c r="BC1073" s="450"/>
      <c r="BD1073" s="450"/>
      <c r="BE1073" s="450"/>
      <c r="BF1073" s="450"/>
      <c r="BG1073" s="450"/>
      <c r="BH1073" s="450"/>
      <c r="BI1073" s="450"/>
      <c r="BJ1073" s="450"/>
      <c r="BK1073" s="450"/>
      <c r="BL1073" s="450"/>
      <c r="BM1073" s="450"/>
    </row>
    <row r="1074" spans="1:65" ht="11.15">
      <c r="A1074" s="450"/>
      <c r="B1074" s="450"/>
      <c r="C1074" s="450"/>
      <c r="D1074" s="450"/>
      <c r="E1074" s="450"/>
      <c r="F1074" s="450"/>
      <c r="G1074" s="450"/>
      <c r="H1074" s="450"/>
      <c r="I1074" s="450"/>
      <c r="J1074" s="450"/>
      <c r="K1074" s="450"/>
      <c r="L1074" s="450"/>
      <c r="M1074" s="450"/>
      <c r="N1074" s="450"/>
      <c r="O1074" s="450"/>
      <c r="P1074" s="450"/>
      <c r="Q1074" s="450"/>
      <c r="R1074" s="450"/>
      <c r="S1074" s="450"/>
      <c r="T1074" s="450"/>
      <c r="U1074" s="450"/>
      <c r="V1074" s="450"/>
      <c r="W1074" s="450"/>
      <c r="X1074" s="450"/>
      <c r="Y1074" s="450"/>
      <c r="Z1074" s="450"/>
      <c r="AA1074" s="450"/>
      <c r="AB1074" s="450"/>
      <c r="AC1074" s="450"/>
      <c r="AD1074" s="450"/>
      <c r="AE1074" s="450"/>
      <c r="AF1074" s="450"/>
      <c r="AG1074" s="450"/>
      <c r="AH1074" s="450"/>
      <c r="AI1074" s="450"/>
      <c r="AJ1074" s="450"/>
      <c r="AK1074" s="450"/>
      <c r="AL1074" s="450"/>
      <c r="AM1074" s="450"/>
      <c r="AN1074" s="450"/>
      <c r="AO1074" s="450"/>
      <c r="AP1074" s="450"/>
      <c r="AQ1074" s="450"/>
      <c r="AR1074" s="450"/>
      <c r="AS1074" s="450"/>
      <c r="AT1074" s="450"/>
      <c r="AU1074" s="450"/>
      <c r="AV1074" s="450"/>
      <c r="AW1074" s="450"/>
      <c r="AX1074" s="450"/>
      <c r="AY1074" s="450"/>
      <c r="AZ1074" s="450"/>
      <c r="BA1074" s="450"/>
      <c r="BB1074" s="450"/>
      <c r="BC1074" s="450"/>
      <c r="BD1074" s="450"/>
      <c r="BE1074" s="450"/>
      <c r="BF1074" s="450"/>
      <c r="BG1074" s="450"/>
      <c r="BH1074" s="450"/>
      <c r="BI1074" s="450"/>
      <c r="BJ1074" s="450"/>
      <c r="BK1074" s="450"/>
      <c r="BL1074" s="450"/>
      <c r="BM1074" s="450"/>
    </row>
    <row r="1075" spans="1:65" ht="11.15">
      <c r="A1075" s="450"/>
      <c r="B1075" s="450"/>
      <c r="C1075" s="450"/>
      <c r="D1075" s="450"/>
      <c r="E1075" s="450"/>
      <c r="F1075" s="450"/>
      <c r="G1075" s="450"/>
      <c r="H1075" s="450"/>
      <c r="I1075" s="450"/>
      <c r="J1075" s="450"/>
      <c r="K1075" s="450"/>
      <c r="L1075" s="450"/>
      <c r="M1075" s="450"/>
      <c r="N1075" s="450"/>
      <c r="O1075" s="450"/>
      <c r="P1075" s="450"/>
      <c r="Q1075" s="450"/>
      <c r="R1075" s="450"/>
      <c r="S1075" s="450"/>
      <c r="T1075" s="450"/>
      <c r="U1075" s="450"/>
      <c r="V1075" s="450"/>
      <c r="W1075" s="450"/>
      <c r="X1075" s="450"/>
      <c r="Y1075" s="450"/>
      <c r="Z1075" s="450"/>
      <c r="AA1075" s="450"/>
      <c r="AB1075" s="450"/>
      <c r="AC1075" s="450"/>
      <c r="AD1075" s="450"/>
      <c r="AE1075" s="450"/>
      <c r="AF1075" s="450"/>
      <c r="AG1075" s="450"/>
      <c r="AH1075" s="450"/>
      <c r="AI1075" s="450"/>
      <c r="AJ1075" s="450"/>
      <c r="AK1075" s="450"/>
      <c r="AL1075" s="450"/>
      <c r="AM1075" s="450"/>
      <c r="AN1075" s="450"/>
      <c r="AO1075" s="450"/>
      <c r="AP1075" s="450"/>
      <c r="AQ1075" s="450"/>
      <c r="AR1075" s="450"/>
      <c r="AS1075" s="450"/>
      <c r="AT1075" s="450"/>
      <c r="AU1075" s="450"/>
      <c r="AV1075" s="450"/>
      <c r="AW1075" s="450"/>
      <c r="AX1075" s="450"/>
      <c r="AY1075" s="450"/>
      <c r="AZ1075" s="450"/>
      <c r="BA1075" s="450"/>
      <c r="BB1075" s="450"/>
      <c r="BC1075" s="450"/>
      <c r="BD1075" s="450"/>
      <c r="BE1075" s="450"/>
      <c r="BF1075" s="450"/>
      <c r="BG1075" s="450"/>
      <c r="BH1075" s="450"/>
      <c r="BI1075" s="450"/>
      <c r="BJ1075" s="450"/>
      <c r="BK1075" s="450"/>
      <c r="BL1075" s="450"/>
      <c r="BM1075" s="450"/>
    </row>
    <row r="1076" spans="1:65" ht="11.15">
      <c r="A1076" s="450"/>
      <c r="B1076" s="450"/>
      <c r="C1076" s="450"/>
      <c r="D1076" s="450"/>
      <c r="E1076" s="450"/>
      <c r="F1076" s="450"/>
      <c r="G1076" s="450"/>
      <c r="H1076" s="450"/>
      <c r="I1076" s="450"/>
      <c r="J1076" s="450"/>
      <c r="K1076" s="450"/>
      <c r="L1076" s="450"/>
      <c r="M1076" s="450"/>
      <c r="N1076" s="450"/>
      <c r="O1076" s="450"/>
      <c r="P1076" s="450"/>
      <c r="Q1076" s="450"/>
      <c r="R1076" s="450"/>
      <c r="S1076" s="450"/>
      <c r="T1076" s="450"/>
      <c r="U1076" s="450"/>
      <c r="V1076" s="450"/>
      <c r="W1076" s="450"/>
      <c r="X1076" s="450"/>
      <c r="Y1076" s="450"/>
      <c r="Z1076" s="450"/>
      <c r="AA1076" s="450"/>
      <c r="AB1076" s="450"/>
      <c r="AC1076" s="450"/>
      <c r="AD1076" s="450"/>
      <c r="AE1076" s="450"/>
      <c r="AF1076" s="450"/>
      <c r="AG1076" s="450"/>
      <c r="AH1076" s="450"/>
      <c r="AI1076" s="450"/>
      <c r="AJ1076" s="450"/>
      <c r="AK1076" s="450"/>
      <c r="AL1076" s="450"/>
      <c r="AM1076" s="450"/>
      <c r="AN1076" s="450"/>
      <c r="AO1076" s="450"/>
      <c r="AP1076" s="450"/>
      <c r="AQ1076" s="450"/>
      <c r="AR1076" s="450"/>
      <c r="AS1076" s="450"/>
      <c r="AT1076" s="450"/>
      <c r="AU1076" s="450"/>
      <c r="AV1076" s="450"/>
      <c r="AW1076" s="450"/>
      <c r="AX1076" s="450"/>
      <c r="AY1076" s="450"/>
      <c r="AZ1076" s="450"/>
      <c r="BA1076" s="450"/>
      <c r="BB1076" s="450"/>
      <c r="BC1076" s="450"/>
      <c r="BD1076" s="450"/>
      <c r="BE1076" s="450"/>
      <c r="BF1076" s="450"/>
      <c r="BG1076" s="450"/>
      <c r="BH1076" s="450"/>
      <c r="BI1076" s="450"/>
      <c r="BJ1076" s="450"/>
      <c r="BK1076" s="450"/>
      <c r="BL1076" s="450"/>
      <c r="BM1076" s="450"/>
    </row>
    <row r="1077" spans="1:65" ht="11.15">
      <c r="A1077" s="450"/>
      <c r="B1077" s="450"/>
      <c r="C1077" s="450"/>
      <c r="D1077" s="450"/>
      <c r="E1077" s="450"/>
      <c r="F1077" s="450"/>
      <c r="G1077" s="450"/>
      <c r="H1077" s="450"/>
      <c r="I1077" s="450"/>
      <c r="J1077" s="450"/>
      <c r="K1077" s="450"/>
      <c r="L1077" s="450"/>
      <c r="M1077" s="450"/>
      <c r="N1077" s="450"/>
      <c r="O1077" s="450"/>
      <c r="P1077" s="450"/>
      <c r="Q1077" s="450"/>
      <c r="R1077" s="450"/>
      <c r="S1077" s="450"/>
      <c r="T1077" s="450"/>
      <c r="U1077" s="450"/>
      <c r="V1077" s="450"/>
      <c r="W1077" s="450"/>
      <c r="X1077" s="450"/>
      <c r="Y1077" s="450"/>
      <c r="Z1077" s="450"/>
      <c r="AA1077" s="450"/>
      <c r="AB1077" s="450"/>
      <c r="AC1077" s="450"/>
      <c r="AD1077" s="450"/>
      <c r="AE1077" s="450"/>
      <c r="AF1077" s="450"/>
      <c r="AG1077" s="450"/>
      <c r="AH1077" s="450"/>
      <c r="AI1077" s="450"/>
      <c r="AJ1077" s="450"/>
      <c r="AK1077" s="450"/>
      <c r="AL1077" s="450"/>
      <c r="AM1077" s="450"/>
      <c r="AN1077" s="450"/>
      <c r="AO1077" s="450"/>
      <c r="AP1077" s="450"/>
      <c r="AQ1077" s="450"/>
      <c r="AR1077" s="450"/>
      <c r="AS1077" s="450"/>
      <c r="AT1077" s="450"/>
      <c r="AU1077" s="450"/>
      <c r="AV1077" s="450"/>
      <c r="AW1077" s="450"/>
      <c r="AX1077" s="450"/>
      <c r="AY1077" s="450"/>
      <c r="AZ1077" s="450"/>
      <c r="BA1077" s="450"/>
      <c r="BB1077" s="450"/>
      <c r="BC1077" s="450"/>
      <c r="BD1077" s="450"/>
      <c r="BE1077" s="450"/>
      <c r="BF1077" s="450"/>
      <c r="BG1077" s="450"/>
      <c r="BH1077" s="450"/>
      <c r="BI1077" s="450"/>
      <c r="BJ1077" s="450"/>
      <c r="BK1077" s="450"/>
      <c r="BL1077" s="450"/>
      <c r="BM1077" s="450"/>
    </row>
    <row r="1078" spans="1:65" ht="11.15">
      <c r="A1078" s="450"/>
      <c r="B1078" s="450"/>
      <c r="C1078" s="450"/>
      <c r="D1078" s="450"/>
      <c r="E1078" s="450"/>
      <c r="F1078" s="450"/>
      <c r="G1078" s="450"/>
      <c r="H1078" s="450"/>
      <c r="I1078" s="450"/>
      <c r="J1078" s="450"/>
      <c r="K1078" s="450"/>
      <c r="L1078" s="450"/>
      <c r="M1078" s="450"/>
      <c r="N1078" s="450"/>
      <c r="O1078" s="450"/>
      <c r="P1078" s="450"/>
      <c r="Q1078" s="450"/>
      <c r="R1078" s="450"/>
      <c r="S1078" s="450"/>
      <c r="T1078" s="450"/>
      <c r="U1078" s="450"/>
      <c r="V1078" s="450"/>
      <c r="W1078" s="450"/>
      <c r="X1078" s="450"/>
      <c r="Y1078" s="450"/>
      <c r="Z1078" s="450"/>
      <c r="AA1078" s="450"/>
      <c r="AB1078" s="450"/>
      <c r="AC1078" s="450"/>
      <c r="AD1078" s="450"/>
      <c r="AE1078" s="450"/>
      <c r="AF1078" s="450"/>
      <c r="AG1078" s="450"/>
      <c r="AH1078" s="450"/>
      <c r="AI1078" s="450"/>
      <c r="AJ1078" s="450"/>
      <c r="AK1078" s="450"/>
      <c r="AL1078" s="450"/>
      <c r="AM1078" s="450"/>
      <c r="AN1078" s="450"/>
      <c r="AO1078" s="450"/>
      <c r="AP1078" s="450"/>
      <c r="AQ1078" s="450"/>
      <c r="AR1078" s="450"/>
      <c r="AS1078" s="450"/>
      <c r="AT1078" s="450"/>
      <c r="AU1078" s="450"/>
      <c r="AV1078" s="450"/>
      <c r="AW1078" s="450"/>
      <c r="AX1078" s="450"/>
      <c r="AY1078" s="450"/>
      <c r="AZ1078" s="450"/>
      <c r="BA1078" s="450"/>
      <c r="BB1078" s="450"/>
      <c r="BC1078" s="450"/>
      <c r="BD1078" s="450"/>
      <c r="BE1078" s="450"/>
      <c r="BF1078" s="450"/>
      <c r="BG1078" s="450"/>
      <c r="BH1078" s="450"/>
      <c r="BI1078" s="450"/>
      <c r="BJ1078" s="450"/>
      <c r="BK1078" s="450"/>
      <c r="BL1078" s="450"/>
      <c r="BM1078" s="450"/>
    </row>
    <row r="1079" spans="1:65" ht="11.15">
      <c r="A1079" s="450"/>
      <c r="B1079" s="450"/>
      <c r="C1079" s="450"/>
      <c r="D1079" s="450"/>
      <c r="E1079" s="450"/>
      <c r="F1079" s="450"/>
      <c r="G1079" s="450"/>
      <c r="H1079" s="450"/>
      <c r="I1079" s="450"/>
      <c r="J1079" s="450"/>
      <c r="K1079" s="450"/>
      <c r="L1079" s="450"/>
      <c r="M1079" s="450"/>
      <c r="N1079" s="450"/>
      <c r="O1079" s="450"/>
      <c r="P1079" s="450"/>
      <c r="Q1079" s="450"/>
      <c r="R1079" s="450"/>
      <c r="S1079" s="450"/>
      <c r="T1079" s="450"/>
      <c r="U1079" s="450"/>
      <c r="V1079" s="450"/>
      <c r="W1079" s="450"/>
      <c r="X1079" s="450"/>
      <c r="Y1079" s="450"/>
      <c r="Z1079" s="450"/>
      <c r="AA1079" s="450"/>
      <c r="AB1079" s="450"/>
      <c r="AC1079" s="450"/>
      <c r="AD1079" s="450"/>
      <c r="AE1079" s="450"/>
      <c r="AF1079" s="450"/>
      <c r="AG1079" s="450"/>
      <c r="AH1079" s="450"/>
      <c r="AI1079" s="450"/>
      <c r="AJ1079" s="450"/>
      <c r="AK1079" s="450"/>
      <c r="AL1079" s="450"/>
      <c r="AM1079" s="450"/>
      <c r="AN1079" s="450"/>
      <c r="AO1079" s="450"/>
      <c r="AP1079" s="450"/>
      <c r="AQ1079" s="450"/>
      <c r="AR1079" s="450"/>
      <c r="AS1079" s="450"/>
      <c r="AT1079" s="450"/>
      <c r="AU1079" s="450"/>
      <c r="AV1079" s="450"/>
      <c r="AW1079" s="450"/>
      <c r="AX1079" s="450"/>
      <c r="AY1079" s="450"/>
      <c r="AZ1079" s="450"/>
      <c r="BA1079" s="450"/>
      <c r="BB1079" s="450"/>
      <c r="BC1079" s="450"/>
      <c r="BD1079" s="450"/>
      <c r="BE1079" s="450"/>
      <c r="BF1079" s="450"/>
      <c r="BG1079" s="450"/>
      <c r="BH1079" s="450"/>
      <c r="BI1079" s="450"/>
      <c r="BJ1079" s="450"/>
      <c r="BK1079" s="450"/>
      <c r="BL1079" s="450"/>
      <c r="BM1079" s="450"/>
    </row>
    <row r="1080" spans="1:65" ht="11.15">
      <c r="A1080" s="450"/>
      <c r="B1080" s="450"/>
      <c r="C1080" s="450"/>
      <c r="D1080" s="450"/>
      <c r="E1080" s="450"/>
      <c r="F1080" s="450"/>
      <c r="G1080" s="450"/>
      <c r="H1080" s="450"/>
      <c r="I1080" s="450"/>
      <c r="J1080" s="450"/>
      <c r="K1080" s="450"/>
      <c r="L1080" s="450"/>
      <c r="M1080" s="450"/>
      <c r="N1080" s="450"/>
      <c r="O1080" s="450"/>
      <c r="P1080" s="450"/>
      <c r="Q1080" s="450"/>
      <c r="R1080" s="450"/>
      <c r="S1080" s="450"/>
      <c r="T1080" s="450"/>
      <c r="U1080" s="450"/>
      <c r="V1080" s="450"/>
      <c r="W1080" s="450"/>
      <c r="X1080" s="450"/>
      <c r="Y1080" s="450"/>
      <c r="Z1080" s="450"/>
      <c r="AA1080" s="450"/>
      <c r="AB1080" s="450"/>
      <c r="AC1080" s="450"/>
      <c r="AD1080" s="450"/>
      <c r="AE1080" s="450"/>
      <c r="AF1080" s="450"/>
      <c r="AG1080" s="450"/>
      <c r="AH1080" s="450"/>
      <c r="AI1080" s="450"/>
      <c r="AJ1080" s="450"/>
      <c r="AK1080" s="450"/>
      <c r="AL1080" s="450"/>
      <c r="AM1080" s="450"/>
      <c r="AN1080" s="450"/>
      <c r="AO1080" s="450"/>
      <c r="AP1080" s="450"/>
      <c r="AQ1080" s="450"/>
      <c r="AR1080" s="450"/>
      <c r="AS1080" s="450"/>
      <c r="AT1080" s="450"/>
      <c r="AU1080" s="450"/>
      <c r="AV1080" s="450"/>
      <c r="AW1080" s="450"/>
      <c r="AX1080" s="450"/>
      <c r="AY1080" s="450"/>
      <c r="AZ1080" s="450"/>
      <c r="BA1080" s="450"/>
      <c r="BB1080" s="450"/>
      <c r="BC1080" s="450"/>
      <c r="BD1080" s="450"/>
      <c r="BE1080" s="450"/>
      <c r="BF1080" s="450"/>
      <c r="BG1080" s="450"/>
      <c r="BH1080" s="450"/>
      <c r="BI1080" s="450"/>
      <c r="BJ1080" s="450"/>
      <c r="BK1080" s="450"/>
      <c r="BL1080" s="450"/>
      <c r="BM1080" s="450"/>
    </row>
    <row r="1081" spans="1:65" ht="11.15">
      <c r="A1081" s="450"/>
      <c r="B1081" s="450"/>
      <c r="C1081" s="450"/>
      <c r="D1081" s="450"/>
      <c r="E1081" s="450"/>
      <c r="F1081" s="450"/>
      <c r="G1081" s="450"/>
      <c r="H1081" s="450"/>
      <c r="I1081" s="450"/>
      <c r="J1081" s="450"/>
      <c r="K1081" s="450"/>
      <c r="L1081" s="450"/>
      <c r="M1081" s="450"/>
      <c r="N1081" s="450"/>
      <c r="O1081" s="450"/>
      <c r="P1081" s="450"/>
      <c r="Q1081" s="450"/>
      <c r="R1081" s="450"/>
      <c r="S1081" s="450"/>
      <c r="T1081" s="450"/>
      <c r="U1081" s="450"/>
      <c r="V1081" s="450"/>
      <c r="W1081" s="450"/>
      <c r="X1081" s="450"/>
      <c r="Y1081" s="450"/>
      <c r="Z1081" s="450"/>
      <c r="AA1081" s="450"/>
      <c r="AB1081" s="450"/>
      <c r="AC1081" s="450"/>
      <c r="AD1081" s="450"/>
      <c r="AE1081" s="450"/>
      <c r="AF1081" s="450"/>
      <c r="AG1081" s="450"/>
      <c r="AH1081" s="450"/>
      <c r="AI1081" s="450"/>
      <c r="AJ1081" s="450"/>
      <c r="AK1081" s="450"/>
      <c r="AL1081" s="450"/>
      <c r="AM1081" s="450"/>
      <c r="AN1081" s="450"/>
      <c r="AO1081" s="450"/>
      <c r="AP1081" s="450"/>
      <c r="AQ1081" s="450"/>
      <c r="AR1081" s="450"/>
      <c r="AS1081" s="450"/>
      <c r="AT1081" s="450"/>
      <c r="AU1081" s="450"/>
      <c r="AV1081" s="450"/>
      <c r="AW1081" s="450"/>
      <c r="AX1081" s="450"/>
      <c r="AY1081" s="450"/>
      <c r="AZ1081" s="450"/>
      <c r="BA1081" s="450"/>
      <c r="BB1081" s="450"/>
      <c r="BC1081" s="450"/>
      <c r="BD1081" s="450"/>
      <c r="BE1081" s="450"/>
      <c r="BF1081" s="450"/>
      <c r="BG1081" s="450"/>
      <c r="BH1081" s="450"/>
      <c r="BI1081" s="450"/>
      <c r="BJ1081" s="450"/>
      <c r="BK1081" s="450"/>
      <c r="BL1081" s="450"/>
      <c r="BM1081" s="450"/>
    </row>
    <row r="1082" spans="1:65" ht="11.15">
      <c r="A1082" s="450"/>
      <c r="B1082" s="450"/>
      <c r="C1082" s="450"/>
      <c r="D1082" s="450"/>
      <c r="E1082" s="450"/>
      <c r="F1082" s="450"/>
      <c r="G1082" s="450"/>
      <c r="H1082" s="450"/>
      <c r="I1082" s="450"/>
      <c r="J1082" s="450"/>
      <c r="K1082" s="450"/>
      <c r="L1082" s="450"/>
      <c r="M1082" s="450"/>
      <c r="N1082" s="450"/>
      <c r="O1082" s="450"/>
      <c r="P1082" s="450"/>
      <c r="Q1082" s="450"/>
      <c r="R1082" s="450"/>
      <c r="S1082" s="450"/>
      <c r="T1082" s="450"/>
      <c r="U1082" s="450"/>
      <c r="V1082" s="450"/>
      <c r="W1082" s="450"/>
      <c r="X1082" s="450"/>
      <c r="Y1082" s="450"/>
      <c r="Z1082" s="450"/>
      <c r="AA1082" s="450"/>
      <c r="AB1082" s="450"/>
      <c r="AC1082" s="450"/>
      <c r="AD1082" s="450"/>
      <c r="AE1082" s="450"/>
      <c r="AF1082" s="450"/>
      <c r="AG1082" s="450"/>
      <c r="AH1082" s="450"/>
      <c r="AI1082" s="450"/>
      <c r="AJ1082" s="450"/>
      <c r="AK1082" s="450"/>
      <c r="AL1082" s="450"/>
      <c r="AM1082" s="450"/>
      <c r="AN1082" s="450"/>
      <c r="AO1082" s="450"/>
      <c r="AP1082" s="450"/>
      <c r="AQ1082" s="450"/>
      <c r="AR1082" s="450"/>
      <c r="AS1082" s="450"/>
      <c r="AT1082" s="450"/>
      <c r="AU1082" s="450"/>
      <c r="AV1082" s="450"/>
      <c r="AW1082" s="450"/>
      <c r="AX1082" s="450"/>
      <c r="AY1082" s="450"/>
      <c r="AZ1082" s="450"/>
      <c r="BA1082" s="450"/>
      <c r="BB1082" s="450"/>
      <c r="BC1082" s="450"/>
      <c r="BD1082" s="450"/>
      <c r="BE1082" s="450"/>
      <c r="BF1082" s="450"/>
      <c r="BG1082" s="450"/>
      <c r="BH1082" s="450"/>
      <c r="BI1082" s="450"/>
      <c r="BJ1082" s="450"/>
      <c r="BK1082" s="450"/>
      <c r="BL1082" s="450"/>
      <c r="BM1082" s="450"/>
    </row>
    <row r="1083" spans="1:65" ht="11.15">
      <c r="A1083" s="450"/>
      <c r="B1083" s="450"/>
      <c r="C1083" s="450"/>
      <c r="D1083" s="450"/>
      <c r="E1083" s="450"/>
      <c r="F1083" s="450"/>
      <c r="G1083" s="450"/>
      <c r="H1083" s="450"/>
      <c r="I1083" s="450"/>
      <c r="J1083" s="450"/>
      <c r="K1083" s="450"/>
      <c r="L1083" s="450"/>
      <c r="M1083" s="450"/>
      <c r="N1083" s="450"/>
      <c r="O1083" s="450"/>
      <c r="P1083" s="450"/>
      <c r="Q1083" s="450"/>
      <c r="R1083" s="450"/>
      <c r="S1083" s="450"/>
      <c r="T1083" s="450"/>
      <c r="U1083" s="450"/>
      <c r="V1083" s="450"/>
      <c r="W1083" s="450"/>
      <c r="X1083" s="450"/>
      <c r="Y1083" s="450"/>
      <c r="Z1083" s="450"/>
      <c r="AA1083" s="450"/>
      <c r="AB1083" s="450"/>
      <c r="AC1083" s="450"/>
      <c r="AD1083" s="450"/>
      <c r="AE1083" s="450"/>
      <c r="AF1083" s="450"/>
      <c r="AG1083" s="450"/>
      <c r="AH1083" s="450"/>
      <c r="AI1083" s="450"/>
      <c r="AJ1083" s="450"/>
      <c r="AK1083" s="450"/>
      <c r="AL1083" s="450"/>
      <c r="AM1083" s="450"/>
      <c r="AN1083" s="450"/>
      <c r="AO1083" s="450"/>
      <c r="AP1083" s="450"/>
      <c r="AQ1083" s="450"/>
      <c r="AR1083" s="450"/>
      <c r="AS1083" s="450"/>
      <c r="AT1083" s="450"/>
      <c r="AU1083" s="450"/>
      <c r="AV1083" s="450"/>
      <c r="AW1083" s="450"/>
      <c r="AX1083" s="450"/>
      <c r="AY1083" s="450"/>
      <c r="AZ1083" s="450"/>
      <c r="BA1083" s="450"/>
      <c r="BB1083" s="450"/>
      <c r="BC1083" s="450"/>
      <c r="BD1083" s="450"/>
      <c r="BE1083" s="450"/>
      <c r="BF1083" s="450"/>
      <c r="BG1083" s="450"/>
      <c r="BH1083" s="450"/>
      <c r="BI1083" s="450"/>
      <c r="BJ1083" s="450"/>
      <c r="BK1083" s="450"/>
      <c r="BL1083" s="450"/>
      <c r="BM1083" s="450"/>
    </row>
    <row r="1084" spans="1:65" ht="11.15">
      <c r="A1084" s="450"/>
      <c r="B1084" s="450"/>
      <c r="C1084" s="450"/>
      <c r="D1084" s="450"/>
      <c r="E1084" s="450"/>
      <c r="F1084" s="450"/>
      <c r="G1084" s="450"/>
      <c r="H1084" s="450"/>
      <c r="I1084" s="450"/>
      <c r="J1084" s="450"/>
      <c r="K1084" s="450"/>
      <c r="L1084" s="450"/>
      <c r="M1084" s="450"/>
      <c r="N1084" s="450"/>
      <c r="O1084" s="450"/>
      <c r="P1084" s="450"/>
      <c r="Q1084" s="450"/>
      <c r="R1084" s="450"/>
      <c r="S1084" s="450"/>
      <c r="T1084" s="450"/>
      <c r="U1084" s="450"/>
      <c r="V1084" s="450"/>
      <c r="W1084" s="450"/>
      <c r="X1084" s="450"/>
      <c r="Y1084" s="450"/>
      <c r="Z1084" s="450"/>
      <c r="AA1084" s="450"/>
      <c r="AB1084" s="450"/>
      <c r="AC1084" s="450"/>
      <c r="AD1084" s="450"/>
      <c r="AE1084" s="450"/>
      <c r="AF1084" s="450"/>
      <c r="AG1084" s="450"/>
      <c r="AH1084" s="450"/>
      <c r="AI1084" s="450"/>
      <c r="AJ1084" s="450"/>
      <c r="AK1084" s="450"/>
      <c r="AL1084" s="450"/>
      <c r="AM1084" s="450"/>
      <c r="AN1084" s="450"/>
      <c r="AO1084" s="450"/>
      <c r="AP1084" s="450"/>
      <c r="AQ1084" s="450"/>
      <c r="AR1084" s="450"/>
      <c r="AS1084" s="450"/>
      <c r="AT1084" s="450"/>
      <c r="AU1084" s="450"/>
      <c r="AV1084" s="450"/>
      <c r="AW1084" s="450"/>
      <c r="AX1084" s="450"/>
      <c r="AY1084" s="450"/>
      <c r="AZ1084" s="450"/>
      <c r="BA1084" s="450"/>
      <c r="BB1084" s="450"/>
      <c r="BC1084" s="450"/>
      <c r="BD1084" s="450"/>
      <c r="BE1084" s="450"/>
      <c r="BF1084" s="450"/>
      <c r="BG1084" s="450"/>
      <c r="BH1084" s="450"/>
      <c r="BI1084" s="450"/>
      <c r="BJ1084" s="450"/>
      <c r="BK1084" s="450"/>
      <c r="BL1084" s="450"/>
      <c r="BM1084" s="450"/>
    </row>
    <row r="1085" spans="1:65" ht="11.15">
      <c r="A1085" s="450"/>
      <c r="B1085" s="450"/>
      <c r="C1085" s="450"/>
      <c r="D1085" s="450"/>
      <c r="E1085" s="450"/>
      <c r="F1085" s="450"/>
      <c r="G1085" s="450"/>
      <c r="H1085" s="450"/>
      <c r="I1085" s="450"/>
      <c r="J1085" s="450"/>
      <c r="K1085" s="450"/>
      <c r="L1085" s="450"/>
      <c r="M1085" s="450"/>
      <c r="N1085" s="450"/>
      <c r="O1085" s="450"/>
      <c r="P1085" s="450"/>
      <c r="Q1085" s="450"/>
      <c r="R1085" s="450"/>
      <c r="S1085" s="450"/>
      <c r="T1085" s="450"/>
      <c r="U1085" s="450"/>
      <c r="V1085" s="450"/>
      <c r="W1085" s="450"/>
      <c r="X1085" s="450"/>
      <c r="Y1085" s="450"/>
      <c r="Z1085" s="450"/>
      <c r="AA1085" s="450"/>
      <c r="AB1085" s="450"/>
      <c r="AC1085" s="450"/>
      <c r="AD1085" s="450"/>
      <c r="AE1085" s="450"/>
      <c r="AF1085" s="450"/>
      <c r="AG1085" s="450"/>
      <c r="AH1085" s="450"/>
      <c r="AI1085" s="450"/>
      <c r="AJ1085" s="450"/>
      <c r="AK1085" s="450"/>
      <c r="AL1085" s="450"/>
      <c r="AM1085" s="450"/>
      <c r="AN1085" s="450"/>
      <c r="AO1085" s="450"/>
      <c r="AP1085" s="450"/>
      <c r="AQ1085" s="450"/>
      <c r="AR1085" s="450"/>
      <c r="AS1085" s="450"/>
      <c r="AT1085" s="450"/>
      <c r="AU1085" s="450"/>
      <c r="AV1085" s="450"/>
      <c r="AW1085" s="450"/>
      <c r="AX1085" s="450"/>
      <c r="AY1085" s="450"/>
      <c r="AZ1085" s="450"/>
      <c r="BA1085" s="450"/>
      <c r="BB1085" s="450"/>
      <c r="BC1085" s="450"/>
      <c r="BD1085" s="450"/>
      <c r="BE1085" s="450"/>
      <c r="BF1085" s="450"/>
      <c r="BG1085" s="450"/>
      <c r="BH1085" s="450"/>
      <c r="BI1085" s="450"/>
      <c r="BJ1085" s="450"/>
      <c r="BK1085" s="450"/>
      <c r="BL1085" s="450"/>
      <c r="BM1085" s="450"/>
    </row>
    <row r="1086" spans="1:65" ht="11.15">
      <c r="A1086" s="450"/>
      <c r="B1086" s="450"/>
      <c r="C1086" s="450"/>
      <c r="D1086" s="450"/>
      <c r="E1086" s="450"/>
      <c r="F1086" s="450"/>
      <c r="G1086" s="450"/>
      <c r="H1086" s="450"/>
      <c r="I1086" s="450"/>
      <c r="J1086" s="450"/>
      <c r="K1086" s="450"/>
      <c r="L1086" s="450"/>
      <c r="M1086" s="450"/>
      <c r="N1086" s="450"/>
      <c r="O1086" s="450"/>
      <c r="P1086" s="450"/>
      <c r="Q1086" s="450"/>
      <c r="R1086" s="450"/>
      <c r="S1086" s="450"/>
      <c r="T1086" s="450"/>
      <c r="U1086" s="450"/>
      <c r="V1086" s="450"/>
      <c r="W1086" s="450"/>
      <c r="X1086" s="450"/>
      <c r="Y1086" s="450"/>
      <c r="Z1086" s="450"/>
      <c r="AA1086" s="450"/>
      <c r="AB1086" s="450"/>
      <c r="AC1086" s="450"/>
      <c r="AD1086" s="450"/>
      <c r="AE1086" s="450"/>
      <c r="AF1086" s="450"/>
      <c r="AG1086" s="450"/>
      <c r="AH1086" s="450"/>
      <c r="AI1086" s="450"/>
      <c r="AJ1086" s="450"/>
      <c r="AK1086" s="450"/>
      <c r="AL1086" s="450"/>
      <c r="AM1086" s="450"/>
      <c r="AN1086" s="450"/>
      <c r="AO1086" s="450"/>
      <c r="AP1086" s="450"/>
      <c r="AQ1086" s="450"/>
      <c r="AR1086" s="450"/>
      <c r="AS1086" s="450"/>
      <c r="AT1086" s="450"/>
      <c r="AU1086" s="450"/>
      <c r="AV1086" s="450"/>
      <c r="AW1086" s="450"/>
      <c r="AX1086" s="450"/>
      <c r="AY1086" s="450"/>
      <c r="AZ1086" s="450"/>
      <c r="BA1086" s="450"/>
      <c r="BB1086" s="450"/>
      <c r="BC1086" s="450"/>
      <c r="BD1086" s="450"/>
      <c r="BE1086" s="450"/>
      <c r="BF1086" s="450"/>
      <c r="BG1086" s="450"/>
      <c r="BH1086" s="450"/>
      <c r="BI1086" s="450"/>
      <c r="BJ1086" s="450"/>
      <c r="BK1086" s="450"/>
      <c r="BL1086" s="450"/>
      <c r="BM1086" s="450"/>
    </row>
    <row r="1087" spans="1:65" ht="11.15">
      <c r="A1087" s="450"/>
      <c r="B1087" s="450"/>
      <c r="C1087" s="450"/>
      <c r="D1087" s="450"/>
      <c r="E1087" s="450"/>
      <c r="F1087" s="450"/>
      <c r="G1087" s="450"/>
      <c r="H1087" s="450"/>
      <c r="I1087" s="450"/>
      <c r="J1087" s="450"/>
      <c r="K1087" s="450"/>
      <c r="L1087" s="450"/>
      <c r="M1087" s="450"/>
      <c r="N1087" s="450"/>
      <c r="O1087" s="450"/>
      <c r="P1087" s="450"/>
      <c r="Q1087" s="450"/>
      <c r="R1087" s="450"/>
      <c r="S1087" s="450"/>
      <c r="T1087" s="450"/>
      <c r="U1087" s="450"/>
      <c r="V1087" s="450"/>
      <c r="W1087" s="450"/>
      <c r="X1087" s="450"/>
      <c r="Y1087" s="450"/>
      <c r="Z1087" s="450"/>
      <c r="AA1087" s="450"/>
      <c r="AB1087" s="450"/>
      <c r="AC1087" s="450"/>
      <c r="AD1087" s="450"/>
      <c r="AE1087" s="450"/>
      <c r="AF1087" s="450"/>
      <c r="AG1087" s="450"/>
      <c r="AH1087" s="450"/>
      <c r="AI1087" s="450"/>
      <c r="AJ1087" s="450"/>
      <c r="AK1087" s="450"/>
      <c r="AL1087" s="450"/>
      <c r="AM1087" s="450"/>
      <c r="AN1087" s="450"/>
      <c r="AO1087" s="450"/>
      <c r="AP1087" s="450"/>
      <c r="AQ1087" s="450"/>
      <c r="AR1087" s="450"/>
      <c r="AS1087" s="450"/>
      <c r="AT1087" s="450"/>
      <c r="AU1087" s="450"/>
      <c r="AV1087" s="450"/>
      <c r="AW1087" s="450"/>
      <c r="AX1087" s="450"/>
      <c r="AY1087" s="450"/>
      <c r="AZ1087" s="450"/>
      <c r="BA1087" s="450"/>
      <c r="BB1087" s="450"/>
      <c r="BC1087" s="450"/>
      <c r="BD1087" s="450"/>
      <c r="BE1087" s="450"/>
      <c r="BF1087" s="450"/>
      <c r="BG1087" s="450"/>
      <c r="BH1087" s="450"/>
      <c r="BI1087" s="450"/>
      <c r="BJ1087" s="450"/>
      <c r="BK1087" s="450"/>
      <c r="BL1087" s="450"/>
      <c r="BM1087" s="450"/>
    </row>
    <row r="1088" spans="1:65" ht="11.15">
      <c r="A1088" s="450"/>
      <c r="B1088" s="450"/>
      <c r="C1088" s="450"/>
      <c r="D1088" s="450"/>
      <c r="E1088" s="450"/>
      <c r="F1088" s="450"/>
      <c r="G1088" s="450"/>
      <c r="H1088" s="450"/>
      <c r="I1088" s="450"/>
      <c r="J1088" s="450"/>
      <c r="K1088" s="450"/>
      <c r="L1088" s="450"/>
      <c r="M1088" s="450"/>
      <c r="N1088" s="450"/>
      <c r="O1088" s="450"/>
      <c r="P1088" s="450"/>
      <c r="Q1088" s="450"/>
      <c r="R1088" s="450"/>
      <c r="S1088" s="450"/>
      <c r="T1088" s="450"/>
      <c r="U1088" s="450"/>
      <c r="V1088" s="450"/>
      <c r="W1088" s="450"/>
      <c r="X1088" s="450"/>
      <c r="Y1088" s="450"/>
      <c r="Z1088" s="450"/>
      <c r="AA1088" s="450"/>
      <c r="AB1088" s="450"/>
      <c r="AC1088" s="450"/>
      <c r="AD1088" s="450"/>
      <c r="AE1088" s="450"/>
      <c r="AF1088" s="450"/>
      <c r="AG1088" s="450"/>
      <c r="AH1088" s="450"/>
      <c r="AI1088" s="450"/>
      <c r="AJ1088" s="450"/>
      <c r="AK1088" s="450"/>
      <c r="AL1088" s="450"/>
      <c r="AM1088" s="450"/>
      <c r="AN1088" s="450"/>
      <c r="AO1088" s="450"/>
      <c r="AP1088" s="450"/>
      <c r="AQ1088" s="450"/>
      <c r="AR1088" s="450"/>
      <c r="AS1088" s="450"/>
      <c r="AT1088" s="450"/>
      <c r="AU1088" s="450"/>
      <c r="AV1088" s="450"/>
      <c r="AW1088" s="450"/>
      <c r="AX1088" s="450"/>
      <c r="AY1088" s="450"/>
      <c r="AZ1088" s="450"/>
      <c r="BA1088" s="450"/>
      <c r="BB1088" s="450"/>
      <c r="BC1088" s="450"/>
      <c r="BD1088" s="450"/>
      <c r="BE1088" s="450"/>
      <c r="BF1088" s="450"/>
      <c r="BG1088" s="450"/>
      <c r="BH1088" s="450"/>
      <c r="BI1088" s="450"/>
      <c r="BJ1088" s="450"/>
      <c r="BK1088" s="450"/>
      <c r="BL1088" s="450"/>
      <c r="BM1088" s="450"/>
    </row>
    <row r="1089" spans="1:65" ht="11.15">
      <c r="A1089" s="450"/>
      <c r="B1089" s="450"/>
      <c r="C1089" s="450"/>
      <c r="D1089" s="450"/>
      <c r="E1089" s="450"/>
      <c r="F1089" s="450"/>
      <c r="G1089" s="450"/>
      <c r="H1089" s="450"/>
      <c r="I1089" s="450"/>
      <c r="J1089" s="450"/>
      <c r="K1089" s="450"/>
      <c r="L1089" s="450"/>
      <c r="M1089" s="450"/>
      <c r="N1089" s="450"/>
      <c r="O1089" s="450"/>
      <c r="P1089" s="450"/>
      <c r="Q1089" s="450"/>
      <c r="R1089" s="450"/>
      <c r="S1089" s="450"/>
      <c r="T1089" s="450"/>
      <c r="U1089" s="450"/>
      <c r="V1089" s="450"/>
      <c r="W1089" s="450"/>
      <c r="X1089" s="450"/>
      <c r="Y1089" s="450"/>
      <c r="Z1089" s="450"/>
      <c r="AA1089" s="450"/>
      <c r="AB1089" s="450"/>
      <c r="AC1089" s="450"/>
      <c r="AD1089" s="450"/>
      <c r="AE1089" s="450"/>
      <c r="AF1089" s="450"/>
      <c r="AG1089" s="450"/>
      <c r="AH1089" s="450"/>
      <c r="AI1089" s="450"/>
      <c r="AJ1089" s="450"/>
      <c r="AK1089" s="450"/>
      <c r="AL1089" s="450"/>
      <c r="AM1089" s="450"/>
      <c r="AN1089" s="450"/>
      <c r="AO1089" s="450"/>
      <c r="AP1089" s="450"/>
      <c r="AQ1089" s="450"/>
      <c r="AR1089" s="450"/>
      <c r="AS1089" s="450"/>
      <c r="AT1089" s="450"/>
      <c r="AU1089" s="450"/>
      <c r="AV1089" s="450"/>
      <c r="AW1089" s="450"/>
      <c r="AX1089" s="450"/>
      <c r="AY1089" s="450"/>
      <c r="AZ1089" s="450"/>
      <c r="BA1089" s="450"/>
      <c r="BB1089" s="450"/>
      <c r="BC1089" s="450"/>
      <c r="BD1089" s="450"/>
      <c r="BE1089" s="450"/>
      <c r="BF1089" s="450"/>
      <c r="BG1089" s="450"/>
      <c r="BH1089" s="450"/>
      <c r="BI1089" s="450"/>
      <c r="BJ1089" s="450"/>
      <c r="BK1089" s="450"/>
      <c r="BL1089" s="450"/>
      <c r="BM1089" s="450"/>
    </row>
    <row r="1090" spans="1:65" ht="11.15">
      <c r="A1090" s="450"/>
      <c r="B1090" s="450"/>
      <c r="C1090" s="450"/>
      <c r="D1090" s="450"/>
      <c r="E1090" s="450"/>
      <c r="F1090" s="450"/>
      <c r="G1090" s="450"/>
      <c r="H1090" s="450"/>
      <c r="I1090" s="450"/>
      <c r="J1090" s="450"/>
      <c r="K1090" s="450"/>
      <c r="L1090" s="450"/>
      <c r="M1090" s="450"/>
      <c r="N1090" s="450"/>
      <c r="O1090" s="450"/>
      <c r="P1090" s="450"/>
      <c r="Q1090" s="450"/>
      <c r="R1090" s="450"/>
      <c r="S1090" s="450"/>
      <c r="T1090" s="450"/>
      <c r="U1090" s="450"/>
      <c r="V1090" s="450"/>
      <c r="W1090" s="450"/>
      <c r="X1090" s="450"/>
      <c r="Y1090" s="450"/>
      <c r="Z1090" s="450"/>
      <c r="AA1090" s="450"/>
      <c r="AB1090" s="450"/>
      <c r="AC1090" s="450"/>
      <c r="AD1090" s="450"/>
      <c r="AE1090" s="450"/>
      <c r="AF1090" s="450"/>
      <c r="AG1090" s="450"/>
      <c r="AH1090" s="450"/>
      <c r="AI1090" s="450"/>
      <c r="AJ1090" s="450"/>
      <c r="AK1090" s="450"/>
      <c r="AL1090" s="450"/>
      <c r="AM1090" s="450"/>
      <c r="AN1090" s="450"/>
      <c r="AO1090" s="450"/>
      <c r="AP1090" s="450"/>
      <c r="AQ1090" s="450"/>
      <c r="AR1090" s="450"/>
      <c r="AS1090" s="450"/>
      <c r="AT1090" s="450"/>
      <c r="AU1090" s="450"/>
      <c r="AV1090" s="450"/>
      <c r="AW1090" s="450"/>
      <c r="AX1090" s="450"/>
      <c r="AY1090" s="450"/>
      <c r="AZ1090" s="450"/>
      <c r="BA1090" s="450"/>
      <c r="BB1090" s="450"/>
      <c r="BC1090" s="450"/>
      <c r="BD1090" s="450"/>
      <c r="BE1090" s="450"/>
      <c r="BF1090" s="450"/>
      <c r="BG1090" s="450"/>
      <c r="BH1090" s="450"/>
      <c r="BI1090" s="450"/>
      <c r="BJ1090" s="450"/>
      <c r="BK1090" s="450"/>
      <c r="BL1090" s="450"/>
      <c r="BM1090" s="450"/>
    </row>
    <row r="1091" spans="1:65" ht="11.15">
      <c r="A1091" s="450"/>
      <c r="B1091" s="450"/>
      <c r="C1091" s="450"/>
      <c r="D1091" s="450"/>
      <c r="E1091" s="450"/>
      <c r="F1091" s="450"/>
      <c r="G1091" s="450"/>
      <c r="H1091" s="450"/>
      <c r="I1091" s="450"/>
      <c r="J1091" s="450"/>
      <c r="K1091" s="450"/>
      <c r="L1091" s="450"/>
      <c r="M1091" s="450"/>
      <c r="N1091" s="450"/>
      <c r="O1091" s="450"/>
      <c r="P1091" s="450"/>
      <c r="Q1091" s="450"/>
      <c r="R1091" s="450"/>
      <c r="S1091" s="450"/>
      <c r="T1091" s="450"/>
      <c r="U1091" s="450"/>
      <c r="V1091" s="450"/>
      <c r="W1091" s="450"/>
      <c r="X1091" s="450"/>
      <c r="Y1091" s="450"/>
      <c r="Z1091" s="450"/>
      <c r="AA1091" s="450"/>
      <c r="AB1091" s="450"/>
      <c r="AC1091" s="450"/>
      <c r="AD1091" s="450"/>
      <c r="AE1091" s="450"/>
      <c r="AF1091" s="450"/>
      <c r="AG1091" s="450"/>
      <c r="AH1091" s="450"/>
      <c r="AI1091" s="450"/>
      <c r="AJ1091" s="450"/>
      <c r="AK1091" s="450"/>
      <c r="AL1091" s="450"/>
      <c r="AM1091" s="450"/>
      <c r="AN1091" s="450"/>
      <c r="AO1091" s="450"/>
      <c r="AP1091" s="450"/>
      <c r="AQ1091" s="450"/>
      <c r="AR1091" s="450"/>
      <c r="AS1091" s="450"/>
      <c r="AT1091" s="450"/>
      <c r="AU1091" s="450"/>
      <c r="AV1091" s="450"/>
      <c r="AW1091" s="450"/>
      <c r="AX1091" s="450"/>
      <c r="AY1091" s="450"/>
      <c r="AZ1091" s="450"/>
      <c r="BA1091" s="450"/>
      <c r="BB1091" s="450"/>
      <c r="BC1091" s="450"/>
      <c r="BD1091" s="450"/>
      <c r="BE1091" s="450"/>
      <c r="BF1091" s="450"/>
      <c r="BG1091" s="450"/>
      <c r="BH1091" s="450"/>
      <c r="BI1091" s="450"/>
      <c r="BJ1091" s="450"/>
      <c r="BK1091" s="450"/>
      <c r="BL1091" s="450"/>
      <c r="BM1091" s="450"/>
    </row>
    <row r="1092" spans="1:65" ht="11.15">
      <c r="A1092" s="450"/>
      <c r="B1092" s="450"/>
      <c r="C1092" s="450"/>
      <c r="D1092" s="450"/>
      <c r="E1092" s="450"/>
      <c r="F1092" s="450"/>
      <c r="G1092" s="450"/>
      <c r="H1092" s="450"/>
      <c r="I1092" s="450"/>
      <c r="J1092" s="450"/>
      <c r="K1092" s="450"/>
      <c r="L1092" s="450"/>
      <c r="M1092" s="450"/>
      <c r="N1092" s="450"/>
      <c r="O1092" s="450"/>
      <c r="P1092" s="450"/>
      <c r="Q1092" s="450"/>
      <c r="R1092" s="450"/>
      <c r="S1092" s="450"/>
      <c r="T1092" s="450"/>
      <c r="U1092" s="450"/>
      <c r="V1092" s="450"/>
      <c r="W1092" s="450"/>
      <c r="X1092" s="450"/>
      <c r="Y1092" s="450"/>
      <c r="Z1092" s="450"/>
      <c r="AA1092" s="450"/>
      <c r="AB1092" s="450"/>
      <c r="AC1092" s="450"/>
      <c r="AD1092" s="450"/>
      <c r="AE1092" s="450"/>
      <c r="AF1092" s="450"/>
      <c r="AG1092" s="450"/>
      <c r="AH1092" s="450"/>
      <c r="AI1092" s="450"/>
      <c r="AJ1092" s="450"/>
      <c r="AK1092" s="450"/>
      <c r="AL1092" s="450"/>
      <c r="AM1092" s="450"/>
      <c r="AN1092" s="450"/>
      <c r="AO1092" s="450"/>
      <c r="AP1092" s="450"/>
      <c r="AQ1092" s="450"/>
      <c r="AR1092" s="450"/>
      <c r="AS1092" s="450"/>
      <c r="AT1092" s="450"/>
      <c r="AU1092" s="450"/>
      <c r="AV1092" s="450"/>
      <c r="AW1092" s="450"/>
      <c r="AX1092" s="450"/>
      <c r="AY1092" s="450"/>
      <c r="AZ1092" s="450"/>
      <c r="BA1092" s="450"/>
      <c r="BB1092" s="450"/>
      <c r="BC1092" s="450"/>
      <c r="BD1092" s="450"/>
      <c r="BE1092" s="450"/>
      <c r="BF1092" s="450"/>
      <c r="BG1092" s="450"/>
      <c r="BH1092" s="450"/>
      <c r="BI1092" s="450"/>
      <c r="BJ1092" s="450"/>
      <c r="BK1092" s="450"/>
      <c r="BL1092" s="450"/>
      <c r="BM1092" s="450"/>
    </row>
    <row r="1093" spans="1:65" ht="11.15">
      <c r="A1093" s="450"/>
      <c r="B1093" s="450"/>
      <c r="C1093" s="450"/>
      <c r="D1093" s="450"/>
      <c r="E1093" s="450"/>
      <c r="F1093" s="450"/>
      <c r="G1093" s="450"/>
      <c r="H1093" s="450"/>
      <c r="I1093" s="450"/>
      <c r="J1093" s="450"/>
      <c r="K1093" s="450"/>
      <c r="L1093" s="450"/>
      <c r="M1093" s="450"/>
      <c r="N1093" s="450"/>
      <c r="O1093" s="450"/>
      <c r="P1093" s="450"/>
      <c r="Q1093" s="450"/>
      <c r="R1093" s="450"/>
      <c r="S1093" s="450"/>
      <c r="T1093" s="450"/>
      <c r="U1093" s="450"/>
      <c r="V1093" s="450"/>
      <c r="W1093" s="450"/>
      <c r="X1093" s="450"/>
      <c r="Y1093" s="450"/>
      <c r="Z1093" s="450"/>
      <c r="AA1093" s="450"/>
      <c r="AB1093" s="450"/>
      <c r="AC1093" s="450"/>
      <c r="AD1093" s="450"/>
      <c r="AE1093" s="450"/>
      <c r="AF1093" s="450"/>
      <c r="AG1093" s="450"/>
      <c r="AH1093" s="450"/>
      <c r="AI1093" s="450"/>
      <c r="AJ1093" s="450"/>
      <c r="AK1093" s="450"/>
      <c r="AL1093" s="450"/>
      <c r="AM1093" s="450"/>
      <c r="AN1093" s="450"/>
      <c r="AO1093" s="450"/>
      <c r="AP1093" s="450"/>
      <c r="AQ1093" s="450"/>
      <c r="AR1093" s="450"/>
      <c r="AS1093" s="450"/>
      <c r="AT1093" s="450"/>
      <c r="AU1093" s="450"/>
      <c r="AV1093" s="450"/>
      <c r="AW1093" s="450"/>
      <c r="AX1093" s="450"/>
      <c r="AY1093" s="450"/>
      <c r="AZ1093" s="450"/>
      <c r="BA1093" s="450"/>
      <c r="BB1093" s="450"/>
      <c r="BC1093" s="450"/>
      <c r="BD1093" s="450"/>
      <c r="BE1093" s="450"/>
      <c r="BF1093" s="450"/>
      <c r="BG1093" s="450"/>
      <c r="BH1093" s="450"/>
      <c r="BI1093" s="450"/>
      <c r="BJ1093" s="450"/>
      <c r="BK1093" s="450"/>
      <c r="BL1093" s="450"/>
      <c r="BM1093" s="450"/>
    </row>
    <row r="1094" spans="1:65" ht="11.15">
      <c r="A1094" s="450"/>
      <c r="B1094" s="450"/>
      <c r="C1094" s="450"/>
      <c r="D1094" s="450"/>
      <c r="E1094" s="450"/>
      <c r="F1094" s="450"/>
      <c r="G1094" s="450"/>
      <c r="H1094" s="450"/>
      <c r="I1094" s="450"/>
      <c r="J1094" s="450"/>
      <c r="K1094" s="450"/>
      <c r="L1094" s="450"/>
      <c r="M1094" s="450"/>
      <c r="N1094" s="450"/>
      <c r="O1094" s="450"/>
      <c r="P1094" s="450"/>
      <c r="Q1094" s="450"/>
      <c r="R1094" s="450"/>
      <c r="S1094" s="450"/>
      <c r="T1094" s="450"/>
      <c r="U1094" s="450"/>
      <c r="V1094" s="450"/>
      <c r="W1094" s="450"/>
      <c r="X1094" s="450"/>
      <c r="Y1094" s="450"/>
      <c r="Z1094" s="450"/>
      <c r="AA1094" s="450"/>
      <c r="AB1094" s="450"/>
      <c r="AC1094" s="450"/>
      <c r="AD1094" s="450"/>
      <c r="AE1094" s="450"/>
      <c r="AF1094" s="450"/>
      <c r="AG1094" s="450"/>
      <c r="AH1094" s="450"/>
      <c r="AI1094" s="450"/>
      <c r="AJ1094" s="450"/>
      <c r="AK1094" s="450"/>
      <c r="AL1094" s="450"/>
      <c r="AM1094" s="450"/>
      <c r="AN1094" s="450"/>
      <c r="AO1094" s="450"/>
      <c r="AP1094" s="450"/>
      <c r="AQ1094" s="450"/>
      <c r="AR1094" s="450"/>
      <c r="AS1094" s="450"/>
      <c r="AT1094" s="450"/>
      <c r="AU1094" s="450"/>
      <c r="AV1094" s="450"/>
      <c r="AW1094" s="450"/>
      <c r="AX1094" s="450"/>
      <c r="AY1094" s="450"/>
      <c r="AZ1094" s="450"/>
      <c r="BA1094" s="450"/>
      <c r="BB1094" s="450"/>
      <c r="BC1094" s="450"/>
      <c r="BD1094" s="450"/>
      <c r="BE1094" s="450"/>
      <c r="BF1094" s="450"/>
      <c r="BG1094" s="450"/>
      <c r="BH1094" s="450"/>
      <c r="BI1094" s="450"/>
      <c r="BJ1094" s="450"/>
      <c r="BK1094" s="450"/>
      <c r="BL1094" s="450"/>
      <c r="BM1094" s="450"/>
    </row>
    <row r="1095" spans="1:65" ht="11.15">
      <c r="A1095" s="450"/>
      <c r="B1095" s="450"/>
      <c r="C1095" s="450"/>
      <c r="D1095" s="450"/>
      <c r="E1095" s="450"/>
      <c r="F1095" s="450"/>
      <c r="G1095" s="450"/>
      <c r="H1095" s="450"/>
      <c r="I1095" s="450"/>
      <c r="J1095" s="450"/>
      <c r="K1095" s="450"/>
      <c r="L1095" s="450"/>
      <c r="M1095" s="450"/>
      <c r="N1095" s="450"/>
      <c r="O1095" s="450"/>
      <c r="P1095" s="450"/>
      <c r="Q1095" s="450"/>
      <c r="R1095" s="450"/>
      <c r="S1095" s="450"/>
      <c r="T1095" s="450"/>
      <c r="U1095" s="450"/>
      <c r="V1095" s="450"/>
      <c r="W1095" s="450"/>
      <c r="X1095" s="450"/>
      <c r="Y1095" s="450"/>
      <c r="Z1095" s="450"/>
      <c r="AA1095" s="450"/>
      <c r="AB1095" s="450"/>
      <c r="AC1095" s="450"/>
      <c r="AD1095" s="450"/>
      <c r="AE1095" s="450"/>
      <c r="AF1095" s="450"/>
      <c r="AG1095" s="450"/>
      <c r="AH1095" s="450"/>
      <c r="AI1095" s="450"/>
      <c r="AJ1095" s="450"/>
      <c r="AK1095" s="450"/>
      <c r="AL1095" s="450"/>
      <c r="AM1095" s="450"/>
      <c r="AN1095" s="450"/>
      <c r="AO1095" s="450"/>
      <c r="AP1095" s="450"/>
      <c r="AQ1095" s="450"/>
      <c r="AR1095" s="450"/>
      <c r="AS1095" s="450"/>
      <c r="AT1095" s="450"/>
      <c r="AU1095" s="450"/>
      <c r="AV1095" s="450"/>
      <c r="AW1095" s="450"/>
      <c r="AX1095" s="450"/>
      <c r="AY1095" s="450"/>
      <c r="AZ1095" s="450"/>
      <c r="BA1095" s="450"/>
      <c r="BB1095" s="450"/>
      <c r="BC1095" s="450"/>
      <c r="BD1095" s="450"/>
      <c r="BE1095" s="450"/>
      <c r="BF1095" s="450"/>
      <c r="BG1095" s="450"/>
      <c r="BH1095" s="450"/>
      <c r="BI1095" s="450"/>
      <c r="BJ1095" s="450"/>
      <c r="BK1095" s="450"/>
      <c r="BL1095" s="450"/>
      <c r="BM1095" s="450"/>
    </row>
    <row r="1096" spans="1:65" ht="11.15">
      <c r="A1096" s="450"/>
      <c r="B1096" s="450"/>
      <c r="C1096" s="450"/>
      <c r="D1096" s="450"/>
      <c r="E1096" s="450"/>
      <c r="F1096" s="450"/>
      <c r="G1096" s="450"/>
      <c r="H1096" s="450"/>
      <c r="I1096" s="450"/>
      <c r="J1096" s="450"/>
      <c r="K1096" s="450"/>
      <c r="L1096" s="450"/>
      <c r="M1096" s="450"/>
      <c r="N1096" s="450"/>
      <c r="O1096" s="450"/>
      <c r="P1096" s="450"/>
      <c r="Q1096" s="450"/>
      <c r="R1096" s="450"/>
      <c r="S1096" s="450"/>
      <c r="T1096" s="450"/>
      <c r="U1096" s="450"/>
      <c r="V1096" s="450"/>
      <c r="W1096" s="450"/>
      <c r="X1096" s="450"/>
      <c r="Y1096" s="450"/>
      <c r="Z1096" s="450"/>
      <c r="AA1096" s="450"/>
      <c r="AB1096" s="450"/>
      <c r="AC1096" s="450"/>
      <c r="AD1096" s="450"/>
      <c r="AE1096" s="450"/>
      <c r="AF1096" s="450"/>
      <c r="AG1096" s="450"/>
      <c r="AH1096" s="450"/>
      <c r="AI1096" s="450"/>
      <c r="AJ1096" s="450"/>
      <c r="AK1096" s="450"/>
      <c r="AL1096" s="450"/>
      <c r="AM1096" s="450"/>
      <c r="AN1096" s="450"/>
      <c r="AO1096" s="450"/>
      <c r="AP1096" s="450"/>
      <c r="AQ1096" s="450"/>
      <c r="AR1096" s="450"/>
      <c r="AS1096" s="450"/>
      <c r="AT1096" s="450"/>
      <c r="AU1096" s="450"/>
      <c r="AV1096" s="450"/>
      <c r="AW1096" s="450"/>
      <c r="AX1096" s="450"/>
      <c r="AY1096" s="450"/>
      <c r="AZ1096" s="450"/>
      <c r="BA1096" s="450"/>
      <c r="BB1096" s="450"/>
      <c r="BC1096" s="450"/>
      <c r="BD1096" s="450"/>
      <c r="BE1096" s="450"/>
      <c r="BF1096" s="450"/>
      <c r="BG1096" s="450"/>
      <c r="BH1096" s="450"/>
      <c r="BI1096" s="450"/>
      <c r="BJ1096" s="450"/>
      <c r="BK1096" s="450"/>
      <c r="BL1096" s="450"/>
      <c r="BM1096" s="450"/>
    </row>
    <row r="1097" spans="1:65" ht="11.15">
      <c r="A1097" s="450"/>
      <c r="B1097" s="450"/>
      <c r="C1097" s="450"/>
      <c r="D1097" s="450"/>
      <c r="E1097" s="450"/>
      <c r="F1097" s="450"/>
      <c r="G1097" s="450"/>
      <c r="H1097" s="450"/>
      <c r="I1097" s="450"/>
      <c r="J1097" s="450"/>
      <c r="K1097" s="450"/>
      <c r="L1097" s="450"/>
      <c r="M1097" s="450"/>
      <c r="N1097" s="450"/>
      <c r="O1097" s="450"/>
      <c r="P1097" s="450"/>
      <c r="Q1097" s="450"/>
      <c r="R1097" s="450"/>
      <c r="S1097" s="450"/>
      <c r="T1097" s="450"/>
      <c r="U1097" s="450"/>
      <c r="V1097" s="450"/>
      <c r="W1097" s="450"/>
      <c r="X1097" s="450"/>
      <c r="Y1097" s="450"/>
      <c r="Z1097" s="450"/>
      <c r="AA1097" s="450"/>
      <c r="AB1097" s="450"/>
      <c r="AC1097" s="450"/>
      <c r="AD1097" s="450"/>
      <c r="AE1097" s="450"/>
      <c r="AF1097" s="450"/>
      <c r="AG1097" s="450"/>
      <c r="AH1097" s="450"/>
      <c r="AI1097" s="450"/>
      <c r="AJ1097" s="450"/>
      <c r="AK1097" s="450"/>
      <c r="AL1097" s="450"/>
      <c r="AM1097" s="450"/>
      <c r="AN1097" s="450"/>
      <c r="AO1097" s="450"/>
      <c r="AP1097" s="450"/>
      <c r="AQ1097" s="450"/>
      <c r="AR1097" s="450"/>
      <c r="AS1097" s="450"/>
      <c r="AT1097" s="450"/>
      <c r="AU1097" s="450"/>
      <c r="AV1097" s="450"/>
      <c r="AW1097" s="450"/>
      <c r="AX1097" s="450"/>
      <c r="AY1097" s="450"/>
      <c r="AZ1097" s="450"/>
      <c r="BA1097" s="450"/>
      <c r="BB1097" s="450"/>
      <c r="BC1097" s="450"/>
      <c r="BD1097" s="450"/>
      <c r="BE1097" s="450"/>
      <c r="BF1097" s="450"/>
      <c r="BG1097" s="450"/>
      <c r="BH1097" s="450"/>
      <c r="BI1097" s="450"/>
      <c r="BJ1097" s="450"/>
      <c r="BK1097" s="450"/>
      <c r="BL1097" s="450"/>
      <c r="BM1097" s="450"/>
    </row>
    <row r="1098" spans="1:65" ht="11.15">
      <c r="A1098" s="450"/>
      <c r="B1098" s="450"/>
      <c r="C1098" s="450"/>
      <c r="D1098" s="450"/>
      <c r="E1098" s="450"/>
      <c r="F1098" s="450"/>
      <c r="G1098" s="450"/>
      <c r="H1098" s="450"/>
      <c r="I1098" s="450"/>
      <c r="J1098" s="450"/>
      <c r="K1098" s="450"/>
      <c r="L1098" s="450"/>
      <c r="M1098" s="450"/>
      <c r="N1098" s="450"/>
      <c r="O1098" s="450"/>
      <c r="P1098" s="450"/>
      <c r="Q1098" s="450"/>
      <c r="R1098" s="450"/>
      <c r="S1098" s="450"/>
      <c r="T1098" s="450"/>
      <c r="U1098" s="450"/>
      <c r="V1098" s="450"/>
      <c r="W1098" s="450"/>
      <c r="X1098" s="450"/>
      <c r="Y1098" s="450"/>
      <c r="Z1098" s="450"/>
      <c r="AA1098" s="450"/>
      <c r="AB1098" s="450"/>
      <c r="AC1098" s="450"/>
      <c r="AD1098" s="450"/>
      <c r="AE1098" s="450"/>
      <c r="AF1098" s="450"/>
      <c r="AG1098" s="450"/>
      <c r="AH1098" s="450"/>
      <c r="AI1098" s="450"/>
      <c r="AJ1098" s="450"/>
      <c r="AK1098" s="450"/>
      <c r="AL1098" s="450"/>
      <c r="AM1098" s="450"/>
      <c r="AN1098" s="450"/>
      <c r="AO1098" s="450"/>
      <c r="AP1098" s="450"/>
      <c r="AQ1098" s="450"/>
      <c r="AR1098" s="450"/>
      <c r="AS1098" s="450"/>
      <c r="AT1098" s="450"/>
      <c r="AU1098" s="450"/>
      <c r="AV1098" s="450"/>
      <c r="AW1098" s="450"/>
      <c r="AX1098" s="450"/>
      <c r="AY1098" s="450"/>
      <c r="AZ1098" s="450"/>
      <c r="BA1098" s="450"/>
      <c r="BB1098" s="450"/>
      <c r="BC1098" s="450"/>
      <c r="BD1098" s="450"/>
      <c r="BE1098" s="450"/>
      <c r="BF1098" s="450"/>
      <c r="BG1098" s="450"/>
      <c r="BH1098" s="450"/>
      <c r="BI1098" s="450"/>
      <c r="BJ1098" s="450"/>
      <c r="BK1098" s="450"/>
      <c r="BL1098" s="450"/>
      <c r="BM1098" s="450"/>
    </row>
    <row r="1099" spans="1:65" ht="11.15">
      <c r="A1099" s="450"/>
      <c r="B1099" s="450"/>
      <c r="C1099" s="450"/>
      <c r="D1099" s="450"/>
      <c r="E1099" s="450"/>
      <c r="F1099" s="450"/>
      <c r="G1099" s="450"/>
      <c r="H1099" s="450"/>
      <c r="I1099" s="450"/>
      <c r="J1099" s="450"/>
      <c r="K1099" s="450"/>
      <c r="L1099" s="450"/>
      <c r="M1099" s="450"/>
      <c r="N1099" s="450"/>
      <c r="O1099" s="450"/>
      <c r="P1099" s="450"/>
      <c r="Q1099" s="450"/>
      <c r="R1099" s="450"/>
      <c r="S1099" s="450"/>
      <c r="T1099" s="450"/>
      <c r="U1099" s="450"/>
      <c r="V1099" s="450"/>
      <c r="W1099" s="450"/>
      <c r="X1099" s="450"/>
      <c r="Y1099" s="450"/>
      <c r="Z1099" s="450"/>
      <c r="AA1099" s="450"/>
      <c r="AB1099" s="450"/>
      <c r="AC1099" s="450"/>
      <c r="AD1099" s="450"/>
      <c r="AE1099" s="450"/>
      <c r="AF1099" s="450"/>
      <c r="AG1099" s="450"/>
      <c r="AH1099" s="450"/>
      <c r="AI1099" s="450"/>
      <c r="AJ1099" s="450"/>
      <c r="AK1099" s="450"/>
      <c r="AL1099" s="450"/>
      <c r="AM1099" s="450"/>
      <c r="AN1099" s="450"/>
      <c r="AO1099" s="450"/>
      <c r="AP1099" s="450"/>
      <c r="AQ1099" s="450"/>
      <c r="AR1099" s="450"/>
      <c r="AS1099" s="450"/>
      <c r="AT1099" s="450"/>
      <c r="AU1099" s="450"/>
      <c r="AV1099" s="450"/>
      <c r="AW1099" s="450"/>
      <c r="AX1099" s="450"/>
      <c r="AY1099" s="450"/>
      <c r="AZ1099" s="450"/>
      <c r="BA1099" s="450"/>
      <c r="BB1099" s="450"/>
      <c r="BC1099" s="450"/>
      <c r="BD1099" s="450"/>
      <c r="BE1099" s="450"/>
      <c r="BF1099" s="450"/>
      <c r="BG1099" s="450"/>
      <c r="BH1099" s="450"/>
      <c r="BI1099" s="450"/>
      <c r="BJ1099" s="450"/>
      <c r="BK1099" s="450"/>
      <c r="BL1099" s="450"/>
      <c r="BM1099" s="450"/>
    </row>
    <row r="1100" spans="1:65" ht="11.15">
      <c r="A1100" s="450"/>
      <c r="B1100" s="450"/>
      <c r="C1100" s="450"/>
      <c r="D1100" s="450"/>
      <c r="E1100" s="450"/>
      <c r="F1100" s="450"/>
      <c r="G1100" s="450"/>
      <c r="H1100" s="450"/>
      <c r="I1100" s="450"/>
      <c r="J1100" s="450"/>
      <c r="K1100" s="450"/>
      <c r="L1100" s="450"/>
      <c r="M1100" s="450"/>
      <c r="N1100" s="450"/>
      <c r="O1100" s="450"/>
      <c r="P1100" s="450"/>
      <c r="Q1100" s="450"/>
      <c r="R1100" s="450"/>
      <c r="S1100" s="450"/>
      <c r="T1100" s="450"/>
      <c r="U1100" s="450"/>
      <c r="V1100" s="450"/>
      <c r="W1100" s="450"/>
      <c r="X1100" s="450"/>
      <c r="Y1100" s="450"/>
      <c r="Z1100" s="450"/>
      <c r="AA1100" s="450"/>
      <c r="AB1100" s="450"/>
      <c r="AC1100" s="450"/>
      <c r="AD1100" s="450"/>
      <c r="AE1100" s="450"/>
      <c r="AF1100" s="450"/>
      <c r="AG1100" s="450"/>
      <c r="AH1100" s="450"/>
      <c r="AI1100" s="450"/>
      <c r="AJ1100" s="450"/>
      <c r="AK1100" s="450"/>
      <c r="AL1100" s="450"/>
      <c r="AM1100" s="450"/>
      <c r="AN1100" s="450"/>
      <c r="AO1100" s="450"/>
      <c r="AP1100" s="450"/>
      <c r="AQ1100" s="450"/>
      <c r="AR1100" s="450"/>
      <c r="AS1100" s="450"/>
      <c r="AT1100" s="450"/>
      <c r="AU1100" s="450"/>
      <c r="AV1100" s="450"/>
      <c r="AW1100" s="450"/>
      <c r="AX1100" s="450"/>
      <c r="AY1100" s="450"/>
      <c r="AZ1100" s="450"/>
      <c r="BA1100" s="450"/>
      <c r="BB1100" s="450"/>
      <c r="BC1100" s="450"/>
      <c r="BD1100" s="450"/>
      <c r="BE1100" s="450"/>
      <c r="BF1100" s="450"/>
      <c r="BG1100" s="450"/>
      <c r="BH1100" s="450"/>
      <c r="BI1100" s="450"/>
      <c r="BJ1100" s="450"/>
      <c r="BK1100" s="450"/>
      <c r="BL1100" s="450"/>
      <c r="BM1100" s="450"/>
    </row>
    <row r="1101" spans="1:65" ht="11.15">
      <c r="A1101" s="450"/>
      <c r="B1101" s="450"/>
      <c r="C1101" s="450"/>
      <c r="D1101" s="450"/>
      <c r="E1101" s="450"/>
      <c r="F1101" s="450"/>
      <c r="G1101" s="450"/>
      <c r="H1101" s="450"/>
      <c r="I1101" s="450"/>
      <c r="J1101" s="450"/>
      <c r="K1101" s="450"/>
      <c r="L1101" s="450"/>
      <c r="M1101" s="450"/>
      <c r="N1101" s="450"/>
      <c r="O1101" s="450"/>
      <c r="P1101" s="450"/>
      <c r="Q1101" s="450"/>
      <c r="R1101" s="450"/>
      <c r="S1101" s="450"/>
      <c r="T1101" s="450"/>
      <c r="U1101" s="450"/>
      <c r="V1101" s="450"/>
      <c r="W1101" s="450"/>
      <c r="X1101" s="450"/>
      <c r="Y1101" s="450"/>
      <c r="Z1101" s="450"/>
      <c r="AA1101" s="450"/>
      <c r="AB1101" s="450"/>
      <c r="AC1101" s="450"/>
      <c r="AD1101" s="450"/>
      <c r="AE1101" s="450"/>
      <c r="AF1101" s="450"/>
      <c r="AG1101" s="450"/>
      <c r="AH1101" s="450"/>
      <c r="AI1101" s="450"/>
      <c r="AJ1101" s="450"/>
      <c r="AK1101" s="450"/>
      <c r="AL1101" s="450"/>
      <c r="AM1101" s="450"/>
      <c r="AN1101" s="450"/>
      <c r="AO1101" s="450"/>
      <c r="AP1101" s="450"/>
      <c r="AQ1101" s="450"/>
      <c r="AR1101" s="450"/>
      <c r="AS1101" s="450"/>
      <c r="AT1101" s="450"/>
      <c r="AU1101" s="450"/>
      <c r="AV1101" s="450"/>
      <c r="AW1101" s="450"/>
      <c r="AX1101" s="450"/>
      <c r="AY1101" s="450"/>
      <c r="AZ1101" s="450"/>
      <c r="BA1101" s="450"/>
      <c r="BB1101" s="450"/>
      <c r="BC1101" s="450"/>
      <c r="BD1101" s="450"/>
      <c r="BE1101" s="450"/>
      <c r="BF1101" s="450"/>
      <c r="BG1101" s="450"/>
      <c r="BH1101" s="450"/>
      <c r="BI1101" s="450"/>
      <c r="BJ1101" s="450"/>
      <c r="BK1101" s="450"/>
      <c r="BL1101" s="450"/>
      <c r="BM1101" s="450"/>
    </row>
  </sheetData>
  <mergeCells count="45">
    <mergeCell ref="L2:M2"/>
    <mergeCell ref="L3:M3"/>
    <mergeCell ref="L4:M4"/>
    <mergeCell ref="L5:M5"/>
    <mergeCell ref="L6:M6"/>
    <mergeCell ref="O6:P6"/>
    <mergeCell ref="L7:M7"/>
    <mergeCell ref="A8:A10"/>
    <mergeCell ref="B8:B10"/>
    <mergeCell ref="C8:C10"/>
    <mergeCell ref="D8:D10"/>
    <mergeCell ref="E8:E10"/>
    <mergeCell ref="F8:F10"/>
    <mergeCell ref="G8:G10"/>
    <mergeCell ref="H8:I9"/>
    <mergeCell ref="J8:K9"/>
    <mergeCell ref="L8:M9"/>
    <mergeCell ref="N8:N10"/>
    <mergeCell ref="O8:O10"/>
    <mergeCell ref="P8:P10"/>
    <mergeCell ref="A11:F11"/>
    <mergeCell ref="Q12:AL12"/>
    <mergeCell ref="N21:P21"/>
    <mergeCell ref="L26:M26"/>
    <mergeCell ref="L27:M27"/>
    <mergeCell ref="L28:M28"/>
    <mergeCell ref="L29:M29"/>
    <mergeCell ref="L30:M30"/>
    <mergeCell ref="O30:P30"/>
    <mergeCell ref="L31:M31"/>
    <mergeCell ref="N32:N34"/>
    <mergeCell ref="O32:O34"/>
    <mergeCell ref="P32:P34"/>
    <mergeCell ref="Q32:AL32"/>
    <mergeCell ref="A35:F35"/>
    <mergeCell ref="F32:F34"/>
    <mergeCell ref="G32:G34"/>
    <mergeCell ref="H32:I33"/>
    <mergeCell ref="J32:K33"/>
    <mergeCell ref="L32:M33"/>
    <mergeCell ref="A32:A34"/>
    <mergeCell ref="B32:B34"/>
    <mergeCell ref="C32:C34"/>
    <mergeCell ref="D32:D34"/>
    <mergeCell ref="E32:E34"/>
  </mergeCells>
  <conditionalFormatting sqref="H11:I11">
    <cfRule type="cellIs" dxfId="4" priority="3" operator="equal">
      <formula>0</formula>
    </cfRule>
  </conditionalFormatting>
  <conditionalFormatting sqref="H35:I35">
    <cfRule type="cellIs" dxfId="3" priority="2" operator="equal">
      <formula>0</formula>
    </cfRule>
  </conditionalFormatting>
  <dataValidations count="26">
    <dataValidation type="list" operator="equal" allowBlank="1" showInputMessage="1" showErrorMessage="1" sqref="G35">
      <formula1>"Oui,Non"</formula1>
      <formula2>0</formula2>
    </dataValidation>
    <dataValidation operator="equal" allowBlank="1" showInputMessage="1" sqref="E37:E41 E101">
      <formula1>0</formula1>
      <formula2>0</formula2>
    </dataValidation>
    <dataValidation type="list" operator="equal" allowBlank="1" showInputMessage="1" showErrorMessage="1" sqref="R23">
      <formula1>"Oui,Non"</formula1>
      <formula2>0</formula2>
    </dataValidation>
    <dataValidation type="list" operator="equal" allowBlank="1" showInputMessage="1" showErrorMessage="1" sqref="T23">
      <formula1>"Oui,Non"</formula1>
      <formula2>0</formula2>
    </dataValidation>
    <dataValidation type="list" operator="equal" allowBlank="1" showInputMessage="1" showErrorMessage="1" sqref="U23">
      <formula1>"Oui,Non"</formula1>
      <formula2>0</formula2>
    </dataValidation>
    <dataValidation type="list" operator="equal" allowBlank="1" showInputMessage="1" showErrorMessage="1" sqref="V23">
      <formula1>"Oui,Non"</formula1>
      <formula2>0</formula2>
    </dataValidation>
    <dataValidation type="list" operator="equal" allowBlank="1" showInputMessage="1" showErrorMessage="1" sqref="W23">
      <formula1>"Oui,Non"</formula1>
      <formula2>0</formula2>
    </dataValidation>
    <dataValidation type="list" operator="equal" allowBlank="1" showInputMessage="1" showErrorMessage="1" sqref="X23">
      <formula1>"Oui,Non"</formula1>
      <formula2>0</formula2>
    </dataValidation>
    <dataValidation type="list" operator="equal" allowBlank="1" showInputMessage="1" showErrorMessage="1" sqref="Y23">
      <formula1>"Oui,Non"</formula1>
      <formula2>0</formula2>
    </dataValidation>
    <dataValidation type="list" operator="equal" allowBlank="1" showInputMessage="1" showErrorMessage="1" sqref="Z23">
      <formula1>"Oui,Non"</formula1>
      <formula2>0</formula2>
    </dataValidation>
    <dataValidation type="list" operator="equal" allowBlank="1" showInputMessage="1" showErrorMessage="1" sqref="AA23">
      <formula1>"Oui,Non"</formula1>
      <formula2>0</formula2>
    </dataValidation>
    <dataValidation type="list" operator="equal" allowBlank="1" showInputMessage="1" showErrorMessage="1" sqref="AB23">
      <formula1>"Oui,Non"</formula1>
      <formula2>0</formula2>
    </dataValidation>
    <dataValidation type="list" operator="equal" allowBlank="1" showInputMessage="1" showErrorMessage="1" sqref="AC23">
      <formula1>"Oui,Non"</formula1>
      <formula2>0</formula2>
    </dataValidation>
    <dataValidation type="list" operator="equal" allowBlank="1" showInputMessage="1" showErrorMessage="1" sqref="AD23">
      <formula1>"Oui,Non"</formula1>
      <formula2>0</formula2>
    </dataValidation>
    <dataValidation type="list" operator="equal" allowBlank="1" showInputMessage="1" showErrorMessage="1" sqref="AE23">
      <formula1>"Oui,Non"</formula1>
      <formula2>0</formula2>
    </dataValidation>
    <dataValidation type="list" operator="equal" allowBlank="1" showInputMessage="1" showErrorMessage="1" sqref="AF23">
      <formula1>"Oui,Non"</formula1>
      <formula2>0</formula2>
    </dataValidation>
    <dataValidation type="list" operator="equal" allowBlank="1" showInputMessage="1" showErrorMessage="1" sqref="AG23">
      <formula1>"Oui,Non"</formula1>
      <formula2>0</formula2>
    </dataValidation>
    <dataValidation type="list" operator="equal" allowBlank="1" showInputMessage="1" showErrorMessage="1" sqref="AH23">
      <formula1>"Oui,Non"</formula1>
      <formula2>0</formula2>
    </dataValidation>
    <dataValidation type="list" operator="equal" allowBlank="1" showInputMessage="1" showErrorMessage="1" sqref="AI23">
      <formula1>"Oui,Non"</formula1>
      <formula2>0</formula2>
    </dataValidation>
    <dataValidation type="list" operator="equal" allowBlank="1" showInputMessage="1" showErrorMessage="1" sqref="AJ23">
      <formula1>"Oui,Non"</formula1>
      <formula2>0</formula2>
    </dataValidation>
    <dataValidation type="list" operator="equal" allowBlank="1" showInputMessage="1" showErrorMessage="1" sqref="AK23">
      <formula1>"Oui,Non"</formula1>
      <formula2>0</formula2>
    </dataValidation>
    <dataValidation type="list" operator="equal" allowBlank="1" showInputMessage="1" showErrorMessage="1" sqref="AL23">
      <formula1>"Oui,Non"</formula1>
      <formula2>0</formula2>
    </dataValidation>
    <dataValidation type="list" operator="equal" allowBlank="1" showInputMessage="1" showErrorMessage="1" sqref="G11">
      <formula1>"Oui,Non"</formula1>
      <formula2>0</formula2>
    </dataValidation>
    <dataValidation operator="equal" allowBlank="1" showInputMessage="1" sqref="E13:E16">
      <formula1>0</formula1>
      <formula2>0</formula2>
    </dataValidation>
    <dataValidation type="list" operator="equal" allowBlank="1" showInputMessage="1" showErrorMessage="1" sqref="S23">
      <formula1>"Oui,Non"</formula1>
      <formula2>0</formula2>
    </dataValidation>
    <dataValidation operator="equal" allowBlank="1" showInputMessage="1" sqref="E42">
      <formula1>0</formula1>
      <formula2>0</formula2>
    </dataValidation>
  </dataValidation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81D41A"/>
  </sheetPr>
  <dimension ref="A1:BN92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7109375" customWidth="1"/>
    <col min="2" max="2" width="6.5703125" style="707" customWidth="1"/>
    <col min="3" max="3" width="5" style="707" customWidth="1"/>
    <col min="4" max="4" width="20.42578125" style="707" customWidth="1"/>
    <col min="5" max="5" width="19.5703125" style="707" customWidth="1"/>
    <col min="6" max="6" width="91.42578125" style="707" customWidth="1"/>
    <col min="7" max="7" width="10.140625" style="707"/>
    <col min="8" max="8" width="6.85546875" style="708" customWidth="1"/>
    <col min="9" max="9" width="8.28515625" style="707" customWidth="1"/>
    <col min="10" max="10" width="12.140625" style="58" customWidth="1"/>
    <col min="11" max="11" width="14.85546875" style="707" customWidth="1"/>
    <col min="12" max="12" width="16.85546875" style="707" customWidth="1"/>
    <col min="13" max="13" width="10" style="707" customWidth="1"/>
    <col min="14" max="15" width="3.7109375" style="709" customWidth="1"/>
    <col min="16" max="16" width="4.140625" style="709" customWidth="1"/>
    <col min="17" max="25" width="3.7109375" style="709" customWidth="1"/>
    <col min="26" max="27" width="3.7109375" style="710" customWidth="1"/>
    <col min="28" max="66" width="10.140625" style="707"/>
  </cols>
  <sheetData>
    <row r="1" spans="1:66" ht="15.05">
      <c r="C1" s="1077" t="s">
        <v>947</v>
      </c>
      <c r="D1" s="1077"/>
      <c r="E1" s="1077"/>
      <c r="F1" s="1077"/>
      <c r="G1" s="1077"/>
      <c r="AC1" s="711"/>
    </row>
    <row r="2" spans="1:66" ht="15.05" customHeight="1">
      <c r="B2" s="1078" t="s">
        <v>98</v>
      </c>
      <c r="C2" s="1078"/>
      <c r="D2" s="1078"/>
      <c r="E2" s="1078"/>
      <c r="F2" s="1078"/>
      <c r="G2" s="1078"/>
      <c r="H2" s="1078"/>
      <c r="AC2" s="17"/>
    </row>
    <row r="3" spans="1:66" ht="118.8" customHeight="1">
      <c r="A3" t="s">
        <v>31</v>
      </c>
      <c r="B3" s="712" t="s">
        <v>496</v>
      </c>
      <c r="C3" s="712" t="s">
        <v>497</v>
      </c>
      <c r="D3" s="713" t="s">
        <v>498</v>
      </c>
      <c r="E3" s="712" t="s">
        <v>499</v>
      </c>
      <c r="F3" s="712" t="s">
        <v>500</v>
      </c>
      <c r="G3" s="714" t="s">
        <v>501</v>
      </c>
      <c r="H3" s="715" t="s">
        <v>502</v>
      </c>
      <c r="I3" s="714" t="s">
        <v>503</v>
      </c>
      <c r="J3" s="716" t="s">
        <v>948</v>
      </c>
      <c r="K3" s="711" t="s">
        <v>504</v>
      </c>
      <c r="L3" s="711" t="s">
        <v>949</v>
      </c>
      <c r="M3" s="711" t="s">
        <v>950</v>
      </c>
      <c r="N3" s="717" t="s">
        <v>951</v>
      </c>
      <c r="O3" s="717" t="s">
        <v>952</v>
      </c>
      <c r="P3" s="717" t="s">
        <v>953</v>
      </c>
      <c r="Q3" s="717" t="s">
        <v>954</v>
      </c>
      <c r="R3" s="717" t="s">
        <v>955</v>
      </c>
      <c r="S3" s="717" t="s">
        <v>956</v>
      </c>
      <c r="T3" s="717" t="s">
        <v>957</v>
      </c>
      <c r="U3" s="717" t="s">
        <v>958</v>
      </c>
      <c r="V3" s="717" t="s">
        <v>959</v>
      </c>
      <c r="W3" s="717" t="s">
        <v>960</v>
      </c>
      <c r="X3" s="717" t="s">
        <v>961</v>
      </c>
      <c r="Y3" s="717" t="s">
        <v>962</v>
      </c>
      <c r="Z3" s="718" t="s">
        <v>963</v>
      </c>
      <c r="AA3" s="718" t="s">
        <v>964</v>
      </c>
      <c r="AB3" s="711"/>
      <c r="AD3" s="711"/>
      <c r="AE3" s="711"/>
      <c r="AF3" s="711"/>
      <c r="AG3" s="711"/>
      <c r="AH3" s="711"/>
      <c r="AI3" s="711"/>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row>
    <row r="4" spans="1:66" ht="100.15" hidden="1">
      <c r="A4">
        <v>1</v>
      </c>
      <c r="B4" s="487">
        <v>1</v>
      </c>
      <c r="C4" s="487" t="s">
        <v>522</v>
      </c>
      <c r="D4" s="487" t="s">
        <v>965</v>
      </c>
      <c r="E4" s="487" t="s">
        <v>829</v>
      </c>
      <c r="F4" s="492" t="s">
        <v>830</v>
      </c>
      <c r="G4" s="430">
        <v>635.23</v>
      </c>
      <c r="H4" s="428"/>
      <c r="I4" s="430">
        <f t="shared" ref="I4:I9" si="0">G4*(1-H4)</f>
        <v>635.23</v>
      </c>
      <c r="J4" s="58">
        <v>32000</v>
      </c>
      <c r="K4" s="719"/>
      <c r="L4" s="17" t="s">
        <v>966</v>
      </c>
      <c r="M4" s="720">
        <v>43363</v>
      </c>
      <c r="N4" s="721" t="b">
        <f t="shared" ref="N4:N34" si="1">FALSE()</f>
        <v>0</v>
      </c>
      <c r="O4" s="721" t="b">
        <f t="shared" ref="O4:O6" si="2">FALSE()</f>
        <v>0</v>
      </c>
      <c r="P4" s="721" t="b">
        <f>FALSE()</f>
        <v>0</v>
      </c>
      <c r="Q4" s="721" t="b">
        <f t="shared" ref="Q4:Q11" si="3">FALSE()</f>
        <v>0</v>
      </c>
      <c r="R4" s="721" t="b">
        <f>TRUE()</f>
        <v>1</v>
      </c>
      <c r="S4" s="721" t="b">
        <f t="shared" ref="S4:S8" si="4">FALSE()</f>
        <v>0</v>
      </c>
      <c r="T4" s="721" t="b">
        <f t="shared" ref="T4:T18" si="5">FALSE()</f>
        <v>0</v>
      </c>
      <c r="U4" s="721" t="b">
        <f t="shared" ref="U4:U14" si="6">FALSE()</f>
        <v>0</v>
      </c>
      <c r="V4" s="721" t="b">
        <f t="shared" ref="V4:V12" si="7">FALSE()</f>
        <v>0</v>
      </c>
      <c r="W4" s="721" t="b">
        <f t="shared" ref="W4:W65" si="8">FALSE()</f>
        <v>0</v>
      </c>
      <c r="X4" s="721" t="b">
        <f t="shared" ref="X4:X67" si="9">FALSE()</f>
        <v>0</v>
      </c>
      <c r="Y4" s="721" t="b">
        <f t="shared" ref="Y4:Y28" si="10">FALSE()</f>
        <v>0</v>
      </c>
      <c r="Z4" s="721" t="b">
        <f t="shared" ref="Z4:Z25" si="11">FALSE()</f>
        <v>0</v>
      </c>
      <c r="AA4" s="721" t="b">
        <f t="shared" ref="AA4:AA21" si="12">FALSE()</f>
        <v>0</v>
      </c>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row>
    <row r="5" spans="1:66" hidden="1">
      <c r="A5">
        <f t="shared" ref="A5:A10" si="13">A4+1</f>
        <v>2</v>
      </c>
      <c r="B5" s="487">
        <v>1</v>
      </c>
      <c r="C5" s="487" t="s">
        <v>522</v>
      </c>
      <c r="D5" s="487" t="s">
        <v>967</v>
      </c>
      <c r="E5" s="487" t="s">
        <v>556</v>
      </c>
      <c r="F5" s="492" t="s">
        <v>968</v>
      </c>
      <c r="G5" s="430">
        <v>905.34</v>
      </c>
      <c r="H5" s="428"/>
      <c r="I5" s="430">
        <f t="shared" si="0"/>
        <v>905.34</v>
      </c>
      <c r="J5" s="58">
        <v>3700</v>
      </c>
      <c r="K5" s="417">
        <f>G5/J5</f>
        <v>0.2446864864864865</v>
      </c>
      <c r="L5" s="17" t="s">
        <v>966</v>
      </c>
      <c r="M5" s="720">
        <v>43363</v>
      </c>
      <c r="N5" s="721" t="b">
        <f t="shared" si="1"/>
        <v>0</v>
      </c>
      <c r="O5" s="721" t="b">
        <f t="shared" si="2"/>
        <v>0</v>
      </c>
      <c r="P5" s="721" t="b">
        <f>TRUE()</f>
        <v>1</v>
      </c>
      <c r="Q5" s="721" t="b">
        <f t="shared" si="3"/>
        <v>0</v>
      </c>
      <c r="R5" s="721" t="b">
        <f>FALSE()</f>
        <v>0</v>
      </c>
      <c r="S5" s="721" t="b">
        <f t="shared" si="4"/>
        <v>0</v>
      </c>
      <c r="T5" s="721" t="b">
        <f t="shared" si="5"/>
        <v>0</v>
      </c>
      <c r="U5" s="721" t="b">
        <f t="shared" si="6"/>
        <v>0</v>
      </c>
      <c r="V5" s="721" t="b">
        <f t="shared" si="7"/>
        <v>0</v>
      </c>
      <c r="W5" s="721" t="b">
        <f t="shared" si="8"/>
        <v>0</v>
      </c>
      <c r="X5" s="721" t="b">
        <f t="shared" si="9"/>
        <v>0</v>
      </c>
      <c r="Y5" s="721" t="b">
        <f t="shared" si="10"/>
        <v>0</v>
      </c>
      <c r="Z5" s="721" t="b">
        <f t="shared" si="11"/>
        <v>0</v>
      </c>
      <c r="AA5" s="721" t="b">
        <f t="shared" si="12"/>
        <v>0</v>
      </c>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row>
    <row r="6" spans="1:66" ht="100.15" hidden="1">
      <c r="A6">
        <f t="shared" si="13"/>
        <v>3</v>
      </c>
      <c r="B6" s="407">
        <v>1</v>
      </c>
      <c r="C6" s="407" t="s">
        <v>522</v>
      </c>
      <c r="D6" s="407" t="s">
        <v>969</v>
      </c>
      <c r="E6" s="407" t="s">
        <v>829</v>
      </c>
      <c r="F6" s="408" t="s">
        <v>970</v>
      </c>
      <c r="G6" s="409">
        <f>635.23-100</f>
        <v>535.23</v>
      </c>
      <c r="H6" s="410"/>
      <c r="I6" s="409">
        <f t="shared" si="0"/>
        <v>535.23</v>
      </c>
      <c r="J6" s="58">
        <v>32000</v>
      </c>
      <c r="K6" s="204" t="s">
        <v>971</v>
      </c>
      <c r="L6" s="17" t="s">
        <v>972</v>
      </c>
      <c r="M6" s="720">
        <v>43363</v>
      </c>
      <c r="N6" s="721" t="b">
        <f t="shared" si="1"/>
        <v>0</v>
      </c>
      <c r="O6" s="721" t="b">
        <f t="shared" si="2"/>
        <v>0</v>
      </c>
      <c r="P6" s="721" t="b">
        <f t="shared" ref="P6:P16" si="14">FALSE()</f>
        <v>0</v>
      </c>
      <c r="Q6" s="721" t="b">
        <f t="shared" si="3"/>
        <v>0</v>
      </c>
      <c r="R6" s="721" t="b">
        <f>TRUE()</f>
        <v>1</v>
      </c>
      <c r="S6" s="721" t="b">
        <f t="shared" si="4"/>
        <v>0</v>
      </c>
      <c r="T6" s="721" t="b">
        <f t="shared" si="5"/>
        <v>0</v>
      </c>
      <c r="U6" s="721" t="b">
        <f t="shared" si="6"/>
        <v>0</v>
      </c>
      <c r="V6" s="721" t="b">
        <f t="shared" si="7"/>
        <v>0</v>
      </c>
      <c r="W6" s="721" t="b">
        <f t="shared" si="8"/>
        <v>0</v>
      </c>
      <c r="X6" s="721" t="b">
        <f t="shared" si="9"/>
        <v>0</v>
      </c>
      <c r="Y6" s="721" t="b">
        <f t="shared" si="10"/>
        <v>0</v>
      </c>
      <c r="Z6" s="721" t="b">
        <f t="shared" si="11"/>
        <v>0</v>
      </c>
      <c r="AA6" s="721" t="b">
        <f t="shared" si="12"/>
        <v>0</v>
      </c>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row>
    <row r="7" spans="1:66" hidden="1">
      <c r="A7">
        <f t="shared" si="13"/>
        <v>4</v>
      </c>
      <c r="B7" s="407">
        <v>1</v>
      </c>
      <c r="C7" s="407" t="s">
        <v>973</v>
      </c>
      <c r="D7" s="407" t="s">
        <v>974</v>
      </c>
      <c r="E7" s="407" t="s">
        <v>556</v>
      </c>
      <c r="F7" s="407" t="s">
        <v>975</v>
      </c>
      <c r="G7" s="409">
        <v>2579.5500000000002</v>
      </c>
      <c r="H7" s="410"/>
      <c r="I7" s="409">
        <f t="shared" si="0"/>
        <v>2579.5500000000002</v>
      </c>
      <c r="K7" s="17"/>
      <c r="L7" s="17" t="s">
        <v>966</v>
      </c>
      <c r="M7" s="720">
        <v>43363</v>
      </c>
      <c r="N7" s="721" t="b">
        <f t="shared" si="1"/>
        <v>0</v>
      </c>
      <c r="O7" s="721" t="b">
        <f t="shared" ref="O7:O8" si="15">TRUE()</f>
        <v>1</v>
      </c>
      <c r="P7" s="721" t="b">
        <f t="shared" si="14"/>
        <v>0</v>
      </c>
      <c r="Q7" s="721" t="b">
        <f t="shared" si="3"/>
        <v>0</v>
      </c>
      <c r="R7" s="721" t="b">
        <f t="shared" ref="R7:R26" si="16">FALSE()</f>
        <v>0</v>
      </c>
      <c r="S7" s="721" t="b">
        <f t="shared" si="4"/>
        <v>0</v>
      </c>
      <c r="T7" s="721" t="b">
        <f t="shared" si="5"/>
        <v>0</v>
      </c>
      <c r="U7" s="721" t="b">
        <f t="shared" si="6"/>
        <v>0</v>
      </c>
      <c r="V7" s="721" t="b">
        <f t="shared" si="7"/>
        <v>0</v>
      </c>
      <c r="W7" s="721" t="b">
        <f t="shared" si="8"/>
        <v>0</v>
      </c>
      <c r="X7" s="721" t="b">
        <f t="shared" si="9"/>
        <v>0</v>
      </c>
      <c r="Y7" s="721" t="b">
        <f t="shared" si="10"/>
        <v>0</v>
      </c>
      <c r="Z7" s="721" t="b">
        <f t="shared" si="11"/>
        <v>0</v>
      </c>
      <c r="AA7" s="721" t="b">
        <f t="shared" si="12"/>
        <v>0</v>
      </c>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row>
    <row r="8" spans="1:66" ht="22.25" hidden="1">
      <c r="A8">
        <f t="shared" si="13"/>
        <v>5</v>
      </c>
      <c r="B8" s="407">
        <v>1</v>
      </c>
      <c r="C8" s="407" t="s">
        <v>505</v>
      </c>
      <c r="D8" s="407" t="s">
        <v>974</v>
      </c>
      <c r="E8" s="407" t="s">
        <v>556</v>
      </c>
      <c r="F8" s="407" t="s">
        <v>976</v>
      </c>
      <c r="G8" s="409">
        <f>2579.55/344</f>
        <v>7.4986918604651169</v>
      </c>
      <c r="H8" s="410"/>
      <c r="I8" s="409">
        <f t="shared" si="0"/>
        <v>7.4986918604651169</v>
      </c>
      <c r="K8" s="204" t="s">
        <v>977</v>
      </c>
      <c r="L8" s="17" t="s">
        <v>966</v>
      </c>
      <c r="M8" s="720">
        <v>43363</v>
      </c>
      <c r="N8" s="721" t="b">
        <f t="shared" si="1"/>
        <v>0</v>
      </c>
      <c r="O8" s="721" t="b">
        <f t="shared" si="15"/>
        <v>1</v>
      </c>
      <c r="P8" s="721" t="b">
        <f t="shared" si="14"/>
        <v>0</v>
      </c>
      <c r="Q8" s="721" t="b">
        <f t="shared" si="3"/>
        <v>0</v>
      </c>
      <c r="R8" s="721" t="b">
        <f t="shared" si="16"/>
        <v>0</v>
      </c>
      <c r="S8" s="721" t="b">
        <f t="shared" si="4"/>
        <v>0</v>
      </c>
      <c r="T8" s="721" t="b">
        <f t="shared" si="5"/>
        <v>0</v>
      </c>
      <c r="U8" s="721" t="b">
        <f t="shared" si="6"/>
        <v>0</v>
      </c>
      <c r="V8" s="721" t="b">
        <f t="shared" si="7"/>
        <v>0</v>
      </c>
      <c r="W8" s="721" t="b">
        <f t="shared" si="8"/>
        <v>0</v>
      </c>
      <c r="X8" s="721" t="b">
        <f t="shared" si="9"/>
        <v>0</v>
      </c>
      <c r="Y8" s="721" t="b">
        <f t="shared" si="10"/>
        <v>0</v>
      </c>
      <c r="Z8" s="721" t="b">
        <f t="shared" si="11"/>
        <v>0</v>
      </c>
      <c r="AA8" s="721" t="b">
        <f t="shared" si="12"/>
        <v>0</v>
      </c>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row>
    <row r="9" spans="1:66" ht="22.25" hidden="1">
      <c r="A9">
        <f t="shared" si="13"/>
        <v>6</v>
      </c>
      <c r="B9" s="407">
        <v>1</v>
      </c>
      <c r="C9" s="407" t="s">
        <v>522</v>
      </c>
      <c r="D9" s="407" t="s">
        <v>974</v>
      </c>
      <c r="E9" s="407" t="s">
        <v>978</v>
      </c>
      <c r="F9" s="408" t="s">
        <v>979</v>
      </c>
      <c r="G9" s="409">
        <v>674.12</v>
      </c>
      <c r="H9" s="410"/>
      <c r="I9" s="409">
        <f t="shared" si="0"/>
        <v>674.12</v>
      </c>
      <c r="J9" s="58">
        <f>160*400*1.732</f>
        <v>110848</v>
      </c>
      <c r="K9" s="427"/>
      <c r="L9" s="427" t="s">
        <v>966</v>
      </c>
      <c r="M9" s="720">
        <v>43363</v>
      </c>
      <c r="N9" s="721" t="b">
        <f t="shared" si="1"/>
        <v>0</v>
      </c>
      <c r="O9" s="721" t="b">
        <f>FALSE()</f>
        <v>0</v>
      </c>
      <c r="P9" s="721" t="b">
        <f t="shared" si="14"/>
        <v>0</v>
      </c>
      <c r="Q9" s="721" t="b">
        <f t="shared" si="3"/>
        <v>0</v>
      </c>
      <c r="R9" s="721" t="b">
        <f t="shared" si="16"/>
        <v>0</v>
      </c>
      <c r="S9" s="721" t="b">
        <f>TRUE()</f>
        <v>1</v>
      </c>
      <c r="T9" s="721" t="b">
        <f t="shared" si="5"/>
        <v>0</v>
      </c>
      <c r="U9" s="721" t="b">
        <f t="shared" si="6"/>
        <v>0</v>
      </c>
      <c r="V9" s="721" t="b">
        <f t="shared" si="7"/>
        <v>0</v>
      </c>
      <c r="W9" s="721" t="b">
        <f t="shared" si="8"/>
        <v>0</v>
      </c>
      <c r="X9" s="721" t="b">
        <f t="shared" si="9"/>
        <v>0</v>
      </c>
      <c r="Y9" s="721" t="b">
        <f t="shared" si="10"/>
        <v>0</v>
      </c>
      <c r="Z9" s="721" t="b">
        <f t="shared" si="11"/>
        <v>0</v>
      </c>
      <c r="AA9" s="721" t="b">
        <f t="shared" si="12"/>
        <v>0</v>
      </c>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row>
    <row r="10" spans="1:66" ht="22.25" hidden="1">
      <c r="A10">
        <f t="shared" si="13"/>
        <v>7</v>
      </c>
      <c r="B10" s="407">
        <v>1</v>
      </c>
      <c r="C10" s="407" t="s">
        <v>505</v>
      </c>
      <c r="D10" s="488" t="s">
        <v>980</v>
      </c>
      <c r="E10" s="407" t="s">
        <v>556</v>
      </c>
      <c r="F10" s="407" t="s">
        <v>981</v>
      </c>
      <c r="G10" s="409">
        <f>8694.32/344</f>
        <v>25.274186046511627</v>
      </c>
      <c r="H10" s="410"/>
      <c r="I10" s="409">
        <f t="shared" ref="I10:I73" si="17">G10*(1-H10)</f>
        <v>25.274186046511627</v>
      </c>
      <c r="K10" s="204" t="s">
        <v>977</v>
      </c>
      <c r="L10" s="17" t="s">
        <v>966</v>
      </c>
      <c r="M10" s="720">
        <v>43363</v>
      </c>
      <c r="N10" s="721" t="b">
        <f t="shared" si="1"/>
        <v>0</v>
      </c>
      <c r="O10" s="721" t="b">
        <f t="shared" ref="O10:O11" si="18">TRUE()</f>
        <v>1</v>
      </c>
      <c r="P10" s="721" t="b">
        <f t="shared" si="14"/>
        <v>0</v>
      </c>
      <c r="Q10" s="721" t="b">
        <f t="shared" si="3"/>
        <v>0</v>
      </c>
      <c r="R10" s="721" t="b">
        <f t="shared" si="16"/>
        <v>0</v>
      </c>
      <c r="S10" s="721" t="b">
        <f t="shared" ref="S10:S27" si="19">FALSE()</f>
        <v>0</v>
      </c>
      <c r="T10" s="721" t="b">
        <f t="shared" si="5"/>
        <v>0</v>
      </c>
      <c r="U10" s="721" t="b">
        <f t="shared" si="6"/>
        <v>0</v>
      </c>
      <c r="V10" s="721" t="b">
        <f t="shared" si="7"/>
        <v>0</v>
      </c>
      <c r="W10" s="721" t="b">
        <f t="shared" si="8"/>
        <v>0</v>
      </c>
      <c r="X10" s="721" t="b">
        <f t="shared" si="9"/>
        <v>0</v>
      </c>
      <c r="Y10" s="721" t="b">
        <f t="shared" si="10"/>
        <v>0</v>
      </c>
      <c r="Z10" s="721" t="b">
        <f t="shared" si="11"/>
        <v>0</v>
      </c>
      <c r="AA10" s="721" t="b">
        <f t="shared" si="12"/>
        <v>0</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row>
    <row r="11" spans="1:66" ht="22.25" hidden="1">
      <c r="A11">
        <f t="shared" ref="A11:A74" si="20">A10+1</f>
        <v>8</v>
      </c>
      <c r="B11" s="487">
        <v>1</v>
      </c>
      <c r="C11" s="487" t="s">
        <v>522</v>
      </c>
      <c r="D11" s="487" t="s">
        <v>982</v>
      </c>
      <c r="E11" s="487" t="s">
        <v>556</v>
      </c>
      <c r="F11" s="492" t="s">
        <v>983</v>
      </c>
      <c r="G11" s="430">
        <f>4156.82/126</f>
        <v>32.990634920634918</v>
      </c>
      <c r="H11" s="428"/>
      <c r="I11" s="430">
        <f t="shared" si="17"/>
        <v>32.990634920634918</v>
      </c>
      <c r="K11" s="204" t="s">
        <v>977</v>
      </c>
      <c r="L11" s="17" t="s">
        <v>966</v>
      </c>
      <c r="M11" s="720">
        <v>43364</v>
      </c>
      <c r="N11" s="721" t="b">
        <f t="shared" si="1"/>
        <v>0</v>
      </c>
      <c r="O11" s="721" t="b">
        <f t="shared" si="18"/>
        <v>1</v>
      </c>
      <c r="P11" s="721" t="b">
        <f t="shared" si="14"/>
        <v>0</v>
      </c>
      <c r="Q11" s="721" t="b">
        <f t="shared" si="3"/>
        <v>0</v>
      </c>
      <c r="R11" s="721" t="b">
        <f t="shared" si="16"/>
        <v>0</v>
      </c>
      <c r="S11" s="721" t="b">
        <f t="shared" si="19"/>
        <v>0</v>
      </c>
      <c r="T11" s="721" t="b">
        <f t="shared" si="5"/>
        <v>0</v>
      </c>
      <c r="U11" s="721" t="b">
        <f t="shared" si="6"/>
        <v>0</v>
      </c>
      <c r="V11" s="721" t="b">
        <f t="shared" si="7"/>
        <v>0</v>
      </c>
      <c r="W11" s="721" t="b">
        <f t="shared" si="8"/>
        <v>0</v>
      </c>
      <c r="X11" s="721" t="b">
        <f t="shared" si="9"/>
        <v>0</v>
      </c>
      <c r="Y11" s="721" t="b">
        <f t="shared" si="10"/>
        <v>0</v>
      </c>
      <c r="Z11" s="721" t="b">
        <f t="shared" si="11"/>
        <v>0</v>
      </c>
      <c r="AA11" s="721" t="b">
        <f t="shared" si="12"/>
        <v>0</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row>
    <row r="12" spans="1:66" ht="155.80000000000001" hidden="1">
      <c r="A12">
        <f t="shared" si="20"/>
        <v>9</v>
      </c>
      <c r="B12" s="487">
        <v>1</v>
      </c>
      <c r="C12" s="487" t="s">
        <v>522</v>
      </c>
      <c r="D12" s="487" t="s">
        <v>984</v>
      </c>
      <c r="E12" s="487" t="s">
        <v>985</v>
      </c>
      <c r="F12" s="492" t="s">
        <v>986</v>
      </c>
      <c r="G12" s="430">
        <v>493.33</v>
      </c>
      <c r="H12" s="428"/>
      <c r="I12" s="430">
        <f t="shared" si="17"/>
        <v>493.33</v>
      </c>
      <c r="K12" s="719"/>
      <c r="L12" s="17" t="s">
        <v>966</v>
      </c>
      <c r="M12" s="720">
        <v>43627</v>
      </c>
      <c r="N12" s="721" t="b">
        <f t="shared" si="1"/>
        <v>0</v>
      </c>
      <c r="O12" s="721" t="b">
        <f t="shared" ref="O12:O22" si="21">FALSE()</f>
        <v>0</v>
      </c>
      <c r="P12" s="721" t="b">
        <f t="shared" si="14"/>
        <v>0</v>
      </c>
      <c r="Q12" s="721" t="b">
        <f>TRUE()</f>
        <v>1</v>
      </c>
      <c r="R12" s="721" t="b">
        <f t="shared" si="16"/>
        <v>0</v>
      </c>
      <c r="S12" s="721" t="b">
        <f t="shared" si="19"/>
        <v>0</v>
      </c>
      <c r="T12" s="721" t="b">
        <f t="shared" si="5"/>
        <v>0</v>
      </c>
      <c r="U12" s="721" t="b">
        <f t="shared" si="6"/>
        <v>0</v>
      </c>
      <c r="V12" s="721" t="b">
        <f t="shared" si="7"/>
        <v>0</v>
      </c>
      <c r="W12" s="721" t="b">
        <f t="shared" si="8"/>
        <v>0</v>
      </c>
      <c r="X12" s="721" t="b">
        <f t="shared" si="9"/>
        <v>0</v>
      </c>
      <c r="Y12" s="721" t="b">
        <f t="shared" si="10"/>
        <v>0</v>
      </c>
      <c r="Z12" s="721" t="b">
        <f t="shared" si="11"/>
        <v>0</v>
      </c>
      <c r="AA12" s="721" t="b">
        <f t="shared" si="12"/>
        <v>0</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row>
    <row r="13" spans="1:66" ht="33.4" hidden="1">
      <c r="A13">
        <f t="shared" si="20"/>
        <v>10</v>
      </c>
      <c r="B13" s="407">
        <v>1</v>
      </c>
      <c r="C13" s="407" t="s">
        <v>539</v>
      </c>
      <c r="D13" s="407" t="s">
        <v>987</v>
      </c>
      <c r="E13" s="407" t="s">
        <v>541</v>
      </c>
      <c r="F13" s="408" t="s">
        <v>542</v>
      </c>
      <c r="G13" s="409">
        <f t="shared" ref="G13:G14" si="22">328.33/500</f>
        <v>0.65666000000000002</v>
      </c>
      <c r="H13" s="428"/>
      <c r="I13" s="430">
        <f t="shared" si="17"/>
        <v>0.65666000000000002</v>
      </c>
      <c r="K13" s="719"/>
      <c r="L13" s="17" t="s">
        <v>966</v>
      </c>
      <c r="M13" s="720">
        <v>43627</v>
      </c>
      <c r="N13" s="721" t="b">
        <f t="shared" si="1"/>
        <v>0</v>
      </c>
      <c r="O13" s="721" t="b">
        <f t="shared" si="21"/>
        <v>0</v>
      </c>
      <c r="P13" s="721" t="b">
        <f t="shared" si="14"/>
        <v>0</v>
      </c>
      <c r="Q13" s="721" t="b">
        <f t="shared" ref="Q13:Q19" si="23">FALSE()</f>
        <v>0</v>
      </c>
      <c r="R13" s="721" t="b">
        <f t="shared" si="16"/>
        <v>0</v>
      </c>
      <c r="S13" s="721" t="b">
        <f t="shared" si="19"/>
        <v>0</v>
      </c>
      <c r="T13" s="721" t="b">
        <f t="shared" si="5"/>
        <v>0</v>
      </c>
      <c r="U13" s="721" t="b">
        <f t="shared" si="6"/>
        <v>0</v>
      </c>
      <c r="V13" s="721" t="b">
        <f t="shared" ref="V13:V14" si="24">TRUE()</f>
        <v>1</v>
      </c>
      <c r="W13" s="721" t="b">
        <f t="shared" si="8"/>
        <v>0</v>
      </c>
      <c r="X13" s="721" t="b">
        <f t="shared" si="9"/>
        <v>0</v>
      </c>
      <c r="Y13" s="721" t="b">
        <f t="shared" si="10"/>
        <v>0</v>
      </c>
      <c r="Z13" s="721" t="b">
        <f t="shared" si="11"/>
        <v>0</v>
      </c>
      <c r="AA13" s="721" t="b">
        <f t="shared" si="12"/>
        <v>0</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row>
    <row r="14" spans="1:66" ht="33.4" hidden="1">
      <c r="A14">
        <f t="shared" si="20"/>
        <v>11</v>
      </c>
      <c r="B14" s="407">
        <v>1</v>
      </c>
      <c r="C14" s="407" t="s">
        <v>539</v>
      </c>
      <c r="D14" s="407" t="s">
        <v>987</v>
      </c>
      <c r="E14" s="407" t="s">
        <v>543</v>
      </c>
      <c r="F14" s="408" t="s">
        <v>544</v>
      </c>
      <c r="G14" s="409">
        <f t="shared" si="22"/>
        <v>0.65666000000000002</v>
      </c>
      <c r="H14" s="428"/>
      <c r="I14" s="430">
        <f t="shared" si="17"/>
        <v>0.65666000000000002</v>
      </c>
      <c r="K14" s="719"/>
      <c r="L14" s="17" t="s">
        <v>966</v>
      </c>
      <c r="M14" s="720">
        <v>43627</v>
      </c>
      <c r="N14" s="721" t="b">
        <f t="shared" si="1"/>
        <v>0</v>
      </c>
      <c r="O14" s="721" t="b">
        <f t="shared" si="21"/>
        <v>0</v>
      </c>
      <c r="P14" s="721" t="b">
        <f t="shared" si="14"/>
        <v>0</v>
      </c>
      <c r="Q14" s="721" t="b">
        <f t="shared" si="23"/>
        <v>0</v>
      </c>
      <c r="R14" s="721" t="b">
        <f t="shared" si="16"/>
        <v>0</v>
      </c>
      <c r="S14" s="721" t="b">
        <f t="shared" si="19"/>
        <v>0</v>
      </c>
      <c r="T14" s="721" t="b">
        <f t="shared" si="5"/>
        <v>0</v>
      </c>
      <c r="U14" s="721" t="b">
        <f t="shared" si="6"/>
        <v>0</v>
      </c>
      <c r="V14" s="721" t="b">
        <f t="shared" si="24"/>
        <v>1</v>
      </c>
      <c r="W14" s="721" t="b">
        <f t="shared" si="8"/>
        <v>0</v>
      </c>
      <c r="X14" s="721" t="b">
        <f t="shared" si="9"/>
        <v>0</v>
      </c>
      <c r="Y14" s="721" t="b">
        <f t="shared" si="10"/>
        <v>0</v>
      </c>
      <c r="Z14" s="721" t="b">
        <f t="shared" si="11"/>
        <v>0</v>
      </c>
      <c r="AA14" s="721" t="b">
        <f t="shared" si="12"/>
        <v>0</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row>
    <row r="15" spans="1:66" ht="33.4" hidden="1">
      <c r="A15">
        <f t="shared" si="20"/>
        <v>12</v>
      </c>
      <c r="B15" s="487">
        <v>1</v>
      </c>
      <c r="C15" s="487" t="s">
        <v>522</v>
      </c>
      <c r="D15" s="487" t="s">
        <v>987</v>
      </c>
      <c r="E15" s="487" t="s">
        <v>797</v>
      </c>
      <c r="F15" s="492" t="s">
        <v>798</v>
      </c>
      <c r="G15" s="430">
        <v>1.46</v>
      </c>
      <c r="H15" s="428"/>
      <c r="I15" s="430">
        <f t="shared" si="17"/>
        <v>1.46</v>
      </c>
      <c r="K15" s="719"/>
      <c r="L15" s="17" t="s">
        <v>966</v>
      </c>
      <c r="M15" s="720">
        <v>43627</v>
      </c>
      <c r="N15" s="721" t="b">
        <f t="shared" si="1"/>
        <v>0</v>
      </c>
      <c r="O15" s="721" t="b">
        <f t="shared" si="21"/>
        <v>0</v>
      </c>
      <c r="P15" s="721" t="b">
        <f t="shared" si="14"/>
        <v>0</v>
      </c>
      <c r="Q15" s="721" t="b">
        <f t="shared" si="23"/>
        <v>0</v>
      </c>
      <c r="R15" s="721" t="b">
        <f t="shared" si="16"/>
        <v>0</v>
      </c>
      <c r="S15" s="721" t="b">
        <f t="shared" si="19"/>
        <v>0</v>
      </c>
      <c r="T15" s="721" t="b">
        <f t="shared" si="5"/>
        <v>0</v>
      </c>
      <c r="U15" s="721" t="b">
        <f t="shared" ref="U15:U16" si="25">TRUE()</f>
        <v>1</v>
      </c>
      <c r="V15" s="721" t="b">
        <f t="shared" ref="V15:V42" si="26">FALSE()</f>
        <v>0</v>
      </c>
      <c r="W15" s="721" t="b">
        <f t="shared" si="8"/>
        <v>0</v>
      </c>
      <c r="X15" s="721" t="b">
        <f t="shared" si="9"/>
        <v>0</v>
      </c>
      <c r="Y15" s="721" t="b">
        <f t="shared" si="10"/>
        <v>0</v>
      </c>
      <c r="Z15" s="721" t="b">
        <f t="shared" si="11"/>
        <v>0</v>
      </c>
      <c r="AA15" s="721" t="b">
        <f t="shared" si="12"/>
        <v>0</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row>
    <row r="16" spans="1:66" ht="33.4" hidden="1">
      <c r="A16">
        <f t="shared" si="20"/>
        <v>13</v>
      </c>
      <c r="B16" s="487">
        <v>1</v>
      </c>
      <c r="C16" s="487" t="s">
        <v>522</v>
      </c>
      <c r="D16" s="487" t="s">
        <v>987</v>
      </c>
      <c r="E16" s="487" t="s">
        <v>800</v>
      </c>
      <c r="F16" s="492" t="s">
        <v>801</v>
      </c>
      <c r="G16" s="430">
        <v>1.1000000000000001</v>
      </c>
      <c r="H16" s="428"/>
      <c r="I16" s="430">
        <f t="shared" si="17"/>
        <v>1.1000000000000001</v>
      </c>
      <c r="K16" s="719"/>
      <c r="L16" s="17" t="s">
        <v>966</v>
      </c>
      <c r="M16" s="720">
        <v>43627</v>
      </c>
      <c r="N16" s="721" t="b">
        <f t="shared" si="1"/>
        <v>0</v>
      </c>
      <c r="O16" s="721" t="b">
        <f t="shared" si="21"/>
        <v>0</v>
      </c>
      <c r="P16" s="721" t="b">
        <f t="shared" si="14"/>
        <v>0</v>
      </c>
      <c r="Q16" s="721" t="b">
        <f t="shared" si="23"/>
        <v>0</v>
      </c>
      <c r="R16" s="721" t="b">
        <f t="shared" si="16"/>
        <v>0</v>
      </c>
      <c r="S16" s="721" t="b">
        <f t="shared" si="19"/>
        <v>0</v>
      </c>
      <c r="T16" s="721" t="b">
        <f t="shared" si="5"/>
        <v>0</v>
      </c>
      <c r="U16" s="721" t="b">
        <f t="shared" si="25"/>
        <v>1</v>
      </c>
      <c r="V16" s="721" t="b">
        <f t="shared" si="26"/>
        <v>0</v>
      </c>
      <c r="W16" s="721" t="b">
        <f t="shared" si="8"/>
        <v>0</v>
      </c>
      <c r="X16" s="721" t="b">
        <f t="shared" si="9"/>
        <v>0</v>
      </c>
      <c r="Y16" s="721" t="b">
        <f t="shared" si="10"/>
        <v>0</v>
      </c>
      <c r="Z16" s="721" t="b">
        <f t="shared" si="11"/>
        <v>0</v>
      </c>
      <c r="AA16" s="721" t="b">
        <f t="shared" si="12"/>
        <v>0</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row>
    <row r="17" spans="1:66" ht="44.55" hidden="1">
      <c r="A17">
        <f t="shared" si="20"/>
        <v>14</v>
      </c>
      <c r="B17" s="487">
        <v>1</v>
      </c>
      <c r="C17" s="487" t="s">
        <v>522</v>
      </c>
      <c r="D17" s="487" t="s">
        <v>987</v>
      </c>
      <c r="E17" s="487" t="s">
        <v>988</v>
      </c>
      <c r="F17" s="492" t="s">
        <v>989</v>
      </c>
      <c r="G17" s="430">
        <v>1961.49</v>
      </c>
      <c r="H17" s="428"/>
      <c r="I17" s="430">
        <f t="shared" si="17"/>
        <v>1961.49</v>
      </c>
      <c r="J17" s="58">
        <v>15000</v>
      </c>
      <c r="K17" s="417">
        <f>G17/J17</f>
        <v>0.13076599999999999</v>
      </c>
      <c r="L17" s="17" t="s">
        <v>966</v>
      </c>
      <c r="M17" s="720">
        <v>43627</v>
      </c>
      <c r="N17" s="721" t="b">
        <f t="shared" si="1"/>
        <v>0</v>
      </c>
      <c r="O17" s="721" t="b">
        <f t="shared" si="21"/>
        <v>0</v>
      </c>
      <c r="P17" s="721" t="b">
        <f>TRUE()</f>
        <v>1</v>
      </c>
      <c r="Q17" s="721" t="b">
        <f t="shared" si="23"/>
        <v>0</v>
      </c>
      <c r="R17" s="721" t="b">
        <f t="shared" si="16"/>
        <v>0</v>
      </c>
      <c r="S17" s="721" t="b">
        <f t="shared" si="19"/>
        <v>0</v>
      </c>
      <c r="T17" s="721" t="b">
        <f t="shared" si="5"/>
        <v>0</v>
      </c>
      <c r="U17" s="721" t="b">
        <f>FALSE()</f>
        <v>0</v>
      </c>
      <c r="V17" s="721" t="b">
        <f t="shared" si="26"/>
        <v>0</v>
      </c>
      <c r="W17" s="721" t="b">
        <f t="shared" si="8"/>
        <v>0</v>
      </c>
      <c r="X17" s="721" t="b">
        <f t="shared" si="9"/>
        <v>0</v>
      </c>
      <c r="Y17" s="721" t="b">
        <f t="shared" si="10"/>
        <v>0</v>
      </c>
      <c r="Z17" s="721" t="b">
        <f t="shared" si="11"/>
        <v>0</v>
      </c>
      <c r="AA17" s="721" t="b">
        <f t="shared" si="12"/>
        <v>0</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66" ht="33.4" hidden="1">
      <c r="A18">
        <f t="shared" si="20"/>
        <v>15</v>
      </c>
      <c r="B18" s="487">
        <v>1</v>
      </c>
      <c r="C18" s="487" t="s">
        <v>522</v>
      </c>
      <c r="D18" s="487" t="s">
        <v>987</v>
      </c>
      <c r="E18" s="487" t="s">
        <v>990</v>
      </c>
      <c r="F18" s="492" t="s">
        <v>991</v>
      </c>
      <c r="G18" s="430">
        <v>33.43</v>
      </c>
      <c r="H18" s="428"/>
      <c r="I18" s="430">
        <f t="shared" si="17"/>
        <v>33.43</v>
      </c>
      <c r="K18" s="719"/>
      <c r="L18" s="17" t="s">
        <v>966</v>
      </c>
      <c r="M18" s="720">
        <v>43627</v>
      </c>
      <c r="N18" s="721" t="b">
        <f t="shared" si="1"/>
        <v>0</v>
      </c>
      <c r="O18" s="721" t="b">
        <f t="shared" si="21"/>
        <v>0</v>
      </c>
      <c r="P18" s="721" t="b">
        <f t="shared" ref="P18:P20" si="27">FALSE()</f>
        <v>0</v>
      </c>
      <c r="Q18" s="721" t="b">
        <f t="shared" si="23"/>
        <v>0</v>
      </c>
      <c r="R18" s="721" t="b">
        <f t="shared" si="16"/>
        <v>0</v>
      </c>
      <c r="S18" s="721" t="b">
        <f t="shared" si="19"/>
        <v>0</v>
      </c>
      <c r="T18" s="721" t="b">
        <f t="shared" si="5"/>
        <v>0</v>
      </c>
      <c r="U18" s="721" t="b">
        <f>TRUE()</f>
        <v>1</v>
      </c>
      <c r="V18" s="721" t="b">
        <f t="shared" si="26"/>
        <v>0</v>
      </c>
      <c r="W18" s="721" t="b">
        <f t="shared" si="8"/>
        <v>0</v>
      </c>
      <c r="X18" s="721" t="b">
        <f t="shared" si="9"/>
        <v>0</v>
      </c>
      <c r="Y18" s="721" t="b">
        <f t="shared" si="10"/>
        <v>0</v>
      </c>
      <c r="Z18" s="721" t="b">
        <f t="shared" si="11"/>
        <v>0</v>
      </c>
      <c r="AA18" s="721" t="b">
        <f t="shared" si="12"/>
        <v>0</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66" ht="33.4" hidden="1">
      <c r="A19">
        <f t="shared" si="20"/>
        <v>16</v>
      </c>
      <c r="B19" s="487">
        <v>8</v>
      </c>
      <c r="C19" s="487" t="s">
        <v>522</v>
      </c>
      <c r="D19" s="487" t="s">
        <v>987</v>
      </c>
      <c r="E19" s="487" t="s">
        <v>761</v>
      </c>
      <c r="F19" s="492" t="s">
        <v>762</v>
      </c>
      <c r="G19" s="430">
        <v>2.5</v>
      </c>
      <c r="H19" s="428"/>
      <c r="I19" s="430">
        <f t="shared" si="17"/>
        <v>2.5</v>
      </c>
      <c r="K19" s="719"/>
      <c r="L19" s="17" t="s">
        <v>966</v>
      </c>
      <c r="M19" s="720">
        <v>43627</v>
      </c>
      <c r="N19" s="721" t="b">
        <f t="shared" si="1"/>
        <v>0</v>
      </c>
      <c r="O19" s="721" t="b">
        <f t="shared" si="21"/>
        <v>0</v>
      </c>
      <c r="P19" s="721" t="b">
        <f t="shared" si="27"/>
        <v>0</v>
      </c>
      <c r="Q19" s="721" t="b">
        <f t="shared" si="23"/>
        <v>0</v>
      </c>
      <c r="R19" s="721" t="b">
        <f t="shared" si="16"/>
        <v>0</v>
      </c>
      <c r="S19" s="721" t="b">
        <f t="shared" si="19"/>
        <v>0</v>
      </c>
      <c r="T19" s="721" t="b">
        <f>TRUE()</f>
        <v>1</v>
      </c>
      <c r="U19" s="721" t="b">
        <f t="shared" ref="U19:U39" si="28">FALSE()</f>
        <v>0</v>
      </c>
      <c r="V19" s="721" t="b">
        <f t="shared" si="26"/>
        <v>0</v>
      </c>
      <c r="W19" s="721" t="b">
        <f t="shared" si="8"/>
        <v>0</v>
      </c>
      <c r="X19" s="721" t="b">
        <f t="shared" si="9"/>
        <v>0</v>
      </c>
      <c r="Y19" s="721" t="b">
        <f t="shared" si="10"/>
        <v>0</v>
      </c>
      <c r="Z19" s="721" t="b">
        <f t="shared" si="11"/>
        <v>0</v>
      </c>
      <c r="AA19" s="721" t="b">
        <f t="shared" si="12"/>
        <v>0</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66" ht="33.4" hidden="1">
      <c r="A20">
        <f t="shared" si="20"/>
        <v>17</v>
      </c>
      <c r="B20" s="487">
        <v>1</v>
      </c>
      <c r="C20" s="487" t="s">
        <v>522</v>
      </c>
      <c r="D20" s="407" t="s">
        <v>987</v>
      </c>
      <c r="E20" s="407" t="s">
        <v>992</v>
      </c>
      <c r="F20" s="408" t="s">
        <v>993</v>
      </c>
      <c r="G20" s="409">
        <v>274.44</v>
      </c>
      <c r="H20" s="428"/>
      <c r="I20" s="430">
        <f t="shared" si="17"/>
        <v>274.44</v>
      </c>
      <c r="K20" s="17"/>
      <c r="L20" s="17" t="s">
        <v>966</v>
      </c>
      <c r="M20" s="720">
        <v>43627</v>
      </c>
      <c r="N20" s="721" t="b">
        <f t="shared" si="1"/>
        <v>0</v>
      </c>
      <c r="O20" s="721" t="b">
        <f t="shared" si="21"/>
        <v>0</v>
      </c>
      <c r="P20" s="721" t="b">
        <f t="shared" si="27"/>
        <v>0</v>
      </c>
      <c r="Q20" s="721" t="b">
        <f>TRUE()</f>
        <v>1</v>
      </c>
      <c r="R20" s="721" t="b">
        <f t="shared" si="16"/>
        <v>0</v>
      </c>
      <c r="S20" s="721" t="b">
        <f t="shared" si="19"/>
        <v>0</v>
      </c>
      <c r="T20" s="721" t="b">
        <f t="shared" ref="T20:T41" si="29">FALSE()</f>
        <v>0</v>
      </c>
      <c r="U20" s="721" t="b">
        <f t="shared" si="28"/>
        <v>0</v>
      </c>
      <c r="V20" s="721" t="b">
        <f t="shared" si="26"/>
        <v>0</v>
      </c>
      <c r="W20" s="721" t="b">
        <f t="shared" si="8"/>
        <v>0</v>
      </c>
      <c r="X20" s="721" t="b">
        <f t="shared" si="9"/>
        <v>0</v>
      </c>
      <c r="Y20" s="721" t="b">
        <f t="shared" si="10"/>
        <v>0</v>
      </c>
      <c r="Z20" s="721" t="b">
        <f t="shared" si="11"/>
        <v>0</v>
      </c>
      <c r="AA20" s="721" t="b">
        <f t="shared" si="12"/>
        <v>0</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66" ht="44.55" hidden="1">
      <c r="A21">
        <f t="shared" si="20"/>
        <v>18</v>
      </c>
      <c r="B21" s="487">
        <v>1</v>
      </c>
      <c r="C21" s="487" t="s">
        <v>522</v>
      </c>
      <c r="D21" s="487" t="s">
        <v>987</v>
      </c>
      <c r="E21" s="487" t="s">
        <v>821</v>
      </c>
      <c r="F21" s="492" t="s">
        <v>822</v>
      </c>
      <c r="G21" s="430">
        <v>2175.1999999999998</v>
      </c>
      <c r="H21" s="428"/>
      <c r="I21" s="430">
        <f t="shared" si="17"/>
        <v>2175.1999999999998</v>
      </c>
      <c r="J21" s="58">
        <v>27000</v>
      </c>
      <c r="K21" s="417">
        <f>G21/J21</f>
        <v>8.0562962962962961E-2</v>
      </c>
      <c r="L21" s="17" t="s">
        <v>966</v>
      </c>
      <c r="M21" s="720">
        <v>43627</v>
      </c>
      <c r="N21" s="721" t="b">
        <f t="shared" si="1"/>
        <v>0</v>
      </c>
      <c r="O21" s="721" t="b">
        <f t="shared" si="21"/>
        <v>0</v>
      </c>
      <c r="P21" s="721" t="b">
        <f>TRUE()</f>
        <v>1</v>
      </c>
      <c r="Q21" s="721" t="b">
        <f t="shared" ref="Q21:Q23" si="30">FALSE()</f>
        <v>0</v>
      </c>
      <c r="R21" s="721" t="b">
        <f t="shared" si="16"/>
        <v>0</v>
      </c>
      <c r="S21" s="721" t="b">
        <f t="shared" si="19"/>
        <v>0</v>
      </c>
      <c r="T21" s="721" t="b">
        <f t="shared" si="29"/>
        <v>0</v>
      </c>
      <c r="U21" s="721" t="b">
        <f t="shared" si="28"/>
        <v>0</v>
      </c>
      <c r="V21" s="721" t="b">
        <f t="shared" si="26"/>
        <v>0</v>
      </c>
      <c r="W21" s="721" t="b">
        <f t="shared" si="8"/>
        <v>0</v>
      </c>
      <c r="X21" s="721" t="b">
        <f t="shared" si="9"/>
        <v>0</v>
      </c>
      <c r="Y21" s="721" t="b">
        <f t="shared" si="10"/>
        <v>0</v>
      </c>
      <c r="Z21" s="721" t="b">
        <f t="shared" si="11"/>
        <v>0</v>
      </c>
      <c r="AA21" s="721" t="b">
        <f t="shared" si="12"/>
        <v>0</v>
      </c>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66" hidden="1">
      <c r="A22">
        <f t="shared" si="20"/>
        <v>19</v>
      </c>
      <c r="B22" s="487">
        <v>1</v>
      </c>
      <c r="C22" s="487"/>
      <c r="D22" s="487" t="s">
        <v>987</v>
      </c>
      <c r="E22" s="487" t="s">
        <v>769</v>
      </c>
      <c r="F22" s="487" t="s">
        <v>567</v>
      </c>
      <c r="G22" s="430">
        <v>750</v>
      </c>
      <c r="H22" s="428"/>
      <c r="I22" s="430">
        <f t="shared" si="17"/>
        <v>750</v>
      </c>
      <c r="K22" s="17"/>
      <c r="L22" s="17" t="s">
        <v>966</v>
      </c>
      <c r="M22" s="720">
        <v>43627</v>
      </c>
      <c r="N22" s="721" t="b">
        <f t="shared" si="1"/>
        <v>0</v>
      </c>
      <c r="O22" s="721" t="b">
        <f t="shared" si="21"/>
        <v>0</v>
      </c>
      <c r="P22" s="721" t="b">
        <f t="shared" ref="P22:P43" si="31">FALSE()</f>
        <v>0</v>
      </c>
      <c r="Q22" s="721" t="b">
        <f t="shared" si="30"/>
        <v>0</v>
      </c>
      <c r="R22" s="721" t="b">
        <f t="shared" si="16"/>
        <v>0</v>
      </c>
      <c r="S22" s="721" t="b">
        <f t="shared" si="19"/>
        <v>0</v>
      </c>
      <c r="T22" s="721" t="b">
        <f t="shared" si="29"/>
        <v>0</v>
      </c>
      <c r="U22" s="721" t="b">
        <f t="shared" si="28"/>
        <v>0</v>
      </c>
      <c r="V22" s="721" t="b">
        <f t="shared" si="26"/>
        <v>0</v>
      </c>
      <c r="W22" s="721" t="b">
        <f t="shared" si="8"/>
        <v>0</v>
      </c>
      <c r="X22" s="721" t="b">
        <f t="shared" si="9"/>
        <v>0</v>
      </c>
      <c r="Y22" s="721" t="b">
        <f t="shared" si="10"/>
        <v>0</v>
      </c>
      <c r="Z22" s="721" t="b">
        <f t="shared" si="11"/>
        <v>0</v>
      </c>
      <c r="AA22" s="721" t="b">
        <f>TRUE()</f>
        <v>1</v>
      </c>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66" hidden="1">
      <c r="A23">
        <f t="shared" si="20"/>
        <v>20</v>
      </c>
      <c r="B23" s="407">
        <v>1</v>
      </c>
      <c r="C23" s="407"/>
      <c r="D23" s="407" t="s">
        <v>987</v>
      </c>
      <c r="E23" s="407" t="s">
        <v>556</v>
      </c>
      <c r="F23" s="407" t="s">
        <v>994</v>
      </c>
      <c r="G23" s="409">
        <f>10440/261</f>
        <v>40</v>
      </c>
      <c r="H23" s="410"/>
      <c r="I23" s="409">
        <f t="shared" si="17"/>
        <v>40</v>
      </c>
      <c r="K23" s="17" t="s">
        <v>977</v>
      </c>
      <c r="L23" s="17" t="s">
        <v>966</v>
      </c>
      <c r="M23" s="720">
        <v>43627</v>
      </c>
      <c r="N23" s="721" t="b">
        <f t="shared" si="1"/>
        <v>0</v>
      </c>
      <c r="O23" s="721" t="b">
        <f>TRUE()</f>
        <v>1</v>
      </c>
      <c r="P23" s="721" t="b">
        <f t="shared" si="31"/>
        <v>0</v>
      </c>
      <c r="Q23" s="721" t="b">
        <f t="shared" si="30"/>
        <v>0</v>
      </c>
      <c r="R23" s="721" t="b">
        <f t="shared" si="16"/>
        <v>0</v>
      </c>
      <c r="S23" s="721" t="b">
        <f t="shared" si="19"/>
        <v>0</v>
      </c>
      <c r="T23" s="721" t="b">
        <f t="shared" si="29"/>
        <v>0</v>
      </c>
      <c r="U23" s="721" t="b">
        <f t="shared" si="28"/>
        <v>0</v>
      </c>
      <c r="V23" s="721" t="b">
        <f t="shared" si="26"/>
        <v>0</v>
      </c>
      <c r="W23" s="721" t="b">
        <f t="shared" si="8"/>
        <v>0</v>
      </c>
      <c r="X23" s="721" t="b">
        <f t="shared" si="9"/>
        <v>0</v>
      </c>
      <c r="Y23" s="721" t="b">
        <f t="shared" si="10"/>
        <v>0</v>
      </c>
      <c r="Z23" s="721" t="b">
        <f t="shared" si="11"/>
        <v>0</v>
      </c>
      <c r="AA23" s="721" t="b">
        <f t="shared" ref="AA23:AA35" si="32">FALSE()</f>
        <v>0</v>
      </c>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66" ht="55.65" hidden="1">
      <c r="A24">
        <f t="shared" si="20"/>
        <v>21</v>
      </c>
      <c r="B24" s="407">
        <v>1</v>
      </c>
      <c r="C24" s="407" t="s">
        <v>522</v>
      </c>
      <c r="D24" s="407" t="s">
        <v>987</v>
      </c>
      <c r="E24" s="407" t="s">
        <v>995</v>
      </c>
      <c r="F24" s="408" t="s">
        <v>996</v>
      </c>
      <c r="G24" s="409">
        <v>227.78</v>
      </c>
      <c r="H24" s="410"/>
      <c r="I24" s="409">
        <f t="shared" si="17"/>
        <v>227.78</v>
      </c>
      <c r="K24" s="17"/>
      <c r="L24" s="17" t="s">
        <v>966</v>
      </c>
      <c r="M24" s="720">
        <v>43627</v>
      </c>
      <c r="N24" s="721" t="b">
        <f t="shared" si="1"/>
        <v>0</v>
      </c>
      <c r="O24" s="721" t="b">
        <f t="shared" ref="O24:O36" si="33">FALSE()</f>
        <v>0</v>
      </c>
      <c r="P24" s="721" t="b">
        <f t="shared" si="31"/>
        <v>0</v>
      </c>
      <c r="Q24" s="721" t="b">
        <f t="shared" ref="Q24:Q25" si="34">TRUE()</f>
        <v>1</v>
      </c>
      <c r="R24" s="721" t="b">
        <f t="shared" si="16"/>
        <v>0</v>
      </c>
      <c r="S24" s="721" t="b">
        <f t="shared" si="19"/>
        <v>0</v>
      </c>
      <c r="T24" s="721" t="b">
        <f t="shared" si="29"/>
        <v>0</v>
      </c>
      <c r="U24" s="721" t="b">
        <f t="shared" si="28"/>
        <v>0</v>
      </c>
      <c r="V24" s="721" t="b">
        <f t="shared" si="26"/>
        <v>0</v>
      </c>
      <c r="W24" s="721" t="b">
        <f t="shared" si="8"/>
        <v>0</v>
      </c>
      <c r="X24" s="721" t="b">
        <f t="shared" si="9"/>
        <v>0</v>
      </c>
      <c r="Y24" s="721" t="b">
        <f t="shared" si="10"/>
        <v>0</v>
      </c>
      <c r="Z24" s="721" t="b">
        <f t="shared" si="11"/>
        <v>0</v>
      </c>
      <c r="AA24" s="721" t="b">
        <f t="shared" si="32"/>
        <v>0</v>
      </c>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66" hidden="1">
      <c r="A25">
        <f t="shared" si="20"/>
        <v>22</v>
      </c>
      <c r="B25" s="407">
        <v>1</v>
      </c>
      <c r="C25" s="407"/>
      <c r="D25" s="407" t="s">
        <v>987</v>
      </c>
      <c r="E25" s="407" t="s">
        <v>556</v>
      </c>
      <c r="F25" s="407" t="s">
        <v>997</v>
      </c>
      <c r="G25" s="409">
        <v>387.78</v>
      </c>
      <c r="H25" s="410"/>
      <c r="I25" s="409">
        <f t="shared" si="17"/>
        <v>387.78</v>
      </c>
      <c r="K25" s="17"/>
      <c r="L25" s="17" t="s">
        <v>966</v>
      </c>
      <c r="M25" s="720">
        <v>43627</v>
      </c>
      <c r="N25" s="721" t="b">
        <f t="shared" si="1"/>
        <v>0</v>
      </c>
      <c r="O25" s="721" t="b">
        <f t="shared" si="33"/>
        <v>0</v>
      </c>
      <c r="P25" s="721" t="b">
        <f t="shared" si="31"/>
        <v>0</v>
      </c>
      <c r="Q25" s="721" t="b">
        <f t="shared" si="34"/>
        <v>1</v>
      </c>
      <c r="R25" s="721" t="b">
        <f t="shared" si="16"/>
        <v>0</v>
      </c>
      <c r="S25" s="721" t="b">
        <f t="shared" si="19"/>
        <v>0</v>
      </c>
      <c r="T25" s="721" t="b">
        <f t="shared" si="29"/>
        <v>0</v>
      </c>
      <c r="U25" s="721" t="b">
        <f t="shared" si="28"/>
        <v>0</v>
      </c>
      <c r="V25" s="721" t="b">
        <f t="shared" si="26"/>
        <v>0</v>
      </c>
      <c r="W25" s="721" t="b">
        <f t="shared" si="8"/>
        <v>0</v>
      </c>
      <c r="X25" s="721" t="b">
        <f t="shared" si="9"/>
        <v>0</v>
      </c>
      <c r="Y25" s="721" t="b">
        <f t="shared" si="10"/>
        <v>0</v>
      </c>
      <c r="Z25" s="721" t="b">
        <f t="shared" si="11"/>
        <v>0</v>
      </c>
      <c r="AA25" s="721" t="b">
        <f t="shared" si="32"/>
        <v>0</v>
      </c>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66" ht="22.25" hidden="1">
      <c r="A26">
        <f t="shared" si="20"/>
        <v>23</v>
      </c>
      <c r="B26" s="407">
        <v>1</v>
      </c>
      <c r="C26" s="407" t="s">
        <v>522</v>
      </c>
      <c r="D26" s="407" t="s">
        <v>987</v>
      </c>
      <c r="E26" s="407" t="s">
        <v>998</v>
      </c>
      <c r="F26" s="408" t="s">
        <v>999</v>
      </c>
      <c r="G26" s="409">
        <v>116.67</v>
      </c>
      <c r="H26" s="410"/>
      <c r="I26" s="409">
        <f t="shared" si="17"/>
        <v>116.67</v>
      </c>
      <c r="K26" s="17"/>
      <c r="L26" s="17" t="s">
        <v>966</v>
      </c>
      <c r="M26" s="720">
        <v>43627</v>
      </c>
      <c r="N26" s="721" t="b">
        <f t="shared" si="1"/>
        <v>0</v>
      </c>
      <c r="O26" s="721" t="b">
        <f t="shared" si="33"/>
        <v>0</v>
      </c>
      <c r="P26" s="721" t="b">
        <f t="shared" si="31"/>
        <v>0</v>
      </c>
      <c r="Q26" s="721" t="b">
        <f t="shared" ref="Q26:Q38" si="35">FALSE()</f>
        <v>0</v>
      </c>
      <c r="R26" s="721" t="b">
        <f t="shared" si="16"/>
        <v>0</v>
      </c>
      <c r="S26" s="721" t="b">
        <f t="shared" si="19"/>
        <v>0</v>
      </c>
      <c r="T26" s="721" t="b">
        <f t="shared" si="29"/>
        <v>0</v>
      </c>
      <c r="U26" s="721" t="b">
        <f t="shared" si="28"/>
        <v>0</v>
      </c>
      <c r="V26" s="721" t="b">
        <f t="shared" si="26"/>
        <v>0</v>
      </c>
      <c r="W26" s="721" t="b">
        <f t="shared" si="8"/>
        <v>0</v>
      </c>
      <c r="X26" s="721" t="b">
        <f t="shared" si="9"/>
        <v>0</v>
      </c>
      <c r="Y26" s="721" t="b">
        <f t="shared" si="10"/>
        <v>0</v>
      </c>
      <c r="Z26" s="721" t="b">
        <f>TRUE()</f>
        <v>1</v>
      </c>
      <c r="AA26" s="721" t="b">
        <f t="shared" si="32"/>
        <v>0</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row>
    <row r="27" spans="1:66" ht="55.65" hidden="1">
      <c r="A27">
        <f t="shared" si="20"/>
        <v>24</v>
      </c>
      <c r="B27" s="407">
        <v>1</v>
      </c>
      <c r="C27" s="487" t="s">
        <v>522</v>
      </c>
      <c r="D27" s="407" t="s">
        <v>987</v>
      </c>
      <c r="E27" s="407" t="s">
        <v>556</v>
      </c>
      <c r="F27" s="407" t="s">
        <v>1000</v>
      </c>
      <c r="G27" s="409">
        <v>1222.22</v>
      </c>
      <c r="H27" s="410"/>
      <c r="I27" s="409">
        <f t="shared" si="17"/>
        <v>1222.22</v>
      </c>
      <c r="K27" s="204" t="s">
        <v>1001</v>
      </c>
      <c r="L27" s="17" t="s">
        <v>966</v>
      </c>
      <c r="M27" s="720">
        <v>43627</v>
      </c>
      <c r="N27" s="721" t="b">
        <f t="shared" si="1"/>
        <v>0</v>
      </c>
      <c r="O27" s="721" t="b">
        <f t="shared" si="33"/>
        <v>0</v>
      </c>
      <c r="P27" s="721" t="b">
        <f t="shared" si="31"/>
        <v>0</v>
      </c>
      <c r="Q27" s="721" t="b">
        <f t="shared" si="35"/>
        <v>0</v>
      </c>
      <c r="R27" s="721" t="b">
        <f>TRUE()</f>
        <v>1</v>
      </c>
      <c r="S27" s="721" t="b">
        <f t="shared" si="19"/>
        <v>0</v>
      </c>
      <c r="T27" s="721" t="b">
        <f t="shared" si="29"/>
        <v>0</v>
      </c>
      <c r="U27" s="721" t="b">
        <f t="shared" si="28"/>
        <v>0</v>
      </c>
      <c r="V27" s="721" t="b">
        <f t="shared" si="26"/>
        <v>0</v>
      </c>
      <c r="W27" s="721" t="b">
        <f t="shared" si="8"/>
        <v>0</v>
      </c>
      <c r="X27" s="721" t="b">
        <f t="shared" si="9"/>
        <v>0</v>
      </c>
      <c r="Y27" s="721" t="b">
        <f t="shared" si="10"/>
        <v>0</v>
      </c>
      <c r="Z27" s="721" t="b">
        <f t="shared" ref="Z27:Z90" si="36">FALSE()</f>
        <v>0</v>
      </c>
      <c r="AA27" s="721" t="b">
        <f t="shared" si="32"/>
        <v>0</v>
      </c>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row>
    <row r="28" spans="1:66" ht="278.2" hidden="1">
      <c r="A28">
        <f t="shared" si="20"/>
        <v>25</v>
      </c>
      <c r="B28" s="407">
        <v>1</v>
      </c>
      <c r="C28" s="407" t="s">
        <v>522</v>
      </c>
      <c r="D28" s="407" t="s">
        <v>984</v>
      </c>
      <c r="E28" s="407" t="s">
        <v>978</v>
      </c>
      <c r="F28" s="408" t="s">
        <v>1002</v>
      </c>
      <c r="G28" s="409">
        <v>636.66999999999996</v>
      </c>
      <c r="H28" s="410"/>
      <c r="I28" s="409">
        <f t="shared" si="17"/>
        <v>636.66999999999996</v>
      </c>
      <c r="J28" s="58">
        <f>160*400*1.732</f>
        <v>110848</v>
      </c>
      <c r="K28" s="427" t="s">
        <v>1003</v>
      </c>
      <c r="L28" s="427" t="s">
        <v>966</v>
      </c>
      <c r="M28" s="720">
        <v>43627</v>
      </c>
      <c r="N28" s="721" t="b">
        <f t="shared" si="1"/>
        <v>0</v>
      </c>
      <c r="O28" s="721" t="b">
        <f t="shared" si="33"/>
        <v>0</v>
      </c>
      <c r="P28" s="721" t="b">
        <f t="shared" si="31"/>
        <v>0</v>
      </c>
      <c r="Q28" s="721" t="b">
        <f t="shared" si="35"/>
        <v>0</v>
      </c>
      <c r="R28" s="721" t="b">
        <f t="shared" ref="R28:R37" si="37">FALSE()</f>
        <v>0</v>
      </c>
      <c r="S28" s="721" t="b">
        <f>TRUE()</f>
        <v>1</v>
      </c>
      <c r="T28" s="721" t="b">
        <f t="shared" si="29"/>
        <v>0</v>
      </c>
      <c r="U28" s="721" t="b">
        <f t="shared" si="28"/>
        <v>0</v>
      </c>
      <c r="V28" s="721" t="b">
        <f t="shared" si="26"/>
        <v>0</v>
      </c>
      <c r="W28" s="721" t="b">
        <f t="shared" si="8"/>
        <v>0</v>
      </c>
      <c r="X28" s="721" t="b">
        <f t="shared" si="9"/>
        <v>0</v>
      </c>
      <c r="Y28" s="721" t="b">
        <f t="shared" si="10"/>
        <v>0</v>
      </c>
      <c r="Z28" s="721" t="b">
        <f t="shared" si="36"/>
        <v>0</v>
      </c>
      <c r="AA28" s="721" t="b">
        <f t="shared" si="32"/>
        <v>0</v>
      </c>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66" hidden="1">
      <c r="A29">
        <f t="shared" si="20"/>
        <v>26</v>
      </c>
      <c r="B29" s="407">
        <v>1</v>
      </c>
      <c r="C29" s="407" t="s">
        <v>517</v>
      </c>
      <c r="D29" s="407" t="s">
        <v>574</v>
      </c>
      <c r="E29" s="407" t="s">
        <v>1004</v>
      </c>
      <c r="F29" s="407" t="s">
        <v>1005</v>
      </c>
      <c r="G29" s="409">
        <v>375</v>
      </c>
      <c r="H29" s="428"/>
      <c r="I29" s="430">
        <f t="shared" si="17"/>
        <v>375</v>
      </c>
      <c r="K29" s="719"/>
      <c r="L29" s="17" t="s">
        <v>574</v>
      </c>
      <c r="M29" s="720">
        <v>43655</v>
      </c>
      <c r="N29" s="721" t="b">
        <f t="shared" si="1"/>
        <v>0</v>
      </c>
      <c r="O29" s="721" t="b">
        <f t="shared" si="33"/>
        <v>0</v>
      </c>
      <c r="P29" s="721" t="b">
        <f t="shared" si="31"/>
        <v>0</v>
      </c>
      <c r="Q29" s="721" t="b">
        <f t="shared" si="35"/>
        <v>0</v>
      </c>
      <c r="R29" s="721" t="b">
        <f t="shared" si="37"/>
        <v>0</v>
      </c>
      <c r="S29" s="721" t="b">
        <f t="shared" ref="S29:S92" si="38">FALSE()</f>
        <v>0</v>
      </c>
      <c r="T29" s="721" t="b">
        <f t="shared" si="29"/>
        <v>0</v>
      </c>
      <c r="U29" s="721" t="b">
        <f t="shared" si="28"/>
        <v>0</v>
      </c>
      <c r="V29" s="721" t="b">
        <f t="shared" si="26"/>
        <v>0</v>
      </c>
      <c r="W29" s="721" t="b">
        <f t="shared" si="8"/>
        <v>0</v>
      </c>
      <c r="X29" s="721" t="b">
        <f t="shared" si="9"/>
        <v>0</v>
      </c>
      <c r="Y29" s="721" t="b">
        <f t="shared" ref="Y29:Y34" si="39">TRUE()</f>
        <v>1</v>
      </c>
      <c r="Z29" s="721" t="b">
        <f t="shared" si="36"/>
        <v>0</v>
      </c>
      <c r="AA29" s="721" t="b">
        <f t="shared" si="32"/>
        <v>0</v>
      </c>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row>
    <row r="30" spans="1:66" hidden="1">
      <c r="A30">
        <f t="shared" si="20"/>
        <v>27</v>
      </c>
      <c r="B30" s="487">
        <v>1</v>
      </c>
      <c r="C30" s="487" t="s">
        <v>517</v>
      </c>
      <c r="D30" s="487" t="s">
        <v>574</v>
      </c>
      <c r="E30" s="487" t="s">
        <v>1006</v>
      </c>
      <c r="F30" s="487" t="s">
        <v>1007</v>
      </c>
      <c r="G30" s="430">
        <v>375</v>
      </c>
      <c r="H30" s="428"/>
      <c r="I30" s="430">
        <f t="shared" si="17"/>
        <v>375</v>
      </c>
      <c r="K30" s="719"/>
      <c r="L30" s="17" t="s">
        <v>574</v>
      </c>
      <c r="M30" s="720">
        <v>43655</v>
      </c>
      <c r="N30" s="721" t="b">
        <f t="shared" si="1"/>
        <v>0</v>
      </c>
      <c r="O30" s="721" t="b">
        <f t="shared" si="33"/>
        <v>0</v>
      </c>
      <c r="P30" s="721" t="b">
        <f t="shared" si="31"/>
        <v>0</v>
      </c>
      <c r="Q30" s="721" t="b">
        <f t="shared" si="35"/>
        <v>0</v>
      </c>
      <c r="R30" s="721" t="b">
        <f t="shared" si="37"/>
        <v>0</v>
      </c>
      <c r="S30" s="721" t="b">
        <f t="shared" si="38"/>
        <v>0</v>
      </c>
      <c r="T30" s="721" t="b">
        <f t="shared" si="29"/>
        <v>0</v>
      </c>
      <c r="U30" s="721" t="b">
        <f t="shared" si="28"/>
        <v>0</v>
      </c>
      <c r="V30" s="721" t="b">
        <f t="shared" si="26"/>
        <v>0</v>
      </c>
      <c r="W30" s="721" t="b">
        <f t="shared" si="8"/>
        <v>0</v>
      </c>
      <c r="X30" s="721" t="b">
        <f t="shared" si="9"/>
        <v>0</v>
      </c>
      <c r="Y30" s="721" t="b">
        <f t="shared" si="39"/>
        <v>1</v>
      </c>
      <c r="Z30" s="721" t="b">
        <f t="shared" si="36"/>
        <v>0</v>
      </c>
      <c r="AA30" s="721" t="b">
        <f t="shared" si="32"/>
        <v>0</v>
      </c>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66" hidden="1">
      <c r="A31">
        <f t="shared" si="20"/>
        <v>28</v>
      </c>
      <c r="B31" s="487">
        <v>1</v>
      </c>
      <c r="C31" s="487" t="s">
        <v>517</v>
      </c>
      <c r="D31" s="487" t="s">
        <v>574</v>
      </c>
      <c r="E31" s="487" t="s">
        <v>575</v>
      </c>
      <c r="F31" s="487" t="s">
        <v>576</v>
      </c>
      <c r="G31" s="430">
        <v>36.700000000000003</v>
      </c>
      <c r="H31" s="428"/>
      <c r="I31" s="430">
        <f t="shared" si="17"/>
        <v>36.700000000000003</v>
      </c>
      <c r="K31" s="719"/>
      <c r="L31" s="17" t="s">
        <v>574</v>
      </c>
      <c r="M31" s="720">
        <v>43655</v>
      </c>
      <c r="N31" s="721" t="b">
        <f t="shared" si="1"/>
        <v>0</v>
      </c>
      <c r="O31" s="721" t="b">
        <f t="shared" si="33"/>
        <v>0</v>
      </c>
      <c r="P31" s="721" t="b">
        <f t="shared" si="31"/>
        <v>0</v>
      </c>
      <c r="Q31" s="721" t="b">
        <f t="shared" si="35"/>
        <v>0</v>
      </c>
      <c r="R31" s="721" t="b">
        <f t="shared" si="37"/>
        <v>0</v>
      </c>
      <c r="S31" s="721" t="b">
        <f t="shared" si="38"/>
        <v>0</v>
      </c>
      <c r="T31" s="721" t="b">
        <f t="shared" si="29"/>
        <v>0</v>
      </c>
      <c r="U31" s="721" t="b">
        <f t="shared" si="28"/>
        <v>0</v>
      </c>
      <c r="V31" s="721" t="b">
        <f t="shared" si="26"/>
        <v>0</v>
      </c>
      <c r="W31" s="721" t="b">
        <f t="shared" si="8"/>
        <v>0</v>
      </c>
      <c r="X31" s="721" t="b">
        <f t="shared" si="9"/>
        <v>0</v>
      </c>
      <c r="Y31" s="721" t="b">
        <f t="shared" si="39"/>
        <v>1</v>
      </c>
      <c r="Z31" s="721" t="b">
        <f t="shared" si="36"/>
        <v>0</v>
      </c>
      <c r="AA31" s="721" t="b">
        <f t="shared" si="32"/>
        <v>0</v>
      </c>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row>
    <row r="32" spans="1:66" hidden="1">
      <c r="A32">
        <f t="shared" si="20"/>
        <v>29</v>
      </c>
      <c r="B32" s="407">
        <v>5</v>
      </c>
      <c r="C32" s="407" t="s">
        <v>517</v>
      </c>
      <c r="D32" s="407" t="s">
        <v>574</v>
      </c>
      <c r="E32" s="407"/>
      <c r="F32" s="407" t="s">
        <v>1008</v>
      </c>
      <c r="G32" s="409">
        <v>75</v>
      </c>
      <c r="H32" s="428"/>
      <c r="I32" s="430">
        <f t="shared" si="17"/>
        <v>75</v>
      </c>
      <c r="K32" s="719"/>
      <c r="L32" s="17" t="s">
        <v>574</v>
      </c>
      <c r="M32" s="720">
        <v>43655</v>
      </c>
      <c r="N32" s="721" t="b">
        <f t="shared" si="1"/>
        <v>0</v>
      </c>
      <c r="O32" s="721" t="b">
        <f t="shared" si="33"/>
        <v>0</v>
      </c>
      <c r="P32" s="721" t="b">
        <f t="shared" si="31"/>
        <v>0</v>
      </c>
      <c r="Q32" s="721" t="b">
        <f t="shared" si="35"/>
        <v>0</v>
      </c>
      <c r="R32" s="721" t="b">
        <f t="shared" si="37"/>
        <v>0</v>
      </c>
      <c r="S32" s="721" t="b">
        <f t="shared" si="38"/>
        <v>0</v>
      </c>
      <c r="T32" s="721" t="b">
        <f t="shared" si="29"/>
        <v>0</v>
      </c>
      <c r="U32" s="721" t="b">
        <f t="shared" si="28"/>
        <v>0</v>
      </c>
      <c r="V32" s="721" t="b">
        <f t="shared" si="26"/>
        <v>0</v>
      </c>
      <c r="W32" s="721" t="b">
        <f t="shared" si="8"/>
        <v>0</v>
      </c>
      <c r="X32" s="721" t="b">
        <f t="shared" si="9"/>
        <v>0</v>
      </c>
      <c r="Y32" s="721" t="b">
        <f t="shared" si="39"/>
        <v>1</v>
      </c>
      <c r="Z32" s="721" t="b">
        <f t="shared" si="36"/>
        <v>0</v>
      </c>
      <c r="AA32" s="721" t="b">
        <f t="shared" si="32"/>
        <v>0</v>
      </c>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66" hidden="1">
      <c r="A33">
        <f t="shared" si="20"/>
        <v>30</v>
      </c>
      <c r="B33" s="407">
        <v>1</v>
      </c>
      <c r="C33" s="407" t="s">
        <v>517</v>
      </c>
      <c r="D33" s="407" t="s">
        <v>574</v>
      </c>
      <c r="E33" s="407"/>
      <c r="F33" s="408" t="s">
        <v>1009</v>
      </c>
      <c r="G33" s="409">
        <f>35/4</f>
        <v>8.75</v>
      </c>
      <c r="H33" s="428"/>
      <c r="I33" s="430">
        <f t="shared" si="17"/>
        <v>8.75</v>
      </c>
      <c r="K33" s="719"/>
      <c r="L33" s="17" t="s">
        <v>574</v>
      </c>
      <c r="M33" s="720">
        <v>43655</v>
      </c>
      <c r="N33" s="721" t="b">
        <f t="shared" si="1"/>
        <v>0</v>
      </c>
      <c r="O33" s="721" t="b">
        <f t="shared" si="33"/>
        <v>0</v>
      </c>
      <c r="P33" s="721" t="b">
        <f t="shared" si="31"/>
        <v>0</v>
      </c>
      <c r="Q33" s="721" t="b">
        <f t="shared" si="35"/>
        <v>0</v>
      </c>
      <c r="R33" s="721" t="b">
        <f t="shared" si="37"/>
        <v>0</v>
      </c>
      <c r="S33" s="721" t="b">
        <f t="shared" si="38"/>
        <v>0</v>
      </c>
      <c r="T33" s="721" t="b">
        <f t="shared" si="29"/>
        <v>0</v>
      </c>
      <c r="U33" s="721" t="b">
        <f t="shared" si="28"/>
        <v>0</v>
      </c>
      <c r="V33" s="721" t="b">
        <f t="shared" si="26"/>
        <v>0</v>
      </c>
      <c r="W33" s="721" t="b">
        <f t="shared" si="8"/>
        <v>0</v>
      </c>
      <c r="X33" s="721" t="b">
        <f t="shared" si="9"/>
        <v>0</v>
      </c>
      <c r="Y33" s="721" t="b">
        <f t="shared" si="39"/>
        <v>1</v>
      </c>
      <c r="Z33" s="721" t="b">
        <f t="shared" si="36"/>
        <v>0</v>
      </c>
      <c r="AA33" s="721" t="b">
        <f t="shared" si="32"/>
        <v>0</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row>
    <row r="34" spans="1:66" hidden="1">
      <c r="A34">
        <f t="shared" si="20"/>
        <v>31</v>
      </c>
      <c r="B34" s="407">
        <v>1</v>
      </c>
      <c r="C34" s="407" t="s">
        <v>517</v>
      </c>
      <c r="D34" s="407" t="s">
        <v>574</v>
      </c>
      <c r="E34" s="407" t="s">
        <v>1010</v>
      </c>
      <c r="F34" s="407" t="s">
        <v>1005</v>
      </c>
      <c r="G34" s="409">
        <v>455</v>
      </c>
      <c r="H34" s="410"/>
      <c r="I34" s="409">
        <f t="shared" si="17"/>
        <v>455</v>
      </c>
      <c r="K34" s="204"/>
      <c r="L34" s="17" t="s">
        <v>574</v>
      </c>
      <c r="M34" s="720">
        <v>43655</v>
      </c>
      <c r="N34" s="721" t="b">
        <f t="shared" si="1"/>
        <v>0</v>
      </c>
      <c r="O34" s="721" t="b">
        <f t="shared" si="33"/>
        <v>0</v>
      </c>
      <c r="P34" s="721" t="b">
        <f t="shared" si="31"/>
        <v>0</v>
      </c>
      <c r="Q34" s="721" t="b">
        <f t="shared" si="35"/>
        <v>0</v>
      </c>
      <c r="R34" s="721" t="b">
        <f t="shared" si="37"/>
        <v>0</v>
      </c>
      <c r="S34" s="721" t="b">
        <f t="shared" si="38"/>
        <v>0</v>
      </c>
      <c r="T34" s="721" t="b">
        <f t="shared" si="29"/>
        <v>0</v>
      </c>
      <c r="U34" s="721" t="b">
        <f t="shared" si="28"/>
        <v>0</v>
      </c>
      <c r="V34" s="721" t="b">
        <f t="shared" si="26"/>
        <v>0</v>
      </c>
      <c r="W34" s="721" t="b">
        <f t="shared" si="8"/>
        <v>0</v>
      </c>
      <c r="X34" s="721" t="b">
        <f t="shared" si="9"/>
        <v>0</v>
      </c>
      <c r="Y34" s="721" t="b">
        <f t="shared" si="39"/>
        <v>1</v>
      </c>
      <c r="Z34" s="721" t="b">
        <f t="shared" si="36"/>
        <v>0</v>
      </c>
      <c r="AA34" s="721" t="b">
        <f t="shared" si="32"/>
        <v>0</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row>
    <row r="35" spans="1:66" ht="22.25" hidden="1">
      <c r="A35">
        <f t="shared" si="20"/>
        <v>32</v>
      </c>
      <c r="B35" s="423">
        <v>1</v>
      </c>
      <c r="C35" s="423" t="s">
        <v>522</v>
      </c>
      <c r="D35" s="423" t="s">
        <v>1011</v>
      </c>
      <c r="E35" s="423" t="s">
        <v>1012</v>
      </c>
      <c r="F35" s="424" t="s">
        <v>1013</v>
      </c>
      <c r="G35" s="421">
        <v>105.7</v>
      </c>
      <c r="H35" s="410"/>
      <c r="I35" s="409">
        <f t="shared" si="17"/>
        <v>105.7</v>
      </c>
      <c r="J35" s="58">
        <v>310</v>
      </c>
      <c r="K35" s="417">
        <f>G35/J35</f>
        <v>0.3409677419354839</v>
      </c>
      <c r="L35" s="17" t="s">
        <v>966</v>
      </c>
      <c r="M35" s="720">
        <v>43713</v>
      </c>
      <c r="N35" s="721" t="b">
        <f>TRUE()</f>
        <v>1</v>
      </c>
      <c r="O35" s="721" t="b">
        <f t="shared" si="33"/>
        <v>0</v>
      </c>
      <c r="P35" s="721" t="b">
        <f t="shared" si="31"/>
        <v>0</v>
      </c>
      <c r="Q35" s="721" t="b">
        <f t="shared" si="35"/>
        <v>0</v>
      </c>
      <c r="R35" s="721" t="b">
        <f t="shared" si="37"/>
        <v>0</v>
      </c>
      <c r="S35" s="721" t="b">
        <f t="shared" si="38"/>
        <v>0</v>
      </c>
      <c r="T35" s="721" t="b">
        <f t="shared" si="29"/>
        <v>0</v>
      </c>
      <c r="U35" s="721" t="b">
        <f t="shared" si="28"/>
        <v>0</v>
      </c>
      <c r="V35" s="721" t="b">
        <f t="shared" si="26"/>
        <v>0</v>
      </c>
      <c r="W35" s="721" t="b">
        <f t="shared" si="8"/>
        <v>0</v>
      </c>
      <c r="X35" s="721" t="b">
        <f t="shared" si="9"/>
        <v>0</v>
      </c>
      <c r="Y35" s="721" t="b">
        <f t="shared" ref="Y35:Y87" si="40">FALSE()</f>
        <v>0</v>
      </c>
      <c r="Z35" s="721" t="b">
        <f t="shared" si="36"/>
        <v>0</v>
      </c>
      <c r="AA35" s="721" t="b">
        <f t="shared" si="32"/>
        <v>0</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row>
    <row r="36" spans="1:66" hidden="1">
      <c r="A36">
        <f t="shared" si="20"/>
        <v>33</v>
      </c>
      <c r="B36" s="487">
        <v>1</v>
      </c>
      <c r="C36" s="487"/>
      <c r="D36" s="487" t="s">
        <v>1011</v>
      </c>
      <c r="E36" s="487" t="s">
        <v>769</v>
      </c>
      <c r="F36" s="487" t="s">
        <v>567</v>
      </c>
      <c r="G36" s="430">
        <v>343.75</v>
      </c>
      <c r="H36" s="428"/>
      <c r="I36" s="430">
        <f t="shared" si="17"/>
        <v>343.75</v>
      </c>
      <c r="K36" s="719"/>
      <c r="L36" s="17" t="s">
        <v>966</v>
      </c>
      <c r="M36" s="720">
        <v>43713</v>
      </c>
      <c r="N36" s="721" t="b">
        <f t="shared" ref="N36:N55" si="41">FALSE()</f>
        <v>0</v>
      </c>
      <c r="O36" s="721" t="b">
        <f t="shared" si="33"/>
        <v>0</v>
      </c>
      <c r="P36" s="721" t="b">
        <f t="shared" si="31"/>
        <v>0</v>
      </c>
      <c r="Q36" s="721" t="b">
        <f t="shared" si="35"/>
        <v>0</v>
      </c>
      <c r="R36" s="721" t="b">
        <f t="shared" si="37"/>
        <v>0</v>
      </c>
      <c r="S36" s="721" t="b">
        <f t="shared" si="38"/>
        <v>0</v>
      </c>
      <c r="T36" s="721" t="b">
        <f t="shared" si="29"/>
        <v>0</v>
      </c>
      <c r="U36" s="721" t="b">
        <f t="shared" si="28"/>
        <v>0</v>
      </c>
      <c r="V36" s="721" t="b">
        <f t="shared" si="26"/>
        <v>0</v>
      </c>
      <c r="W36" s="721" t="b">
        <f t="shared" si="8"/>
        <v>0</v>
      </c>
      <c r="X36" s="721" t="b">
        <f t="shared" si="9"/>
        <v>0</v>
      </c>
      <c r="Y36" s="721" t="b">
        <f t="shared" si="40"/>
        <v>0</v>
      </c>
      <c r="Z36" s="721" t="b">
        <f t="shared" si="36"/>
        <v>0</v>
      </c>
      <c r="AA36" s="721" t="b">
        <f>TRUE()</f>
        <v>1</v>
      </c>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row>
    <row r="37" spans="1:66" ht="22.25" hidden="1">
      <c r="A37">
        <f t="shared" si="20"/>
        <v>34</v>
      </c>
      <c r="B37" s="487">
        <v>1</v>
      </c>
      <c r="C37" s="487" t="s">
        <v>522</v>
      </c>
      <c r="D37" s="487" t="s">
        <v>1011</v>
      </c>
      <c r="E37" s="487" t="s">
        <v>556</v>
      </c>
      <c r="F37" s="492" t="s">
        <v>1014</v>
      </c>
      <c r="G37" s="430">
        <f>2623.01/109</f>
        <v>24.064311926605505</v>
      </c>
      <c r="H37" s="428"/>
      <c r="I37" s="430">
        <f t="shared" si="17"/>
        <v>24.064311926605505</v>
      </c>
      <c r="K37" s="719" t="s">
        <v>977</v>
      </c>
      <c r="L37" s="17" t="s">
        <v>966</v>
      </c>
      <c r="M37" s="720">
        <v>43713</v>
      </c>
      <c r="N37" s="721" t="b">
        <f t="shared" si="41"/>
        <v>0</v>
      </c>
      <c r="O37" s="721" t="b">
        <f>TRUE()</f>
        <v>1</v>
      </c>
      <c r="P37" s="721" t="b">
        <f t="shared" si="31"/>
        <v>0</v>
      </c>
      <c r="Q37" s="721" t="b">
        <f t="shared" si="35"/>
        <v>0</v>
      </c>
      <c r="R37" s="721" t="b">
        <f t="shared" si="37"/>
        <v>0</v>
      </c>
      <c r="S37" s="721" t="b">
        <f t="shared" si="38"/>
        <v>0</v>
      </c>
      <c r="T37" s="721" t="b">
        <f t="shared" si="29"/>
        <v>0</v>
      </c>
      <c r="U37" s="721" t="b">
        <f t="shared" si="28"/>
        <v>0</v>
      </c>
      <c r="V37" s="721" t="b">
        <f t="shared" si="26"/>
        <v>0</v>
      </c>
      <c r="W37" s="721" t="b">
        <f t="shared" si="8"/>
        <v>0</v>
      </c>
      <c r="X37" s="721" t="b">
        <f t="shared" si="9"/>
        <v>0</v>
      </c>
      <c r="Y37" s="721" t="b">
        <f t="shared" si="40"/>
        <v>0</v>
      </c>
      <c r="Z37" s="721" t="b">
        <f t="shared" si="36"/>
        <v>0</v>
      </c>
      <c r="AA37" s="721" t="b">
        <f t="shared" ref="AA37:AA54" si="42">FALSE()</f>
        <v>0</v>
      </c>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row>
    <row r="38" spans="1:66" ht="55.65" hidden="1">
      <c r="A38">
        <f t="shared" si="20"/>
        <v>35</v>
      </c>
      <c r="B38" s="487">
        <v>1</v>
      </c>
      <c r="C38" s="487" t="s">
        <v>522</v>
      </c>
      <c r="D38" s="487" t="s">
        <v>1011</v>
      </c>
      <c r="E38" s="487" t="s">
        <v>1015</v>
      </c>
      <c r="F38" s="492" t="s">
        <v>1016</v>
      </c>
      <c r="G38" s="430">
        <f>466.67+250</f>
        <v>716.67000000000007</v>
      </c>
      <c r="H38" s="428"/>
      <c r="I38" s="430">
        <f t="shared" si="17"/>
        <v>716.67000000000007</v>
      </c>
      <c r="J38" s="58">
        <v>34640</v>
      </c>
      <c r="K38" s="719" t="s">
        <v>1017</v>
      </c>
      <c r="L38" s="17" t="s">
        <v>972</v>
      </c>
      <c r="M38" s="720">
        <v>43713</v>
      </c>
      <c r="N38" s="721" t="b">
        <f t="shared" si="41"/>
        <v>0</v>
      </c>
      <c r="O38" s="721" t="b">
        <f t="shared" ref="O38:O48" si="43">FALSE()</f>
        <v>0</v>
      </c>
      <c r="P38" s="721" t="b">
        <f t="shared" si="31"/>
        <v>0</v>
      </c>
      <c r="Q38" s="721" t="b">
        <f t="shared" si="35"/>
        <v>0</v>
      </c>
      <c r="R38" s="721" t="b">
        <f>TRUE()</f>
        <v>1</v>
      </c>
      <c r="S38" s="721" t="b">
        <f t="shared" si="38"/>
        <v>0</v>
      </c>
      <c r="T38" s="721" t="b">
        <f t="shared" si="29"/>
        <v>0</v>
      </c>
      <c r="U38" s="721" t="b">
        <f t="shared" si="28"/>
        <v>0</v>
      </c>
      <c r="V38" s="721" t="b">
        <f t="shared" si="26"/>
        <v>0</v>
      </c>
      <c r="W38" s="721" t="b">
        <f t="shared" si="8"/>
        <v>0</v>
      </c>
      <c r="X38" s="721" t="b">
        <f t="shared" si="9"/>
        <v>0</v>
      </c>
      <c r="Y38" s="721" t="b">
        <f t="shared" si="40"/>
        <v>0</v>
      </c>
      <c r="Z38" s="721" t="b">
        <f t="shared" si="36"/>
        <v>0</v>
      </c>
      <c r="AA38" s="721" t="b">
        <f t="shared" si="42"/>
        <v>0</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row>
    <row r="39" spans="1:66" ht="155.80000000000001" hidden="1">
      <c r="A39">
        <f t="shared" si="20"/>
        <v>36</v>
      </c>
      <c r="B39" s="487">
        <v>1</v>
      </c>
      <c r="C39" s="487" t="s">
        <v>522</v>
      </c>
      <c r="D39" s="487" t="s">
        <v>1011</v>
      </c>
      <c r="E39" s="407" t="s">
        <v>985</v>
      </c>
      <c r="F39" s="408" t="s">
        <v>1018</v>
      </c>
      <c r="G39" s="409">
        <f>493.33*(6/5)^0.8</f>
        <v>570.79810559953933</v>
      </c>
      <c r="H39" s="428"/>
      <c r="I39" s="430">
        <f t="shared" si="17"/>
        <v>570.79810559953933</v>
      </c>
      <c r="K39" s="722" t="s">
        <v>1019</v>
      </c>
      <c r="L39" s="17" t="s">
        <v>972</v>
      </c>
      <c r="M39" s="720">
        <v>43713</v>
      </c>
      <c r="N39" s="721" t="b">
        <f t="shared" si="41"/>
        <v>0</v>
      </c>
      <c r="O39" s="721" t="b">
        <f t="shared" si="43"/>
        <v>0</v>
      </c>
      <c r="P39" s="721" t="b">
        <f t="shared" si="31"/>
        <v>0</v>
      </c>
      <c r="Q39" s="721" t="b">
        <f>TRUE()</f>
        <v>1</v>
      </c>
      <c r="R39" s="721" t="b">
        <f t="shared" ref="R39:R46" si="44">FALSE()</f>
        <v>0</v>
      </c>
      <c r="S39" s="721" t="b">
        <f t="shared" si="38"/>
        <v>0</v>
      </c>
      <c r="T39" s="721" t="b">
        <f t="shared" si="29"/>
        <v>0</v>
      </c>
      <c r="U39" s="721" t="b">
        <f t="shared" si="28"/>
        <v>0</v>
      </c>
      <c r="V39" s="721" t="b">
        <f t="shared" si="26"/>
        <v>0</v>
      </c>
      <c r="W39" s="721" t="b">
        <f t="shared" si="8"/>
        <v>0</v>
      </c>
      <c r="X39" s="721" t="b">
        <f t="shared" si="9"/>
        <v>0</v>
      </c>
      <c r="Y39" s="721" t="b">
        <f t="shared" si="40"/>
        <v>0</v>
      </c>
      <c r="Z39" s="721" t="b">
        <f t="shared" si="36"/>
        <v>0</v>
      </c>
      <c r="AA39" s="721" t="b">
        <f t="shared" si="42"/>
        <v>0</v>
      </c>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row>
    <row r="40" spans="1:66" ht="33.4" hidden="1">
      <c r="A40">
        <f t="shared" si="20"/>
        <v>37</v>
      </c>
      <c r="B40" s="487">
        <v>1</v>
      </c>
      <c r="C40" s="487" t="s">
        <v>522</v>
      </c>
      <c r="D40" s="487" t="s">
        <v>1011</v>
      </c>
      <c r="E40" s="487" t="s">
        <v>797</v>
      </c>
      <c r="F40" s="492" t="s">
        <v>798</v>
      </c>
      <c r="G40" s="430">
        <v>1.46</v>
      </c>
      <c r="H40" s="428"/>
      <c r="I40" s="430">
        <f t="shared" si="17"/>
        <v>1.46</v>
      </c>
      <c r="K40" s="719"/>
      <c r="L40" s="17" t="s">
        <v>966</v>
      </c>
      <c r="M40" s="720">
        <v>43713</v>
      </c>
      <c r="N40" s="721" t="b">
        <f t="shared" si="41"/>
        <v>0</v>
      </c>
      <c r="O40" s="721" t="b">
        <f t="shared" si="43"/>
        <v>0</v>
      </c>
      <c r="P40" s="721" t="b">
        <f t="shared" si="31"/>
        <v>0</v>
      </c>
      <c r="Q40" s="721" t="b">
        <f t="shared" ref="Q40:Q47" si="45">FALSE()</f>
        <v>0</v>
      </c>
      <c r="R40" s="721" t="b">
        <f t="shared" si="44"/>
        <v>0</v>
      </c>
      <c r="S40" s="721" t="b">
        <f t="shared" si="38"/>
        <v>0</v>
      </c>
      <c r="T40" s="721" t="b">
        <f t="shared" si="29"/>
        <v>0</v>
      </c>
      <c r="U40" s="721" t="b">
        <f t="shared" ref="U40:U41" si="46">TRUE()</f>
        <v>1</v>
      </c>
      <c r="V40" s="721" t="b">
        <f t="shared" si="26"/>
        <v>0</v>
      </c>
      <c r="W40" s="721" t="b">
        <f t="shared" si="8"/>
        <v>0</v>
      </c>
      <c r="X40" s="721" t="b">
        <f t="shared" si="9"/>
        <v>0</v>
      </c>
      <c r="Y40" s="721" t="b">
        <f t="shared" si="40"/>
        <v>0</v>
      </c>
      <c r="Z40" s="721" t="b">
        <f t="shared" si="36"/>
        <v>0</v>
      </c>
      <c r="AA40" s="721" t="b">
        <f t="shared" si="42"/>
        <v>0</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row>
    <row r="41" spans="1:66" ht="33.4" hidden="1">
      <c r="A41">
        <f t="shared" si="20"/>
        <v>38</v>
      </c>
      <c r="B41" s="487">
        <v>1</v>
      </c>
      <c r="C41" s="487" t="s">
        <v>522</v>
      </c>
      <c r="D41" s="487" t="s">
        <v>1011</v>
      </c>
      <c r="E41" s="487" t="s">
        <v>800</v>
      </c>
      <c r="F41" s="492" t="s">
        <v>801</v>
      </c>
      <c r="G41" s="430">
        <v>1.1000000000000001</v>
      </c>
      <c r="H41" s="428"/>
      <c r="I41" s="430">
        <f t="shared" si="17"/>
        <v>1.1000000000000001</v>
      </c>
      <c r="K41" s="719"/>
      <c r="L41" s="17" t="s">
        <v>966</v>
      </c>
      <c r="M41" s="720">
        <v>43713</v>
      </c>
      <c r="N41" s="721" t="b">
        <f t="shared" si="41"/>
        <v>0</v>
      </c>
      <c r="O41" s="721" t="b">
        <f t="shared" si="43"/>
        <v>0</v>
      </c>
      <c r="P41" s="721" t="b">
        <f t="shared" si="31"/>
        <v>0</v>
      </c>
      <c r="Q41" s="721" t="b">
        <f t="shared" si="45"/>
        <v>0</v>
      </c>
      <c r="R41" s="721" t="b">
        <f t="shared" si="44"/>
        <v>0</v>
      </c>
      <c r="S41" s="721" t="b">
        <f t="shared" si="38"/>
        <v>0</v>
      </c>
      <c r="T41" s="721" t="b">
        <f t="shared" si="29"/>
        <v>0</v>
      </c>
      <c r="U41" s="721" t="b">
        <f t="shared" si="46"/>
        <v>1</v>
      </c>
      <c r="V41" s="721" t="b">
        <f t="shared" si="26"/>
        <v>0</v>
      </c>
      <c r="W41" s="721" t="b">
        <f t="shared" si="8"/>
        <v>0</v>
      </c>
      <c r="X41" s="721" t="b">
        <f t="shared" si="9"/>
        <v>0</v>
      </c>
      <c r="Y41" s="721" t="b">
        <f t="shared" si="40"/>
        <v>0</v>
      </c>
      <c r="Z41" s="721" t="b">
        <f t="shared" si="36"/>
        <v>0</v>
      </c>
      <c r="AA41" s="721" t="b">
        <f t="shared" si="42"/>
        <v>0</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row>
    <row r="42" spans="1:66" ht="44.55" hidden="1">
      <c r="A42">
        <f t="shared" si="20"/>
        <v>39</v>
      </c>
      <c r="B42" s="487">
        <v>10</v>
      </c>
      <c r="C42" s="487" t="s">
        <v>522</v>
      </c>
      <c r="D42" s="487" t="s">
        <v>1011</v>
      </c>
      <c r="E42" s="487" t="s">
        <v>761</v>
      </c>
      <c r="F42" s="492" t="s">
        <v>762</v>
      </c>
      <c r="G42" s="430">
        <v>2.5</v>
      </c>
      <c r="H42" s="428"/>
      <c r="I42" s="430">
        <f t="shared" si="17"/>
        <v>2.5</v>
      </c>
      <c r="K42" s="719" t="s">
        <v>1020</v>
      </c>
      <c r="L42" s="17" t="s">
        <v>966</v>
      </c>
      <c r="M42" s="720">
        <v>43713</v>
      </c>
      <c r="N42" s="721" t="b">
        <f t="shared" si="41"/>
        <v>0</v>
      </c>
      <c r="O42" s="721" t="b">
        <f t="shared" si="43"/>
        <v>0</v>
      </c>
      <c r="P42" s="721" t="b">
        <f t="shared" si="31"/>
        <v>0</v>
      </c>
      <c r="Q42" s="721" t="b">
        <f t="shared" si="45"/>
        <v>0</v>
      </c>
      <c r="R42" s="721" t="b">
        <f t="shared" si="44"/>
        <v>0</v>
      </c>
      <c r="S42" s="721" t="b">
        <f t="shared" si="38"/>
        <v>0</v>
      </c>
      <c r="T42" s="721" t="b">
        <f>TRUE()</f>
        <v>1</v>
      </c>
      <c r="U42" s="721" t="b">
        <f t="shared" ref="U42:U58" si="47">FALSE()</f>
        <v>0</v>
      </c>
      <c r="V42" s="721" t="b">
        <f t="shared" si="26"/>
        <v>0</v>
      </c>
      <c r="W42" s="721" t="b">
        <f t="shared" si="8"/>
        <v>0</v>
      </c>
      <c r="X42" s="721" t="b">
        <f t="shared" si="9"/>
        <v>0</v>
      </c>
      <c r="Y42" s="721" t="b">
        <f t="shared" si="40"/>
        <v>0</v>
      </c>
      <c r="Z42" s="721" t="b">
        <f t="shared" si="36"/>
        <v>0</v>
      </c>
      <c r="AA42" s="721" t="b">
        <f t="shared" si="42"/>
        <v>0</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row>
    <row r="43" spans="1:66" ht="33.4" hidden="1">
      <c r="A43">
        <f t="shared" si="20"/>
        <v>40</v>
      </c>
      <c r="B43" s="407">
        <v>1</v>
      </c>
      <c r="C43" s="487" t="s">
        <v>539</v>
      </c>
      <c r="D43" s="487" t="s">
        <v>1011</v>
      </c>
      <c r="E43" s="487" t="s">
        <v>1021</v>
      </c>
      <c r="F43" s="492" t="s">
        <v>1022</v>
      </c>
      <c r="G43" s="430">
        <f>36.67/75</f>
        <v>0.48893333333333333</v>
      </c>
      <c r="H43" s="428"/>
      <c r="I43" s="430">
        <f t="shared" si="17"/>
        <v>0.48893333333333333</v>
      </c>
      <c r="K43" s="719"/>
      <c r="L43" s="17" t="s">
        <v>966</v>
      </c>
      <c r="M43" s="720">
        <v>43713</v>
      </c>
      <c r="N43" s="721" t="b">
        <f t="shared" si="41"/>
        <v>0</v>
      </c>
      <c r="O43" s="721" t="b">
        <f t="shared" si="43"/>
        <v>0</v>
      </c>
      <c r="P43" s="721" t="b">
        <f t="shared" si="31"/>
        <v>0</v>
      </c>
      <c r="Q43" s="721" t="b">
        <f t="shared" si="45"/>
        <v>0</v>
      </c>
      <c r="R43" s="721" t="b">
        <f t="shared" si="44"/>
        <v>0</v>
      </c>
      <c r="S43" s="721" t="b">
        <f t="shared" si="38"/>
        <v>0</v>
      </c>
      <c r="T43" s="721" t="b">
        <f t="shared" ref="T43:T106" si="48">FALSE()</f>
        <v>0</v>
      </c>
      <c r="U43" s="721" t="b">
        <f t="shared" si="47"/>
        <v>0</v>
      </c>
      <c r="V43" s="721" t="b">
        <f>TRUE()</f>
        <v>1</v>
      </c>
      <c r="W43" s="721" t="b">
        <f t="shared" si="8"/>
        <v>0</v>
      </c>
      <c r="X43" s="721" t="b">
        <f t="shared" si="9"/>
        <v>0</v>
      </c>
      <c r="Y43" s="721" t="b">
        <f t="shared" si="40"/>
        <v>0</v>
      </c>
      <c r="Z43" s="721" t="b">
        <f t="shared" si="36"/>
        <v>0</v>
      </c>
      <c r="AA43" s="721" t="b">
        <f t="shared" si="42"/>
        <v>0</v>
      </c>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row>
    <row r="44" spans="1:66" hidden="1">
      <c r="A44">
        <f t="shared" si="20"/>
        <v>41</v>
      </c>
      <c r="B44" s="487">
        <v>1</v>
      </c>
      <c r="C44" s="487" t="s">
        <v>522</v>
      </c>
      <c r="D44" s="487" t="s">
        <v>1011</v>
      </c>
      <c r="E44" s="487" t="s">
        <v>1023</v>
      </c>
      <c r="F44" s="492" t="s">
        <v>1024</v>
      </c>
      <c r="G44" s="430">
        <v>1736</v>
      </c>
      <c r="H44" s="428"/>
      <c r="I44" s="430">
        <f t="shared" si="17"/>
        <v>1736</v>
      </c>
      <c r="J44" s="58">
        <v>27600</v>
      </c>
      <c r="K44" s="417">
        <f>G44/J44</f>
        <v>6.2898550724637681E-2</v>
      </c>
      <c r="L44" s="17" t="s">
        <v>966</v>
      </c>
      <c r="M44" s="720">
        <v>43713</v>
      </c>
      <c r="N44" s="721" t="b">
        <f t="shared" si="41"/>
        <v>0</v>
      </c>
      <c r="O44" s="721" t="b">
        <f t="shared" si="43"/>
        <v>0</v>
      </c>
      <c r="P44" s="721" t="b">
        <f t="shared" ref="P44:P46" si="49">TRUE()</f>
        <v>1</v>
      </c>
      <c r="Q44" s="721" t="b">
        <f t="shared" si="45"/>
        <v>0</v>
      </c>
      <c r="R44" s="721" t="b">
        <f t="shared" si="44"/>
        <v>0</v>
      </c>
      <c r="S44" s="721" t="b">
        <f t="shared" si="38"/>
        <v>0</v>
      </c>
      <c r="T44" s="721" t="b">
        <f t="shared" si="48"/>
        <v>0</v>
      </c>
      <c r="U44" s="721" t="b">
        <f t="shared" si="47"/>
        <v>0</v>
      </c>
      <c r="V44" s="721" t="b">
        <f t="shared" ref="V44:V95" si="50">FALSE()</f>
        <v>0</v>
      </c>
      <c r="W44" s="721" t="b">
        <f t="shared" si="8"/>
        <v>0</v>
      </c>
      <c r="X44" s="721" t="b">
        <f t="shared" si="9"/>
        <v>0</v>
      </c>
      <c r="Y44" s="721" t="b">
        <f t="shared" si="40"/>
        <v>0</v>
      </c>
      <c r="Z44" s="721" t="b">
        <f t="shared" si="36"/>
        <v>0</v>
      </c>
      <c r="AA44" s="721" t="b">
        <f t="shared" si="42"/>
        <v>0</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row>
    <row r="45" spans="1:66" ht="66.8" hidden="1">
      <c r="A45">
        <f t="shared" si="20"/>
        <v>42</v>
      </c>
      <c r="B45" s="487">
        <v>1</v>
      </c>
      <c r="C45" s="487" t="s">
        <v>522</v>
      </c>
      <c r="D45" s="487" t="s">
        <v>1011</v>
      </c>
      <c r="E45" s="487" t="s">
        <v>1025</v>
      </c>
      <c r="F45" s="492" t="s">
        <v>1026</v>
      </c>
      <c r="G45" s="430">
        <v>19.07</v>
      </c>
      <c r="H45" s="428"/>
      <c r="I45" s="430">
        <f t="shared" si="17"/>
        <v>19.07</v>
      </c>
      <c r="K45" s="719" t="s">
        <v>1027</v>
      </c>
      <c r="L45" s="17" t="s">
        <v>966</v>
      </c>
      <c r="M45" s="720">
        <v>43713</v>
      </c>
      <c r="N45" s="721" t="b">
        <f t="shared" si="41"/>
        <v>0</v>
      </c>
      <c r="O45" s="721" t="b">
        <f t="shared" si="43"/>
        <v>0</v>
      </c>
      <c r="P45" s="721" t="b">
        <f t="shared" si="49"/>
        <v>1</v>
      </c>
      <c r="Q45" s="721" t="b">
        <f t="shared" si="45"/>
        <v>0</v>
      </c>
      <c r="R45" s="721" t="b">
        <f t="shared" si="44"/>
        <v>0</v>
      </c>
      <c r="S45" s="721" t="b">
        <f t="shared" si="38"/>
        <v>0</v>
      </c>
      <c r="T45" s="721" t="b">
        <f t="shared" si="48"/>
        <v>0</v>
      </c>
      <c r="U45" s="721" t="b">
        <f t="shared" si="47"/>
        <v>0</v>
      </c>
      <c r="V45" s="721" t="b">
        <f t="shared" si="50"/>
        <v>0</v>
      </c>
      <c r="W45" s="721" t="b">
        <f t="shared" si="8"/>
        <v>0</v>
      </c>
      <c r="X45" s="721" t="b">
        <f t="shared" si="9"/>
        <v>0</v>
      </c>
      <c r="Y45" s="721" t="b">
        <f t="shared" si="40"/>
        <v>0</v>
      </c>
      <c r="Z45" s="721" t="b">
        <f t="shared" si="36"/>
        <v>0</v>
      </c>
      <c r="AA45" s="721" t="b">
        <f t="shared" si="42"/>
        <v>0</v>
      </c>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row>
    <row r="46" spans="1:66" hidden="1">
      <c r="A46">
        <f t="shared" si="20"/>
        <v>43</v>
      </c>
      <c r="B46" s="487">
        <v>1</v>
      </c>
      <c r="C46" s="487" t="s">
        <v>522</v>
      </c>
      <c r="D46" s="487" t="s">
        <v>1011</v>
      </c>
      <c r="E46" s="487" t="s">
        <v>1028</v>
      </c>
      <c r="F46" s="492" t="s">
        <v>1029</v>
      </c>
      <c r="G46" s="430">
        <v>42.31</v>
      </c>
      <c r="H46" s="428"/>
      <c r="I46" s="430">
        <f t="shared" si="17"/>
        <v>42.31</v>
      </c>
      <c r="J46" s="58">
        <v>650</v>
      </c>
      <c r="K46" s="417">
        <f>G46/J46</f>
        <v>6.5092307692307699E-2</v>
      </c>
      <c r="L46" s="17" t="s">
        <v>966</v>
      </c>
      <c r="M46" s="720">
        <v>43713</v>
      </c>
      <c r="N46" s="721" t="b">
        <f t="shared" si="41"/>
        <v>0</v>
      </c>
      <c r="O46" s="721" t="b">
        <f t="shared" si="43"/>
        <v>0</v>
      </c>
      <c r="P46" s="721" t="b">
        <f t="shared" si="49"/>
        <v>1</v>
      </c>
      <c r="Q46" s="721" t="b">
        <f t="shared" si="45"/>
        <v>0</v>
      </c>
      <c r="R46" s="721" t="b">
        <f t="shared" si="44"/>
        <v>0</v>
      </c>
      <c r="S46" s="721" t="b">
        <f t="shared" si="38"/>
        <v>0</v>
      </c>
      <c r="T46" s="721" t="b">
        <f t="shared" si="48"/>
        <v>0</v>
      </c>
      <c r="U46" s="721" t="b">
        <f t="shared" si="47"/>
        <v>0</v>
      </c>
      <c r="V46" s="721" t="b">
        <f t="shared" si="50"/>
        <v>0</v>
      </c>
      <c r="W46" s="721" t="b">
        <f t="shared" si="8"/>
        <v>0</v>
      </c>
      <c r="X46" s="721" t="b">
        <f t="shared" si="9"/>
        <v>0</v>
      </c>
      <c r="Y46" s="721" t="b">
        <f t="shared" si="40"/>
        <v>0</v>
      </c>
      <c r="Z46" s="721" t="b">
        <f t="shared" si="36"/>
        <v>0</v>
      </c>
      <c r="AA46" s="721" t="b">
        <f t="shared" si="42"/>
        <v>0</v>
      </c>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row>
    <row r="47" spans="1:66" ht="55.65" hidden="1">
      <c r="A47">
        <f t="shared" si="20"/>
        <v>44</v>
      </c>
      <c r="B47" s="487">
        <v>1</v>
      </c>
      <c r="C47" s="487" t="s">
        <v>522</v>
      </c>
      <c r="D47" s="487" t="s">
        <v>1030</v>
      </c>
      <c r="E47" s="407" t="s">
        <v>1015</v>
      </c>
      <c r="F47" s="408" t="s">
        <v>1016</v>
      </c>
      <c r="G47" s="409">
        <v>466.67</v>
      </c>
      <c r="H47" s="410"/>
      <c r="I47" s="430">
        <f t="shared" si="17"/>
        <v>466.67</v>
      </c>
      <c r="J47" s="58">
        <v>14640</v>
      </c>
      <c r="K47" s="17"/>
      <c r="L47" s="17" t="s">
        <v>966</v>
      </c>
      <c r="M47" s="720">
        <v>43713</v>
      </c>
      <c r="N47" s="721" t="b">
        <f t="shared" si="41"/>
        <v>0</v>
      </c>
      <c r="O47" s="721" t="b">
        <f t="shared" si="43"/>
        <v>0</v>
      </c>
      <c r="P47" s="721" t="b">
        <f t="shared" ref="P47:P49" si="51">FALSE()</f>
        <v>0</v>
      </c>
      <c r="Q47" s="721" t="b">
        <f t="shared" si="45"/>
        <v>0</v>
      </c>
      <c r="R47" s="721" t="b">
        <f>TRUE()</f>
        <v>1</v>
      </c>
      <c r="S47" s="721" t="b">
        <f t="shared" si="38"/>
        <v>0</v>
      </c>
      <c r="T47" s="721" t="b">
        <f t="shared" si="48"/>
        <v>0</v>
      </c>
      <c r="U47" s="721" t="b">
        <f t="shared" si="47"/>
        <v>0</v>
      </c>
      <c r="V47" s="721" t="b">
        <f t="shared" si="50"/>
        <v>0</v>
      </c>
      <c r="W47" s="721" t="b">
        <f t="shared" si="8"/>
        <v>0</v>
      </c>
      <c r="X47" s="721" t="b">
        <f t="shared" si="9"/>
        <v>0</v>
      </c>
      <c r="Y47" s="721" t="b">
        <f t="shared" si="40"/>
        <v>0</v>
      </c>
      <c r="Z47" s="721" t="b">
        <f t="shared" si="36"/>
        <v>0</v>
      </c>
      <c r="AA47" s="721" t="b">
        <f t="shared" si="42"/>
        <v>0</v>
      </c>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row>
    <row r="48" spans="1:66" ht="55.65" hidden="1">
      <c r="A48">
        <f t="shared" si="20"/>
        <v>45</v>
      </c>
      <c r="B48" s="487">
        <v>1</v>
      </c>
      <c r="C48" s="487" t="s">
        <v>522</v>
      </c>
      <c r="D48" s="487" t="s">
        <v>1030</v>
      </c>
      <c r="E48" s="487" t="s">
        <v>1031</v>
      </c>
      <c r="F48" s="492" t="s">
        <v>1032</v>
      </c>
      <c r="G48" s="430">
        <v>275.56</v>
      </c>
      <c r="H48" s="428"/>
      <c r="I48" s="430">
        <f t="shared" si="17"/>
        <v>275.56</v>
      </c>
      <c r="K48" s="17"/>
      <c r="L48" s="17" t="s">
        <v>966</v>
      </c>
      <c r="M48" s="720">
        <v>43713</v>
      </c>
      <c r="N48" s="721" t="b">
        <f t="shared" si="41"/>
        <v>0</v>
      </c>
      <c r="O48" s="721" t="b">
        <f t="shared" si="43"/>
        <v>0</v>
      </c>
      <c r="P48" s="721" t="b">
        <f t="shared" si="51"/>
        <v>0</v>
      </c>
      <c r="Q48" s="721" t="b">
        <f>TRUE()</f>
        <v>1</v>
      </c>
      <c r="R48" s="721" t="b">
        <f t="shared" ref="R48:R56" si="52">FALSE()</f>
        <v>0</v>
      </c>
      <c r="S48" s="721" t="b">
        <f t="shared" si="38"/>
        <v>0</v>
      </c>
      <c r="T48" s="721" t="b">
        <f t="shared" si="48"/>
        <v>0</v>
      </c>
      <c r="U48" s="721" t="b">
        <f t="shared" si="47"/>
        <v>0</v>
      </c>
      <c r="V48" s="721" t="b">
        <f t="shared" si="50"/>
        <v>0</v>
      </c>
      <c r="W48" s="721" t="b">
        <f t="shared" si="8"/>
        <v>0</v>
      </c>
      <c r="X48" s="721" t="b">
        <f t="shared" si="9"/>
        <v>0</v>
      </c>
      <c r="Y48" s="721" t="b">
        <f t="shared" si="40"/>
        <v>0</v>
      </c>
      <c r="Z48" s="721" t="b">
        <f t="shared" si="36"/>
        <v>0</v>
      </c>
      <c r="AA48" s="721" t="b">
        <f t="shared" si="42"/>
        <v>0</v>
      </c>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row>
    <row r="49" spans="1:66" ht="30.15" hidden="1">
      <c r="A49">
        <f t="shared" si="20"/>
        <v>46</v>
      </c>
      <c r="B49" s="487">
        <v>1</v>
      </c>
      <c r="C49" s="487" t="s">
        <v>522</v>
      </c>
      <c r="D49" s="487" t="s">
        <v>965</v>
      </c>
      <c r="E49" s="487" t="s">
        <v>556</v>
      </c>
      <c r="F49" s="424" t="s">
        <v>1033</v>
      </c>
      <c r="G49" s="430">
        <f>3497.77*61/124</f>
        <v>1720.6771774193548</v>
      </c>
      <c r="H49" s="428"/>
      <c r="I49" s="430">
        <f t="shared" si="17"/>
        <v>1720.6771774193548</v>
      </c>
      <c r="K49" s="204" t="s">
        <v>977</v>
      </c>
      <c r="L49" s="17" t="s">
        <v>966</v>
      </c>
      <c r="M49" s="720">
        <v>43728</v>
      </c>
      <c r="N49" s="721" t="b">
        <f t="shared" si="41"/>
        <v>0</v>
      </c>
      <c r="O49" s="721" t="b">
        <f>TRUE()</f>
        <v>1</v>
      </c>
      <c r="P49" s="721" t="b">
        <f t="shared" si="51"/>
        <v>0</v>
      </c>
      <c r="Q49" s="721" t="b">
        <f t="shared" ref="Q49:Q57" si="53">FALSE()</f>
        <v>0</v>
      </c>
      <c r="R49" s="721" t="b">
        <f t="shared" si="52"/>
        <v>0</v>
      </c>
      <c r="S49" s="721" t="b">
        <f t="shared" si="38"/>
        <v>0</v>
      </c>
      <c r="T49" s="721" t="b">
        <f t="shared" si="48"/>
        <v>0</v>
      </c>
      <c r="U49" s="721" t="b">
        <f t="shared" si="47"/>
        <v>0</v>
      </c>
      <c r="V49" s="721" t="b">
        <f t="shared" si="50"/>
        <v>0</v>
      </c>
      <c r="W49" s="721" t="b">
        <f t="shared" si="8"/>
        <v>0</v>
      </c>
      <c r="X49" s="721" t="b">
        <f t="shared" si="9"/>
        <v>0</v>
      </c>
      <c r="Y49" s="721" t="b">
        <f t="shared" si="40"/>
        <v>0</v>
      </c>
      <c r="Z49" s="721" t="b">
        <f t="shared" si="36"/>
        <v>0</v>
      </c>
      <c r="AA49" s="721" t="b">
        <f t="shared" si="42"/>
        <v>0</v>
      </c>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row>
    <row r="50" spans="1:66" hidden="1">
      <c r="A50">
        <f t="shared" si="20"/>
        <v>47</v>
      </c>
      <c r="B50" s="487">
        <v>1</v>
      </c>
      <c r="C50" s="487" t="s">
        <v>522</v>
      </c>
      <c r="D50" s="487" t="s">
        <v>1034</v>
      </c>
      <c r="E50" s="487" t="s">
        <v>1028</v>
      </c>
      <c r="F50" s="492" t="s">
        <v>1029</v>
      </c>
      <c r="G50" s="430">
        <v>42.31</v>
      </c>
      <c r="H50" s="428"/>
      <c r="I50" s="430">
        <f t="shared" si="17"/>
        <v>42.31</v>
      </c>
      <c r="J50" s="58">
        <v>650</v>
      </c>
      <c r="K50" s="417">
        <f t="shared" ref="K50:K99" si="54">G50/J50</f>
        <v>6.5092307692307699E-2</v>
      </c>
      <c r="L50" s="17" t="s">
        <v>966</v>
      </c>
      <c r="M50" s="720">
        <v>43732</v>
      </c>
      <c r="N50" s="721" t="b">
        <f t="shared" si="41"/>
        <v>0</v>
      </c>
      <c r="O50" s="721" t="b">
        <f t="shared" ref="O50:O53" si="55">FALSE()</f>
        <v>0</v>
      </c>
      <c r="P50" s="721" t="b">
        <f t="shared" ref="P50:P53" si="56">TRUE()</f>
        <v>1</v>
      </c>
      <c r="Q50" s="721" t="b">
        <f t="shared" si="53"/>
        <v>0</v>
      </c>
      <c r="R50" s="721" t="b">
        <f t="shared" si="52"/>
        <v>0</v>
      </c>
      <c r="S50" s="721" t="b">
        <f t="shared" si="38"/>
        <v>0</v>
      </c>
      <c r="T50" s="721" t="b">
        <f t="shared" si="48"/>
        <v>0</v>
      </c>
      <c r="U50" s="721" t="b">
        <f t="shared" si="47"/>
        <v>0</v>
      </c>
      <c r="V50" s="721" t="b">
        <f t="shared" si="50"/>
        <v>0</v>
      </c>
      <c r="W50" s="721" t="b">
        <f t="shared" si="8"/>
        <v>0</v>
      </c>
      <c r="X50" s="721" t="b">
        <f t="shared" si="9"/>
        <v>0</v>
      </c>
      <c r="Y50" s="721" t="b">
        <f t="shared" si="40"/>
        <v>0</v>
      </c>
      <c r="Z50" s="721" t="b">
        <f t="shared" si="36"/>
        <v>0</v>
      </c>
      <c r="AA50" s="721" t="b">
        <f t="shared" si="42"/>
        <v>0</v>
      </c>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row>
    <row r="51" spans="1:66" hidden="1">
      <c r="A51">
        <f t="shared" si="20"/>
        <v>48</v>
      </c>
      <c r="B51" s="487">
        <v>1</v>
      </c>
      <c r="C51" s="487" t="s">
        <v>522</v>
      </c>
      <c r="D51" s="487" t="s">
        <v>1034</v>
      </c>
      <c r="E51" s="487" t="s">
        <v>1023</v>
      </c>
      <c r="F51" s="492" t="s">
        <v>1024</v>
      </c>
      <c r="G51" s="430">
        <v>1736</v>
      </c>
      <c r="H51" s="428"/>
      <c r="I51" s="430">
        <f t="shared" si="17"/>
        <v>1736</v>
      </c>
      <c r="J51" s="58">
        <v>27600</v>
      </c>
      <c r="K51" s="417">
        <f t="shared" si="54"/>
        <v>6.2898550724637681E-2</v>
      </c>
      <c r="L51" s="17" t="s">
        <v>966</v>
      </c>
      <c r="M51" s="720">
        <v>43732</v>
      </c>
      <c r="N51" s="721" t="b">
        <f t="shared" si="41"/>
        <v>0</v>
      </c>
      <c r="O51" s="721" t="b">
        <f t="shared" si="55"/>
        <v>0</v>
      </c>
      <c r="P51" s="721" t="b">
        <f t="shared" si="56"/>
        <v>1</v>
      </c>
      <c r="Q51" s="721" t="b">
        <f t="shared" si="53"/>
        <v>0</v>
      </c>
      <c r="R51" s="721" t="b">
        <f t="shared" si="52"/>
        <v>0</v>
      </c>
      <c r="S51" s="721" t="b">
        <f t="shared" si="38"/>
        <v>0</v>
      </c>
      <c r="T51" s="721" t="b">
        <f t="shared" si="48"/>
        <v>0</v>
      </c>
      <c r="U51" s="721" t="b">
        <f t="shared" si="47"/>
        <v>0</v>
      </c>
      <c r="V51" s="721" t="b">
        <f t="shared" si="50"/>
        <v>0</v>
      </c>
      <c r="W51" s="721" t="b">
        <f t="shared" si="8"/>
        <v>0</v>
      </c>
      <c r="X51" s="721" t="b">
        <f t="shared" si="9"/>
        <v>0</v>
      </c>
      <c r="Y51" s="721" t="b">
        <f t="shared" si="40"/>
        <v>0</v>
      </c>
      <c r="Z51" s="721" t="b">
        <f t="shared" si="36"/>
        <v>0</v>
      </c>
      <c r="AA51" s="721" t="b">
        <f t="shared" si="42"/>
        <v>0</v>
      </c>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row>
    <row r="52" spans="1:66" hidden="1">
      <c r="A52">
        <f t="shared" si="20"/>
        <v>49</v>
      </c>
      <c r="B52" s="487">
        <v>1</v>
      </c>
      <c r="C52" s="487" t="s">
        <v>522</v>
      </c>
      <c r="D52" s="487" t="s">
        <v>1034</v>
      </c>
      <c r="E52" s="487" t="s">
        <v>1035</v>
      </c>
      <c r="F52" s="492" t="s">
        <v>1036</v>
      </c>
      <c r="G52" s="430">
        <v>32.04</v>
      </c>
      <c r="H52" s="428"/>
      <c r="I52" s="430">
        <f t="shared" si="17"/>
        <v>32.04</v>
      </c>
      <c r="J52" s="58">
        <v>370</v>
      </c>
      <c r="K52" s="417">
        <f t="shared" si="54"/>
        <v>8.6594594594594593E-2</v>
      </c>
      <c r="L52" s="17" t="s">
        <v>966</v>
      </c>
      <c r="M52" s="720">
        <v>43732</v>
      </c>
      <c r="N52" s="721" t="b">
        <f t="shared" si="41"/>
        <v>0</v>
      </c>
      <c r="O52" s="721" t="b">
        <f t="shared" si="55"/>
        <v>0</v>
      </c>
      <c r="P52" s="721" t="b">
        <f t="shared" si="56"/>
        <v>1</v>
      </c>
      <c r="Q52" s="721" t="b">
        <f t="shared" si="53"/>
        <v>0</v>
      </c>
      <c r="R52" s="721" t="b">
        <f t="shared" si="52"/>
        <v>0</v>
      </c>
      <c r="S52" s="721" t="b">
        <f t="shared" si="38"/>
        <v>0</v>
      </c>
      <c r="T52" s="721" t="b">
        <f t="shared" si="48"/>
        <v>0</v>
      </c>
      <c r="U52" s="721" t="b">
        <f t="shared" si="47"/>
        <v>0</v>
      </c>
      <c r="V52" s="721" t="b">
        <f t="shared" si="50"/>
        <v>0</v>
      </c>
      <c r="W52" s="721" t="b">
        <f t="shared" si="8"/>
        <v>0</v>
      </c>
      <c r="X52" s="721" t="b">
        <f t="shared" si="9"/>
        <v>0</v>
      </c>
      <c r="Y52" s="721" t="b">
        <f t="shared" si="40"/>
        <v>0</v>
      </c>
      <c r="Z52" s="721" t="b">
        <f t="shared" si="36"/>
        <v>0</v>
      </c>
      <c r="AA52" s="721" t="b">
        <f t="shared" si="42"/>
        <v>0</v>
      </c>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row>
    <row r="53" spans="1:66" hidden="1">
      <c r="A53">
        <f t="shared" si="20"/>
        <v>50</v>
      </c>
      <c r="B53" s="487">
        <v>1</v>
      </c>
      <c r="C53" s="487" t="s">
        <v>522</v>
      </c>
      <c r="D53" s="487" t="s">
        <v>1034</v>
      </c>
      <c r="E53" s="487" t="s">
        <v>1025</v>
      </c>
      <c r="F53" s="492" t="s">
        <v>1026</v>
      </c>
      <c r="G53" s="430">
        <v>19.07</v>
      </c>
      <c r="H53" s="428"/>
      <c r="I53" s="430">
        <f t="shared" si="17"/>
        <v>19.07</v>
      </c>
      <c r="K53" s="17"/>
      <c r="L53" s="17" t="s">
        <v>966</v>
      </c>
      <c r="M53" s="720">
        <v>43732</v>
      </c>
      <c r="N53" s="721" t="b">
        <f t="shared" si="41"/>
        <v>0</v>
      </c>
      <c r="O53" s="721" t="b">
        <f t="shared" si="55"/>
        <v>0</v>
      </c>
      <c r="P53" s="721" t="b">
        <f t="shared" si="56"/>
        <v>1</v>
      </c>
      <c r="Q53" s="721" t="b">
        <f t="shared" si="53"/>
        <v>0</v>
      </c>
      <c r="R53" s="721" t="b">
        <f t="shared" si="52"/>
        <v>0</v>
      </c>
      <c r="S53" s="721" t="b">
        <f t="shared" si="38"/>
        <v>0</v>
      </c>
      <c r="T53" s="721" t="b">
        <f t="shared" si="48"/>
        <v>0</v>
      </c>
      <c r="U53" s="721" t="b">
        <f t="shared" si="47"/>
        <v>0</v>
      </c>
      <c r="V53" s="721" t="b">
        <f t="shared" si="50"/>
        <v>0</v>
      </c>
      <c r="W53" s="721" t="b">
        <f t="shared" si="8"/>
        <v>0</v>
      </c>
      <c r="X53" s="721" t="b">
        <f t="shared" si="9"/>
        <v>0</v>
      </c>
      <c r="Y53" s="721" t="b">
        <f t="shared" si="40"/>
        <v>0</v>
      </c>
      <c r="Z53" s="721" t="b">
        <f t="shared" si="36"/>
        <v>0</v>
      </c>
      <c r="AA53" s="721" t="b">
        <f t="shared" si="42"/>
        <v>0</v>
      </c>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row>
    <row r="54" spans="1:66" ht="44.55" hidden="1">
      <c r="A54">
        <f t="shared" si="20"/>
        <v>51</v>
      </c>
      <c r="B54" s="423">
        <v>1</v>
      </c>
      <c r="C54" s="487" t="s">
        <v>522</v>
      </c>
      <c r="D54" s="423" t="s">
        <v>1037</v>
      </c>
      <c r="E54" s="487"/>
      <c r="F54" s="424" t="s">
        <v>1038</v>
      </c>
      <c r="G54" s="425">
        <f>4848/121</f>
        <v>40.066115702479337</v>
      </c>
      <c r="H54" s="428"/>
      <c r="I54" s="430">
        <f t="shared" si="17"/>
        <v>40.066115702479337</v>
      </c>
      <c r="K54" s="723" t="s">
        <v>1039</v>
      </c>
      <c r="L54" s="17" t="s">
        <v>1040</v>
      </c>
      <c r="M54" s="720">
        <v>43768</v>
      </c>
      <c r="N54" s="721" t="b">
        <f t="shared" si="41"/>
        <v>0</v>
      </c>
      <c r="O54" s="721" t="b">
        <f>TRUE()</f>
        <v>1</v>
      </c>
      <c r="P54" s="721" t="b">
        <f t="shared" ref="P54:P60" si="57">FALSE()</f>
        <v>0</v>
      </c>
      <c r="Q54" s="721" t="b">
        <f t="shared" si="53"/>
        <v>0</v>
      </c>
      <c r="R54" s="721" t="b">
        <f t="shared" si="52"/>
        <v>0</v>
      </c>
      <c r="S54" s="721" t="b">
        <f t="shared" si="38"/>
        <v>0</v>
      </c>
      <c r="T54" s="721" t="b">
        <f t="shared" si="48"/>
        <v>0</v>
      </c>
      <c r="U54" s="721" t="b">
        <f t="shared" si="47"/>
        <v>0</v>
      </c>
      <c r="V54" s="721" t="b">
        <f t="shared" si="50"/>
        <v>0</v>
      </c>
      <c r="W54" s="721" t="b">
        <f t="shared" si="8"/>
        <v>0</v>
      </c>
      <c r="X54" s="721" t="b">
        <f t="shared" si="9"/>
        <v>0</v>
      </c>
      <c r="Y54" s="721" t="b">
        <f t="shared" si="40"/>
        <v>0</v>
      </c>
      <c r="Z54" s="721" t="b">
        <f t="shared" si="36"/>
        <v>0</v>
      </c>
      <c r="AA54" s="721" t="b">
        <f t="shared" si="42"/>
        <v>0</v>
      </c>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row>
    <row r="55" spans="1:66" hidden="1">
      <c r="A55">
        <f t="shared" si="20"/>
        <v>52</v>
      </c>
      <c r="B55" s="423">
        <v>1</v>
      </c>
      <c r="C55" s="487" t="s">
        <v>522</v>
      </c>
      <c r="D55" s="423" t="s">
        <v>1037</v>
      </c>
      <c r="E55" s="487"/>
      <c r="F55" s="424" t="s">
        <v>964</v>
      </c>
      <c r="G55" s="425">
        <v>500</v>
      </c>
      <c r="H55" s="428"/>
      <c r="I55" s="430">
        <f t="shared" si="17"/>
        <v>500</v>
      </c>
      <c r="K55" s="719"/>
      <c r="L55" s="17" t="s">
        <v>1040</v>
      </c>
      <c r="M55" s="720">
        <v>43768</v>
      </c>
      <c r="N55" s="721" t="b">
        <f t="shared" si="41"/>
        <v>0</v>
      </c>
      <c r="O55" s="721" t="b">
        <f t="shared" ref="O55:O63" si="58">FALSE()</f>
        <v>0</v>
      </c>
      <c r="P55" s="721" t="b">
        <f t="shared" si="57"/>
        <v>0</v>
      </c>
      <c r="Q55" s="721" t="b">
        <f t="shared" si="53"/>
        <v>0</v>
      </c>
      <c r="R55" s="721" t="b">
        <f t="shared" si="52"/>
        <v>0</v>
      </c>
      <c r="S55" s="721" t="b">
        <f t="shared" si="38"/>
        <v>0</v>
      </c>
      <c r="T55" s="721" t="b">
        <f t="shared" si="48"/>
        <v>0</v>
      </c>
      <c r="U55" s="721" t="b">
        <f t="shared" si="47"/>
        <v>0</v>
      </c>
      <c r="V55" s="721" t="b">
        <f t="shared" si="50"/>
        <v>0</v>
      </c>
      <c r="W55" s="721" t="b">
        <f t="shared" si="8"/>
        <v>0</v>
      </c>
      <c r="X55" s="721" t="b">
        <f t="shared" si="9"/>
        <v>0</v>
      </c>
      <c r="Y55" s="721" t="b">
        <f t="shared" si="40"/>
        <v>0</v>
      </c>
      <c r="Z55" s="721" t="b">
        <f t="shared" si="36"/>
        <v>0</v>
      </c>
      <c r="AA55" s="721" t="b">
        <f>TRUE()</f>
        <v>1</v>
      </c>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row>
    <row r="56" spans="1:66" ht="22.25" hidden="1">
      <c r="A56">
        <f t="shared" si="20"/>
        <v>53</v>
      </c>
      <c r="B56" s="423">
        <v>1</v>
      </c>
      <c r="C56" s="423" t="s">
        <v>522</v>
      </c>
      <c r="D56" s="423" t="s">
        <v>1041</v>
      </c>
      <c r="E56" s="423" t="s">
        <v>1042</v>
      </c>
      <c r="F56" s="424" t="s">
        <v>1043</v>
      </c>
      <c r="G56" s="421">
        <v>107.09</v>
      </c>
      <c r="H56" s="410"/>
      <c r="I56" s="409">
        <f t="shared" si="17"/>
        <v>107.09</v>
      </c>
      <c r="J56" s="58">
        <v>325</v>
      </c>
      <c r="K56" s="417">
        <f t="shared" si="54"/>
        <v>0.32950769230769233</v>
      </c>
      <c r="L56" s="17" t="s">
        <v>966</v>
      </c>
      <c r="M56" s="720">
        <v>43776</v>
      </c>
      <c r="N56" s="721" t="b">
        <f>TRUE()</f>
        <v>1</v>
      </c>
      <c r="O56" s="721" t="b">
        <f t="shared" si="58"/>
        <v>0</v>
      </c>
      <c r="P56" s="721" t="b">
        <f t="shared" si="57"/>
        <v>0</v>
      </c>
      <c r="Q56" s="721" t="b">
        <f t="shared" si="53"/>
        <v>0</v>
      </c>
      <c r="R56" s="721" t="b">
        <f t="shared" si="52"/>
        <v>0</v>
      </c>
      <c r="S56" s="721" t="b">
        <f t="shared" si="38"/>
        <v>0</v>
      </c>
      <c r="T56" s="721" t="b">
        <f t="shared" si="48"/>
        <v>0</v>
      </c>
      <c r="U56" s="721" t="b">
        <f t="shared" si="47"/>
        <v>0</v>
      </c>
      <c r="V56" s="721" t="b">
        <f t="shared" si="50"/>
        <v>0</v>
      </c>
      <c r="W56" s="721" t="b">
        <f t="shared" si="8"/>
        <v>0</v>
      </c>
      <c r="X56" s="721" t="b">
        <f t="shared" si="9"/>
        <v>0</v>
      </c>
      <c r="Y56" s="721" t="b">
        <f t="shared" si="40"/>
        <v>0</v>
      </c>
      <c r="Z56" s="721" t="b">
        <f t="shared" si="36"/>
        <v>0</v>
      </c>
      <c r="AA56" s="721" t="b">
        <f t="shared" ref="AA56:AA62" si="59">FALSE()</f>
        <v>0</v>
      </c>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row>
    <row r="57" spans="1:66" ht="55.65" hidden="1">
      <c r="A57">
        <f t="shared" si="20"/>
        <v>54</v>
      </c>
      <c r="B57" s="407">
        <v>1</v>
      </c>
      <c r="C57" s="407" t="s">
        <v>522</v>
      </c>
      <c r="D57" s="487" t="s">
        <v>1041</v>
      </c>
      <c r="E57" s="407" t="s">
        <v>556</v>
      </c>
      <c r="F57" s="408" t="s">
        <v>1044</v>
      </c>
      <c r="G57" s="409">
        <v>450</v>
      </c>
      <c r="H57" s="410"/>
      <c r="I57" s="409">
        <f t="shared" si="17"/>
        <v>450</v>
      </c>
      <c r="J57" s="58">
        <v>33000</v>
      </c>
      <c r="K57" s="204" t="s">
        <v>1045</v>
      </c>
      <c r="L57" s="17" t="s">
        <v>966</v>
      </c>
      <c r="M57" s="720">
        <v>43776</v>
      </c>
      <c r="N57" s="721" t="b">
        <f t="shared" ref="N57:N83" si="60">FALSE()</f>
        <v>0</v>
      </c>
      <c r="O57" s="721" t="b">
        <f t="shared" si="58"/>
        <v>0</v>
      </c>
      <c r="P57" s="721" t="b">
        <f t="shared" si="57"/>
        <v>0</v>
      </c>
      <c r="Q57" s="721" t="b">
        <f t="shared" si="53"/>
        <v>0</v>
      </c>
      <c r="R57" s="721" t="b">
        <f>TRUE()</f>
        <v>1</v>
      </c>
      <c r="S57" s="721" t="b">
        <f t="shared" si="38"/>
        <v>0</v>
      </c>
      <c r="T57" s="721" t="b">
        <f t="shared" si="48"/>
        <v>0</v>
      </c>
      <c r="U57" s="721" t="b">
        <f t="shared" si="47"/>
        <v>0</v>
      </c>
      <c r="V57" s="721" t="b">
        <f t="shared" si="50"/>
        <v>0</v>
      </c>
      <c r="W57" s="721" t="b">
        <f t="shared" si="8"/>
        <v>0</v>
      </c>
      <c r="X57" s="721" t="b">
        <f t="shared" si="9"/>
        <v>0</v>
      </c>
      <c r="Y57" s="721" t="b">
        <f t="shared" si="40"/>
        <v>0</v>
      </c>
      <c r="Z57" s="721" t="b">
        <f t="shared" si="36"/>
        <v>0</v>
      </c>
      <c r="AA57" s="721" t="b">
        <f t="shared" si="59"/>
        <v>0</v>
      </c>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row>
    <row r="58" spans="1:66" ht="44.55" hidden="1">
      <c r="A58">
        <f t="shared" si="20"/>
        <v>55</v>
      </c>
      <c r="B58" s="407">
        <v>3</v>
      </c>
      <c r="C58" s="407" t="s">
        <v>522</v>
      </c>
      <c r="D58" s="487" t="s">
        <v>1046</v>
      </c>
      <c r="E58" s="407" t="s">
        <v>1047</v>
      </c>
      <c r="F58" s="408" t="s">
        <v>1048</v>
      </c>
      <c r="G58" s="409">
        <v>115.56</v>
      </c>
      <c r="H58" s="428"/>
      <c r="I58" s="430">
        <f t="shared" si="17"/>
        <v>115.56</v>
      </c>
      <c r="K58" s="719"/>
      <c r="L58" s="17" t="s">
        <v>966</v>
      </c>
      <c r="M58" s="720">
        <v>43776</v>
      </c>
      <c r="N58" s="721" t="b">
        <f t="shared" si="60"/>
        <v>0</v>
      </c>
      <c r="O58" s="721" t="b">
        <f t="shared" si="58"/>
        <v>0</v>
      </c>
      <c r="P58" s="721" t="b">
        <f t="shared" si="57"/>
        <v>0</v>
      </c>
      <c r="Q58" s="721" t="b">
        <f>TRUE()</f>
        <v>1</v>
      </c>
      <c r="R58" s="721" t="b">
        <f t="shared" ref="R58:R93" si="61">FALSE()</f>
        <v>0</v>
      </c>
      <c r="S58" s="721" t="b">
        <f t="shared" si="38"/>
        <v>0</v>
      </c>
      <c r="T58" s="721" t="b">
        <f t="shared" si="48"/>
        <v>0</v>
      </c>
      <c r="U58" s="721" t="b">
        <f t="shared" si="47"/>
        <v>0</v>
      </c>
      <c r="V58" s="721" t="b">
        <f t="shared" si="50"/>
        <v>0</v>
      </c>
      <c r="W58" s="721" t="b">
        <f t="shared" si="8"/>
        <v>0</v>
      </c>
      <c r="X58" s="721" t="b">
        <f t="shared" si="9"/>
        <v>0</v>
      </c>
      <c r="Y58" s="721" t="b">
        <f t="shared" si="40"/>
        <v>0</v>
      </c>
      <c r="Z58" s="721" t="b">
        <f t="shared" si="36"/>
        <v>0</v>
      </c>
      <c r="AA58" s="721" t="b">
        <f t="shared" si="59"/>
        <v>0</v>
      </c>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row>
    <row r="59" spans="1:66" ht="33.4" hidden="1">
      <c r="A59">
        <f t="shared" si="20"/>
        <v>56</v>
      </c>
      <c r="B59" s="487">
        <v>1</v>
      </c>
      <c r="C59" s="407" t="s">
        <v>522</v>
      </c>
      <c r="D59" s="487" t="s">
        <v>1041</v>
      </c>
      <c r="E59" s="407" t="s">
        <v>797</v>
      </c>
      <c r="F59" s="408" t="s">
        <v>798</v>
      </c>
      <c r="G59" s="409">
        <v>1.46</v>
      </c>
      <c r="H59" s="410"/>
      <c r="I59" s="409">
        <f t="shared" si="17"/>
        <v>1.46</v>
      </c>
      <c r="K59" s="204"/>
      <c r="L59" s="17" t="s">
        <v>966</v>
      </c>
      <c r="M59" s="720">
        <v>43776</v>
      </c>
      <c r="N59" s="721" t="b">
        <f t="shared" si="60"/>
        <v>0</v>
      </c>
      <c r="O59" s="721" t="b">
        <f t="shared" si="58"/>
        <v>0</v>
      </c>
      <c r="P59" s="721" t="b">
        <f t="shared" si="57"/>
        <v>0</v>
      </c>
      <c r="Q59" s="721" t="b">
        <f t="shared" ref="Q59:Q89" si="62">FALSE()</f>
        <v>0</v>
      </c>
      <c r="R59" s="721" t="b">
        <f t="shared" si="61"/>
        <v>0</v>
      </c>
      <c r="S59" s="721" t="b">
        <f t="shared" si="38"/>
        <v>0</v>
      </c>
      <c r="T59" s="721" t="b">
        <f t="shared" si="48"/>
        <v>0</v>
      </c>
      <c r="U59" s="721" t="b">
        <f t="shared" ref="U59:U60" si="63">TRUE()</f>
        <v>1</v>
      </c>
      <c r="V59" s="721" t="b">
        <f t="shared" si="50"/>
        <v>0</v>
      </c>
      <c r="W59" s="721" t="b">
        <f t="shared" si="8"/>
        <v>0</v>
      </c>
      <c r="X59" s="721" t="b">
        <f t="shared" si="9"/>
        <v>0</v>
      </c>
      <c r="Y59" s="721" t="b">
        <f t="shared" si="40"/>
        <v>0</v>
      </c>
      <c r="Z59" s="721" t="b">
        <f t="shared" si="36"/>
        <v>0</v>
      </c>
      <c r="AA59" s="721" t="b">
        <f t="shared" si="59"/>
        <v>0</v>
      </c>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row>
    <row r="60" spans="1:66" ht="33.4" hidden="1">
      <c r="A60">
        <f t="shared" si="20"/>
        <v>57</v>
      </c>
      <c r="B60" s="407">
        <v>1</v>
      </c>
      <c r="C60" s="407" t="s">
        <v>522</v>
      </c>
      <c r="D60" s="487" t="s">
        <v>1041</v>
      </c>
      <c r="E60" s="407" t="s">
        <v>800</v>
      </c>
      <c r="F60" s="408" t="s">
        <v>801</v>
      </c>
      <c r="G60" s="409">
        <v>1.1000000000000001</v>
      </c>
      <c r="H60" s="410"/>
      <c r="I60" s="409">
        <f t="shared" si="17"/>
        <v>1.1000000000000001</v>
      </c>
      <c r="K60" s="204"/>
      <c r="L60" s="17" t="s">
        <v>966</v>
      </c>
      <c r="M60" s="720">
        <v>43776</v>
      </c>
      <c r="N60" s="721" t="b">
        <f t="shared" si="60"/>
        <v>0</v>
      </c>
      <c r="O60" s="721" t="b">
        <f t="shared" si="58"/>
        <v>0</v>
      </c>
      <c r="P60" s="721" t="b">
        <f t="shared" si="57"/>
        <v>0</v>
      </c>
      <c r="Q60" s="721" t="b">
        <f t="shared" si="62"/>
        <v>0</v>
      </c>
      <c r="R60" s="721" t="b">
        <f t="shared" si="61"/>
        <v>0</v>
      </c>
      <c r="S60" s="721" t="b">
        <f t="shared" si="38"/>
        <v>0</v>
      </c>
      <c r="T60" s="721" t="b">
        <f t="shared" si="48"/>
        <v>0</v>
      </c>
      <c r="U60" s="721" t="b">
        <f t="shared" si="63"/>
        <v>1</v>
      </c>
      <c r="V60" s="721" t="b">
        <f t="shared" si="50"/>
        <v>0</v>
      </c>
      <c r="W60" s="721" t="b">
        <f t="shared" si="8"/>
        <v>0</v>
      </c>
      <c r="X60" s="721" t="b">
        <f t="shared" si="9"/>
        <v>0</v>
      </c>
      <c r="Y60" s="721" t="b">
        <f t="shared" si="40"/>
        <v>0</v>
      </c>
      <c r="Z60" s="721" t="b">
        <f t="shared" si="36"/>
        <v>0</v>
      </c>
      <c r="AA60" s="721" t="b">
        <f t="shared" si="59"/>
        <v>0</v>
      </c>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row>
    <row r="61" spans="1:66" ht="23.9" hidden="1" customHeight="1">
      <c r="A61">
        <f t="shared" si="20"/>
        <v>58</v>
      </c>
      <c r="B61" s="407">
        <v>1</v>
      </c>
      <c r="C61" s="407" t="s">
        <v>522</v>
      </c>
      <c r="D61" s="487" t="s">
        <v>1041</v>
      </c>
      <c r="E61" s="407" t="s">
        <v>1035</v>
      </c>
      <c r="F61" s="408" t="s">
        <v>1036</v>
      </c>
      <c r="G61" s="409">
        <v>32.04</v>
      </c>
      <c r="H61" s="410"/>
      <c r="I61" s="409">
        <f t="shared" si="17"/>
        <v>32.04</v>
      </c>
      <c r="J61" s="58">
        <v>370</v>
      </c>
      <c r="K61" s="417">
        <f t="shared" si="54"/>
        <v>8.6594594594594593E-2</v>
      </c>
      <c r="L61" s="17" t="s">
        <v>966</v>
      </c>
      <c r="M61" s="720">
        <v>43776</v>
      </c>
      <c r="N61" s="721" t="b">
        <f t="shared" si="60"/>
        <v>0</v>
      </c>
      <c r="O61" s="721" t="b">
        <f t="shared" si="58"/>
        <v>0</v>
      </c>
      <c r="P61" s="721" t="b">
        <f t="shared" ref="P61:P62" si="64">TRUE()</f>
        <v>1</v>
      </c>
      <c r="Q61" s="721" t="b">
        <f t="shared" si="62"/>
        <v>0</v>
      </c>
      <c r="R61" s="721" t="b">
        <f t="shared" si="61"/>
        <v>0</v>
      </c>
      <c r="S61" s="721" t="b">
        <f t="shared" si="38"/>
        <v>0</v>
      </c>
      <c r="T61" s="721" t="b">
        <f t="shared" si="48"/>
        <v>0</v>
      </c>
      <c r="U61" s="721" t="b">
        <f t="shared" ref="U61:U96" si="65">FALSE()</f>
        <v>0</v>
      </c>
      <c r="V61" s="721" t="b">
        <f t="shared" si="50"/>
        <v>0</v>
      </c>
      <c r="W61" s="721" t="b">
        <f t="shared" si="8"/>
        <v>0</v>
      </c>
      <c r="X61" s="721" t="b">
        <f t="shared" si="9"/>
        <v>0</v>
      </c>
      <c r="Y61" s="721" t="b">
        <f t="shared" si="40"/>
        <v>0</v>
      </c>
      <c r="Z61" s="721" t="b">
        <f t="shared" si="36"/>
        <v>0</v>
      </c>
      <c r="AA61" s="721" t="b">
        <f t="shared" si="59"/>
        <v>0</v>
      </c>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row>
    <row r="62" spans="1:66" hidden="1">
      <c r="A62">
        <f t="shared" si="20"/>
        <v>59</v>
      </c>
      <c r="B62" s="407">
        <v>1</v>
      </c>
      <c r="C62" s="407" t="s">
        <v>522</v>
      </c>
      <c r="D62" s="487" t="s">
        <v>1041</v>
      </c>
      <c r="E62" s="407" t="s">
        <v>1028</v>
      </c>
      <c r="F62" s="408" t="s">
        <v>1029</v>
      </c>
      <c r="G62" s="409">
        <v>42.31</v>
      </c>
      <c r="H62" s="428"/>
      <c r="I62" s="430">
        <f t="shared" si="17"/>
        <v>42.31</v>
      </c>
      <c r="J62" s="58">
        <v>650</v>
      </c>
      <c r="K62" s="417">
        <f t="shared" si="54"/>
        <v>6.5092307692307699E-2</v>
      </c>
      <c r="L62" s="17" t="s">
        <v>966</v>
      </c>
      <c r="M62" s="720">
        <v>43776</v>
      </c>
      <c r="N62" s="721" t="b">
        <f t="shared" si="60"/>
        <v>0</v>
      </c>
      <c r="O62" s="721" t="b">
        <f t="shared" si="58"/>
        <v>0</v>
      </c>
      <c r="P62" s="721" t="b">
        <f t="shared" si="64"/>
        <v>1</v>
      </c>
      <c r="Q62" s="721" t="b">
        <f t="shared" si="62"/>
        <v>0</v>
      </c>
      <c r="R62" s="721" t="b">
        <f t="shared" si="61"/>
        <v>0</v>
      </c>
      <c r="S62" s="721" t="b">
        <f t="shared" si="38"/>
        <v>0</v>
      </c>
      <c r="T62" s="721" t="b">
        <f t="shared" si="48"/>
        <v>0</v>
      </c>
      <c r="U62" s="721" t="b">
        <f t="shared" si="65"/>
        <v>0</v>
      </c>
      <c r="V62" s="721" t="b">
        <f t="shared" si="50"/>
        <v>0</v>
      </c>
      <c r="W62" s="721" t="b">
        <f t="shared" si="8"/>
        <v>0</v>
      </c>
      <c r="X62" s="721" t="b">
        <f t="shared" si="9"/>
        <v>0</v>
      </c>
      <c r="Y62" s="721" t="b">
        <f t="shared" si="40"/>
        <v>0</v>
      </c>
      <c r="Z62" s="721" t="b">
        <f t="shared" si="36"/>
        <v>0</v>
      </c>
      <c r="AA62" s="721" t="b">
        <f t="shared" si="59"/>
        <v>0</v>
      </c>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row>
    <row r="63" spans="1:66" hidden="1">
      <c r="A63">
        <f t="shared" si="20"/>
        <v>60</v>
      </c>
      <c r="B63" s="407">
        <v>1</v>
      </c>
      <c r="C63" s="407"/>
      <c r="D63" s="487" t="s">
        <v>1041</v>
      </c>
      <c r="E63" s="407" t="s">
        <v>769</v>
      </c>
      <c r="F63" s="407" t="s">
        <v>567</v>
      </c>
      <c r="G63" s="409">
        <v>343.75</v>
      </c>
      <c r="H63" s="428"/>
      <c r="I63" s="430">
        <f t="shared" si="17"/>
        <v>343.75</v>
      </c>
      <c r="K63" s="719"/>
      <c r="L63" s="17" t="s">
        <v>966</v>
      </c>
      <c r="M63" s="720">
        <v>43776</v>
      </c>
      <c r="N63" s="721" t="b">
        <f t="shared" si="60"/>
        <v>0</v>
      </c>
      <c r="O63" s="721" t="b">
        <f t="shared" si="58"/>
        <v>0</v>
      </c>
      <c r="P63" s="721" t="b">
        <f t="shared" ref="P63:P98" si="66">FALSE()</f>
        <v>0</v>
      </c>
      <c r="Q63" s="721" t="b">
        <f t="shared" si="62"/>
        <v>0</v>
      </c>
      <c r="R63" s="721" t="b">
        <f t="shared" si="61"/>
        <v>0</v>
      </c>
      <c r="S63" s="721" t="b">
        <f t="shared" si="38"/>
        <v>0</v>
      </c>
      <c r="T63" s="721" t="b">
        <f t="shared" si="48"/>
        <v>0</v>
      </c>
      <c r="U63" s="721" t="b">
        <f t="shared" si="65"/>
        <v>0</v>
      </c>
      <c r="V63" s="721" t="b">
        <f t="shared" si="50"/>
        <v>0</v>
      </c>
      <c r="W63" s="721" t="b">
        <f t="shared" si="8"/>
        <v>0</v>
      </c>
      <c r="X63" s="721" t="b">
        <f t="shared" si="9"/>
        <v>0</v>
      </c>
      <c r="Y63" s="721" t="b">
        <f t="shared" si="40"/>
        <v>0</v>
      </c>
      <c r="Z63" s="721" t="b">
        <f t="shared" si="36"/>
        <v>0</v>
      </c>
      <c r="AA63" s="721" t="b">
        <f>TRUE()</f>
        <v>1</v>
      </c>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row>
    <row r="64" spans="1:66" ht="22.25" hidden="1">
      <c r="A64">
        <f t="shared" si="20"/>
        <v>61</v>
      </c>
      <c r="B64" s="407">
        <v>56</v>
      </c>
      <c r="C64" s="407" t="s">
        <v>522</v>
      </c>
      <c r="D64" s="487" t="s">
        <v>1041</v>
      </c>
      <c r="E64" s="407" t="s">
        <v>556</v>
      </c>
      <c r="F64" s="408" t="s">
        <v>1049</v>
      </c>
      <c r="G64" s="409">
        <f>4013.97/56</f>
        <v>71.678035714285713</v>
      </c>
      <c r="H64" s="410"/>
      <c r="I64" s="409">
        <f t="shared" si="17"/>
        <v>71.678035714285713</v>
      </c>
      <c r="K64" s="204" t="s">
        <v>977</v>
      </c>
      <c r="L64" s="17" t="s">
        <v>966</v>
      </c>
      <c r="M64" s="720">
        <v>43776</v>
      </c>
      <c r="N64" s="721" t="b">
        <f t="shared" si="60"/>
        <v>0</v>
      </c>
      <c r="O64" s="721" t="b">
        <f t="shared" ref="O64:O65" si="67">TRUE()</f>
        <v>1</v>
      </c>
      <c r="P64" s="721" t="b">
        <f t="shared" si="66"/>
        <v>0</v>
      </c>
      <c r="Q64" s="721" t="b">
        <f t="shared" si="62"/>
        <v>0</v>
      </c>
      <c r="R64" s="721" t="b">
        <f t="shared" si="61"/>
        <v>0</v>
      </c>
      <c r="S64" s="721" t="b">
        <f t="shared" si="38"/>
        <v>0</v>
      </c>
      <c r="T64" s="721" t="b">
        <f t="shared" si="48"/>
        <v>0</v>
      </c>
      <c r="U64" s="721" t="b">
        <f t="shared" si="65"/>
        <v>0</v>
      </c>
      <c r="V64" s="721" t="b">
        <f t="shared" si="50"/>
        <v>0</v>
      </c>
      <c r="W64" s="721" t="b">
        <f t="shared" si="8"/>
        <v>0</v>
      </c>
      <c r="X64" s="721" t="b">
        <f t="shared" si="9"/>
        <v>0</v>
      </c>
      <c r="Y64" s="721" t="b">
        <f t="shared" si="40"/>
        <v>0</v>
      </c>
      <c r="Z64" s="721" t="b">
        <f t="shared" si="36"/>
        <v>0</v>
      </c>
      <c r="AA64" s="721" t="b">
        <f t="shared" ref="AA64:AA105" si="68">FALSE()</f>
        <v>0</v>
      </c>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row>
    <row r="65" spans="1:66" ht="22.25" hidden="1">
      <c r="A65">
        <f t="shared" si="20"/>
        <v>62</v>
      </c>
      <c r="B65" s="407">
        <v>34</v>
      </c>
      <c r="C65" s="407" t="s">
        <v>522</v>
      </c>
      <c r="D65" s="487" t="s">
        <v>1041</v>
      </c>
      <c r="E65" s="407" t="s">
        <v>556</v>
      </c>
      <c r="F65" s="408" t="s">
        <v>1050</v>
      </c>
      <c r="G65" s="409">
        <f>1609.69/34</f>
        <v>47.343823529411765</v>
      </c>
      <c r="H65" s="410"/>
      <c r="I65" s="409">
        <f t="shared" si="17"/>
        <v>47.343823529411765</v>
      </c>
      <c r="K65" s="204" t="s">
        <v>977</v>
      </c>
      <c r="L65" s="17" t="s">
        <v>966</v>
      </c>
      <c r="M65" s="720">
        <v>43776</v>
      </c>
      <c r="N65" s="721" t="b">
        <f t="shared" si="60"/>
        <v>0</v>
      </c>
      <c r="O65" s="721" t="b">
        <f t="shared" si="67"/>
        <v>1</v>
      </c>
      <c r="P65" s="721" t="b">
        <f t="shared" si="66"/>
        <v>0</v>
      </c>
      <c r="Q65" s="721" t="b">
        <f t="shared" si="62"/>
        <v>0</v>
      </c>
      <c r="R65" s="721" t="b">
        <f t="shared" si="61"/>
        <v>0</v>
      </c>
      <c r="S65" s="721" t="b">
        <f t="shared" si="38"/>
        <v>0</v>
      </c>
      <c r="T65" s="721" t="b">
        <f t="shared" si="48"/>
        <v>0</v>
      </c>
      <c r="U65" s="721" t="b">
        <f t="shared" si="65"/>
        <v>0</v>
      </c>
      <c r="V65" s="721" t="b">
        <f t="shared" si="50"/>
        <v>0</v>
      </c>
      <c r="W65" s="721" t="b">
        <f t="shared" si="8"/>
        <v>0</v>
      </c>
      <c r="X65" s="721" t="b">
        <f t="shared" si="9"/>
        <v>0</v>
      </c>
      <c r="Y65" s="721" t="b">
        <f t="shared" si="40"/>
        <v>0</v>
      </c>
      <c r="Z65" s="721" t="b">
        <f t="shared" si="36"/>
        <v>0</v>
      </c>
      <c r="AA65" s="721" t="b">
        <f t="shared" si="68"/>
        <v>0</v>
      </c>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row>
    <row r="66" spans="1:66" ht="47.15" hidden="1">
      <c r="A66">
        <f t="shared" si="20"/>
        <v>63</v>
      </c>
      <c r="B66" s="487">
        <v>1</v>
      </c>
      <c r="C66" s="407" t="s">
        <v>539</v>
      </c>
      <c r="D66" s="407" t="s">
        <v>690</v>
      </c>
      <c r="E66" s="407"/>
      <c r="F66" s="407" t="s">
        <v>691</v>
      </c>
      <c r="G66" s="409">
        <v>7.58</v>
      </c>
      <c r="H66" s="428"/>
      <c r="I66" s="430">
        <f t="shared" si="17"/>
        <v>7.58</v>
      </c>
      <c r="K66" s="723" t="s">
        <v>1051</v>
      </c>
      <c r="L66" s="17" t="s">
        <v>690</v>
      </c>
      <c r="M66" s="724">
        <v>43802</v>
      </c>
      <c r="N66" s="721" t="b">
        <f t="shared" si="60"/>
        <v>0</v>
      </c>
      <c r="O66" s="721" t="b">
        <f t="shared" ref="O66:O86" si="69">FALSE()</f>
        <v>0</v>
      </c>
      <c r="P66" s="721" t="b">
        <f t="shared" si="66"/>
        <v>0</v>
      </c>
      <c r="Q66" s="721" t="b">
        <f t="shared" si="62"/>
        <v>0</v>
      </c>
      <c r="R66" s="721" t="b">
        <f t="shared" si="61"/>
        <v>0</v>
      </c>
      <c r="S66" s="721" t="b">
        <f t="shared" si="38"/>
        <v>0</v>
      </c>
      <c r="T66" s="721" t="b">
        <f t="shared" si="48"/>
        <v>0</v>
      </c>
      <c r="U66" s="721" t="b">
        <f t="shared" si="65"/>
        <v>0</v>
      </c>
      <c r="V66" s="721" t="b">
        <f t="shared" si="50"/>
        <v>0</v>
      </c>
      <c r="W66" s="721" t="b">
        <f t="shared" ref="W66:W83" si="70">TRUE()</f>
        <v>1</v>
      </c>
      <c r="X66" s="721" t="b">
        <f t="shared" si="9"/>
        <v>0</v>
      </c>
      <c r="Y66" s="721" t="b">
        <f t="shared" si="40"/>
        <v>0</v>
      </c>
      <c r="Z66" s="721" t="b">
        <f t="shared" si="36"/>
        <v>0</v>
      </c>
      <c r="AA66" s="721" t="b">
        <f t="shared" si="68"/>
        <v>0</v>
      </c>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row>
    <row r="67" spans="1:66" hidden="1">
      <c r="A67">
        <f t="shared" si="20"/>
        <v>64</v>
      </c>
      <c r="B67" s="487">
        <v>1</v>
      </c>
      <c r="C67" s="407" t="s">
        <v>539</v>
      </c>
      <c r="D67" s="407" t="s">
        <v>690</v>
      </c>
      <c r="E67" s="407"/>
      <c r="F67" s="407" t="s">
        <v>835</v>
      </c>
      <c r="G67" s="409">
        <v>9.32</v>
      </c>
      <c r="H67" s="428"/>
      <c r="I67" s="430">
        <f t="shared" si="17"/>
        <v>9.32</v>
      </c>
      <c r="K67" s="204"/>
      <c r="L67" s="17" t="s">
        <v>690</v>
      </c>
      <c r="M67" s="724">
        <v>43802</v>
      </c>
      <c r="N67" s="721" t="b">
        <f t="shared" si="60"/>
        <v>0</v>
      </c>
      <c r="O67" s="721" t="b">
        <f t="shared" si="69"/>
        <v>0</v>
      </c>
      <c r="P67" s="721" t="b">
        <f t="shared" si="66"/>
        <v>0</v>
      </c>
      <c r="Q67" s="721" t="b">
        <f t="shared" si="62"/>
        <v>0</v>
      </c>
      <c r="R67" s="721" t="b">
        <f t="shared" si="61"/>
        <v>0</v>
      </c>
      <c r="S67" s="721" t="b">
        <f t="shared" si="38"/>
        <v>0</v>
      </c>
      <c r="T67" s="721" t="b">
        <f t="shared" si="48"/>
        <v>0</v>
      </c>
      <c r="U67" s="721" t="b">
        <f t="shared" si="65"/>
        <v>0</v>
      </c>
      <c r="V67" s="721" t="b">
        <f t="shared" si="50"/>
        <v>0</v>
      </c>
      <c r="W67" s="721" t="b">
        <f t="shared" si="70"/>
        <v>1</v>
      </c>
      <c r="X67" s="721" t="b">
        <f t="shared" si="9"/>
        <v>0</v>
      </c>
      <c r="Y67" s="721" t="b">
        <f t="shared" si="40"/>
        <v>0</v>
      </c>
      <c r="Z67" s="721" t="b">
        <f t="shared" si="36"/>
        <v>0</v>
      </c>
      <c r="AA67" s="721" t="b">
        <f t="shared" si="68"/>
        <v>0</v>
      </c>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row>
    <row r="68" spans="1:66" ht="47.15" hidden="1">
      <c r="A68">
        <f t="shared" si="20"/>
        <v>65</v>
      </c>
      <c r="B68" s="487">
        <v>1</v>
      </c>
      <c r="C68" s="407" t="s">
        <v>539</v>
      </c>
      <c r="D68" s="407" t="s">
        <v>690</v>
      </c>
      <c r="E68" s="407"/>
      <c r="F68" s="407" t="s">
        <v>1052</v>
      </c>
      <c r="G68" s="409">
        <v>18.170000000000002</v>
      </c>
      <c r="H68" s="428"/>
      <c r="I68" s="430">
        <f t="shared" si="17"/>
        <v>18.170000000000002</v>
      </c>
      <c r="K68" s="723" t="s">
        <v>1051</v>
      </c>
      <c r="L68" s="17" t="s">
        <v>690</v>
      </c>
      <c r="M68" s="724">
        <v>43802</v>
      </c>
      <c r="N68" s="721" t="b">
        <f t="shared" si="60"/>
        <v>0</v>
      </c>
      <c r="O68" s="721" t="b">
        <f t="shared" si="69"/>
        <v>0</v>
      </c>
      <c r="P68" s="721" t="b">
        <f t="shared" si="66"/>
        <v>0</v>
      </c>
      <c r="Q68" s="721" t="b">
        <f t="shared" si="62"/>
        <v>0</v>
      </c>
      <c r="R68" s="721" t="b">
        <f t="shared" si="61"/>
        <v>0</v>
      </c>
      <c r="S68" s="721" t="b">
        <f t="shared" si="38"/>
        <v>0</v>
      </c>
      <c r="T68" s="721" t="b">
        <f t="shared" si="48"/>
        <v>0</v>
      </c>
      <c r="U68" s="721" t="b">
        <f t="shared" si="65"/>
        <v>0</v>
      </c>
      <c r="V68" s="721" t="b">
        <f t="shared" si="50"/>
        <v>0</v>
      </c>
      <c r="W68" s="721" t="b">
        <f t="shared" si="70"/>
        <v>1</v>
      </c>
      <c r="X68" s="721" t="b">
        <f t="shared" ref="X68:X131" si="71">FALSE()</f>
        <v>0</v>
      </c>
      <c r="Y68" s="721" t="b">
        <f t="shared" si="40"/>
        <v>0</v>
      </c>
      <c r="Z68" s="721" t="b">
        <f t="shared" si="36"/>
        <v>0</v>
      </c>
      <c r="AA68" s="721" t="b">
        <f t="shared" si="68"/>
        <v>0</v>
      </c>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row>
    <row r="69" spans="1:66" hidden="1">
      <c r="A69">
        <f t="shared" si="20"/>
        <v>66</v>
      </c>
      <c r="B69" s="487">
        <v>1</v>
      </c>
      <c r="C69" s="407" t="s">
        <v>539</v>
      </c>
      <c r="D69" s="407" t="s">
        <v>690</v>
      </c>
      <c r="E69" s="407"/>
      <c r="F69" s="407" t="s">
        <v>1053</v>
      </c>
      <c r="G69" s="409">
        <v>15</v>
      </c>
      <c r="H69" s="428"/>
      <c r="I69" s="430">
        <f t="shared" si="17"/>
        <v>15</v>
      </c>
      <c r="K69" s="204"/>
      <c r="L69" s="17" t="s">
        <v>690</v>
      </c>
      <c r="M69" s="724">
        <v>43802</v>
      </c>
      <c r="N69" s="721" t="b">
        <f t="shared" si="60"/>
        <v>0</v>
      </c>
      <c r="O69" s="721" t="b">
        <f t="shared" si="69"/>
        <v>0</v>
      </c>
      <c r="P69" s="721" t="b">
        <f t="shared" si="66"/>
        <v>0</v>
      </c>
      <c r="Q69" s="721" t="b">
        <f t="shared" si="62"/>
        <v>0</v>
      </c>
      <c r="R69" s="721" t="b">
        <f t="shared" si="61"/>
        <v>0</v>
      </c>
      <c r="S69" s="721" t="b">
        <f t="shared" si="38"/>
        <v>0</v>
      </c>
      <c r="T69" s="721" t="b">
        <f t="shared" si="48"/>
        <v>0</v>
      </c>
      <c r="U69" s="721" t="b">
        <f t="shared" si="65"/>
        <v>0</v>
      </c>
      <c r="V69" s="721" t="b">
        <f t="shared" si="50"/>
        <v>0</v>
      </c>
      <c r="W69" s="721" t="b">
        <f t="shared" si="70"/>
        <v>1</v>
      </c>
      <c r="X69" s="721" t="b">
        <f t="shared" si="71"/>
        <v>0</v>
      </c>
      <c r="Y69" s="721" t="b">
        <f t="shared" si="40"/>
        <v>0</v>
      </c>
      <c r="Z69" s="721" t="b">
        <f t="shared" si="36"/>
        <v>0</v>
      </c>
      <c r="AA69" s="721" t="b">
        <f t="shared" si="68"/>
        <v>0</v>
      </c>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row>
    <row r="70" spans="1:66" hidden="1">
      <c r="A70">
        <f t="shared" si="20"/>
        <v>67</v>
      </c>
      <c r="B70" s="487">
        <v>1</v>
      </c>
      <c r="C70" s="407" t="s">
        <v>539</v>
      </c>
      <c r="D70" s="407" t="s">
        <v>690</v>
      </c>
      <c r="E70" s="407"/>
      <c r="F70" s="407" t="s">
        <v>1054</v>
      </c>
      <c r="G70" s="409">
        <v>20.53</v>
      </c>
      <c r="H70" s="428"/>
      <c r="I70" s="430">
        <f t="shared" si="17"/>
        <v>20.53</v>
      </c>
      <c r="K70" s="204"/>
      <c r="L70" s="17" t="s">
        <v>690</v>
      </c>
      <c r="M70" s="724">
        <v>43802</v>
      </c>
      <c r="N70" s="721" t="b">
        <f t="shared" si="60"/>
        <v>0</v>
      </c>
      <c r="O70" s="721" t="b">
        <f t="shared" si="69"/>
        <v>0</v>
      </c>
      <c r="P70" s="721" t="b">
        <f t="shared" si="66"/>
        <v>0</v>
      </c>
      <c r="Q70" s="721" t="b">
        <f t="shared" si="62"/>
        <v>0</v>
      </c>
      <c r="R70" s="721" t="b">
        <f t="shared" si="61"/>
        <v>0</v>
      </c>
      <c r="S70" s="721" t="b">
        <f t="shared" si="38"/>
        <v>0</v>
      </c>
      <c r="T70" s="721" t="b">
        <f t="shared" si="48"/>
        <v>0</v>
      </c>
      <c r="U70" s="721" t="b">
        <f t="shared" si="65"/>
        <v>0</v>
      </c>
      <c r="V70" s="721" t="b">
        <f t="shared" si="50"/>
        <v>0</v>
      </c>
      <c r="W70" s="721" t="b">
        <f t="shared" si="70"/>
        <v>1</v>
      </c>
      <c r="X70" s="721" t="b">
        <f t="shared" si="71"/>
        <v>0</v>
      </c>
      <c r="Y70" s="721" t="b">
        <f t="shared" si="40"/>
        <v>0</v>
      </c>
      <c r="Z70" s="721" t="b">
        <f t="shared" si="36"/>
        <v>0</v>
      </c>
      <c r="AA70" s="721" t="b">
        <f t="shared" si="68"/>
        <v>0</v>
      </c>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row>
    <row r="71" spans="1:66" ht="47.15" hidden="1">
      <c r="A71">
        <f t="shared" si="20"/>
        <v>68</v>
      </c>
      <c r="B71" s="487">
        <v>1</v>
      </c>
      <c r="C71" s="407" t="s">
        <v>539</v>
      </c>
      <c r="D71" s="407" t="s">
        <v>690</v>
      </c>
      <c r="E71" s="407"/>
      <c r="F71" s="407" t="s">
        <v>1055</v>
      </c>
      <c r="G71" s="409">
        <v>24.95</v>
      </c>
      <c r="H71" s="428"/>
      <c r="I71" s="430">
        <f t="shared" si="17"/>
        <v>24.95</v>
      </c>
      <c r="K71" s="723" t="s">
        <v>1051</v>
      </c>
      <c r="L71" s="17" t="s">
        <v>690</v>
      </c>
      <c r="M71" s="724">
        <v>43802</v>
      </c>
      <c r="N71" s="721" t="b">
        <f t="shared" si="60"/>
        <v>0</v>
      </c>
      <c r="O71" s="721" t="b">
        <f t="shared" si="69"/>
        <v>0</v>
      </c>
      <c r="P71" s="721" t="b">
        <f t="shared" si="66"/>
        <v>0</v>
      </c>
      <c r="Q71" s="721" t="b">
        <f t="shared" si="62"/>
        <v>0</v>
      </c>
      <c r="R71" s="721" t="b">
        <f t="shared" si="61"/>
        <v>0</v>
      </c>
      <c r="S71" s="721" t="b">
        <f t="shared" si="38"/>
        <v>0</v>
      </c>
      <c r="T71" s="721" t="b">
        <f t="shared" si="48"/>
        <v>0</v>
      </c>
      <c r="U71" s="721" t="b">
        <f t="shared" si="65"/>
        <v>0</v>
      </c>
      <c r="V71" s="721" t="b">
        <f t="shared" si="50"/>
        <v>0</v>
      </c>
      <c r="W71" s="721" t="b">
        <f t="shared" si="70"/>
        <v>1</v>
      </c>
      <c r="X71" s="721" t="b">
        <f t="shared" si="71"/>
        <v>0</v>
      </c>
      <c r="Y71" s="721" t="b">
        <f t="shared" si="40"/>
        <v>0</v>
      </c>
      <c r="Z71" s="721" t="b">
        <f t="shared" si="36"/>
        <v>0</v>
      </c>
      <c r="AA71" s="721" t="b">
        <f t="shared" si="68"/>
        <v>0</v>
      </c>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row>
    <row r="72" spans="1:66" hidden="1">
      <c r="A72">
        <f t="shared" si="20"/>
        <v>69</v>
      </c>
      <c r="B72" s="487">
        <v>1</v>
      </c>
      <c r="C72" s="407" t="s">
        <v>539</v>
      </c>
      <c r="D72" s="407" t="s">
        <v>690</v>
      </c>
      <c r="E72" s="407"/>
      <c r="F72" s="407" t="s">
        <v>1056</v>
      </c>
      <c r="G72" s="409">
        <v>6.04</v>
      </c>
      <c r="H72" s="428"/>
      <c r="I72" s="430">
        <f t="shared" si="17"/>
        <v>6.04</v>
      </c>
      <c r="K72" s="719"/>
      <c r="L72" s="17" t="s">
        <v>690</v>
      </c>
      <c r="M72" s="724">
        <v>43802</v>
      </c>
      <c r="N72" s="721" t="b">
        <f t="shared" si="60"/>
        <v>0</v>
      </c>
      <c r="O72" s="721" t="b">
        <f t="shared" si="69"/>
        <v>0</v>
      </c>
      <c r="P72" s="721" t="b">
        <f t="shared" si="66"/>
        <v>0</v>
      </c>
      <c r="Q72" s="721" t="b">
        <f t="shared" si="62"/>
        <v>0</v>
      </c>
      <c r="R72" s="721" t="b">
        <f t="shared" si="61"/>
        <v>0</v>
      </c>
      <c r="S72" s="721" t="b">
        <f t="shared" si="38"/>
        <v>0</v>
      </c>
      <c r="T72" s="721" t="b">
        <f t="shared" si="48"/>
        <v>0</v>
      </c>
      <c r="U72" s="721" t="b">
        <f t="shared" si="65"/>
        <v>0</v>
      </c>
      <c r="V72" s="721" t="b">
        <f t="shared" si="50"/>
        <v>0</v>
      </c>
      <c r="W72" s="721" t="b">
        <f t="shared" si="70"/>
        <v>1</v>
      </c>
      <c r="X72" s="721" t="b">
        <f t="shared" si="71"/>
        <v>0</v>
      </c>
      <c r="Y72" s="721" t="b">
        <f t="shared" si="40"/>
        <v>0</v>
      </c>
      <c r="Z72" s="721" t="b">
        <f t="shared" si="36"/>
        <v>0</v>
      </c>
      <c r="AA72" s="721" t="b">
        <f t="shared" si="68"/>
        <v>0</v>
      </c>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row>
    <row r="73" spans="1:66" hidden="1">
      <c r="A73">
        <f t="shared" si="20"/>
        <v>70</v>
      </c>
      <c r="B73" s="487">
        <v>1</v>
      </c>
      <c r="C73" s="407" t="s">
        <v>539</v>
      </c>
      <c r="D73" s="407" t="s">
        <v>690</v>
      </c>
      <c r="E73" s="407"/>
      <c r="F73" s="407" t="s">
        <v>1057</v>
      </c>
      <c r="G73" s="409"/>
      <c r="H73" s="428"/>
      <c r="I73" s="430">
        <f t="shared" si="17"/>
        <v>0</v>
      </c>
      <c r="K73" s="719"/>
      <c r="L73" s="17" t="s">
        <v>690</v>
      </c>
      <c r="M73" s="724">
        <v>43802</v>
      </c>
      <c r="N73" s="721" t="b">
        <f t="shared" si="60"/>
        <v>0</v>
      </c>
      <c r="O73" s="721" t="b">
        <f t="shared" si="69"/>
        <v>0</v>
      </c>
      <c r="P73" s="721" t="b">
        <f t="shared" si="66"/>
        <v>0</v>
      </c>
      <c r="Q73" s="721" t="b">
        <f t="shared" si="62"/>
        <v>0</v>
      </c>
      <c r="R73" s="721" t="b">
        <f t="shared" si="61"/>
        <v>0</v>
      </c>
      <c r="S73" s="721" t="b">
        <f t="shared" si="38"/>
        <v>0</v>
      </c>
      <c r="T73" s="721" t="b">
        <f t="shared" si="48"/>
        <v>0</v>
      </c>
      <c r="U73" s="721" t="b">
        <f t="shared" si="65"/>
        <v>0</v>
      </c>
      <c r="V73" s="721" t="b">
        <f t="shared" si="50"/>
        <v>0</v>
      </c>
      <c r="W73" s="721" t="b">
        <f t="shared" si="70"/>
        <v>1</v>
      </c>
      <c r="X73" s="721" t="b">
        <f t="shared" si="71"/>
        <v>0</v>
      </c>
      <c r="Y73" s="721" t="b">
        <f t="shared" si="40"/>
        <v>0</v>
      </c>
      <c r="Z73" s="721" t="b">
        <f t="shared" si="36"/>
        <v>0</v>
      </c>
      <c r="AA73" s="721" t="b">
        <f t="shared" si="68"/>
        <v>0</v>
      </c>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row>
    <row r="74" spans="1:66" hidden="1">
      <c r="A74">
        <f t="shared" si="20"/>
        <v>71</v>
      </c>
      <c r="B74" s="487">
        <v>1</v>
      </c>
      <c r="C74" s="407" t="s">
        <v>539</v>
      </c>
      <c r="D74" s="407" t="s">
        <v>690</v>
      </c>
      <c r="E74" s="407"/>
      <c r="F74" s="407" t="s">
        <v>1058</v>
      </c>
      <c r="G74" s="409">
        <v>67.2</v>
      </c>
      <c r="H74" s="428"/>
      <c r="I74" s="430">
        <f t="shared" ref="I74:I99" si="72">G74*(1-H74)</f>
        <v>67.2</v>
      </c>
      <c r="K74" s="719"/>
      <c r="L74" s="17" t="s">
        <v>690</v>
      </c>
      <c r="M74" s="724">
        <v>43802</v>
      </c>
      <c r="N74" s="721" t="b">
        <f t="shared" si="60"/>
        <v>0</v>
      </c>
      <c r="O74" s="721" t="b">
        <f t="shared" si="69"/>
        <v>0</v>
      </c>
      <c r="P74" s="721" t="b">
        <f t="shared" si="66"/>
        <v>0</v>
      </c>
      <c r="Q74" s="721" t="b">
        <f t="shared" si="62"/>
        <v>0</v>
      </c>
      <c r="R74" s="721" t="b">
        <f t="shared" si="61"/>
        <v>0</v>
      </c>
      <c r="S74" s="721" t="b">
        <f t="shared" si="38"/>
        <v>0</v>
      </c>
      <c r="T74" s="721" t="b">
        <f t="shared" si="48"/>
        <v>0</v>
      </c>
      <c r="U74" s="721" t="b">
        <f t="shared" si="65"/>
        <v>0</v>
      </c>
      <c r="V74" s="721" t="b">
        <f t="shared" si="50"/>
        <v>0</v>
      </c>
      <c r="W74" s="721" t="b">
        <f t="shared" si="70"/>
        <v>1</v>
      </c>
      <c r="X74" s="721" t="b">
        <f t="shared" si="71"/>
        <v>0</v>
      </c>
      <c r="Y74" s="721" t="b">
        <f t="shared" si="40"/>
        <v>0</v>
      </c>
      <c r="Z74" s="721" t="b">
        <f t="shared" si="36"/>
        <v>0</v>
      </c>
      <c r="AA74" s="721" t="b">
        <f t="shared" si="68"/>
        <v>0</v>
      </c>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row>
    <row r="75" spans="1:66" hidden="1">
      <c r="A75">
        <f t="shared" ref="A75:A100" si="73">A74+1</f>
        <v>72</v>
      </c>
      <c r="B75" s="487">
        <v>1</v>
      </c>
      <c r="C75" s="407" t="s">
        <v>539</v>
      </c>
      <c r="D75" s="407" t="s">
        <v>690</v>
      </c>
      <c r="E75" s="407"/>
      <c r="F75" s="407" t="s">
        <v>1059</v>
      </c>
      <c r="G75" s="409">
        <v>124.8</v>
      </c>
      <c r="H75" s="428"/>
      <c r="I75" s="430">
        <f t="shared" si="72"/>
        <v>124.8</v>
      </c>
      <c r="K75" s="719"/>
      <c r="L75" s="17" t="s">
        <v>690</v>
      </c>
      <c r="M75" s="724">
        <v>43802</v>
      </c>
      <c r="N75" s="721" t="b">
        <f t="shared" si="60"/>
        <v>0</v>
      </c>
      <c r="O75" s="721" t="b">
        <f t="shared" si="69"/>
        <v>0</v>
      </c>
      <c r="P75" s="721" t="b">
        <f t="shared" si="66"/>
        <v>0</v>
      </c>
      <c r="Q75" s="721" t="b">
        <f t="shared" si="62"/>
        <v>0</v>
      </c>
      <c r="R75" s="721" t="b">
        <f t="shared" si="61"/>
        <v>0</v>
      </c>
      <c r="S75" s="721" t="b">
        <f t="shared" si="38"/>
        <v>0</v>
      </c>
      <c r="T75" s="721" t="b">
        <f t="shared" si="48"/>
        <v>0</v>
      </c>
      <c r="U75" s="721" t="b">
        <f t="shared" si="65"/>
        <v>0</v>
      </c>
      <c r="V75" s="721" t="b">
        <f t="shared" si="50"/>
        <v>0</v>
      </c>
      <c r="W75" s="721" t="b">
        <f t="shared" si="70"/>
        <v>1</v>
      </c>
      <c r="X75" s="721" t="b">
        <f t="shared" si="71"/>
        <v>0</v>
      </c>
      <c r="Y75" s="721" t="b">
        <f t="shared" si="40"/>
        <v>0</v>
      </c>
      <c r="Z75" s="721" t="b">
        <f t="shared" si="36"/>
        <v>0</v>
      </c>
      <c r="AA75" s="721" t="b">
        <f t="shared" si="68"/>
        <v>0</v>
      </c>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row>
    <row r="76" spans="1:66" hidden="1">
      <c r="A76">
        <f t="shared" si="73"/>
        <v>73</v>
      </c>
      <c r="B76" s="487">
        <v>1</v>
      </c>
      <c r="C76" s="407" t="s">
        <v>539</v>
      </c>
      <c r="D76" s="407" t="s">
        <v>552</v>
      </c>
      <c r="E76" s="407"/>
      <c r="F76" s="407" t="s">
        <v>1060</v>
      </c>
      <c r="G76" s="409">
        <v>5.62</v>
      </c>
      <c r="H76" s="428"/>
      <c r="I76" s="430">
        <f t="shared" si="72"/>
        <v>5.62</v>
      </c>
      <c r="K76" s="17"/>
      <c r="L76" s="17" t="s">
        <v>1061</v>
      </c>
      <c r="M76" s="720">
        <v>43806</v>
      </c>
      <c r="N76" s="721" t="b">
        <f t="shared" si="60"/>
        <v>0</v>
      </c>
      <c r="O76" s="721" t="b">
        <f t="shared" si="69"/>
        <v>0</v>
      </c>
      <c r="P76" s="721" t="b">
        <f t="shared" si="66"/>
        <v>0</v>
      </c>
      <c r="Q76" s="721" t="b">
        <f t="shared" si="62"/>
        <v>0</v>
      </c>
      <c r="R76" s="721" t="b">
        <f t="shared" si="61"/>
        <v>0</v>
      </c>
      <c r="S76" s="721" t="b">
        <f t="shared" si="38"/>
        <v>0</v>
      </c>
      <c r="T76" s="721" t="b">
        <f t="shared" si="48"/>
        <v>0</v>
      </c>
      <c r="U76" s="721" t="b">
        <f t="shared" si="65"/>
        <v>0</v>
      </c>
      <c r="V76" s="721" t="b">
        <f t="shared" si="50"/>
        <v>0</v>
      </c>
      <c r="W76" s="721" t="b">
        <f t="shared" si="70"/>
        <v>1</v>
      </c>
      <c r="X76" s="721" t="b">
        <f t="shared" si="71"/>
        <v>0</v>
      </c>
      <c r="Y76" s="721" t="b">
        <f t="shared" si="40"/>
        <v>0</v>
      </c>
      <c r="Z76" s="721" t="b">
        <f t="shared" si="36"/>
        <v>0</v>
      </c>
      <c r="AA76" s="721" t="b">
        <f t="shared" si="68"/>
        <v>0</v>
      </c>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row>
    <row r="77" spans="1:66" hidden="1">
      <c r="A77">
        <f t="shared" si="73"/>
        <v>74</v>
      </c>
      <c r="B77" s="487">
        <v>1</v>
      </c>
      <c r="C77" s="407" t="s">
        <v>539</v>
      </c>
      <c r="D77" s="407" t="s">
        <v>552</v>
      </c>
      <c r="E77" s="407"/>
      <c r="F77" s="407" t="s">
        <v>1062</v>
      </c>
      <c r="G77" s="409">
        <v>8.7799999999999994</v>
      </c>
      <c r="H77" s="428"/>
      <c r="I77" s="430">
        <f t="shared" si="72"/>
        <v>8.7799999999999994</v>
      </c>
      <c r="K77" s="17"/>
      <c r="L77" s="17" t="s">
        <v>1061</v>
      </c>
      <c r="M77" s="720">
        <v>43806</v>
      </c>
      <c r="N77" s="721" t="b">
        <f t="shared" si="60"/>
        <v>0</v>
      </c>
      <c r="O77" s="721" t="b">
        <f t="shared" si="69"/>
        <v>0</v>
      </c>
      <c r="P77" s="721" t="b">
        <f t="shared" si="66"/>
        <v>0</v>
      </c>
      <c r="Q77" s="721" t="b">
        <f t="shared" si="62"/>
        <v>0</v>
      </c>
      <c r="R77" s="721" t="b">
        <f t="shared" si="61"/>
        <v>0</v>
      </c>
      <c r="S77" s="721" t="b">
        <f t="shared" si="38"/>
        <v>0</v>
      </c>
      <c r="T77" s="721" t="b">
        <f t="shared" si="48"/>
        <v>0</v>
      </c>
      <c r="U77" s="721" t="b">
        <f t="shared" si="65"/>
        <v>0</v>
      </c>
      <c r="V77" s="721" t="b">
        <f t="shared" si="50"/>
        <v>0</v>
      </c>
      <c r="W77" s="721" t="b">
        <f t="shared" si="70"/>
        <v>1</v>
      </c>
      <c r="X77" s="721" t="b">
        <f t="shared" si="71"/>
        <v>0</v>
      </c>
      <c r="Y77" s="721" t="b">
        <f t="shared" si="40"/>
        <v>0</v>
      </c>
      <c r="Z77" s="721" t="b">
        <f t="shared" si="36"/>
        <v>0</v>
      </c>
      <c r="AA77" s="721" t="b">
        <f t="shared" si="68"/>
        <v>0</v>
      </c>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row>
    <row r="78" spans="1:66" hidden="1">
      <c r="A78">
        <f t="shared" si="73"/>
        <v>75</v>
      </c>
      <c r="B78" s="487">
        <v>1</v>
      </c>
      <c r="C78" s="407" t="s">
        <v>539</v>
      </c>
      <c r="D78" s="407" t="s">
        <v>552</v>
      </c>
      <c r="E78" s="407"/>
      <c r="F78" s="407" t="s">
        <v>1053</v>
      </c>
      <c r="G78" s="409">
        <v>13.74</v>
      </c>
      <c r="H78" s="428"/>
      <c r="I78" s="430">
        <f t="shared" si="72"/>
        <v>13.74</v>
      </c>
      <c r="K78" s="17"/>
      <c r="L78" s="17" t="s">
        <v>1061</v>
      </c>
      <c r="M78" s="720">
        <v>43806</v>
      </c>
      <c r="N78" s="721" t="b">
        <f t="shared" si="60"/>
        <v>0</v>
      </c>
      <c r="O78" s="721" t="b">
        <f t="shared" si="69"/>
        <v>0</v>
      </c>
      <c r="P78" s="721" t="b">
        <f t="shared" si="66"/>
        <v>0</v>
      </c>
      <c r="Q78" s="721" t="b">
        <f t="shared" si="62"/>
        <v>0</v>
      </c>
      <c r="R78" s="721" t="b">
        <f t="shared" si="61"/>
        <v>0</v>
      </c>
      <c r="S78" s="721" t="b">
        <f t="shared" si="38"/>
        <v>0</v>
      </c>
      <c r="T78" s="721" t="b">
        <f t="shared" si="48"/>
        <v>0</v>
      </c>
      <c r="U78" s="721" t="b">
        <f t="shared" si="65"/>
        <v>0</v>
      </c>
      <c r="V78" s="721" t="b">
        <f t="shared" si="50"/>
        <v>0</v>
      </c>
      <c r="W78" s="721" t="b">
        <f t="shared" si="70"/>
        <v>1</v>
      </c>
      <c r="X78" s="721" t="b">
        <f t="shared" si="71"/>
        <v>0</v>
      </c>
      <c r="Y78" s="721" t="b">
        <f t="shared" si="40"/>
        <v>0</v>
      </c>
      <c r="Z78" s="721" t="b">
        <f t="shared" si="36"/>
        <v>0</v>
      </c>
      <c r="AA78" s="721" t="b">
        <f t="shared" si="68"/>
        <v>0</v>
      </c>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row>
    <row r="79" spans="1:66" hidden="1">
      <c r="A79">
        <f t="shared" si="73"/>
        <v>76</v>
      </c>
      <c r="B79" s="487">
        <v>1</v>
      </c>
      <c r="C79" s="407" t="s">
        <v>539</v>
      </c>
      <c r="D79" s="407" t="s">
        <v>552</v>
      </c>
      <c r="E79" s="407"/>
      <c r="F79" s="407" t="s">
        <v>1054</v>
      </c>
      <c r="G79" s="409">
        <v>19.02</v>
      </c>
      <c r="H79" s="428"/>
      <c r="I79" s="430">
        <f t="shared" si="72"/>
        <v>19.02</v>
      </c>
      <c r="K79" s="17"/>
      <c r="L79" s="17" t="s">
        <v>1061</v>
      </c>
      <c r="M79" s="720">
        <v>43806</v>
      </c>
      <c r="N79" s="721" t="b">
        <f t="shared" si="60"/>
        <v>0</v>
      </c>
      <c r="O79" s="721" t="b">
        <f t="shared" si="69"/>
        <v>0</v>
      </c>
      <c r="P79" s="721" t="b">
        <f t="shared" si="66"/>
        <v>0</v>
      </c>
      <c r="Q79" s="721" t="b">
        <f t="shared" si="62"/>
        <v>0</v>
      </c>
      <c r="R79" s="721" t="b">
        <f t="shared" si="61"/>
        <v>0</v>
      </c>
      <c r="S79" s="721" t="b">
        <f t="shared" si="38"/>
        <v>0</v>
      </c>
      <c r="T79" s="721" t="b">
        <f t="shared" si="48"/>
        <v>0</v>
      </c>
      <c r="U79" s="721" t="b">
        <f t="shared" si="65"/>
        <v>0</v>
      </c>
      <c r="V79" s="721" t="b">
        <f t="shared" si="50"/>
        <v>0</v>
      </c>
      <c r="W79" s="721" t="b">
        <f t="shared" si="70"/>
        <v>1</v>
      </c>
      <c r="X79" s="721" t="b">
        <f t="shared" si="71"/>
        <v>0</v>
      </c>
      <c r="Y79" s="721" t="b">
        <f t="shared" si="40"/>
        <v>0</v>
      </c>
      <c r="Z79" s="721" t="b">
        <f t="shared" si="36"/>
        <v>0</v>
      </c>
      <c r="AA79" s="721" t="b">
        <f t="shared" si="68"/>
        <v>0</v>
      </c>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row>
    <row r="80" spans="1:66" hidden="1">
      <c r="A80">
        <f t="shared" si="73"/>
        <v>77</v>
      </c>
      <c r="B80" s="487">
        <v>1</v>
      </c>
      <c r="C80" s="407" t="s">
        <v>539</v>
      </c>
      <c r="D80" s="407" t="s">
        <v>552</v>
      </c>
      <c r="E80" s="407"/>
      <c r="F80" s="407" t="s">
        <v>1057</v>
      </c>
      <c r="G80" s="409">
        <v>26.45</v>
      </c>
      <c r="H80" s="428"/>
      <c r="I80" s="430">
        <f t="shared" si="72"/>
        <v>26.45</v>
      </c>
      <c r="K80" s="17"/>
      <c r="L80" s="17" t="s">
        <v>1061</v>
      </c>
      <c r="M80" s="720">
        <v>43806</v>
      </c>
      <c r="N80" s="721" t="b">
        <f t="shared" si="60"/>
        <v>0</v>
      </c>
      <c r="O80" s="721" t="b">
        <f t="shared" si="69"/>
        <v>0</v>
      </c>
      <c r="P80" s="721" t="b">
        <f t="shared" si="66"/>
        <v>0</v>
      </c>
      <c r="Q80" s="721" t="b">
        <f t="shared" si="62"/>
        <v>0</v>
      </c>
      <c r="R80" s="721" t="b">
        <f t="shared" si="61"/>
        <v>0</v>
      </c>
      <c r="S80" s="721" t="b">
        <f t="shared" si="38"/>
        <v>0</v>
      </c>
      <c r="T80" s="721" t="b">
        <f t="shared" si="48"/>
        <v>0</v>
      </c>
      <c r="U80" s="721" t="b">
        <f t="shared" si="65"/>
        <v>0</v>
      </c>
      <c r="V80" s="721" t="b">
        <f t="shared" si="50"/>
        <v>0</v>
      </c>
      <c r="W80" s="721" t="b">
        <f t="shared" si="70"/>
        <v>1</v>
      </c>
      <c r="X80" s="721" t="b">
        <f t="shared" si="71"/>
        <v>0</v>
      </c>
      <c r="Y80" s="721" t="b">
        <f t="shared" si="40"/>
        <v>0</v>
      </c>
      <c r="Z80" s="721" t="b">
        <f t="shared" si="36"/>
        <v>0</v>
      </c>
      <c r="AA80" s="721" t="b">
        <f t="shared" si="68"/>
        <v>0</v>
      </c>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row>
    <row r="81" spans="1:66" hidden="1">
      <c r="A81">
        <f t="shared" si="73"/>
        <v>78</v>
      </c>
      <c r="B81" s="487">
        <v>1</v>
      </c>
      <c r="C81" s="407" t="s">
        <v>539</v>
      </c>
      <c r="D81" s="407" t="s">
        <v>552</v>
      </c>
      <c r="E81" s="407"/>
      <c r="F81" s="407" t="s">
        <v>1063</v>
      </c>
      <c r="G81" s="409">
        <v>38.520000000000003</v>
      </c>
      <c r="H81" s="428"/>
      <c r="I81" s="430">
        <f t="shared" si="72"/>
        <v>38.520000000000003</v>
      </c>
      <c r="K81" s="17"/>
      <c r="L81" s="17" t="s">
        <v>1061</v>
      </c>
      <c r="M81" s="720">
        <v>43806</v>
      </c>
      <c r="N81" s="721" t="b">
        <f t="shared" si="60"/>
        <v>0</v>
      </c>
      <c r="O81" s="721" t="b">
        <f t="shared" si="69"/>
        <v>0</v>
      </c>
      <c r="P81" s="721" t="b">
        <f t="shared" si="66"/>
        <v>0</v>
      </c>
      <c r="Q81" s="721" t="b">
        <f t="shared" si="62"/>
        <v>0</v>
      </c>
      <c r="R81" s="721" t="b">
        <f t="shared" si="61"/>
        <v>0</v>
      </c>
      <c r="S81" s="721" t="b">
        <f t="shared" si="38"/>
        <v>0</v>
      </c>
      <c r="T81" s="721" t="b">
        <f t="shared" si="48"/>
        <v>0</v>
      </c>
      <c r="U81" s="721" t="b">
        <f t="shared" si="65"/>
        <v>0</v>
      </c>
      <c r="V81" s="721" t="b">
        <f t="shared" si="50"/>
        <v>0</v>
      </c>
      <c r="W81" s="721" t="b">
        <f t="shared" si="70"/>
        <v>1</v>
      </c>
      <c r="X81" s="721" t="b">
        <f t="shared" si="71"/>
        <v>0</v>
      </c>
      <c r="Y81" s="721" t="b">
        <f t="shared" si="40"/>
        <v>0</v>
      </c>
      <c r="Z81" s="721" t="b">
        <f t="shared" si="36"/>
        <v>0</v>
      </c>
      <c r="AA81" s="721" t="b">
        <f t="shared" si="68"/>
        <v>0</v>
      </c>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row>
    <row r="82" spans="1:66" hidden="1">
      <c r="A82">
        <f t="shared" si="73"/>
        <v>79</v>
      </c>
      <c r="B82" s="487">
        <v>1</v>
      </c>
      <c r="C82" s="407" t="s">
        <v>539</v>
      </c>
      <c r="D82" s="407" t="s">
        <v>1064</v>
      </c>
      <c r="E82" s="407"/>
      <c r="F82" s="407" t="s">
        <v>1060</v>
      </c>
      <c r="G82" s="409">
        <v>4.96</v>
      </c>
      <c r="H82" s="428"/>
      <c r="I82" s="430">
        <f t="shared" si="72"/>
        <v>4.96</v>
      </c>
      <c r="K82" s="17"/>
      <c r="L82" s="17" t="s">
        <v>1065</v>
      </c>
      <c r="M82" s="720">
        <v>43806</v>
      </c>
      <c r="N82" s="721" t="b">
        <f t="shared" si="60"/>
        <v>0</v>
      </c>
      <c r="O82" s="721" t="b">
        <f t="shared" si="69"/>
        <v>0</v>
      </c>
      <c r="P82" s="721" t="b">
        <f t="shared" si="66"/>
        <v>0</v>
      </c>
      <c r="Q82" s="721" t="b">
        <f t="shared" si="62"/>
        <v>0</v>
      </c>
      <c r="R82" s="721" t="b">
        <f t="shared" si="61"/>
        <v>0</v>
      </c>
      <c r="S82" s="721" t="b">
        <f t="shared" si="38"/>
        <v>0</v>
      </c>
      <c r="T82" s="721" t="b">
        <f t="shared" si="48"/>
        <v>0</v>
      </c>
      <c r="U82" s="721" t="b">
        <f t="shared" si="65"/>
        <v>0</v>
      </c>
      <c r="V82" s="721" t="b">
        <f t="shared" si="50"/>
        <v>0</v>
      </c>
      <c r="W82" s="721" t="b">
        <f t="shared" si="70"/>
        <v>1</v>
      </c>
      <c r="X82" s="721" t="b">
        <f t="shared" si="71"/>
        <v>0</v>
      </c>
      <c r="Y82" s="721" t="b">
        <f t="shared" si="40"/>
        <v>0</v>
      </c>
      <c r="Z82" s="721" t="b">
        <f t="shared" si="36"/>
        <v>0</v>
      </c>
      <c r="AA82" s="721" t="b">
        <f t="shared" si="68"/>
        <v>0</v>
      </c>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row>
    <row r="83" spans="1:66" hidden="1">
      <c r="A83">
        <f t="shared" si="73"/>
        <v>80</v>
      </c>
      <c r="B83" s="487">
        <v>1</v>
      </c>
      <c r="C83" s="407" t="s">
        <v>539</v>
      </c>
      <c r="D83" s="407" t="s">
        <v>1064</v>
      </c>
      <c r="E83" s="407"/>
      <c r="F83" s="407" t="s">
        <v>1062</v>
      </c>
      <c r="G83" s="409">
        <v>5.91</v>
      </c>
      <c r="H83" s="428"/>
      <c r="I83" s="430">
        <f t="shared" si="72"/>
        <v>5.91</v>
      </c>
      <c r="K83" s="17"/>
      <c r="L83" s="17" t="s">
        <v>1065</v>
      </c>
      <c r="M83" s="720">
        <v>43806</v>
      </c>
      <c r="N83" s="721" t="b">
        <f t="shared" si="60"/>
        <v>0</v>
      </c>
      <c r="O83" s="721" t="b">
        <f t="shared" si="69"/>
        <v>0</v>
      </c>
      <c r="P83" s="721" t="b">
        <f t="shared" si="66"/>
        <v>0</v>
      </c>
      <c r="Q83" s="721" t="b">
        <f t="shared" si="62"/>
        <v>0</v>
      </c>
      <c r="R83" s="721" t="b">
        <f t="shared" si="61"/>
        <v>0</v>
      </c>
      <c r="S83" s="721" t="b">
        <f t="shared" si="38"/>
        <v>0</v>
      </c>
      <c r="T83" s="721" t="b">
        <f t="shared" si="48"/>
        <v>0</v>
      </c>
      <c r="U83" s="721" t="b">
        <f t="shared" si="65"/>
        <v>0</v>
      </c>
      <c r="V83" s="721" t="b">
        <f t="shared" si="50"/>
        <v>0</v>
      </c>
      <c r="W83" s="721" t="b">
        <f t="shared" si="70"/>
        <v>1</v>
      </c>
      <c r="X83" s="721" t="b">
        <f t="shared" si="71"/>
        <v>0</v>
      </c>
      <c r="Y83" s="721" t="b">
        <f t="shared" si="40"/>
        <v>0</v>
      </c>
      <c r="Z83" s="721" t="b">
        <f t="shared" si="36"/>
        <v>0</v>
      </c>
      <c r="AA83" s="721" t="b">
        <f t="shared" si="68"/>
        <v>0</v>
      </c>
      <c r="AB83" s="17"/>
      <c r="AC83" s="17"/>
      <c r="AD83" s="17"/>
      <c r="AE83" s="17"/>
      <c r="AF83" s="17"/>
      <c r="AG83" s="17"/>
      <c r="AH83" s="17"/>
      <c r="AI83" s="17"/>
      <c r="AJ83" s="17"/>
      <c r="AK83" s="17"/>
      <c r="AL83" s="17"/>
      <c r="AM83" s="17"/>
      <c r="AN83" s="17"/>
      <c r="AO83" s="17"/>
      <c r="AP83" s="17"/>
      <c r="AQ83" s="17"/>
    </row>
    <row r="84" spans="1:66" ht="55.65" hidden="1">
      <c r="A84">
        <f t="shared" si="73"/>
        <v>81</v>
      </c>
      <c r="B84" s="407">
        <v>1</v>
      </c>
      <c r="C84" s="407" t="s">
        <v>505</v>
      </c>
      <c r="D84" s="407" t="s">
        <v>817</v>
      </c>
      <c r="E84" s="407" t="s">
        <v>818</v>
      </c>
      <c r="F84" s="408" t="s">
        <v>819</v>
      </c>
      <c r="G84" s="409">
        <v>267.5</v>
      </c>
      <c r="H84" s="410"/>
      <c r="I84" s="409">
        <f t="shared" si="72"/>
        <v>267.5</v>
      </c>
      <c r="J84" s="58">
        <v>310</v>
      </c>
      <c r="K84" s="417">
        <f t="shared" si="54"/>
        <v>0.86290322580645162</v>
      </c>
      <c r="L84" s="17" t="s">
        <v>966</v>
      </c>
      <c r="M84" s="720">
        <v>43861</v>
      </c>
      <c r="N84" s="721" t="b">
        <f t="shared" ref="N84:N86" si="74">TRUE()</f>
        <v>1</v>
      </c>
      <c r="O84" s="721" t="b">
        <f t="shared" si="69"/>
        <v>0</v>
      </c>
      <c r="P84" s="721" t="b">
        <f t="shared" si="66"/>
        <v>0</v>
      </c>
      <c r="Q84" s="721" t="b">
        <f t="shared" si="62"/>
        <v>0</v>
      </c>
      <c r="R84" s="721" t="b">
        <f t="shared" si="61"/>
        <v>0</v>
      </c>
      <c r="S84" s="721" t="b">
        <f t="shared" si="38"/>
        <v>0</v>
      </c>
      <c r="T84" s="721" t="b">
        <f t="shared" si="48"/>
        <v>0</v>
      </c>
      <c r="U84" s="721" t="b">
        <f t="shared" si="65"/>
        <v>0</v>
      </c>
      <c r="V84" s="721" t="b">
        <f t="shared" si="50"/>
        <v>0</v>
      </c>
      <c r="W84" s="721" t="b">
        <f t="shared" ref="W84:W143" si="75">FALSE()</f>
        <v>0</v>
      </c>
      <c r="X84" s="721" t="b">
        <f t="shared" si="71"/>
        <v>0</v>
      </c>
      <c r="Y84" s="721" t="b">
        <f t="shared" si="40"/>
        <v>0</v>
      </c>
      <c r="Z84" s="721" t="b">
        <f t="shared" si="36"/>
        <v>0</v>
      </c>
      <c r="AA84" s="721" t="b">
        <f t="shared" si="68"/>
        <v>0</v>
      </c>
      <c r="AB84" s="17"/>
      <c r="AC84" s="17"/>
      <c r="AD84" s="17"/>
      <c r="AE84" s="17"/>
      <c r="AF84" s="17"/>
      <c r="AG84" s="17"/>
      <c r="AH84" s="17"/>
      <c r="AI84" s="17"/>
      <c r="AJ84" s="17"/>
      <c r="AK84" s="17"/>
      <c r="AL84" s="17"/>
      <c r="AM84" s="17"/>
      <c r="AN84" s="17"/>
      <c r="AO84" s="17"/>
      <c r="AP84" s="17"/>
      <c r="AQ84" s="17"/>
    </row>
    <row r="85" spans="1:66" ht="44.55" hidden="1">
      <c r="A85">
        <f t="shared" si="73"/>
        <v>82</v>
      </c>
      <c r="B85" s="407">
        <v>1</v>
      </c>
      <c r="C85" s="407" t="s">
        <v>505</v>
      </c>
      <c r="D85" s="407" t="s">
        <v>817</v>
      </c>
      <c r="E85" s="407" t="s">
        <v>1066</v>
      </c>
      <c r="F85" s="408" t="s">
        <v>1067</v>
      </c>
      <c r="G85" s="409">
        <v>91.74</v>
      </c>
      <c r="H85" s="410"/>
      <c r="I85" s="409">
        <f t="shared" si="72"/>
        <v>91.74</v>
      </c>
      <c r="J85" s="58">
        <v>310</v>
      </c>
      <c r="K85" s="417">
        <f t="shared" si="54"/>
        <v>0.29593548387096774</v>
      </c>
      <c r="L85" s="17" t="s">
        <v>966</v>
      </c>
      <c r="M85" s="720">
        <v>43861</v>
      </c>
      <c r="N85" s="721" t="b">
        <f t="shared" si="74"/>
        <v>1</v>
      </c>
      <c r="O85" s="721" t="b">
        <f t="shared" si="69"/>
        <v>0</v>
      </c>
      <c r="P85" s="721" t="b">
        <f t="shared" si="66"/>
        <v>0</v>
      </c>
      <c r="Q85" s="721" t="b">
        <f t="shared" si="62"/>
        <v>0</v>
      </c>
      <c r="R85" s="721" t="b">
        <f t="shared" si="61"/>
        <v>0</v>
      </c>
      <c r="S85" s="721" t="b">
        <f t="shared" si="38"/>
        <v>0</v>
      </c>
      <c r="T85" s="721" t="b">
        <f t="shared" si="48"/>
        <v>0</v>
      </c>
      <c r="U85" s="721" t="b">
        <f t="shared" si="65"/>
        <v>0</v>
      </c>
      <c r="V85" s="721" t="b">
        <f t="shared" si="50"/>
        <v>0</v>
      </c>
      <c r="W85" s="721" t="b">
        <f t="shared" si="75"/>
        <v>0</v>
      </c>
      <c r="X85" s="721" t="b">
        <f t="shared" si="71"/>
        <v>0</v>
      </c>
      <c r="Y85" s="721" t="b">
        <f t="shared" si="40"/>
        <v>0</v>
      </c>
      <c r="Z85" s="721" t="b">
        <f t="shared" si="36"/>
        <v>0</v>
      </c>
      <c r="AA85" s="721" t="b">
        <f t="shared" si="68"/>
        <v>0</v>
      </c>
      <c r="AB85" s="17"/>
      <c r="AC85" s="17"/>
      <c r="AD85" s="17"/>
      <c r="AE85" s="17"/>
      <c r="AF85" s="17"/>
      <c r="AG85" s="17"/>
      <c r="AH85" s="17"/>
      <c r="AI85" s="17"/>
      <c r="AJ85" s="17"/>
      <c r="AK85" s="17"/>
      <c r="AL85" s="17"/>
      <c r="AM85" s="17"/>
      <c r="AN85" s="17"/>
      <c r="AO85" s="17"/>
      <c r="AP85" s="17"/>
      <c r="AQ85" s="17"/>
    </row>
    <row r="86" spans="1:66" hidden="1">
      <c r="A86">
        <f t="shared" si="73"/>
        <v>83</v>
      </c>
      <c r="B86" s="407">
        <v>1</v>
      </c>
      <c r="C86" s="407" t="s">
        <v>505</v>
      </c>
      <c r="D86" s="407" t="s">
        <v>817</v>
      </c>
      <c r="E86" s="407" t="s">
        <v>1068</v>
      </c>
      <c r="F86" s="407" t="s">
        <v>1069</v>
      </c>
      <c r="G86" s="409">
        <v>123.5</v>
      </c>
      <c r="H86" s="410"/>
      <c r="I86" s="409">
        <f t="shared" si="72"/>
        <v>123.5</v>
      </c>
      <c r="J86" s="58">
        <v>325</v>
      </c>
      <c r="K86" s="417">
        <f t="shared" si="54"/>
        <v>0.38</v>
      </c>
      <c r="L86" s="17" t="s">
        <v>966</v>
      </c>
      <c r="M86" s="720">
        <v>43861</v>
      </c>
      <c r="N86" s="721" t="b">
        <f t="shared" si="74"/>
        <v>1</v>
      </c>
      <c r="O86" s="721" t="b">
        <f t="shared" si="69"/>
        <v>0</v>
      </c>
      <c r="P86" s="721" t="b">
        <f t="shared" si="66"/>
        <v>0</v>
      </c>
      <c r="Q86" s="721" t="b">
        <f t="shared" si="62"/>
        <v>0</v>
      </c>
      <c r="R86" s="721" t="b">
        <f t="shared" si="61"/>
        <v>0</v>
      </c>
      <c r="S86" s="721" t="b">
        <f t="shared" si="38"/>
        <v>0</v>
      </c>
      <c r="T86" s="721" t="b">
        <f t="shared" si="48"/>
        <v>0</v>
      </c>
      <c r="U86" s="721" t="b">
        <f t="shared" si="65"/>
        <v>0</v>
      </c>
      <c r="V86" s="721" t="b">
        <f t="shared" si="50"/>
        <v>0</v>
      </c>
      <c r="W86" s="721" t="b">
        <f t="shared" si="75"/>
        <v>0</v>
      </c>
      <c r="X86" s="721" t="b">
        <f t="shared" si="71"/>
        <v>0</v>
      </c>
      <c r="Y86" s="721" t="b">
        <f t="shared" si="40"/>
        <v>0</v>
      </c>
      <c r="Z86" s="721" t="b">
        <f t="shared" si="36"/>
        <v>0</v>
      </c>
      <c r="AA86" s="721" t="b">
        <f t="shared" si="68"/>
        <v>0</v>
      </c>
      <c r="AB86" s="17"/>
      <c r="AC86" s="17"/>
      <c r="AD86" s="17"/>
      <c r="AE86" s="17"/>
      <c r="AF86" s="17"/>
      <c r="AG86" s="17"/>
      <c r="AH86" s="17"/>
      <c r="AI86" s="17"/>
      <c r="AJ86" s="17"/>
      <c r="AK86" s="17"/>
      <c r="AL86" s="17"/>
      <c r="AM86" s="17"/>
      <c r="AN86" s="17"/>
      <c r="AO86" s="17"/>
      <c r="AP86" s="17"/>
      <c r="AQ86" s="17"/>
    </row>
    <row r="87" spans="1:66" hidden="1">
      <c r="A87">
        <f t="shared" si="73"/>
        <v>84</v>
      </c>
      <c r="B87" s="407">
        <v>1</v>
      </c>
      <c r="C87" s="407" t="s">
        <v>505</v>
      </c>
      <c r="D87" s="407" t="s">
        <v>817</v>
      </c>
      <c r="E87" s="407" t="s">
        <v>1068</v>
      </c>
      <c r="F87" s="407" t="s">
        <v>1070</v>
      </c>
      <c r="G87" s="409">
        <f>3970.11/147</f>
        <v>27.007551020408165</v>
      </c>
      <c r="H87" s="410"/>
      <c r="I87" s="409">
        <f t="shared" si="72"/>
        <v>27.007551020408165</v>
      </c>
      <c r="K87" s="17" t="s">
        <v>977</v>
      </c>
      <c r="L87" s="17" t="s">
        <v>966</v>
      </c>
      <c r="M87" s="720">
        <v>43861</v>
      </c>
      <c r="N87" s="721" t="b">
        <f t="shared" ref="N87:N91" si="76">FALSE()</f>
        <v>0</v>
      </c>
      <c r="O87" s="721" t="b">
        <f>TRUE()</f>
        <v>1</v>
      </c>
      <c r="P87" s="721" t="b">
        <f t="shared" si="66"/>
        <v>0</v>
      </c>
      <c r="Q87" s="721" t="b">
        <f t="shared" si="62"/>
        <v>0</v>
      </c>
      <c r="R87" s="721" t="b">
        <f t="shared" si="61"/>
        <v>0</v>
      </c>
      <c r="S87" s="721" t="b">
        <f t="shared" si="38"/>
        <v>0</v>
      </c>
      <c r="T87" s="721" t="b">
        <f t="shared" si="48"/>
        <v>0</v>
      </c>
      <c r="U87" s="721" t="b">
        <f t="shared" si="65"/>
        <v>0</v>
      </c>
      <c r="V87" s="721" t="b">
        <f t="shared" si="50"/>
        <v>0</v>
      </c>
      <c r="W87" s="721" t="b">
        <f t="shared" si="75"/>
        <v>0</v>
      </c>
      <c r="X87" s="721" t="b">
        <f t="shared" si="71"/>
        <v>0</v>
      </c>
      <c r="Y87" s="721" t="b">
        <f t="shared" si="40"/>
        <v>0</v>
      </c>
      <c r="Z87" s="721" t="b">
        <f t="shared" si="36"/>
        <v>0</v>
      </c>
      <c r="AA87" s="721" t="b">
        <f t="shared" si="68"/>
        <v>0</v>
      </c>
      <c r="AB87" s="17"/>
      <c r="AC87" s="17"/>
      <c r="AD87" s="17"/>
      <c r="AE87" s="17"/>
      <c r="AF87" s="17"/>
      <c r="AG87" s="17"/>
      <c r="AH87" s="17"/>
      <c r="AI87" s="17"/>
      <c r="AJ87" s="17"/>
      <c r="AK87" s="17"/>
      <c r="AL87" s="17"/>
      <c r="AM87" s="17"/>
      <c r="AN87" s="17"/>
      <c r="AO87" s="17"/>
      <c r="AP87" s="17"/>
      <c r="AQ87" s="17"/>
    </row>
    <row r="88" spans="1:66" ht="22.25" hidden="1">
      <c r="A88">
        <f t="shared" si="73"/>
        <v>85</v>
      </c>
      <c r="B88" s="407">
        <v>1</v>
      </c>
      <c r="C88" s="407" t="s">
        <v>517</v>
      </c>
      <c r="D88" s="407" t="s">
        <v>569</v>
      </c>
      <c r="E88" s="407" t="s">
        <v>570</v>
      </c>
      <c r="F88" s="408" t="s">
        <v>571</v>
      </c>
      <c r="G88" s="409">
        <v>1040</v>
      </c>
      <c r="H88" s="429">
        <v>0.48</v>
      </c>
      <c r="I88" s="430">
        <f t="shared" si="72"/>
        <v>540.80000000000007</v>
      </c>
      <c r="K88" s="719"/>
      <c r="L88" s="204" t="s">
        <v>1071</v>
      </c>
      <c r="M88" s="720">
        <v>43891</v>
      </c>
      <c r="N88" s="721" t="b">
        <f t="shared" si="76"/>
        <v>0</v>
      </c>
      <c r="O88" s="721" t="b">
        <f t="shared" ref="O88:O92" si="77">FALSE()</f>
        <v>0</v>
      </c>
      <c r="P88" s="721" t="b">
        <f t="shared" si="66"/>
        <v>0</v>
      </c>
      <c r="Q88" s="721" t="b">
        <f t="shared" si="62"/>
        <v>0</v>
      </c>
      <c r="R88" s="721" t="b">
        <f t="shared" si="61"/>
        <v>0</v>
      </c>
      <c r="S88" s="721" t="b">
        <f t="shared" si="38"/>
        <v>0</v>
      </c>
      <c r="T88" s="721" t="b">
        <f t="shared" si="48"/>
        <v>0</v>
      </c>
      <c r="U88" s="721" t="b">
        <f t="shared" si="65"/>
        <v>0</v>
      </c>
      <c r="V88" s="721" t="b">
        <f t="shared" si="50"/>
        <v>0</v>
      </c>
      <c r="W88" s="721" t="b">
        <f t="shared" si="75"/>
        <v>0</v>
      </c>
      <c r="X88" s="721" t="b">
        <f t="shared" si="71"/>
        <v>0</v>
      </c>
      <c r="Y88" s="721" t="b">
        <f t="shared" ref="Y88:Y89" si="78">TRUE()</f>
        <v>1</v>
      </c>
      <c r="Z88" s="721" t="b">
        <f t="shared" si="36"/>
        <v>0</v>
      </c>
      <c r="AA88" s="721" t="b">
        <f t="shared" si="68"/>
        <v>0</v>
      </c>
      <c r="AB88" s="17"/>
      <c r="AC88" s="17"/>
      <c r="AD88" s="17"/>
      <c r="AE88" s="17"/>
      <c r="AF88" s="17"/>
      <c r="AG88" s="17"/>
      <c r="AH88" s="17"/>
      <c r="AI88" s="17"/>
      <c r="AJ88" s="17"/>
      <c r="AK88" s="17"/>
      <c r="AL88" s="17"/>
      <c r="AM88" s="17"/>
      <c r="AN88" s="17"/>
      <c r="AO88" s="17"/>
      <c r="AP88" s="17"/>
      <c r="AQ88" s="17"/>
    </row>
    <row r="89" spans="1:66" ht="22.25" hidden="1">
      <c r="A89">
        <f t="shared" si="73"/>
        <v>86</v>
      </c>
      <c r="B89" s="487">
        <v>1</v>
      </c>
      <c r="C89" s="487" t="s">
        <v>517</v>
      </c>
      <c r="D89" s="487" t="s">
        <v>569</v>
      </c>
      <c r="E89" s="487" t="s">
        <v>572</v>
      </c>
      <c r="F89" s="492" t="s">
        <v>573</v>
      </c>
      <c r="G89" s="430">
        <v>1190</v>
      </c>
      <c r="H89" s="429">
        <v>0.48</v>
      </c>
      <c r="I89" s="430">
        <f t="shared" si="72"/>
        <v>618.80000000000007</v>
      </c>
      <c r="K89" s="719"/>
      <c r="L89" s="204" t="s">
        <v>1071</v>
      </c>
      <c r="M89" s="720">
        <v>43891</v>
      </c>
      <c r="N89" s="721" t="b">
        <f t="shared" si="76"/>
        <v>0</v>
      </c>
      <c r="O89" s="721" t="b">
        <f t="shared" si="77"/>
        <v>0</v>
      </c>
      <c r="P89" s="721" t="b">
        <f t="shared" si="66"/>
        <v>0</v>
      </c>
      <c r="Q89" s="721" t="b">
        <f t="shared" si="62"/>
        <v>0</v>
      </c>
      <c r="R89" s="721" t="b">
        <f t="shared" si="61"/>
        <v>0</v>
      </c>
      <c r="S89" s="721" t="b">
        <f t="shared" si="38"/>
        <v>0</v>
      </c>
      <c r="T89" s="721" t="b">
        <f t="shared" si="48"/>
        <v>0</v>
      </c>
      <c r="U89" s="721" t="b">
        <f t="shared" si="65"/>
        <v>0</v>
      </c>
      <c r="V89" s="721" t="b">
        <f t="shared" si="50"/>
        <v>0</v>
      </c>
      <c r="W89" s="721" t="b">
        <f t="shared" si="75"/>
        <v>0</v>
      </c>
      <c r="X89" s="721" t="b">
        <f t="shared" si="71"/>
        <v>0</v>
      </c>
      <c r="Y89" s="721" t="b">
        <f t="shared" si="78"/>
        <v>1</v>
      </c>
      <c r="Z89" s="721" t="b">
        <f t="shared" si="36"/>
        <v>0</v>
      </c>
      <c r="AA89" s="721" t="b">
        <f t="shared" si="68"/>
        <v>0</v>
      </c>
      <c r="AB89" s="17"/>
      <c r="AC89" s="17"/>
      <c r="AD89" s="17"/>
      <c r="AE89" s="17"/>
      <c r="AF89" s="17"/>
      <c r="AG89" s="17"/>
      <c r="AH89" s="17"/>
      <c r="AI89" s="17"/>
      <c r="AJ89" s="17"/>
      <c r="AK89" s="17"/>
      <c r="AL89" s="17"/>
      <c r="AM89" s="17"/>
      <c r="AN89" s="17"/>
      <c r="AO89" s="17"/>
      <c r="AP89" s="17"/>
      <c r="AQ89" s="17"/>
    </row>
    <row r="90" spans="1:66" ht="33.4" hidden="1">
      <c r="A90">
        <f t="shared" si="73"/>
        <v>87</v>
      </c>
      <c r="B90" s="407">
        <v>1</v>
      </c>
      <c r="C90" s="407" t="s">
        <v>522</v>
      </c>
      <c r="D90" s="407" t="s">
        <v>531</v>
      </c>
      <c r="E90" s="407"/>
      <c r="F90" s="408" t="s">
        <v>1072</v>
      </c>
      <c r="G90" s="409">
        <v>450</v>
      </c>
      <c r="H90" s="428"/>
      <c r="I90" s="430">
        <f t="shared" si="72"/>
        <v>450</v>
      </c>
      <c r="K90" s="719"/>
      <c r="L90" s="17" t="s">
        <v>972</v>
      </c>
      <c r="M90" s="720">
        <v>43929</v>
      </c>
      <c r="N90" s="721" t="b">
        <f t="shared" si="76"/>
        <v>0</v>
      </c>
      <c r="O90" s="721" t="b">
        <f t="shared" si="77"/>
        <v>0</v>
      </c>
      <c r="P90" s="721" t="b">
        <f t="shared" si="66"/>
        <v>0</v>
      </c>
      <c r="Q90" s="721" t="b">
        <f>TRUE()</f>
        <v>1</v>
      </c>
      <c r="R90" s="721" t="b">
        <f t="shared" si="61"/>
        <v>0</v>
      </c>
      <c r="S90" s="721" t="b">
        <f t="shared" si="38"/>
        <v>0</v>
      </c>
      <c r="T90" s="721" t="b">
        <f t="shared" si="48"/>
        <v>0</v>
      </c>
      <c r="U90" s="721" t="b">
        <f t="shared" si="65"/>
        <v>0</v>
      </c>
      <c r="V90" s="721" t="b">
        <f t="shared" si="50"/>
        <v>0</v>
      </c>
      <c r="W90" s="721" t="b">
        <f t="shared" si="75"/>
        <v>0</v>
      </c>
      <c r="X90" s="721" t="b">
        <f t="shared" si="71"/>
        <v>0</v>
      </c>
      <c r="Y90" s="721" t="b">
        <f t="shared" ref="Y90:Y100" si="79">FALSE()</f>
        <v>0</v>
      </c>
      <c r="Z90" s="721" t="b">
        <f t="shared" si="36"/>
        <v>0</v>
      </c>
      <c r="AA90" s="721" t="b">
        <f t="shared" si="68"/>
        <v>0</v>
      </c>
      <c r="AB90" s="17"/>
      <c r="AC90" s="17"/>
      <c r="AD90" s="17"/>
      <c r="AE90" s="17"/>
      <c r="AF90" s="17"/>
      <c r="AG90" s="17"/>
      <c r="AH90" s="17"/>
      <c r="AI90" s="17"/>
      <c r="AJ90" s="17"/>
      <c r="AK90" s="17"/>
      <c r="AL90" s="17"/>
      <c r="AM90" s="17"/>
      <c r="AN90" s="17"/>
      <c r="AO90" s="17"/>
      <c r="AP90" s="17"/>
      <c r="AQ90" s="17"/>
    </row>
    <row r="91" spans="1:66" hidden="1">
      <c r="A91">
        <f t="shared" si="73"/>
        <v>88</v>
      </c>
      <c r="B91" s="407">
        <v>1</v>
      </c>
      <c r="C91" s="407" t="s">
        <v>530</v>
      </c>
      <c r="D91" s="407" t="s">
        <v>531</v>
      </c>
      <c r="E91" s="407"/>
      <c r="F91" s="407" t="s">
        <v>1073</v>
      </c>
      <c r="G91" s="409">
        <v>500</v>
      </c>
      <c r="H91" s="410"/>
      <c r="I91" s="409">
        <f t="shared" si="72"/>
        <v>500</v>
      </c>
      <c r="K91" s="17"/>
      <c r="L91" s="17" t="s">
        <v>972</v>
      </c>
      <c r="M91" s="720">
        <v>43929</v>
      </c>
      <c r="N91" s="721" t="b">
        <f t="shared" si="76"/>
        <v>0</v>
      </c>
      <c r="O91" s="721" t="b">
        <f t="shared" si="77"/>
        <v>0</v>
      </c>
      <c r="P91" s="721" t="b">
        <f t="shared" si="66"/>
        <v>0</v>
      </c>
      <c r="Q91" s="721" t="b">
        <f t="shared" ref="Q91:Q94" si="80">FALSE()</f>
        <v>0</v>
      </c>
      <c r="R91" s="721" t="b">
        <f t="shared" si="61"/>
        <v>0</v>
      </c>
      <c r="S91" s="721" t="b">
        <f t="shared" si="38"/>
        <v>0</v>
      </c>
      <c r="T91" s="721" t="b">
        <f t="shared" si="48"/>
        <v>0</v>
      </c>
      <c r="U91" s="721" t="b">
        <f t="shared" si="65"/>
        <v>0</v>
      </c>
      <c r="V91" s="721" t="b">
        <f t="shared" si="50"/>
        <v>0</v>
      </c>
      <c r="W91" s="721" t="b">
        <f t="shared" si="75"/>
        <v>0</v>
      </c>
      <c r="X91" s="721" t="b">
        <f t="shared" si="71"/>
        <v>0</v>
      </c>
      <c r="Y91" s="721" t="b">
        <f t="shared" si="79"/>
        <v>0</v>
      </c>
      <c r="Z91" s="721" t="b">
        <f>TRUE()</f>
        <v>1</v>
      </c>
      <c r="AA91" s="721" t="b">
        <f t="shared" si="68"/>
        <v>0</v>
      </c>
      <c r="AB91" s="17"/>
      <c r="AC91" s="17"/>
      <c r="AD91" s="17"/>
      <c r="AE91" s="17"/>
      <c r="AF91" s="17"/>
      <c r="AG91" s="17"/>
      <c r="AH91" s="17"/>
      <c r="AI91" s="17"/>
      <c r="AJ91" s="17"/>
      <c r="AK91" s="17"/>
      <c r="AL91" s="17"/>
      <c r="AM91" s="17"/>
      <c r="AN91" s="17"/>
      <c r="AO91" s="17"/>
      <c r="AP91" s="17"/>
      <c r="AQ91" s="17"/>
    </row>
    <row r="92" spans="1:66" hidden="1">
      <c r="A92">
        <f t="shared" si="73"/>
        <v>89</v>
      </c>
      <c r="B92" s="407">
        <v>1</v>
      </c>
      <c r="C92" s="407" t="s">
        <v>505</v>
      </c>
      <c r="D92" s="407" t="s">
        <v>1074</v>
      </c>
      <c r="E92" s="407"/>
      <c r="F92" s="408" t="s">
        <v>1075</v>
      </c>
      <c r="G92" s="409">
        <v>198.8</v>
      </c>
      <c r="H92" s="410"/>
      <c r="I92" s="409">
        <f t="shared" si="72"/>
        <v>198.8</v>
      </c>
      <c r="J92" s="58">
        <v>360</v>
      </c>
      <c r="K92" s="417">
        <f t="shared" si="54"/>
        <v>0.55222222222222228</v>
      </c>
      <c r="L92" s="17" t="s">
        <v>966</v>
      </c>
      <c r="M92" s="720">
        <v>43942</v>
      </c>
      <c r="N92" s="721" t="b">
        <f>TRUE()</f>
        <v>1</v>
      </c>
      <c r="O92" s="721" t="b">
        <f t="shared" si="77"/>
        <v>0</v>
      </c>
      <c r="P92" s="721" t="b">
        <f t="shared" si="66"/>
        <v>0</v>
      </c>
      <c r="Q92" s="721" t="b">
        <f t="shared" si="80"/>
        <v>0</v>
      </c>
      <c r="R92" s="721" t="b">
        <f t="shared" si="61"/>
        <v>0</v>
      </c>
      <c r="S92" s="721" t="b">
        <f t="shared" si="38"/>
        <v>0</v>
      </c>
      <c r="T92" s="721" t="b">
        <f t="shared" si="48"/>
        <v>0</v>
      </c>
      <c r="U92" s="721" t="b">
        <f t="shared" si="65"/>
        <v>0</v>
      </c>
      <c r="V92" s="721" t="b">
        <f t="shared" si="50"/>
        <v>0</v>
      </c>
      <c r="W92" s="721" t="b">
        <f t="shared" si="75"/>
        <v>0</v>
      </c>
      <c r="X92" s="721" t="b">
        <f t="shared" si="71"/>
        <v>0</v>
      </c>
      <c r="Y92" s="721" t="b">
        <f t="shared" si="79"/>
        <v>0</v>
      </c>
      <c r="Z92" s="721" t="b">
        <f t="shared" ref="Z92:Z142" si="81">FALSE()</f>
        <v>0</v>
      </c>
      <c r="AA92" s="721" t="b">
        <f t="shared" si="68"/>
        <v>0</v>
      </c>
      <c r="AB92" s="17"/>
      <c r="AC92" s="17"/>
      <c r="AD92" s="17"/>
      <c r="AE92" s="17"/>
      <c r="AF92" s="17"/>
      <c r="AG92" s="17"/>
      <c r="AH92" s="17"/>
      <c r="AI92" s="17"/>
      <c r="AJ92" s="17"/>
      <c r="AK92" s="17"/>
      <c r="AL92" s="17"/>
      <c r="AM92" s="17"/>
      <c r="AN92" s="17"/>
      <c r="AO92" s="17"/>
      <c r="AP92" s="17"/>
      <c r="AQ92" s="17"/>
    </row>
    <row r="93" spans="1:66" hidden="1">
      <c r="A93">
        <f t="shared" si="73"/>
        <v>90</v>
      </c>
      <c r="B93" s="407">
        <v>1</v>
      </c>
      <c r="C93" s="407" t="s">
        <v>505</v>
      </c>
      <c r="D93" s="407" t="s">
        <v>1074</v>
      </c>
      <c r="E93" s="407"/>
      <c r="F93" s="408" t="s">
        <v>1076</v>
      </c>
      <c r="G93" s="409">
        <f>2850.38/100</f>
        <v>28.503800000000002</v>
      </c>
      <c r="H93" s="410"/>
      <c r="I93" s="409">
        <f t="shared" si="72"/>
        <v>28.503800000000002</v>
      </c>
      <c r="K93" s="17" t="s">
        <v>977</v>
      </c>
      <c r="L93" s="17" t="s">
        <v>966</v>
      </c>
      <c r="M93" s="720">
        <v>43942</v>
      </c>
      <c r="N93" s="721" t="b">
        <f t="shared" ref="N93:N107" si="82">FALSE()</f>
        <v>0</v>
      </c>
      <c r="O93" s="721" t="b">
        <f>TRUE()</f>
        <v>1</v>
      </c>
      <c r="P93" s="721" t="b">
        <f t="shared" si="66"/>
        <v>0</v>
      </c>
      <c r="Q93" s="721" t="b">
        <f t="shared" si="80"/>
        <v>0</v>
      </c>
      <c r="R93" s="721" t="b">
        <f t="shared" si="61"/>
        <v>0</v>
      </c>
      <c r="S93" s="721" t="b">
        <f t="shared" ref="S93:S156" si="83">FALSE()</f>
        <v>0</v>
      </c>
      <c r="T93" s="721" t="b">
        <f t="shared" si="48"/>
        <v>0</v>
      </c>
      <c r="U93" s="721" t="b">
        <f t="shared" si="65"/>
        <v>0</v>
      </c>
      <c r="V93" s="721" t="b">
        <f t="shared" si="50"/>
        <v>0</v>
      </c>
      <c r="W93" s="721" t="b">
        <f t="shared" si="75"/>
        <v>0</v>
      </c>
      <c r="X93" s="721" t="b">
        <f t="shared" si="71"/>
        <v>0</v>
      </c>
      <c r="Y93" s="721" t="b">
        <f t="shared" si="79"/>
        <v>0</v>
      </c>
      <c r="Z93" s="721" t="b">
        <f t="shared" si="81"/>
        <v>0</v>
      </c>
      <c r="AA93" s="721" t="b">
        <f t="shared" si="68"/>
        <v>0</v>
      </c>
      <c r="AB93" s="17"/>
      <c r="AC93" s="17"/>
      <c r="AD93" s="17"/>
      <c r="AE93" s="17"/>
      <c r="AF93" s="17"/>
      <c r="AG93" s="17"/>
      <c r="AH93" s="17"/>
      <c r="AI93" s="17"/>
      <c r="AJ93" s="17"/>
      <c r="AK93" s="17"/>
      <c r="AL93" s="17"/>
      <c r="AM93" s="17"/>
      <c r="AN93" s="17"/>
      <c r="AO93" s="17"/>
      <c r="AP93" s="17"/>
      <c r="AQ93" s="17"/>
    </row>
    <row r="94" spans="1:66" hidden="1">
      <c r="A94">
        <f t="shared" si="73"/>
        <v>91</v>
      </c>
      <c r="B94" s="407">
        <v>1</v>
      </c>
      <c r="C94" s="407" t="s">
        <v>505</v>
      </c>
      <c r="D94" s="407" t="s">
        <v>1074</v>
      </c>
      <c r="E94" s="407"/>
      <c r="F94" s="408" t="s">
        <v>1077</v>
      </c>
      <c r="G94" s="409">
        <v>440</v>
      </c>
      <c r="H94" s="410"/>
      <c r="I94" s="409">
        <f t="shared" si="72"/>
        <v>440</v>
      </c>
      <c r="J94" s="58">
        <v>14640</v>
      </c>
      <c r="K94" s="17"/>
      <c r="L94" s="17" t="s">
        <v>966</v>
      </c>
      <c r="M94" s="720">
        <v>43942</v>
      </c>
      <c r="N94" s="721" t="b">
        <f t="shared" si="82"/>
        <v>0</v>
      </c>
      <c r="O94" s="721" t="b">
        <f t="shared" ref="O94:O106" si="84">FALSE()</f>
        <v>0</v>
      </c>
      <c r="P94" s="721" t="b">
        <f t="shared" si="66"/>
        <v>0</v>
      </c>
      <c r="Q94" s="721" t="b">
        <f t="shared" si="80"/>
        <v>0</v>
      </c>
      <c r="R94" s="721" t="b">
        <f>TRUE()</f>
        <v>1</v>
      </c>
      <c r="S94" s="721" t="b">
        <f t="shared" si="83"/>
        <v>0</v>
      </c>
      <c r="T94" s="721" t="b">
        <f t="shared" si="48"/>
        <v>0</v>
      </c>
      <c r="U94" s="721" t="b">
        <f t="shared" si="65"/>
        <v>0</v>
      </c>
      <c r="V94" s="721" t="b">
        <f t="shared" si="50"/>
        <v>0</v>
      </c>
      <c r="W94" s="721" t="b">
        <f t="shared" si="75"/>
        <v>0</v>
      </c>
      <c r="X94" s="721" t="b">
        <f t="shared" si="71"/>
        <v>0</v>
      </c>
      <c r="Y94" s="721" t="b">
        <f t="shared" si="79"/>
        <v>0</v>
      </c>
      <c r="Z94" s="721" t="b">
        <f t="shared" si="81"/>
        <v>0</v>
      </c>
      <c r="AA94" s="721" t="b">
        <f t="shared" si="68"/>
        <v>0</v>
      </c>
      <c r="AB94" s="17"/>
      <c r="AC94" s="17"/>
      <c r="AD94" s="17"/>
      <c r="AE94" s="17"/>
      <c r="AF94" s="17"/>
      <c r="AG94" s="17"/>
      <c r="AH94" s="17"/>
      <c r="AI94" s="17"/>
      <c r="AJ94" s="17"/>
      <c r="AK94" s="17"/>
      <c r="AL94" s="17"/>
      <c r="AM94" s="17"/>
      <c r="AN94" s="17"/>
      <c r="AO94" s="17"/>
      <c r="AP94" s="17"/>
      <c r="AQ94" s="17"/>
    </row>
    <row r="95" spans="1:66" hidden="1">
      <c r="A95">
        <f t="shared" si="73"/>
        <v>92</v>
      </c>
      <c r="B95" s="407">
        <v>1</v>
      </c>
      <c r="C95" s="407" t="s">
        <v>505</v>
      </c>
      <c r="D95" s="407" t="s">
        <v>1074</v>
      </c>
      <c r="E95" s="407"/>
      <c r="F95" s="408" t="s">
        <v>789</v>
      </c>
      <c r="G95" s="409">
        <v>275.56</v>
      </c>
      <c r="H95" s="410"/>
      <c r="I95" s="409">
        <f t="shared" si="72"/>
        <v>275.56</v>
      </c>
      <c r="K95" s="17"/>
      <c r="L95" s="17" t="s">
        <v>966</v>
      </c>
      <c r="M95" s="720">
        <v>43942</v>
      </c>
      <c r="N95" s="721" t="b">
        <f t="shared" si="82"/>
        <v>0</v>
      </c>
      <c r="O95" s="721" t="b">
        <f t="shared" si="84"/>
        <v>0</v>
      </c>
      <c r="P95" s="721" t="b">
        <f t="shared" si="66"/>
        <v>0</v>
      </c>
      <c r="Q95" s="721" t="b">
        <f>TRUE()</f>
        <v>1</v>
      </c>
      <c r="R95" s="721" t="b">
        <f t="shared" ref="R95:R108" si="85">FALSE()</f>
        <v>0</v>
      </c>
      <c r="S95" s="721" t="b">
        <f t="shared" si="83"/>
        <v>0</v>
      </c>
      <c r="T95" s="721" t="b">
        <f t="shared" si="48"/>
        <v>0</v>
      </c>
      <c r="U95" s="721" t="b">
        <f t="shared" si="65"/>
        <v>0</v>
      </c>
      <c r="V95" s="721" t="b">
        <f t="shared" si="50"/>
        <v>0</v>
      </c>
      <c r="W95" s="721" t="b">
        <f t="shared" si="75"/>
        <v>0</v>
      </c>
      <c r="X95" s="721" t="b">
        <f t="shared" si="71"/>
        <v>0</v>
      </c>
      <c r="Y95" s="721" t="b">
        <f t="shared" si="79"/>
        <v>0</v>
      </c>
      <c r="Z95" s="721" t="b">
        <f t="shared" si="81"/>
        <v>0</v>
      </c>
      <c r="AA95" s="721" t="b">
        <f t="shared" si="68"/>
        <v>0</v>
      </c>
      <c r="AB95" s="17"/>
      <c r="AC95" s="17"/>
      <c r="AD95" s="17"/>
      <c r="AE95" s="17"/>
      <c r="AF95" s="17"/>
      <c r="AG95" s="17"/>
      <c r="AH95" s="17"/>
      <c r="AI95" s="17"/>
      <c r="AJ95" s="17"/>
      <c r="AK95" s="17"/>
      <c r="AL95" s="17"/>
      <c r="AM95" s="17"/>
      <c r="AN95" s="17"/>
      <c r="AO95" s="17"/>
      <c r="AP95" s="17"/>
      <c r="AQ95" s="17"/>
    </row>
    <row r="96" spans="1:66" hidden="1">
      <c r="A96">
        <f t="shared" si="73"/>
        <v>93</v>
      </c>
      <c r="B96" s="407">
        <v>1</v>
      </c>
      <c r="C96" s="407" t="s">
        <v>505</v>
      </c>
      <c r="D96" s="407" t="s">
        <v>1074</v>
      </c>
      <c r="E96" s="407"/>
      <c r="F96" s="408" t="s">
        <v>1078</v>
      </c>
      <c r="G96" s="409">
        <v>307.26</v>
      </c>
      <c r="H96" s="410"/>
      <c r="I96" s="409">
        <f t="shared" si="72"/>
        <v>307.26</v>
      </c>
      <c r="K96" s="17"/>
      <c r="L96" s="17" t="s">
        <v>966</v>
      </c>
      <c r="M96" s="720">
        <v>43942</v>
      </c>
      <c r="N96" s="721" t="b">
        <f t="shared" si="82"/>
        <v>0</v>
      </c>
      <c r="O96" s="721" t="b">
        <f t="shared" si="84"/>
        <v>0</v>
      </c>
      <c r="P96" s="721" t="b">
        <f t="shared" si="66"/>
        <v>0</v>
      </c>
      <c r="Q96" s="721" t="b">
        <f t="shared" ref="Q96:Q109" si="86">FALSE()</f>
        <v>0</v>
      </c>
      <c r="R96" s="721" t="b">
        <f t="shared" si="85"/>
        <v>0</v>
      </c>
      <c r="S96" s="721" t="b">
        <f t="shared" si="83"/>
        <v>0</v>
      </c>
      <c r="T96" s="721" t="b">
        <f t="shared" si="48"/>
        <v>0</v>
      </c>
      <c r="U96" s="721" t="b">
        <f t="shared" si="65"/>
        <v>0</v>
      </c>
      <c r="V96" s="721" t="b">
        <f>TRUE()</f>
        <v>1</v>
      </c>
      <c r="W96" s="721" t="b">
        <f t="shared" si="75"/>
        <v>0</v>
      </c>
      <c r="X96" s="721" t="b">
        <f t="shared" si="71"/>
        <v>0</v>
      </c>
      <c r="Y96" s="721" t="b">
        <f t="shared" si="79"/>
        <v>0</v>
      </c>
      <c r="Z96" s="721" t="b">
        <f t="shared" si="81"/>
        <v>0</v>
      </c>
      <c r="AA96" s="721" t="b">
        <f t="shared" si="68"/>
        <v>0</v>
      </c>
      <c r="AB96" s="17"/>
      <c r="AC96" s="17"/>
      <c r="AD96" s="17"/>
      <c r="AE96" s="17"/>
      <c r="AF96" s="17"/>
      <c r="AG96" s="17"/>
      <c r="AH96" s="17"/>
      <c r="AI96" s="17"/>
      <c r="AJ96" s="17"/>
      <c r="AK96" s="17"/>
      <c r="AL96" s="17"/>
      <c r="AM96" s="17"/>
      <c r="AN96" s="17"/>
      <c r="AO96" s="17"/>
      <c r="AP96" s="17"/>
      <c r="AQ96" s="17"/>
    </row>
    <row r="97" spans="1:66" hidden="1">
      <c r="A97">
        <f t="shared" si="73"/>
        <v>94</v>
      </c>
      <c r="B97" s="407">
        <v>30</v>
      </c>
      <c r="C97" s="407" t="s">
        <v>505</v>
      </c>
      <c r="D97" s="407" t="s">
        <v>1074</v>
      </c>
      <c r="E97" s="407"/>
      <c r="F97" s="408" t="s">
        <v>1079</v>
      </c>
      <c r="G97" s="409">
        <v>1.3</v>
      </c>
      <c r="H97" s="410"/>
      <c r="I97" s="409">
        <f t="shared" si="72"/>
        <v>1.3</v>
      </c>
      <c r="K97" s="17"/>
      <c r="L97" s="17" t="s">
        <v>966</v>
      </c>
      <c r="M97" s="720">
        <v>43942</v>
      </c>
      <c r="N97" s="721" t="b">
        <f t="shared" si="82"/>
        <v>0</v>
      </c>
      <c r="O97" s="721" t="b">
        <f t="shared" si="84"/>
        <v>0</v>
      </c>
      <c r="P97" s="721" t="b">
        <f t="shared" si="66"/>
        <v>0</v>
      </c>
      <c r="Q97" s="721" t="b">
        <f t="shared" si="86"/>
        <v>0</v>
      </c>
      <c r="R97" s="721" t="b">
        <f t="shared" si="85"/>
        <v>0</v>
      </c>
      <c r="S97" s="721" t="b">
        <f t="shared" si="83"/>
        <v>0</v>
      </c>
      <c r="T97" s="721" t="b">
        <f t="shared" si="48"/>
        <v>0</v>
      </c>
      <c r="U97" s="721" t="b">
        <f t="shared" ref="U97:U98" si="87">TRUE()</f>
        <v>1</v>
      </c>
      <c r="V97" s="721" t="b">
        <f t="shared" ref="V97:V110" si="88">FALSE()</f>
        <v>0</v>
      </c>
      <c r="W97" s="721" t="b">
        <f t="shared" si="75"/>
        <v>0</v>
      </c>
      <c r="X97" s="721" t="b">
        <f t="shared" si="71"/>
        <v>0</v>
      </c>
      <c r="Y97" s="721" t="b">
        <f t="shared" si="79"/>
        <v>0</v>
      </c>
      <c r="Z97" s="721" t="b">
        <f t="shared" si="81"/>
        <v>0</v>
      </c>
      <c r="AA97" s="721" t="b">
        <f t="shared" si="68"/>
        <v>0</v>
      </c>
      <c r="AB97" s="17"/>
      <c r="AC97" s="17"/>
      <c r="AD97" s="17"/>
      <c r="AE97" s="17"/>
      <c r="AF97" s="17"/>
      <c r="AG97" s="17"/>
      <c r="AH97" s="17"/>
      <c r="AI97" s="17"/>
      <c r="AJ97" s="17"/>
      <c r="AK97" s="17"/>
      <c r="AL97" s="17"/>
      <c r="AM97" s="17"/>
      <c r="AN97" s="17"/>
      <c r="AO97" s="17"/>
      <c r="AP97" s="17"/>
      <c r="AQ97" s="17"/>
    </row>
    <row r="98" spans="1:66" hidden="1">
      <c r="A98">
        <f t="shared" si="73"/>
        <v>95</v>
      </c>
      <c r="B98" s="407">
        <v>30</v>
      </c>
      <c r="C98" s="407" t="s">
        <v>505</v>
      </c>
      <c r="D98" s="407" t="s">
        <v>1074</v>
      </c>
      <c r="E98" s="407"/>
      <c r="F98" s="408" t="s">
        <v>1080</v>
      </c>
      <c r="G98" s="409">
        <v>0.98</v>
      </c>
      <c r="H98" s="410"/>
      <c r="I98" s="409">
        <f t="shared" si="72"/>
        <v>0.98</v>
      </c>
      <c r="K98" s="17"/>
      <c r="L98" s="17" t="s">
        <v>966</v>
      </c>
      <c r="M98" s="720">
        <v>43942</v>
      </c>
      <c r="N98" s="721" t="b">
        <f t="shared" si="82"/>
        <v>0</v>
      </c>
      <c r="O98" s="721" t="b">
        <f t="shared" si="84"/>
        <v>0</v>
      </c>
      <c r="P98" s="721" t="b">
        <f t="shared" si="66"/>
        <v>0</v>
      </c>
      <c r="Q98" s="721" t="b">
        <f t="shared" si="86"/>
        <v>0</v>
      </c>
      <c r="R98" s="721" t="b">
        <f t="shared" si="85"/>
        <v>0</v>
      </c>
      <c r="S98" s="721" t="b">
        <f t="shared" si="83"/>
        <v>0</v>
      </c>
      <c r="T98" s="721" t="b">
        <f t="shared" si="48"/>
        <v>0</v>
      </c>
      <c r="U98" s="721" t="b">
        <f t="shared" si="87"/>
        <v>1</v>
      </c>
      <c r="V98" s="721" t="b">
        <f t="shared" si="88"/>
        <v>0</v>
      </c>
      <c r="W98" s="721" t="b">
        <f t="shared" si="75"/>
        <v>0</v>
      </c>
      <c r="X98" s="721" t="b">
        <f t="shared" si="71"/>
        <v>0</v>
      </c>
      <c r="Y98" s="721" t="b">
        <f t="shared" si="79"/>
        <v>0</v>
      </c>
      <c r="Z98" s="721" t="b">
        <f t="shared" si="81"/>
        <v>0</v>
      </c>
      <c r="AA98" s="721" t="b">
        <f t="shared" si="68"/>
        <v>0</v>
      </c>
      <c r="AB98" s="17"/>
      <c r="AC98" s="17"/>
      <c r="AD98" s="17"/>
      <c r="AE98" s="17"/>
      <c r="AF98" s="17"/>
      <c r="AG98" s="17"/>
      <c r="AH98" s="17"/>
      <c r="AI98" s="17"/>
      <c r="AJ98" s="17"/>
      <c r="AK98" s="17"/>
      <c r="AL98" s="17"/>
      <c r="AM98" s="17"/>
      <c r="AN98" s="17"/>
      <c r="AO98" s="17"/>
      <c r="AP98" s="17"/>
      <c r="AQ98" s="17"/>
    </row>
    <row r="99" spans="1:66" hidden="1">
      <c r="A99">
        <f t="shared" si="73"/>
        <v>96</v>
      </c>
      <c r="B99" s="407">
        <v>1</v>
      </c>
      <c r="C99" s="407" t="s">
        <v>505</v>
      </c>
      <c r="D99" s="407" t="s">
        <v>1074</v>
      </c>
      <c r="E99" s="407"/>
      <c r="F99" s="408" t="s">
        <v>1024</v>
      </c>
      <c r="G99" s="409">
        <v>1674</v>
      </c>
      <c r="H99" s="410"/>
      <c r="I99" s="409">
        <f t="shared" si="72"/>
        <v>1674</v>
      </c>
      <c r="J99" s="58">
        <v>27600</v>
      </c>
      <c r="K99" s="417">
        <f t="shared" si="54"/>
        <v>6.0652173913043478E-2</v>
      </c>
      <c r="L99" s="17" t="s">
        <v>966</v>
      </c>
      <c r="M99" s="720">
        <v>43942</v>
      </c>
      <c r="N99" s="721" t="b">
        <f t="shared" si="82"/>
        <v>0</v>
      </c>
      <c r="O99" s="721" t="b">
        <f t="shared" si="84"/>
        <v>0</v>
      </c>
      <c r="P99" s="721" t="b">
        <f t="shared" ref="P99:P100" si="89">TRUE()</f>
        <v>1</v>
      </c>
      <c r="Q99" s="721" t="b">
        <f t="shared" si="86"/>
        <v>0</v>
      </c>
      <c r="R99" s="721" t="b">
        <f t="shared" si="85"/>
        <v>0</v>
      </c>
      <c r="S99" s="721" t="b">
        <f t="shared" si="83"/>
        <v>0</v>
      </c>
      <c r="T99" s="721" t="b">
        <f t="shared" si="48"/>
        <v>0</v>
      </c>
      <c r="U99" s="721" t="b">
        <f t="shared" ref="U99:U111" si="90">FALSE()</f>
        <v>0</v>
      </c>
      <c r="V99" s="721" t="b">
        <f t="shared" si="88"/>
        <v>0</v>
      </c>
      <c r="W99" s="721" t="b">
        <f t="shared" si="75"/>
        <v>0</v>
      </c>
      <c r="X99" s="721" t="b">
        <f t="shared" si="71"/>
        <v>0</v>
      </c>
      <c r="Y99" s="721" t="b">
        <f t="shared" si="79"/>
        <v>0</v>
      </c>
      <c r="Z99" s="721" t="b">
        <f t="shared" si="81"/>
        <v>0</v>
      </c>
      <c r="AA99" s="721" t="b">
        <f t="shared" si="68"/>
        <v>0</v>
      </c>
      <c r="AB99" s="17"/>
      <c r="AC99" s="17"/>
      <c r="AD99" s="17"/>
      <c r="AE99" s="17"/>
      <c r="AF99" s="17"/>
      <c r="AG99" s="17"/>
      <c r="AH99" s="17"/>
      <c r="AI99" s="17"/>
      <c r="AJ99" s="17"/>
      <c r="AK99" s="17"/>
      <c r="AL99" s="17"/>
      <c r="AM99" s="17"/>
      <c r="AN99" s="17"/>
      <c r="AO99" s="17"/>
      <c r="AP99" s="17"/>
      <c r="AQ99" s="17"/>
    </row>
    <row r="100" spans="1:66" hidden="1">
      <c r="A100">
        <f t="shared" si="73"/>
        <v>97</v>
      </c>
      <c r="B100" s="407">
        <v>51</v>
      </c>
      <c r="C100" s="407" t="s">
        <v>505</v>
      </c>
      <c r="D100" s="407" t="s">
        <v>1074</v>
      </c>
      <c r="E100" s="407"/>
      <c r="F100" s="408" t="s">
        <v>1081</v>
      </c>
      <c r="G100" s="409">
        <v>43.2</v>
      </c>
      <c r="H100" s="410"/>
      <c r="I100" s="409">
        <f t="shared" ref="I100:I163" si="91">G100*(1-H100)</f>
        <v>43.2</v>
      </c>
      <c r="J100" s="58">
        <v>730</v>
      </c>
      <c r="K100" s="417">
        <f>G100/J100</f>
        <v>5.9178082191780827E-2</v>
      </c>
      <c r="L100" s="17" t="s">
        <v>966</v>
      </c>
      <c r="M100" s="720">
        <v>43942</v>
      </c>
      <c r="N100" s="721" t="b">
        <f t="shared" si="82"/>
        <v>0</v>
      </c>
      <c r="O100" s="721" t="b">
        <f t="shared" si="84"/>
        <v>0</v>
      </c>
      <c r="P100" s="721" t="b">
        <f t="shared" si="89"/>
        <v>1</v>
      </c>
      <c r="Q100" s="721" t="b">
        <f t="shared" si="86"/>
        <v>0</v>
      </c>
      <c r="R100" s="721" t="b">
        <f t="shared" si="85"/>
        <v>0</v>
      </c>
      <c r="S100" s="721" t="b">
        <f t="shared" si="83"/>
        <v>0</v>
      </c>
      <c r="T100" s="721" t="b">
        <f t="shared" si="48"/>
        <v>0</v>
      </c>
      <c r="U100" s="721" t="b">
        <f t="shared" si="90"/>
        <v>0</v>
      </c>
      <c r="V100" s="721" t="b">
        <f t="shared" si="88"/>
        <v>0</v>
      </c>
      <c r="W100" s="721" t="b">
        <f t="shared" si="75"/>
        <v>0</v>
      </c>
      <c r="X100" s="721" t="b">
        <f t="shared" si="71"/>
        <v>0</v>
      </c>
      <c r="Y100" s="721" t="b">
        <f t="shared" si="79"/>
        <v>0</v>
      </c>
      <c r="Z100" s="721" t="b">
        <f t="shared" si="81"/>
        <v>0</v>
      </c>
      <c r="AA100" s="721" t="b">
        <f t="shared" si="68"/>
        <v>0</v>
      </c>
      <c r="AB100" s="17"/>
      <c r="AC100" s="17"/>
      <c r="AD100" s="17"/>
      <c r="AE100" s="17"/>
      <c r="AF100" s="17"/>
      <c r="AG100" s="17"/>
      <c r="AH100" s="17"/>
      <c r="AI100" s="17"/>
      <c r="AJ100" s="17"/>
      <c r="AK100" s="17"/>
      <c r="AL100" s="17"/>
      <c r="AM100" s="17"/>
      <c r="AN100" s="17"/>
      <c r="AO100" s="17"/>
      <c r="AP100" s="17"/>
      <c r="AQ100" s="17"/>
    </row>
    <row r="101" spans="1:66" hidden="1">
      <c r="A101">
        <f t="shared" ref="A101:A164" si="92">A100+1</f>
        <v>98</v>
      </c>
      <c r="B101" s="407">
        <v>1</v>
      </c>
      <c r="C101" s="407" t="s">
        <v>505</v>
      </c>
      <c r="D101" s="407" t="s">
        <v>1074</v>
      </c>
      <c r="E101" s="407"/>
      <c r="F101" s="408" t="s">
        <v>1082</v>
      </c>
      <c r="G101" s="409">
        <v>150.33000000000001</v>
      </c>
      <c r="H101" s="410"/>
      <c r="I101" s="409">
        <f t="shared" si="91"/>
        <v>150.33000000000001</v>
      </c>
      <c r="K101" s="17"/>
      <c r="L101" s="17" t="s">
        <v>966</v>
      </c>
      <c r="M101" s="720">
        <v>43942</v>
      </c>
      <c r="N101" s="721" t="b">
        <f t="shared" si="82"/>
        <v>0</v>
      </c>
      <c r="O101" s="721" t="b">
        <f t="shared" si="84"/>
        <v>0</v>
      </c>
      <c r="P101" s="721" t="b">
        <f t="shared" ref="P101:P119" si="93">FALSE()</f>
        <v>0</v>
      </c>
      <c r="Q101" s="721" t="b">
        <f t="shared" si="86"/>
        <v>0</v>
      </c>
      <c r="R101" s="721" t="b">
        <f t="shared" si="85"/>
        <v>0</v>
      </c>
      <c r="S101" s="721" t="b">
        <f t="shared" si="83"/>
        <v>0</v>
      </c>
      <c r="T101" s="721" t="b">
        <f t="shared" si="48"/>
        <v>0</v>
      </c>
      <c r="U101" s="721" t="b">
        <f t="shared" si="90"/>
        <v>0</v>
      </c>
      <c r="V101" s="721" t="b">
        <f t="shared" si="88"/>
        <v>0</v>
      </c>
      <c r="W101" s="721" t="b">
        <f t="shared" si="75"/>
        <v>0</v>
      </c>
      <c r="X101" s="721" t="b">
        <f t="shared" si="71"/>
        <v>0</v>
      </c>
      <c r="Y101" s="721" t="b">
        <f t="shared" ref="Y101:Y105" si="94">TRUE()</f>
        <v>1</v>
      </c>
      <c r="Z101" s="721" t="b">
        <f t="shared" si="81"/>
        <v>0</v>
      </c>
      <c r="AA101" s="721" t="b">
        <f t="shared" si="68"/>
        <v>0</v>
      </c>
      <c r="AB101" s="17"/>
      <c r="AC101" s="17"/>
      <c r="AD101" s="17"/>
      <c r="AE101" s="17"/>
      <c r="AF101" s="17"/>
      <c r="AG101" s="17"/>
      <c r="AH101" s="17"/>
      <c r="AI101" s="17"/>
      <c r="AJ101" s="17"/>
      <c r="AK101" s="17"/>
      <c r="AL101" s="17"/>
      <c r="AM101" s="17"/>
      <c r="AN101" s="17"/>
      <c r="AO101" s="17"/>
      <c r="AP101" s="17"/>
      <c r="AQ101" s="17"/>
    </row>
    <row r="102" spans="1:66" ht="51.75" hidden="1" customHeight="1">
      <c r="A102">
        <f t="shared" si="92"/>
        <v>99</v>
      </c>
      <c r="B102" s="407">
        <v>1</v>
      </c>
      <c r="C102" s="407" t="s">
        <v>505</v>
      </c>
      <c r="D102" s="407" t="s">
        <v>1074</v>
      </c>
      <c r="E102" s="407"/>
      <c r="F102" s="408" t="s">
        <v>1026</v>
      </c>
      <c r="G102" s="409">
        <v>19.07</v>
      </c>
      <c r="H102" s="410"/>
      <c r="I102" s="409">
        <f t="shared" si="91"/>
        <v>19.07</v>
      </c>
      <c r="K102" s="17"/>
      <c r="L102" s="17" t="s">
        <v>966</v>
      </c>
      <c r="M102" s="720">
        <v>43942</v>
      </c>
      <c r="N102" s="721" t="b">
        <f t="shared" si="82"/>
        <v>0</v>
      </c>
      <c r="O102" s="721" t="b">
        <f t="shared" si="84"/>
        <v>0</v>
      </c>
      <c r="P102" s="721" t="b">
        <f t="shared" si="93"/>
        <v>0</v>
      </c>
      <c r="Q102" s="721" t="b">
        <f t="shared" si="86"/>
        <v>0</v>
      </c>
      <c r="R102" s="721" t="b">
        <f t="shared" si="85"/>
        <v>0</v>
      </c>
      <c r="S102" s="721" t="b">
        <f t="shared" si="83"/>
        <v>0</v>
      </c>
      <c r="T102" s="721" t="b">
        <f t="shared" si="48"/>
        <v>0</v>
      </c>
      <c r="U102" s="721" t="b">
        <f t="shared" si="90"/>
        <v>0</v>
      </c>
      <c r="V102" s="721" t="b">
        <f t="shared" si="88"/>
        <v>0</v>
      </c>
      <c r="W102" s="721" t="b">
        <f t="shared" si="75"/>
        <v>0</v>
      </c>
      <c r="X102" s="721" t="b">
        <f t="shared" si="71"/>
        <v>0</v>
      </c>
      <c r="Y102" s="721" t="b">
        <f t="shared" si="94"/>
        <v>1</v>
      </c>
      <c r="Z102" s="721" t="b">
        <f t="shared" si="81"/>
        <v>0</v>
      </c>
      <c r="AA102" s="721" t="b">
        <f t="shared" si="68"/>
        <v>0</v>
      </c>
      <c r="AB102" s="17"/>
      <c r="AC102" s="17"/>
      <c r="AD102" s="17"/>
      <c r="AE102" s="17"/>
      <c r="AF102" s="17"/>
      <c r="AG102" s="17"/>
      <c r="AH102" s="17"/>
      <c r="AI102" s="17"/>
      <c r="AJ102" s="17"/>
      <c r="AK102" s="17"/>
      <c r="AL102" s="17"/>
      <c r="AM102" s="17"/>
      <c r="AN102" s="17"/>
      <c r="AO102" s="17"/>
      <c r="AP102" s="17"/>
      <c r="AQ102" s="17"/>
    </row>
    <row r="103" spans="1:66" hidden="1">
      <c r="A103">
        <f t="shared" si="92"/>
        <v>100</v>
      </c>
      <c r="B103" s="407">
        <v>1</v>
      </c>
      <c r="C103" s="407" t="s">
        <v>505</v>
      </c>
      <c r="D103" s="407" t="s">
        <v>1074</v>
      </c>
      <c r="E103" s="407"/>
      <c r="F103" s="408" t="s">
        <v>1083</v>
      </c>
      <c r="G103" s="409">
        <v>179.67</v>
      </c>
      <c r="H103" s="410"/>
      <c r="I103" s="409">
        <f t="shared" si="91"/>
        <v>179.67</v>
      </c>
      <c r="K103" s="17"/>
      <c r="L103" s="17" t="s">
        <v>966</v>
      </c>
      <c r="M103" s="720">
        <v>43942</v>
      </c>
      <c r="N103" s="721" t="b">
        <f t="shared" si="82"/>
        <v>0</v>
      </c>
      <c r="O103" s="721" t="b">
        <f t="shared" si="84"/>
        <v>0</v>
      </c>
      <c r="P103" s="721" t="b">
        <f t="shared" si="93"/>
        <v>0</v>
      </c>
      <c r="Q103" s="721" t="b">
        <f t="shared" si="86"/>
        <v>0</v>
      </c>
      <c r="R103" s="721" t="b">
        <f t="shared" si="85"/>
        <v>0</v>
      </c>
      <c r="S103" s="721" t="b">
        <f t="shared" si="83"/>
        <v>0</v>
      </c>
      <c r="T103" s="721" t="b">
        <f t="shared" si="48"/>
        <v>0</v>
      </c>
      <c r="U103" s="721" t="b">
        <f t="shared" si="90"/>
        <v>0</v>
      </c>
      <c r="V103" s="721" t="b">
        <f t="shared" si="88"/>
        <v>0</v>
      </c>
      <c r="W103" s="721" t="b">
        <f t="shared" si="75"/>
        <v>0</v>
      </c>
      <c r="X103" s="721" t="b">
        <f t="shared" si="71"/>
        <v>0</v>
      </c>
      <c r="Y103" s="721" t="b">
        <f t="shared" si="94"/>
        <v>1</v>
      </c>
      <c r="Z103" s="721" t="b">
        <f t="shared" si="81"/>
        <v>0</v>
      </c>
      <c r="AA103" s="721" t="b">
        <f t="shared" si="68"/>
        <v>0</v>
      </c>
      <c r="AB103" s="17"/>
      <c r="AC103" s="17"/>
      <c r="AD103" s="17"/>
      <c r="AE103" s="17"/>
      <c r="AF103" s="17"/>
      <c r="AG103" s="17"/>
      <c r="AH103" s="17"/>
      <c r="AI103" s="17"/>
      <c r="AJ103" s="17"/>
      <c r="AK103" s="17"/>
      <c r="AL103" s="17"/>
      <c r="AM103" s="17"/>
      <c r="AN103" s="17"/>
      <c r="AO103" s="17"/>
      <c r="AP103" s="17"/>
      <c r="AQ103" s="17"/>
    </row>
    <row r="104" spans="1:66" hidden="1">
      <c r="A104">
        <f t="shared" si="92"/>
        <v>101</v>
      </c>
      <c r="B104" s="407">
        <v>1</v>
      </c>
      <c r="C104" s="407" t="s">
        <v>505</v>
      </c>
      <c r="D104" s="407" t="s">
        <v>1074</v>
      </c>
      <c r="E104" s="407"/>
      <c r="F104" s="408" t="s">
        <v>1084</v>
      </c>
      <c r="G104" s="409">
        <v>470.8</v>
      </c>
      <c r="H104" s="410"/>
      <c r="I104" s="409">
        <f t="shared" si="91"/>
        <v>470.8</v>
      </c>
      <c r="K104" s="17"/>
      <c r="L104" s="17" t="s">
        <v>966</v>
      </c>
      <c r="M104" s="720">
        <v>43942</v>
      </c>
      <c r="N104" s="721" t="b">
        <f t="shared" si="82"/>
        <v>0</v>
      </c>
      <c r="O104" s="721" t="b">
        <f t="shared" si="84"/>
        <v>0</v>
      </c>
      <c r="P104" s="721" t="b">
        <f t="shared" si="93"/>
        <v>0</v>
      </c>
      <c r="Q104" s="721" t="b">
        <f t="shared" si="86"/>
        <v>0</v>
      </c>
      <c r="R104" s="721" t="b">
        <f t="shared" si="85"/>
        <v>0</v>
      </c>
      <c r="S104" s="721" t="b">
        <f t="shared" si="83"/>
        <v>0</v>
      </c>
      <c r="T104" s="721" t="b">
        <f t="shared" si="48"/>
        <v>0</v>
      </c>
      <c r="U104" s="721" t="b">
        <f t="shared" si="90"/>
        <v>0</v>
      </c>
      <c r="V104" s="721" t="b">
        <f t="shared" si="88"/>
        <v>0</v>
      </c>
      <c r="W104" s="721" t="b">
        <f t="shared" si="75"/>
        <v>0</v>
      </c>
      <c r="X104" s="721" t="b">
        <f t="shared" si="71"/>
        <v>0</v>
      </c>
      <c r="Y104" s="721" t="b">
        <f t="shared" si="94"/>
        <v>1</v>
      </c>
      <c r="Z104" s="721" t="b">
        <f t="shared" si="81"/>
        <v>0</v>
      </c>
      <c r="AA104" s="721" t="b">
        <f t="shared" si="68"/>
        <v>0</v>
      </c>
      <c r="AB104" s="17"/>
      <c r="AC104" s="17"/>
      <c r="AD104" s="17"/>
      <c r="AE104" s="17"/>
      <c r="AF104" s="17"/>
      <c r="AG104" s="17"/>
      <c r="AH104" s="17"/>
      <c r="AI104" s="17"/>
      <c r="AJ104" s="17"/>
      <c r="AK104" s="17"/>
      <c r="AL104" s="17"/>
      <c r="AM104" s="17"/>
      <c r="AN104" s="17"/>
      <c r="AO104" s="17"/>
      <c r="AP104" s="17"/>
      <c r="AQ104" s="17"/>
    </row>
    <row r="105" spans="1:66" hidden="1">
      <c r="A105">
        <f t="shared" si="92"/>
        <v>102</v>
      </c>
      <c r="B105" s="407">
        <v>3</v>
      </c>
      <c r="C105" s="407" t="s">
        <v>505</v>
      </c>
      <c r="D105" s="407" t="s">
        <v>1074</v>
      </c>
      <c r="E105" s="407"/>
      <c r="F105" s="408" t="s">
        <v>1085</v>
      </c>
      <c r="G105" s="409">
        <v>40.33</v>
      </c>
      <c r="H105" s="410"/>
      <c r="I105" s="409">
        <f t="shared" si="91"/>
        <v>40.33</v>
      </c>
      <c r="K105" s="17"/>
      <c r="L105" s="17" t="s">
        <v>966</v>
      </c>
      <c r="M105" s="720">
        <v>43942</v>
      </c>
      <c r="N105" s="721" t="b">
        <f t="shared" si="82"/>
        <v>0</v>
      </c>
      <c r="O105" s="721" t="b">
        <f t="shared" si="84"/>
        <v>0</v>
      </c>
      <c r="P105" s="721" t="b">
        <f t="shared" si="93"/>
        <v>0</v>
      </c>
      <c r="Q105" s="721" t="b">
        <f t="shared" si="86"/>
        <v>0</v>
      </c>
      <c r="R105" s="721" t="b">
        <f t="shared" si="85"/>
        <v>0</v>
      </c>
      <c r="S105" s="721" t="b">
        <f t="shared" si="83"/>
        <v>0</v>
      </c>
      <c r="T105" s="721" t="b">
        <f t="shared" si="48"/>
        <v>0</v>
      </c>
      <c r="U105" s="721" t="b">
        <f t="shared" si="90"/>
        <v>0</v>
      </c>
      <c r="V105" s="721" t="b">
        <f t="shared" si="88"/>
        <v>0</v>
      </c>
      <c r="W105" s="721" t="b">
        <f t="shared" si="75"/>
        <v>0</v>
      </c>
      <c r="X105" s="721" t="b">
        <f t="shared" si="71"/>
        <v>0</v>
      </c>
      <c r="Y105" s="721" t="b">
        <f t="shared" si="94"/>
        <v>1</v>
      </c>
      <c r="Z105" s="721" t="b">
        <f t="shared" si="81"/>
        <v>0</v>
      </c>
      <c r="AA105" s="721" t="b">
        <f t="shared" si="68"/>
        <v>0</v>
      </c>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row>
    <row r="106" spans="1:66" hidden="1">
      <c r="A106">
        <f t="shared" si="92"/>
        <v>103</v>
      </c>
      <c r="B106" s="407">
        <v>1</v>
      </c>
      <c r="C106" s="407" t="s">
        <v>505</v>
      </c>
      <c r="D106" s="407" t="s">
        <v>1074</v>
      </c>
      <c r="E106" s="407"/>
      <c r="F106" s="408" t="s">
        <v>567</v>
      </c>
      <c r="G106" s="409">
        <v>343.75</v>
      </c>
      <c r="H106" s="410"/>
      <c r="I106" s="409">
        <f t="shared" si="91"/>
        <v>343.75</v>
      </c>
      <c r="K106" s="17" t="s">
        <v>1086</v>
      </c>
      <c r="L106" s="17" t="s">
        <v>966</v>
      </c>
      <c r="M106" s="720">
        <v>43942</v>
      </c>
      <c r="N106" s="721" t="b">
        <f t="shared" si="82"/>
        <v>0</v>
      </c>
      <c r="O106" s="721" t="b">
        <f t="shared" si="84"/>
        <v>0</v>
      </c>
      <c r="P106" s="721" t="b">
        <f t="shared" si="93"/>
        <v>0</v>
      </c>
      <c r="Q106" s="721" t="b">
        <f t="shared" si="86"/>
        <v>0</v>
      </c>
      <c r="R106" s="721" t="b">
        <f t="shared" si="85"/>
        <v>0</v>
      </c>
      <c r="S106" s="721" t="b">
        <f t="shared" si="83"/>
        <v>0</v>
      </c>
      <c r="T106" s="721" t="b">
        <f t="shared" si="48"/>
        <v>0</v>
      </c>
      <c r="U106" s="721" t="b">
        <f t="shared" si="90"/>
        <v>0</v>
      </c>
      <c r="V106" s="721" t="b">
        <f t="shared" si="88"/>
        <v>0</v>
      </c>
      <c r="W106" s="721" t="b">
        <f t="shared" si="75"/>
        <v>0</v>
      </c>
      <c r="X106" s="721" t="b">
        <f t="shared" si="71"/>
        <v>0</v>
      </c>
      <c r="Y106" s="721" t="b">
        <f t="shared" ref="Y106:Y115" si="95">FALSE()</f>
        <v>0</v>
      </c>
      <c r="Z106" s="721" t="b">
        <f t="shared" si="81"/>
        <v>0</v>
      </c>
      <c r="AA106" s="721" t="b">
        <f>TRUE()</f>
        <v>1</v>
      </c>
      <c r="AB106" s="17"/>
      <c r="AC106" s="17"/>
      <c r="AD106" s="17"/>
      <c r="AE106" s="17"/>
      <c r="AF106" s="17"/>
      <c r="AG106" s="17"/>
      <c r="AH106" s="17"/>
      <c r="AI106" s="17"/>
      <c r="AJ106" s="17"/>
      <c r="AK106" s="17"/>
      <c r="AL106" s="17"/>
      <c r="AM106" s="17"/>
      <c r="AN106" s="17"/>
      <c r="AO106" s="17"/>
      <c r="AP106" s="17"/>
      <c r="AQ106" s="17"/>
    </row>
    <row r="107" spans="1:66" hidden="1">
      <c r="A107">
        <f t="shared" si="92"/>
        <v>104</v>
      </c>
      <c r="B107" s="407">
        <v>1</v>
      </c>
      <c r="C107" s="407" t="s">
        <v>505</v>
      </c>
      <c r="D107" s="407" t="s">
        <v>534</v>
      </c>
      <c r="E107" s="407"/>
      <c r="F107" s="408" t="s">
        <v>1087</v>
      </c>
      <c r="G107" s="409">
        <f>4392.22/88</f>
        <v>49.911590909090911</v>
      </c>
      <c r="H107" s="410"/>
      <c r="I107" s="409">
        <f t="shared" si="91"/>
        <v>49.911590909090911</v>
      </c>
      <c r="K107" s="17" t="s">
        <v>977</v>
      </c>
      <c r="L107" s="17" t="s">
        <v>966</v>
      </c>
      <c r="M107" s="720">
        <v>43942</v>
      </c>
      <c r="N107" s="721" t="b">
        <f t="shared" si="82"/>
        <v>0</v>
      </c>
      <c r="O107" s="721" t="b">
        <f>TRUE()</f>
        <v>1</v>
      </c>
      <c r="P107" s="721" t="b">
        <f t="shared" si="93"/>
        <v>0</v>
      </c>
      <c r="Q107" s="721" t="b">
        <f t="shared" si="86"/>
        <v>0</v>
      </c>
      <c r="R107" s="721" t="b">
        <f t="shared" si="85"/>
        <v>0</v>
      </c>
      <c r="S107" s="721" t="b">
        <f t="shared" si="83"/>
        <v>0</v>
      </c>
      <c r="T107" s="721" t="b">
        <f t="shared" ref="T107:T170" si="96">FALSE()</f>
        <v>0</v>
      </c>
      <c r="U107" s="721" t="b">
        <f t="shared" si="90"/>
        <v>0</v>
      </c>
      <c r="V107" s="721" t="b">
        <f t="shared" si="88"/>
        <v>0</v>
      </c>
      <c r="W107" s="721" t="b">
        <f t="shared" si="75"/>
        <v>0</v>
      </c>
      <c r="X107" s="721" t="b">
        <f t="shared" si="71"/>
        <v>0</v>
      </c>
      <c r="Y107" s="721" t="b">
        <f t="shared" si="95"/>
        <v>0</v>
      </c>
      <c r="Z107" s="721" t="b">
        <f t="shared" si="81"/>
        <v>0</v>
      </c>
      <c r="AA107" s="721" t="b">
        <f t="shared" ref="AA107:AA118" si="97">FALSE()</f>
        <v>0</v>
      </c>
      <c r="AB107" s="17"/>
      <c r="AC107" s="17"/>
      <c r="AD107" s="17"/>
      <c r="AE107" s="17"/>
      <c r="AF107" s="17"/>
      <c r="AG107" s="17"/>
      <c r="AH107" s="17"/>
      <c r="AI107" s="17"/>
      <c r="AJ107" s="17"/>
      <c r="AK107" s="17"/>
      <c r="AL107" s="17"/>
      <c r="AM107" s="17"/>
      <c r="AN107" s="17"/>
      <c r="AO107" s="17"/>
      <c r="AP107" s="17"/>
      <c r="AQ107" s="17"/>
    </row>
    <row r="108" spans="1:66" hidden="1">
      <c r="A108">
        <f t="shared" si="92"/>
        <v>105</v>
      </c>
      <c r="B108" s="407">
        <v>88</v>
      </c>
      <c r="C108" s="407" t="s">
        <v>505</v>
      </c>
      <c r="D108" s="407" t="s">
        <v>534</v>
      </c>
      <c r="E108" s="407"/>
      <c r="F108" s="408" t="s">
        <v>1088</v>
      </c>
      <c r="G108" s="409">
        <v>89.91</v>
      </c>
      <c r="H108" s="410"/>
      <c r="I108" s="409">
        <f t="shared" si="91"/>
        <v>89.91</v>
      </c>
      <c r="J108" s="58">
        <v>340</v>
      </c>
      <c r="K108" s="417">
        <f>G108/J108</f>
        <v>0.26444117647058824</v>
      </c>
      <c r="L108" s="17" t="s">
        <v>966</v>
      </c>
      <c r="M108" s="720">
        <v>43942</v>
      </c>
      <c r="N108" s="721" t="b">
        <f>TRUE()</f>
        <v>1</v>
      </c>
      <c r="O108" s="721" t="b">
        <f t="shared" ref="O108:O148" si="98">FALSE()</f>
        <v>0</v>
      </c>
      <c r="P108" s="721" t="b">
        <f t="shared" si="93"/>
        <v>0</v>
      </c>
      <c r="Q108" s="721" t="b">
        <f t="shared" si="86"/>
        <v>0</v>
      </c>
      <c r="R108" s="721" t="b">
        <f t="shared" si="85"/>
        <v>0</v>
      </c>
      <c r="S108" s="721" t="b">
        <f t="shared" si="83"/>
        <v>0</v>
      </c>
      <c r="T108" s="721" t="b">
        <f t="shared" si="96"/>
        <v>0</v>
      </c>
      <c r="U108" s="721" t="b">
        <f t="shared" si="90"/>
        <v>0</v>
      </c>
      <c r="V108" s="721" t="b">
        <f t="shared" si="88"/>
        <v>0</v>
      </c>
      <c r="W108" s="721" t="b">
        <f t="shared" si="75"/>
        <v>0</v>
      </c>
      <c r="X108" s="721" t="b">
        <f t="shared" si="71"/>
        <v>0</v>
      </c>
      <c r="Y108" s="721" t="b">
        <f t="shared" si="95"/>
        <v>0</v>
      </c>
      <c r="Z108" s="721" t="b">
        <f t="shared" si="81"/>
        <v>0</v>
      </c>
      <c r="AA108" s="721" t="b">
        <f t="shared" si="97"/>
        <v>0</v>
      </c>
      <c r="AB108" s="17"/>
      <c r="AC108" s="17"/>
      <c r="AD108" s="17"/>
      <c r="AE108" s="17"/>
      <c r="AF108" s="17"/>
      <c r="AG108" s="17"/>
      <c r="AH108" s="17"/>
      <c r="AI108" s="17"/>
      <c r="AJ108" s="17"/>
      <c r="AK108" s="17"/>
      <c r="AL108" s="17"/>
      <c r="AM108" s="17"/>
      <c r="AN108" s="17"/>
      <c r="AO108" s="17"/>
      <c r="AP108" s="17"/>
      <c r="AQ108" s="17"/>
    </row>
    <row r="109" spans="1:66" hidden="1">
      <c r="A109">
        <f t="shared" si="92"/>
        <v>106</v>
      </c>
      <c r="B109" s="407">
        <v>1</v>
      </c>
      <c r="C109" s="407" t="s">
        <v>505</v>
      </c>
      <c r="D109" s="407" t="s">
        <v>534</v>
      </c>
      <c r="E109" s="407"/>
      <c r="F109" s="408" t="s">
        <v>1089</v>
      </c>
      <c r="G109" s="409">
        <v>336.67</v>
      </c>
      <c r="H109" s="410"/>
      <c r="I109" s="409">
        <f t="shared" si="91"/>
        <v>336.67</v>
      </c>
      <c r="J109" s="58">
        <v>4685</v>
      </c>
      <c r="K109" s="17"/>
      <c r="L109" s="17" t="s">
        <v>966</v>
      </c>
      <c r="M109" s="720">
        <v>43942</v>
      </c>
      <c r="N109" s="721" t="b">
        <f t="shared" ref="N109:N172" si="99">FALSE()</f>
        <v>0</v>
      </c>
      <c r="O109" s="721" t="b">
        <f t="shared" si="98"/>
        <v>0</v>
      </c>
      <c r="P109" s="721" t="b">
        <f t="shared" si="93"/>
        <v>0</v>
      </c>
      <c r="Q109" s="721" t="b">
        <f t="shared" si="86"/>
        <v>0</v>
      </c>
      <c r="R109" s="721" t="b">
        <f>TRUE()</f>
        <v>1</v>
      </c>
      <c r="S109" s="721" t="b">
        <f t="shared" si="83"/>
        <v>0</v>
      </c>
      <c r="T109" s="721" t="b">
        <f t="shared" si="96"/>
        <v>0</v>
      </c>
      <c r="U109" s="721" t="b">
        <f t="shared" si="90"/>
        <v>0</v>
      </c>
      <c r="V109" s="721" t="b">
        <f t="shared" si="88"/>
        <v>0</v>
      </c>
      <c r="W109" s="721" t="b">
        <f t="shared" si="75"/>
        <v>0</v>
      </c>
      <c r="X109" s="721" t="b">
        <f t="shared" si="71"/>
        <v>0</v>
      </c>
      <c r="Y109" s="721" t="b">
        <f t="shared" si="95"/>
        <v>0</v>
      </c>
      <c r="Z109" s="721" t="b">
        <f t="shared" si="81"/>
        <v>0</v>
      </c>
      <c r="AA109" s="721" t="b">
        <f t="shared" si="97"/>
        <v>0</v>
      </c>
      <c r="AB109" s="17"/>
      <c r="AC109" s="17"/>
      <c r="AD109" s="17"/>
      <c r="AE109" s="17"/>
      <c r="AF109" s="17"/>
      <c r="AG109" s="17"/>
      <c r="AH109" s="17"/>
      <c r="AI109" s="17"/>
      <c r="AJ109" s="17"/>
      <c r="AK109" s="17"/>
      <c r="AL109" s="17"/>
      <c r="AM109" s="17"/>
      <c r="AN109" s="17"/>
      <c r="AO109" s="17"/>
      <c r="AP109" s="17"/>
      <c r="AQ109" s="17"/>
    </row>
    <row r="110" spans="1:66" hidden="1">
      <c r="A110">
        <f t="shared" si="92"/>
        <v>107</v>
      </c>
      <c r="B110" s="407">
        <v>3</v>
      </c>
      <c r="C110" s="407" t="s">
        <v>505</v>
      </c>
      <c r="D110" s="407" t="s">
        <v>534</v>
      </c>
      <c r="E110" s="407"/>
      <c r="F110" s="408" t="s">
        <v>789</v>
      </c>
      <c r="G110" s="409">
        <v>275.56</v>
      </c>
      <c r="H110" s="410"/>
      <c r="I110" s="409">
        <f t="shared" si="91"/>
        <v>275.56</v>
      </c>
      <c r="K110" s="17"/>
      <c r="L110" s="17" t="s">
        <v>966</v>
      </c>
      <c r="M110" s="720">
        <v>43942</v>
      </c>
      <c r="N110" s="721" t="b">
        <f t="shared" si="99"/>
        <v>0</v>
      </c>
      <c r="O110" s="721" t="b">
        <f t="shared" si="98"/>
        <v>0</v>
      </c>
      <c r="P110" s="721" t="b">
        <f t="shared" si="93"/>
        <v>0</v>
      </c>
      <c r="Q110" s="721" t="b">
        <f>TRUE()</f>
        <v>1</v>
      </c>
      <c r="R110" s="721" t="b">
        <f t="shared" ref="R110:R151" si="100">FALSE()</f>
        <v>0</v>
      </c>
      <c r="S110" s="721" t="b">
        <f t="shared" si="83"/>
        <v>0</v>
      </c>
      <c r="T110" s="721" t="b">
        <f t="shared" si="96"/>
        <v>0</v>
      </c>
      <c r="U110" s="721" t="b">
        <f t="shared" si="90"/>
        <v>0</v>
      </c>
      <c r="V110" s="721" t="b">
        <f t="shared" si="88"/>
        <v>0</v>
      </c>
      <c r="W110" s="721" t="b">
        <f t="shared" si="75"/>
        <v>0</v>
      </c>
      <c r="X110" s="721" t="b">
        <f t="shared" si="71"/>
        <v>0</v>
      </c>
      <c r="Y110" s="721" t="b">
        <f t="shared" si="95"/>
        <v>0</v>
      </c>
      <c r="Z110" s="721" t="b">
        <f t="shared" si="81"/>
        <v>0</v>
      </c>
      <c r="AA110" s="721" t="b">
        <f t="shared" si="97"/>
        <v>0</v>
      </c>
      <c r="AB110" s="17"/>
      <c r="AC110" s="17"/>
      <c r="AD110" s="17"/>
      <c r="AE110" s="17"/>
      <c r="AF110" s="17"/>
      <c r="AG110" s="17"/>
      <c r="AH110" s="17"/>
      <c r="AI110" s="17"/>
      <c r="AJ110" s="17"/>
      <c r="AK110" s="17"/>
      <c r="AL110" s="17"/>
      <c r="AM110" s="17"/>
      <c r="AN110" s="17"/>
      <c r="AO110" s="17"/>
      <c r="AP110" s="17"/>
      <c r="AQ110" s="17"/>
    </row>
    <row r="111" spans="1:66" hidden="1">
      <c r="A111">
        <f t="shared" si="92"/>
        <v>108</v>
      </c>
      <c r="B111" s="407">
        <v>1</v>
      </c>
      <c r="C111" s="407" t="s">
        <v>505</v>
      </c>
      <c r="D111" s="407" t="s">
        <v>534</v>
      </c>
      <c r="E111" s="407"/>
      <c r="F111" s="408" t="s">
        <v>1078</v>
      </c>
      <c r="G111" s="409">
        <v>307.26</v>
      </c>
      <c r="H111" s="410"/>
      <c r="I111" s="409">
        <f t="shared" si="91"/>
        <v>307.26</v>
      </c>
      <c r="K111" s="17"/>
      <c r="L111" s="17" t="s">
        <v>966</v>
      </c>
      <c r="M111" s="720">
        <v>43942</v>
      </c>
      <c r="N111" s="721" t="b">
        <f t="shared" si="99"/>
        <v>0</v>
      </c>
      <c r="O111" s="721" t="b">
        <f t="shared" si="98"/>
        <v>0</v>
      </c>
      <c r="P111" s="721" t="b">
        <f t="shared" si="93"/>
        <v>0</v>
      </c>
      <c r="Q111" s="721" t="b">
        <f t="shared" ref="Q111:Q141" si="101">FALSE()</f>
        <v>0</v>
      </c>
      <c r="R111" s="721" t="b">
        <f t="shared" si="100"/>
        <v>0</v>
      </c>
      <c r="S111" s="721" t="b">
        <f t="shared" si="83"/>
        <v>0</v>
      </c>
      <c r="T111" s="721" t="b">
        <f t="shared" si="96"/>
        <v>0</v>
      </c>
      <c r="U111" s="721" t="b">
        <f t="shared" si="90"/>
        <v>0</v>
      </c>
      <c r="V111" s="721" t="b">
        <f>TRUE()</f>
        <v>1</v>
      </c>
      <c r="W111" s="721" t="b">
        <f t="shared" si="75"/>
        <v>0</v>
      </c>
      <c r="X111" s="721" t="b">
        <f t="shared" si="71"/>
        <v>0</v>
      </c>
      <c r="Y111" s="721" t="b">
        <f t="shared" si="95"/>
        <v>0</v>
      </c>
      <c r="Z111" s="721" t="b">
        <f t="shared" si="81"/>
        <v>0</v>
      </c>
      <c r="AA111" s="721" t="b">
        <f t="shared" si="97"/>
        <v>0</v>
      </c>
      <c r="AB111" s="17"/>
      <c r="AC111" s="17"/>
      <c r="AD111" s="17"/>
      <c r="AE111" s="17"/>
      <c r="AF111" s="17"/>
      <c r="AG111" s="17"/>
      <c r="AH111" s="17"/>
      <c r="AI111" s="17"/>
      <c r="AJ111" s="17"/>
      <c r="AK111" s="17"/>
      <c r="AL111" s="17"/>
      <c r="AM111" s="17"/>
      <c r="AN111" s="17"/>
      <c r="AO111" s="17"/>
      <c r="AP111" s="17"/>
      <c r="AQ111" s="17"/>
    </row>
    <row r="112" spans="1:66" hidden="1">
      <c r="A112">
        <f t="shared" si="92"/>
        <v>109</v>
      </c>
      <c r="B112" s="407">
        <v>30</v>
      </c>
      <c r="C112" s="407" t="s">
        <v>505</v>
      </c>
      <c r="D112" s="407" t="s">
        <v>534</v>
      </c>
      <c r="E112" s="407"/>
      <c r="F112" s="408" t="s">
        <v>1079</v>
      </c>
      <c r="G112" s="409">
        <v>1.3</v>
      </c>
      <c r="H112" s="410"/>
      <c r="I112" s="409">
        <f t="shared" si="91"/>
        <v>1.3</v>
      </c>
      <c r="K112" s="17"/>
      <c r="L112" s="17" t="s">
        <v>966</v>
      </c>
      <c r="M112" s="720">
        <v>43942</v>
      </c>
      <c r="N112" s="721" t="b">
        <f t="shared" si="99"/>
        <v>0</v>
      </c>
      <c r="O112" s="721" t="b">
        <f t="shared" si="98"/>
        <v>0</v>
      </c>
      <c r="P112" s="721" t="b">
        <f t="shared" si="93"/>
        <v>0</v>
      </c>
      <c r="Q112" s="721" t="b">
        <f t="shared" si="101"/>
        <v>0</v>
      </c>
      <c r="R112" s="721" t="b">
        <f t="shared" si="100"/>
        <v>0</v>
      </c>
      <c r="S112" s="721" t="b">
        <f t="shared" si="83"/>
        <v>0</v>
      </c>
      <c r="T112" s="721" t="b">
        <f t="shared" si="96"/>
        <v>0</v>
      </c>
      <c r="U112" s="721" t="b">
        <f t="shared" ref="U112:U113" si="102">TRUE()</f>
        <v>1</v>
      </c>
      <c r="V112" s="721" t="b">
        <f t="shared" ref="V112:V113" si="103">FALSE()</f>
        <v>0</v>
      </c>
      <c r="W112" s="721" t="b">
        <f t="shared" si="75"/>
        <v>0</v>
      </c>
      <c r="X112" s="721" t="b">
        <f t="shared" si="71"/>
        <v>0</v>
      </c>
      <c r="Y112" s="721" t="b">
        <f t="shared" si="95"/>
        <v>0</v>
      </c>
      <c r="Z112" s="721" t="b">
        <f t="shared" si="81"/>
        <v>0</v>
      </c>
      <c r="AA112" s="721" t="b">
        <f t="shared" si="97"/>
        <v>0</v>
      </c>
      <c r="AB112" s="17"/>
      <c r="AC112" s="17"/>
      <c r="AD112" s="17"/>
      <c r="AE112" s="17"/>
      <c r="AF112" s="17"/>
      <c r="AG112" s="17"/>
      <c r="AH112" s="17"/>
      <c r="AI112" s="17"/>
      <c r="AJ112" s="17"/>
      <c r="AK112" s="17"/>
      <c r="AL112" s="17"/>
      <c r="AM112" s="17"/>
      <c r="AN112" s="17"/>
      <c r="AO112" s="17"/>
      <c r="AP112" s="17"/>
      <c r="AQ112" s="17"/>
    </row>
    <row r="113" spans="1:43" hidden="1">
      <c r="A113">
        <f t="shared" si="92"/>
        <v>110</v>
      </c>
      <c r="B113" s="407">
        <v>30</v>
      </c>
      <c r="C113" s="407" t="s">
        <v>505</v>
      </c>
      <c r="D113" s="407" t="s">
        <v>534</v>
      </c>
      <c r="E113" s="407"/>
      <c r="F113" s="408" t="s">
        <v>1080</v>
      </c>
      <c r="G113" s="409">
        <v>0.98</v>
      </c>
      <c r="H113" s="410"/>
      <c r="I113" s="409">
        <f t="shared" si="91"/>
        <v>0.98</v>
      </c>
      <c r="K113" s="17"/>
      <c r="L113" s="17" t="s">
        <v>966</v>
      </c>
      <c r="M113" s="720">
        <v>43942</v>
      </c>
      <c r="N113" s="721" t="b">
        <f t="shared" si="99"/>
        <v>0</v>
      </c>
      <c r="O113" s="721" t="b">
        <f t="shared" si="98"/>
        <v>0</v>
      </c>
      <c r="P113" s="721" t="b">
        <f t="shared" si="93"/>
        <v>0</v>
      </c>
      <c r="Q113" s="721" t="b">
        <f t="shared" si="101"/>
        <v>0</v>
      </c>
      <c r="R113" s="721" t="b">
        <f t="shared" si="100"/>
        <v>0</v>
      </c>
      <c r="S113" s="721" t="b">
        <f t="shared" si="83"/>
        <v>0</v>
      </c>
      <c r="T113" s="721" t="b">
        <f t="shared" si="96"/>
        <v>0</v>
      </c>
      <c r="U113" s="721" t="b">
        <f t="shared" si="102"/>
        <v>1</v>
      </c>
      <c r="V113" s="721" t="b">
        <f t="shared" si="103"/>
        <v>0</v>
      </c>
      <c r="W113" s="721" t="b">
        <f t="shared" si="75"/>
        <v>0</v>
      </c>
      <c r="X113" s="721" t="b">
        <f t="shared" si="71"/>
        <v>0</v>
      </c>
      <c r="Y113" s="721" t="b">
        <f t="shared" si="95"/>
        <v>0</v>
      </c>
      <c r="Z113" s="721" t="b">
        <f t="shared" si="81"/>
        <v>0</v>
      </c>
      <c r="AA113" s="721" t="b">
        <f t="shared" si="97"/>
        <v>0</v>
      </c>
      <c r="AB113" s="17"/>
      <c r="AC113" s="17"/>
      <c r="AD113" s="17"/>
      <c r="AE113" s="17"/>
      <c r="AF113" s="17"/>
      <c r="AG113" s="17"/>
      <c r="AH113" s="17"/>
      <c r="AI113" s="17"/>
      <c r="AJ113" s="17"/>
      <c r="AK113" s="17"/>
      <c r="AL113" s="17"/>
      <c r="AM113" s="17"/>
      <c r="AN113" s="17"/>
      <c r="AO113" s="17"/>
      <c r="AP113" s="17"/>
      <c r="AQ113" s="17"/>
    </row>
    <row r="114" spans="1:43" hidden="1">
      <c r="A114">
        <f t="shared" si="92"/>
        <v>111</v>
      </c>
      <c r="B114" s="407">
        <v>44</v>
      </c>
      <c r="C114" s="407" t="s">
        <v>505</v>
      </c>
      <c r="D114" s="407" t="s">
        <v>534</v>
      </c>
      <c r="E114" s="407"/>
      <c r="F114" s="408" t="s">
        <v>535</v>
      </c>
      <c r="G114" s="409">
        <v>3.71</v>
      </c>
      <c r="H114" s="410"/>
      <c r="I114" s="409">
        <f t="shared" si="91"/>
        <v>3.71</v>
      </c>
      <c r="K114" s="17"/>
      <c r="L114" s="17" t="s">
        <v>966</v>
      </c>
      <c r="M114" s="720">
        <v>43942</v>
      </c>
      <c r="N114" s="721" t="b">
        <f t="shared" si="99"/>
        <v>0</v>
      </c>
      <c r="O114" s="721" t="b">
        <f t="shared" si="98"/>
        <v>0</v>
      </c>
      <c r="P114" s="721" t="b">
        <f t="shared" si="93"/>
        <v>0</v>
      </c>
      <c r="Q114" s="721" t="b">
        <f t="shared" si="101"/>
        <v>0</v>
      </c>
      <c r="R114" s="721" t="b">
        <f t="shared" si="100"/>
        <v>0</v>
      </c>
      <c r="S114" s="721" t="b">
        <f t="shared" si="83"/>
        <v>0</v>
      </c>
      <c r="T114" s="721" t="b">
        <f t="shared" si="96"/>
        <v>0</v>
      </c>
      <c r="U114" s="721" t="b">
        <f t="shared" ref="U114:U177" si="104">FALSE()</f>
        <v>0</v>
      </c>
      <c r="V114" s="721" t="b">
        <f t="shared" ref="V114:V115" si="105">TRUE()</f>
        <v>1</v>
      </c>
      <c r="W114" s="721" t="b">
        <f t="shared" si="75"/>
        <v>0</v>
      </c>
      <c r="X114" s="721" t="b">
        <f t="shared" si="71"/>
        <v>0</v>
      </c>
      <c r="Y114" s="721" t="b">
        <f t="shared" si="95"/>
        <v>0</v>
      </c>
      <c r="Z114" s="721" t="b">
        <f t="shared" si="81"/>
        <v>0</v>
      </c>
      <c r="AA114" s="721" t="b">
        <f t="shared" si="97"/>
        <v>0</v>
      </c>
      <c r="AB114" s="17"/>
      <c r="AC114" s="17"/>
      <c r="AD114" s="17"/>
      <c r="AE114" s="17"/>
      <c r="AF114" s="17"/>
      <c r="AG114" s="17"/>
      <c r="AH114" s="17"/>
      <c r="AI114" s="17"/>
      <c r="AJ114" s="17"/>
      <c r="AK114" s="17"/>
      <c r="AL114" s="17"/>
      <c r="AM114" s="17"/>
      <c r="AN114" s="17"/>
      <c r="AO114" s="17"/>
      <c r="AP114" s="17"/>
      <c r="AQ114" s="17"/>
    </row>
    <row r="115" spans="1:43" hidden="1">
      <c r="A115">
        <f t="shared" si="92"/>
        <v>112</v>
      </c>
      <c r="B115" s="407">
        <v>44</v>
      </c>
      <c r="C115" s="407" t="s">
        <v>505</v>
      </c>
      <c r="D115" s="407" t="s">
        <v>534</v>
      </c>
      <c r="E115" s="407"/>
      <c r="F115" s="408" t="s">
        <v>537</v>
      </c>
      <c r="G115" s="409">
        <v>3.81</v>
      </c>
      <c r="H115" s="410"/>
      <c r="I115" s="409">
        <f t="shared" si="91"/>
        <v>3.81</v>
      </c>
      <c r="K115" s="17"/>
      <c r="L115" s="17" t="s">
        <v>966</v>
      </c>
      <c r="M115" s="720">
        <v>43942</v>
      </c>
      <c r="N115" s="721" t="b">
        <f t="shared" si="99"/>
        <v>0</v>
      </c>
      <c r="O115" s="721" t="b">
        <f t="shared" si="98"/>
        <v>0</v>
      </c>
      <c r="P115" s="721" t="b">
        <f t="shared" si="93"/>
        <v>0</v>
      </c>
      <c r="Q115" s="721" t="b">
        <f t="shared" si="101"/>
        <v>0</v>
      </c>
      <c r="R115" s="721" t="b">
        <f t="shared" si="100"/>
        <v>0</v>
      </c>
      <c r="S115" s="721" t="b">
        <f t="shared" si="83"/>
        <v>0</v>
      </c>
      <c r="T115" s="721" t="b">
        <f t="shared" si="96"/>
        <v>0</v>
      </c>
      <c r="U115" s="721" t="b">
        <f t="shared" si="104"/>
        <v>0</v>
      </c>
      <c r="V115" s="721" t="b">
        <f t="shared" si="105"/>
        <v>1</v>
      </c>
      <c r="W115" s="721" t="b">
        <f t="shared" si="75"/>
        <v>0</v>
      </c>
      <c r="X115" s="721" t="b">
        <f t="shared" si="71"/>
        <v>0</v>
      </c>
      <c r="Y115" s="721" t="b">
        <f t="shared" si="95"/>
        <v>0</v>
      </c>
      <c r="Z115" s="721" t="b">
        <f t="shared" si="81"/>
        <v>0</v>
      </c>
      <c r="AA115" s="721" t="b">
        <f t="shared" si="97"/>
        <v>0</v>
      </c>
      <c r="AB115" s="17"/>
      <c r="AC115" s="17"/>
      <c r="AD115" s="17"/>
      <c r="AE115" s="17"/>
      <c r="AF115" s="17"/>
      <c r="AG115" s="17"/>
      <c r="AH115" s="17"/>
      <c r="AI115" s="17"/>
      <c r="AJ115" s="17"/>
      <c r="AK115" s="17"/>
      <c r="AL115" s="17"/>
      <c r="AM115" s="17"/>
      <c r="AN115" s="17"/>
      <c r="AO115" s="17"/>
      <c r="AP115" s="17"/>
      <c r="AQ115" s="17"/>
    </row>
    <row r="116" spans="1:43" hidden="1">
      <c r="A116">
        <f t="shared" si="92"/>
        <v>113</v>
      </c>
      <c r="B116" s="407">
        <v>1</v>
      </c>
      <c r="C116" s="407" t="s">
        <v>505</v>
      </c>
      <c r="D116" s="407" t="s">
        <v>534</v>
      </c>
      <c r="E116" s="407"/>
      <c r="F116" s="408" t="s">
        <v>1082</v>
      </c>
      <c r="G116" s="409">
        <v>150.33000000000001</v>
      </c>
      <c r="H116" s="410"/>
      <c r="I116" s="409">
        <f t="shared" si="91"/>
        <v>150.33000000000001</v>
      </c>
      <c r="K116" s="17"/>
      <c r="L116" s="17" t="s">
        <v>966</v>
      </c>
      <c r="M116" s="720">
        <v>43942</v>
      </c>
      <c r="N116" s="721" t="b">
        <f t="shared" si="99"/>
        <v>0</v>
      </c>
      <c r="O116" s="721" t="b">
        <f t="shared" si="98"/>
        <v>0</v>
      </c>
      <c r="P116" s="721" t="b">
        <f t="shared" si="93"/>
        <v>0</v>
      </c>
      <c r="Q116" s="721" t="b">
        <f t="shared" si="101"/>
        <v>0</v>
      </c>
      <c r="R116" s="721" t="b">
        <f t="shared" si="100"/>
        <v>0</v>
      </c>
      <c r="S116" s="721" t="b">
        <f t="shared" si="83"/>
        <v>0</v>
      </c>
      <c r="T116" s="721" t="b">
        <f t="shared" si="96"/>
        <v>0</v>
      </c>
      <c r="U116" s="721" t="b">
        <f t="shared" si="104"/>
        <v>0</v>
      </c>
      <c r="V116" s="721" t="b">
        <f t="shared" ref="V116:V179" si="106">FALSE()</f>
        <v>0</v>
      </c>
      <c r="W116" s="721" t="b">
        <f t="shared" si="75"/>
        <v>0</v>
      </c>
      <c r="X116" s="721" t="b">
        <f t="shared" si="71"/>
        <v>0</v>
      </c>
      <c r="Y116" s="721" t="b">
        <f t="shared" ref="Y116:Y118" si="107">TRUE()</f>
        <v>1</v>
      </c>
      <c r="Z116" s="721" t="b">
        <f t="shared" si="81"/>
        <v>0</v>
      </c>
      <c r="AA116" s="721" t="b">
        <f t="shared" si="97"/>
        <v>0</v>
      </c>
      <c r="AB116" s="17"/>
      <c r="AC116" s="17"/>
      <c r="AD116" s="17"/>
      <c r="AE116" s="17"/>
      <c r="AF116" s="17"/>
      <c r="AG116" s="17"/>
      <c r="AH116" s="17"/>
      <c r="AI116" s="17"/>
      <c r="AJ116" s="17"/>
      <c r="AK116" s="17"/>
      <c r="AL116" s="17"/>
      <c r="AM116" s="17"/>
      <c r="AN116" s="17"/>
      <c r="AO116" s="17"/>
      <c r="AP116" s="17"/>
      <c r="AQ116" s="17"/>
    </row>
    <row r="117" spans="1:43" hidden="1">
      <c r="A117">
        <f t="shared" si="92"/>
        <v>114</v>
      </c>
      <c r="B117" s="407">
        <v>1</v>
      </c>
      <c r="C117" s="407" t="s">
        <v>505</v>
      </c>
      <c r="D117" s="407" t="s">
        <v>534</v>
      </c>
      <c r="E117" s="407"/>
      <c r="F117" s="408" t="s">
        <v>1026</v>
      </c>
      <c r="G117" s="409">
        <v>19.07</v>
      </c>
      <c r="H117" s="410"/>
      <c r="I117" s="409">
        <f t="shared" si="91"/>
        <v>19.07</v>
      </c>
      <c r="K117" s="17"/>
      <c r="L117" s="17" t="s">
        <v>966</v>
      </c>
      <c r="M117" s="720">
        <v>43942</v>
      </c>
      <c r="N117" s="721" t="b">
        <f t="shared" si="99"/>
        <v>0</v>
      </c>
      <c r="O117" s="721" t="b">
        <f t="shared" si="98"/>
        <v>0</v>
      </c>
      <c r="P117" s="721" t="b">
        <f t="shared" si="93"/>
        <v>0</v>
      </c>
      <c r="Q117" s="721" t="b">
        <f t="shared" si="101"/>
        <v>0</v>
      </c>
      <c r="R117" s="721" t="b">
        <f t="shared" si="100"/>
        <v>0</v>
      </c>
      <c r="S117" s="721" t="b">
        <f t="shared" si="83"/>
        <v>0</v>
      </c>
      <c r="T117" s="721" t="b">
        <f t="shared" si="96"/>
        <v>0</v>
      </c>
      <c r="U117" s="721" t="b">
        <f t="shared" si="104"/>
        <v>0</v>
      </c>
      <c r="V117" s="721" t="b">
        <f t="shared" si="106"/>
        <v>0</v>
      </c>
      <c r="W117" s="721" t="b">
        <f t="shared" si="75"/>
        <v>0</v>
      </c>
      <c r="X117" s="721" t="b">
        <f t="shared" si="71"/>
        <v>0</v>
      </c>
      <c r="Y117" s="721" t="b">
        <f t="shared" si="107"/>
        <v>1</v>
      </c>
      <c r="Z117" s="721" t="b">
        <f t="shared" si="81"/>
        <v>0</v>
      </c>
      <c r="AA117" s="721" t="b">
        <f t="shared" si="97"/>
        <v>0</v>
      </c>
      <c r="AB117" s="17"/>
      <c r="AC117" s="17"/>
      <c r="AD117" s="17"/>
      <c r="AE117" s="17"/>
      <c r="AF117" s="17"/>
      <c r="AG117" s="17"/>
      <c r="AH117" s="17"/>
      <c r="AI117" s="17"/>
      <c r="AJ117" s="17"/>
      <c r="AK117" s="17"/>
      <c r="AL117" s="17"/>
      <c r="AM117" s="17"/>
      <c r="AN117" s="17"/>
      <c r="AO117" s="17"/>
      <c r="AP117" s="17"/>
      <c r="AQ117" s="17"/>
    </row>
    <row r="118" spans="1:43" hidden="1">
      <c r="A118">
        <f t="shared" si="92"/>
        <v>115</v>
      </c>
      <c r="B118" s="407">
        <v>3</v>
      </c>
      <c r="C118" s="407" t="s">
        <v>505</v>
      </c>
      <c r="D118" s="407" t="s">
        <v>534</v>
      </c>
      <c r="E118" s="407"/>
      <c r="F118" s="408" t="s">
        <v>1085</v>
      </c>
      <c r="G118" s="409">
        <v>40.33</v>
      </c>
      <c r="H118" s="410"/>
      <c r="I118" s="409">
        <f t="shared" si="91"/>
        <v>40.33</v>
      </c>
      <c r="K118" s="17"/>
      <c r="L118" s="17" t="s">
        <v>966</v>
      </c>
      <c r="M118" s="720">
        <v>43942</v>
      </c>
      <c r="N118" s="721" t="b">
        <f t="shared" si="99"/>
        <v>0</v>
      </c>
      <c r="O118" s="721" t="b">
        <f t="shared" si="98"/>
        <v>0</v>
      </c>
      <c r="P118" s="721" t="b">
        <f t="shared" si="93"/>
        <v>0</v>
      </c>
      <c r="Q118" s="721" t="b">
        <f t="shared" si="101"/>
        <v>0</v>
      </c>
      <c r="R118" s="721" t="b">
        <f t="shared" si="100"/>
        <v>0</v>
      </c>
      <c r="S118" s="721" t="b">
        <f t="shared" si="83"/>
        <v>0</v>
      </c>
      <c r="T118" s="721" t="b">
        <f t="shared" si="96"/>
        <v>0</v>
      </c>
      <c r="U118" s="721" t="b">
        <f t="shared" si="104"/>
        <v>0</v>
      </c>
      <c r="V118" s="721" t="b">
        <f t="shared" si="106"/>
        <v>0</v>
      </c>
      <c r="W118" s="721" t="b">
        <f t="shared" si="75"/>
        <v>0</v>
      </c>
      <c r="X118" s="721" t="b">
        <f t="shared" si="71"/>
        <v>0</v>
      </c>
      <c r="Y118" s="721" t="b">
        <f t="shared" si="107"/>
        <v>1</v>
      </c>
      <c r="Z118" s="721" t="b">
        <f t="shared" si="81"/>
        <v>0</v>
      </c>
      <c r="AA118" s="721" t="b">
        <f t="shared" si="97"/>
        <v>0</v>
      </c>
      <c r="AB118" s="17"/>
      <c r="AC118" s="17"/>
      <c r="AD118" s="17"/>
      <c r="AE118" s="17"/>
      <c r="AF118" s="17"/>
      <c r="AG118" s="17"/>
      <c r="AH118" s="17"/>
      <c r="AI118" s="17"/>
      <c r="AJ118" s="17"/>
      <c r="AK118" s="17"/>
      <c r="AL118" s="17"/>
      <c r="AM118" s="17"/>
      <c r="AN118" s="17"/>
      <c r="AO118" s="17"/>
      <c r="AP118" s="17"/>
      <c r="AQ118" s="17"/>
    </row>
    <row r="119" spans="1:43" hidden="1">
      <c r="A119">
        <f t="shared" si="92"/>
        <v>116</v>
      </c>
      <c r="B119" s="407">
        <v>1</v>
      </c>
      <c r="C119" s="407" t="s">
        <v>505</v>
      </c>
      <c r="D119" s="407" t="s">
        <v>534</v>
      </c>
      <c r="E119" s="407"/>
      <c r="F119" s="408" t="s">
        <v>567</v>
      </c>
      <c r="G119" s="409">
        <v>375</v>
      </c>
      <c r="H119" s="410"/>
      <c r="I119" s="409">
        <f t="shared" si="91"/>
        <v>375</v>
      </c>
      <c r="K119" s="17" t="s">
        <v>1086</v>
      </c>
      <c r="L119" s="17" t="s">
        <v>966</v>
      </c>
      <c r="M119" s="720">
        <v>43942</v>
      </c>
      <c r="N119" s="721" t="b">
        <f t="shared" si="99"/>
        <v>0</v>
      </c>
      <c r="O119" s="721" t="b">
        <f t="shared" si="98"/>
        <v>0</v>
      </c>
      <c r="P119" s="721" t="b">
        <f t="shared" si="93"/>
        <v>0</v>
      </c>
      <c r="Q119" s="721" t="b">
        <f t="shared" si="101"/>
        <v>0</v>
      </c>
      <c r="R119" s="721" t="b">
        <f t="shared" si="100"/>
        <v>0</v>
      </c>
      <c r="S119" s="721" t="b">
        <f t="shared" si="83"/>
        <v>0</v>
      </c>
      <c r="T119" s="721" t="b">
        <f t="shared" si="96"/>
        <v>0</v>
      </c>
      <c r="U119" s="721" t="b">
        <f t="shared" si="104"/>
        <v>0</v>
      </c>
      <c r="V119" s="721" t="b">
        <f t="shared" si="106"/>
        <v>0</v>
      </c>
      <c r="W119" s="721" t="b">
        <f t="shared" si="75"/>
        <v>0</v>
      </c>
      <c r="X119" s="721" t="b">
        <f t="shared" si="71"/>
        <v>0</v>
      </c>
      <c r="Y119" s="721" t="b">
        <f t="shared" ref="Y119:Y132" si="108">FALSE()</f>
        <v>0</v>
      </c>
      <c r="Z119" s="721" t="b">
        <f t="shared" si="81"/>
        <v>0</v>
      </c>
      <c r="AA119" s="721" t="b">
        <f>TRUE()</f>
        <v>1</v>
      </c>
      <c r="AB119" s="17"/>
      <c r="AC119" s="17"/>
      <c r="AD119" s="17"/>
      <c r="AE119" s="17"/>
      <c r="AF119" s="17"/>
      <c r="AG119" s="17"/>
      <c r="AH119" s="17"/>
      <c r="AI119" s="17"/>
      <c r="AJ119" s="17"/>
      <c r="AK119" s="17"/>
      <c r="AL119" s="17"/>
      <c r="AM119" s="17"/>
      <c r="AN119" s="17"/>
      <c r="AO119" s="17"/>
      <c r="AP119" s="17"/>
      <c r="AQ119" s="17"/>
    </row>
    <row r="120" spans="1:43" hidden="1">
      <c r="A120">
        <f t="shared" si="92"/>
        <v>117</v>
      </c>
      <c r="B120" s="407">
        <v>1</v>
      </c>
      <c r="C120" s="407" t="s">
        <v>505</v>
      </c>
      <c r="D120" s="407" t="s">
        <v>786</v>
      </c>
      <c r="E120" s="407"/>
      <c r="F120" s="408" t="s">
        <v>1090</v>
      </c>
      <c r="G120" s="409">
        <v>3750</v>
      </c>
      <c r="H120" s="410"/>
      <c r="I120" s="409">
        <v>3750</v>
      </c>
      <c r="J120" s="58">
        <v>50000</v>
      </c>
      <c r="K120" s="417">
        <f t="shared" ref="K120:K171" si="109">G120/J120</f>
        <v>7.4999999999999997E-2</v>
      </c>
      <c r="L120" s="17" t="s">
        <v>966</v>
      </c>
      <c r="M120" s="720">
        <v>43942</v>
      </c>
      <c r="N120" s="721" t="b">
        <f t="shared" si="99"/>
        <v>0</v>
      </c>
      <c r="O120" s="721" t="b">
        <f t="shared" si="98"/>
        <v>0</v>
      </c>
      <c r="P120" s="721" t="b">
        <f t="shared" ref="P120:P132" si="110">TRUE()</f>
        <v>1</v>
      </c>
      <c r="Q120" s="721" t="b">
        <f t="shared" si="101"/>
        <v>0</v>
      </c>
      <c r="R120" s="721" t="b">
        <f t="shared" si="100"/>
        <v>0</v>
      </c>
      <c r="S120" s="721" t="b">
        <f t="shared" si="83"/>
        <v>0</v>
      </c>
      <c r="T120" s="721" t="b">
        <f t="shared" si="96"/>
        <v>0</v>
      </c>
      <c r="U120" s="721" t="b">
        <f t="shared" si="104"/>
        <v>0</v>
      </c>
      <c r="V120" s="721" t="b">
        <f t="shared" si="106"/>
        <v>0</v>
      </c>
      <c r="W120" s="721" t="b">
        <f t="shared" si="75"/>
        <v>0</v>
      </c>
      <c r="X120" s="721" t="b">
        <f t="shared" si="71"/>
        <v>0</v>
      </c>
      <c r="Y120" s="721" t="b">
        <f t="shared" si="108"/>
        <v>0</v>
      </c>
      <c r="Z120" s="721" t="b">
        <f t="shared" si="81"/>
        <v>0</v>
      </c>
      <c r="AA120" s="721" t="b">
        <f t="shared" ref="AA120:AA183" si="111">FALSE()</f>
        <v>0</v>
      </c>
      <c r="AB120" s="17"/>
      <c r="AC120" s="17"/>
      <c r="AD120" s="17"/>
      <c r="AE120" s="17"/>
      <c r="AF120" s="17"/>
      <c r="AG120" s="17"/>
      <c r="AH120" s="17"/>
      <c r="AI120" s="17"/>
      <c r="AJ120" s="17"/>
      <c r="AK120" s="17"/>
      <c r="AL120" s="17"/>
      <c r="AM120" s="17"/>
      <c r="AN120" s="17"/>
      <c r="AO120" s="17"/>
      <c r="AP120" s="17"/>
      <c r="AQ120" s="17"/>
    </row>
    <row r="121" spans="1:43" hidden="1">
      <c r="A121">
        <f t="shared" si="92"/>
        <v>118</v>
      </c>
      <c r="B121" s="407">
        <v>1</v>
      </c>
      <c r="C121" s="407" t="s">
        <v>505</v>
      </c>
      <c r="D121" s="407" t="s">
        <v>786</v>
      </c>
      <c r="E121" s="407"/>
      <c r="F121" s="408" t="s">
        <v>1091</v>
      </c>
      <c r="G121" s="409">
        <v>1524.7</v>
      </c>
      <c r="H121" s="410"/>
      <c r="I121" s="409">
        <v>1524.7</v>
      </c>
      <c r="J121" s="58">
        <v>8200</v>
      </c>
      <c r="K121" s="417">
        <f t="shared" si="109"/>
        <v>0.1859390243902439</v>
      </c>
      <c r="L121" s="17" t="s">
        <v>966</v>
      </c>
      <c r="M121" s="720">
        <v>43942</v>
      </c>
      <c r="N121" s="721" t="b">
        <f t="shared" si="99"/>
        <v>0</v>
      </c>
      <c r="O121" s="721" t="b">
        <f t="shared" si="98"/>
        <v>0</v>
      </c>
      <c r="P121" s="721" t="b">
        <f t="shared" si="110"/>
        <v>1</v>
      </c>
      <c r="Q121" s="721" t="b">
        <f t="shared" si="101"/>
        <v>0</v>
      </c>
      <c r="R121" s="721" t="b">
        <f t="shared" si="100"/>
        <v>0</v>
      </c>
      <c r="S121" s="721" t="b">
        <f t="shared" si="83"/>
        <v>0</v>
      </c>
      <c r="T121" s="721" t="b">
        <f t="shared" si="96"/>
        <v>0</v>
      </c>
      <c r="U121" s="721" t="b">
        <f t="shared" si="104"/>
        <v>0</v>
      </c>
      <c r="V121" s="721" t="b">
        <f t="shared" si="106"/>
        <v>0</v>
      </c>
      <c r="W121" s="721" t="b">
        <f t="shared" si="75"/>
        <v>0</v>
      </c>
      <c r="X121" s="721" t="b">
        <f t="shared" si="71"/>
        <v>0</v>
      </c>
      <c r="Y121" s="721" t="b">
        <f t="shared" si="108"/>
        <v>0</v>
      </c>
      <c r="Z121" s="721" t="b">
        <f t="shared" si="81"/>
        <v>0</v>
      </c>
      <c r="AA121" s="721" t="b">
        <f t="shared" si="111"/>
        <v>0</v>
      </c>
      <c r="AB121" s="17"/>
      <c r="AC121" s="17"/>
      <c r="AD121" s="17"/>
      <c r="AE121" s="17"/>
      <c r="AF121" s="17"/>
      <c r="AG121" s="17"/>
      <c r="AH121" s="17"/>
      <c r="AI121" s="17"/>
      <c r="AJ121" s="17"/>
      <c r="AK121" s="17"/>
      <c r="AL121" s="17"/>
      <c r="AM121" s="17"/>
      <c r="AN121" s="17"/>
      <c r="AO121" s="17"/>
      <c r="AP121" s="17"/>
      <c r="AQ121" s="17"/>
    </row>
    <row r="122" spans="1:43" hidden="1">
      <c r="A122">
        <f t="shared" si="92"/>
        <v>119</v>
      </c>
      <c r="B122" s="407">
        <v>1</v>
      </c>
      <c r="C122" s="407" t="s">
        <v>505</v>
      </c>
      <c r="D122" s="407" t="s">
        <v>786</v>
      </c>
      <c r="E122" s="407"/>
      <c r="F122" s="408" t="s">
        <v>1092</v>
      </c>
      <c r="G122" s="409">
        <v>1677.33</v>
      </c>
      <c r="H122" s="410"/>
      <c r="I122" s="409">
        <v>1677.33</v>
      </c>
      <c r="J122" s="58">
        <v>12500</v>
      </c>
      <c r="K122" s="417">
        <f t="shared" si="109"/>
        <v>0.13418639999999998</v>
      </c>
      <c r="L122" s="17" t="s">
        <v>966</v>
      </c>
      <c r="M122" s="720">
        <v>43942</v>
      </c>
      <c r="N122" s="721" t="b">
        <f t="shared" si="99"/>
        <v>0</v>
      </c>
      <c r="O122" s="721" t="b">
        <f t="shared" si="98"/>
        <v>0</v>
      </c>
      <c r="P122" s="721" t="b">
        <f t="shared" si="110"/>
        <v>1</v>
      </c>
      <c r="Q122" s="721" t="b">
        <f t="shared" si="101"/>
        <v>0</v>
      </c>
      <c r="R122" s="721" t="b">
        <f t="shared" si="100"/>
        <v>0</v>
      </c>
      <c r="S122" s="721" t="b">
        <f t="shared" si="83"/>
        <v>0</v>
      </c>
      <c r="T122" s="721" t="b">
        <f t="shared" si="96"/>
        <v>0</v>
      </c>
      <c r="U122" s="721" t="b">
        <f t="shared" si="104"/>
        <v>0</v>
      </c>
      <c r="V122" s="721" t="b">
        <f t="shared" si="106"/>
        <v>0</v>
      </c>
      <c r="W122" s="721" t="b">
        <f t="shared" si="75"/>
        <v>0</v>
      </c>
      <c r="X122" s="721" t="b">
        <f t="shared" si="71"/>
        <v>0</v>
      </c>
      <c r="Y122" s="721" t="b">
        <f t="shared" si="108"/>
        <v>0</v>
      </c>
      <c r="Z122" s="721" t="b">
        <f t="shared" si="81"/>
        <v>0</v>
      </c>
      <c r="AA122" s="721" t="b">
        <f t="shared" si="111"/>
        <v>0</v>
      </c>
      <c r="AB122" s="17"/>
      <c r="AC122" s="17"/>
      <c r="AD122" s="17"/>
      <c r="AE122" s="17"/>
      <c r="AF122" s="17"/>
      <c r="AG122" s="17"/>
      <c r="AH122" s="17"/>
      <c r="AI122" s="17"/>
      <c r="AJ122" s="17"/>
      <c r="AK122" s="17"/>
      <c r="AL122" s="17"/>
      <c r="AM122" s="17"/>
      <c r="AN122" s="17"/>
      <c r="AO122" s="17"/>
      <c r="AP122" s="17"/>
      <c r="AQ122" s="17"/>
    </row>
    <row r="123" spans="1:43" hidden="1">
      <c r="A123">
        <f t="shared" si="92"/>
        <v>120</v>
      </c>
      <c r="B123" s="407">
        <v>1</v>
      </c>
      <c r="C123" s="407" t="s">
        <v>505</v>
      </c>
      <c r="D123" s="407" t="s">
        <v>786</v>
      </c>
      <c r="E123" s="407"/>
      <c r="F123" s="408" t="s">
        <v>1093</v>
      </c>
      <c r="G123" s="409">
        <v>1799.57</v>
      </c>
      <c r="H123" s="410"/>
      <c r="I123" s="409">
        <v>1799.57</v>
      </c>
      <c r="J123" s="58">
        <v>17500</v>
      </c>
      <c r="K123" s="725">
        <f t="shared" si="109"/>
        <v>0.10283257142857143</v>
      </c>
      <c r="L123" s="17" t="s">
        <v>966</v>
      </c>
      <c r="M123" s="720">
        <v>43942</v>
      </c>
      <c r="N123" s="721" t="b">
        <f t="shared" si="99"/>
        <v>0</v>
      </c>
      <c r="O123" s="721" t="b">
        <f t="shared" si="98"/>
        <v>0</v>
      </c>
      <c r="P123" s="721" t="b">
        <f t="shared" si="110"/>
        <v>1</v>
      </c>
      <c r="Q123" s="721" t="b">
        <f t="shared" si="101"/>
        <v>0</v>
      </c>
      <c r="R123" s="721" t="b">
        <f t="shared" si="100"/>
        <v>0</v>
      </c>
      <c r="S123" s="721" t="b">
        <f t="shared" si="83"/>
        <v>0</v>
      </c>
      <c r="T123" s="721" t="b">
        <f t="shared" si="96"/>
        <v>0</v>
      </c>
      <c r="U123" s="721" t="b">
        <f t="shared" si="104"/>
        <v>0</v>
      </c>
      <c r="V123" s="721" t="b">
        <f t="shared" si="106"/>
        <v>0</v>
      </c>
      <c r="W123" s="721" t="b">
        <f t="shared" si="75"/>
        <v>0</v>
      </c>
      <c r="X123" s="721" t="b">
        <f t="shared" si="71"/>
        <v>0</v>
      </c>
      <c r="Y123" s="721" t="b">
        <f t="shared" si="108"/>
        <v>0</v>
      </c>
      <c r="Z123" s="721" t="b">
        <f t="shared" si="81"/>
        <v>0</v>
      </c>
      <c r="AA123" s="721" t="b">
        <f t="shared" si="111"/>
        <v>0</v>
      </c>
      <c r="AB123" s="17"/>
      <c r="AC123" s="17"/>
      <c r="AD123" s="17"/>
      <c r="AE123" s="17"/>
      <c r="AF123" s="17"/>
      <c r="AG123" s="17"/>
      <c r="AH123" s="17"/>
      <c r="AI123" s="17"/>
      <c r="AJ123" s="17"/>
      <c r="AK123" s="17"/>
      <c r="AL123" s="17"/>
      <c r="AM123" s="17"/>
      <c r="AN123" s="17"/>
      <c r="AO123" s="17"/>
      <c r="AP123" s="17"/>
      <c r="AQ123" s="17"/>
    </row>
    <row r="124" spans="1:43" hidden="1">
      <c r="A124">
        <f t="shared" si="92"/>
        <v>121</v>
      </c>
      <c r="B124" s="407">
        <v>1</v>
      </c>
      <c r="C124" s="407" t="s">
        <v>505</v>
      </c>
      <c r="D124" s="407" t="s">
        <v>786</v>
      </c>
      <c r="E124" s="407"/>
      <c r="F124" s="408" t="s">
        <v>787</v>
      </c>
      <c r="G124" s="409">
        <v>1878.1</v>
      </c>
      <c r="H124" s="410"/>
      <c r="I124" s="409">
        <v>1878.1</v>
      </c>
      <c r="J124" s="58">
        <v>20000</v>
      </c>
      <c r="K124" s="417">
        <f t="shared" si="109"/>
        <v>9.3905000000000002E-2</v>
      </c>
      <c r="L124" s="17" t="s">
        <v>966</v>
      </c>
      <c r="M124" s="720">
        <v>43942</v>
      </c>
      <c r="N124" s="721" t="b">
        <f t="shared" si="99"/>
        <v>0</v>
      </c>
      <c r="O124" s="721" t="b">
        <f t="shared" si="98"/>
        <v>0</v>
      </c>
      <c r="P124" s="721" t="b">
        <f t="shared" si="110"/>
        <v>1</v>
      </c>
      <c r="Q124" s="721" t="b">
        <f t="shared" si="101"/>
        <v>0</v>
      </c>
      <c r="R124" s="721" t="b">
        <f t="shared" si="100"/>
        <v>0</v>
      </c>
      <c r="S124" s="721" t="b">
        <f t="shared" si="83"/>
        <v>0</v>
      </c>
      <c r="T124" s="721" t="b">
        <f t="shared" si="96"/>
        <v>0</v>
      </c>
      <c r="U124" s="721" t="b">
        <f t="shared" si="104"/>
        <v>0</v>
      </c>
      <c r="V124" s="721" t="b">
        <f t="shared" si="106"/>
        <v>0</v>
      </c>
      <c r="W124" s="721" t="b">
        <f t="shared" si="75"/>
        <v>0</v>
      </c>
      <c r="X124" s="721" t="b">
        <f t="shared" si="71"/>
        <v>0</v>
      </c>
      <c r="Y124" s="721" t="b">
        <f t="shared" si="108"/>
        <v>0</v>
      </c>
      <c r="Z124" s="721" t="b">
        <f t="shared" si="81"/>
        <v>0</v>
      </c>
      <c r="AA124" s="721" t="b">
        <f t="shared" si="111"/>
        <v>0</v>
      </c>
      <c r="AB124" s="17"/>
      <c r="AC124" s="17"/>
      <c r="AD124" s="17"/>
      <c r="AE124" s="17"/>
      <c r="AF124" s="17"/>
      <c r="AG124" s="17"/>
      <c r="AH124" s="17"/>
      <c r="AI124" s="17"/>
      <c r="AJ124" s="17"/>
      <c r="AK124" s="17"/>
      <c r="AL124" s="17"/>
      <c r="AM124" s="17"/>
      <c r="AN124" s="17"/>
      <c r="AO124" s="17"/>
      <c r="AP124" s="17"/>
      <c r="AQ124" s="17"/>
    </row>
    <row r="125" spans="1:43" hidden="1">
      <c r="A125">
        <f t="shared" si="92"/>
        <v>122</v>
      </c>
      <c r="B125" s="407">
        <v>1</v>
      </c>
      <c r="C125" s="407" t="s">
        <v>505</v>
      </c>
      <c r="D125" s="407" t="s">
        <v>786</v>
      </c>
      <c r="E125" s="407"/>
      <c r="F125" s="408" t="s">
        <v>1094</v>
      </c>
      <c r="G125" s="409">
        <v>1136.3599999999999</v>
      </c>
      <c r="H125" s="410"/>
      <c r="I125" s="409">
        <v>1136.3599999999999</v>
      </c>
      <c r="J125" s="58">
        <v>8000</v>
      </c>
      <c r="K125" s="417">
        <f t="shared" si="109"/>
        <v>0.14204499999999998</v>
      </c>
      <c r="L125" s="17" t="s">
        <v>966</v>
      </c>
      <c r="M125" s="720">
        <v>43942</v>
      </c>
      <c r="N125" s="721" t="b">
        <f t="shared" si="99"/>
        <v>0</v>
      </c>
      <c r="O125" s="721" t="b">
        <f t="shared" si="98"/>
        <v>0</v>
      </c>
      <c r="P125" s="721" t="b">
        <f t="shared" si="110"/>
        <v>1</v>
      </c>
      <c r="Q125" s="721" t="b">
        <f t="shared" si="101"/>
        <v>0</v>
      </c>
      <c r="R125" s="721" t="b">
        <f t="shared" si="100"/>
        <v>0</v>
      </c>
      <c r="S125" s="721" t="b">
        <f t="shared" si="83"/>
        <v>0</v>
      </c>
      <c r="T125" s="721" t="b">
        <f t="shared" si="96"/>
        <v>0</v>
      </c>
      <c r="U125" s="721" t="b">
        <f t="shared" si="104"/>
        <v>0</v>
      </c>
      <c r="V125" s="721" t="b">
        <f t="shared" si="106"/>
        <v>0</v>
      </c>
      <c r="W125" s="721" t="b">
        <f t="shared" si="75"/>
        <v>0</v>
      </c>
      <c r="X125" s="721" t="b">
        <f t="shared" si="71"/>
        <v>0</v>
      </c>
      <c r="Y125" s="721" t="b">
        <f t="shared" si="108"/>
        <v>0</v>
      </c>
      <c r="Z125" s="721" t="b">
        <f t="shared" si="81"/>
        <v>0</v>
      </c>
      <c r="AA125" s="721" t="b">
        <f t="shared" si="111"/>
        <v>0</v>
      </c>
      <c r="AB125" s="17"/>
      <c r="AC125" s="17"/>
      <c r="AD125" s="17"/>
      <c r="AE125" s="17"/>
      <c r="AF125" s="17"/>
      <c r="AG125" s="17"/>
      <c r="AH125" s="17"/>
      <c r="AI125" s="17"/>
      <c r="AJ125" s="17"/>
      <c r="AK125" s="17"/>
      <c r="AL125" s="17"/>
      <c r="AM125" s="17"/>
      <c r="AN125" s="17"/>
      <c r="AO125" s="17"/>
      <c r="AP125" s="17"/>
      <c r="AQ125" s="17"/>
    </row>
    <row r="126" spans="1:43" hidden="1">
      <c r="A126">
        <f t="shared" si="92"/>
        <v>123</v>
      </c>
      <c r="B126" s="407">
        <v>1</v>
      </c>
      <c r="C126" s="407" t="s">
        <v>505</v>
      </c>
      <c r="D126" s="407" t="s">
        <v>786</v>
      </c>
      <c r="E126" s="407"/>
      <c r="F126" s="408" t="s">
        <v>1095</v>
      </c>
      <c r="G126" s="409">
        <v>1273.5999999999999</v>
      </c>
      <c r="H126" s="410"/>
      <c r="I126" s="409">
        <v>1273.5999999999999</v>
      </c>
      <c r="J126" s="58">
        <v>12500</v>
      </c>
      <c r="K126" s="417">
        <f t="shared" si="109"/>
        <v>0.10188799999999999</v>
      </c>
      <c r="L126" s="17" t="s">
        <v>966</v>
      </c>
      <c r="M126" s="720">
        <v>43942</v>
      </c>
      <c r="N126" s="721" t="b">
        <f t="shared" si="99"/>
        <v>0</v>
      </c>
      <c r="O126" s="721" t="b">
        <f t="shared" si="98"/>
        <v>0</v>
      </c>
      <c r="P126" s="721" t="b">
        <f t="shared" si="110"/>
        <v>1</v>
      </c>
      <c r="Q126" s="721" t="b">
        <f t="shared" si="101"/>
        <v>0</v>
      </c>
      <c r="R126" s="721" t="b">
        <f t="shared" si="100"/>
        <v>0</v>
      </c>
      <c r="S126" s="721" t="b">
        <f t="shared" si="83"/>
        <v>0</v>
      </c>
      <c r="T126" s="721" t="b">
        <f t="shared" si="96"/>
        <v>0</v>
      </c>
      <c r="U126" s="721" t="b">
        <f t="shared" si="104"/>
        <v>0</v>
      </c>
      <c r="V126" s="721" t="b">
        <f t="shared" si="106"/>
        <v>0</v>
      </c>
      <c r="W126" s="721" t="b">
        <f t="shared" si="75"/>
        <v>0</v>
      </c>
      <c r="X126" s="721" t="b">
        <f t="shared" si="71"/>
        <v>0</v>
      </c>
      <c r="Y126" s="721" t="b">
        <f t="shared" si="108"/>
        <v>0</v>
      </c>
      <c r="Z126" s="721" t="b">
        <f t="shared" si="81"/>
        <v>0</v>
      </c>
      <c r="AA126" s="721" t="b">
        <f t="shared" si="111"/>
        <v>0</v>
      </c>
      <c r="AB126" s="17"/>
      <c r="AC126" s="17"/>
      <c r="AD126" s="17"/>
      <c r="AE126" s="17"/>
      <c r="AF126" s="17"/>
      <c r="AG126" s="17"/>
      <c r="AH126" s="17"/>
      <c r="AI126" s="17"/>
      <c r="AJ126" s="17"/>
      <c r="AK126" s="17"/>
      <c r="AL126" s="17"/>
      <c r="AM126" s="17"/>
      <c r="AN126" s="17"/>
      <c r="AO126" s="17"/>
      <c r="AP126" s="17"/>
      <c r="AQ126" s="17"/>
    </row>
    <row r="127" spans="1:43" hidden="1">
      <c r="A127">
        <f t="shared" si="92"/>
        <v>124</v>
      </c>
      <c r="B127" s="407">
        <v>1</v>
      </c>
      <c r="C127" s="407" t="s">
        <v>505</v>
      </c>
      <c r="D127" s="407" t="s">
        <v>786</v>
      </c>
      <c r="E127" s="407"/>
      <c r="F127" s="408" t="s">
        <v>1096</v>
      </c>
      <c r="G127" s="409">
        <v>1089</v>
      </c>
      <c r="H127" s="410"/>
      <c r="I127" s="409">
        <v>1089</v>
      </c>
      <c r="J127" s="58">
        <v>15000</v>
      </c>
      <c r="K127" s="417">
        <f t="shared" si="109"/>
        <v>7.2599999999999998E-2</v>
      </c>
      <c r="L127" s="17" t="s">
        <v>966</v>
      </c>
      <c r="M127" s="720">
        <v>43942</v>
      </c>
      <c r="N127" s="721" t="b">
        <f t="shared" si="99"/>
        <v>0</v>
      </c>
      <c r="O127" s="721" t="b">
        <f t="shared" si="98"/>
        <v>0</v>
      </c>
      <c r="P127" s="721" t="b">
        <f t="shared" si="110"/>
        <v>1</v>
      </c>
      <c r="Q127" s="721" t="b">
        <f t="shared" si="101"/>
        <v>0</v>
      </c>
      <c r="R127" s="721" t="b">
        <f t="shared" si="100"/>
        <v>0</v>
      </c>
      <c r="S127" s="721" t="b">
        <f t="shared" si="83"/>
        <v>0</v>
      </c>
      <c r="T127" s="721" t="b">
        <f t="shared" si="96"/>
        <v>0</v>
      </c>
      <c r="U127" s="721" t="b">
        <f t="shared" si="104"/>
        <v>0</v>
      </c>
      <c r="V127" s="721" t="b">
        <f t="shared" si="106"/>
        <v>0</v>
      </c>
      <c r="W127" s="721" t="b">
        <f t="shared" si="75"/>
        <v>0</v>
      </c>
      <c r="X127" s="721" t="b">
        <f t="shared" si="71"/>
        <v>0</v>
      </c>
      <c r="Y127" s="721" t="b">
        <f t="shared" si="108"/>
        <v>0</v>
      </c>
      <c r="Z127" s="721" t="b">
        <f t="shared" si="81"/>
        <v>0</v>
      </c>
      <c r="AA127" s="721" t="b">
        <f t="shared" si="111"/>
        <v>0</v>
      </c>
      <c r="AB127" s="17"/>
      <c r="AC127" s="17"/>
      <c r="AD127" s="17"/>
      <c r="AE127" s="17"/>
      <c r="AF127" s="17"/>
      <c r="AG127" s="17"/>
      <c r="AH127" s="17"/>
      <c r="AI127" s="17"/>
      <c r="AJ127" s="17"/>
      <c r="AK127" s="17"/>
      <c r="AL127" s="17"/>
      <c r="AM127" s="17"/>
      <c r="AN127" s="17"/>
      <c r="AO127" s="17"/>
      <c r="AP127" s="17"/>
      <c r="AQ127" s="17"/>
    </row>
    <row r="128" spans="1:43" hidden="1">
      <c r="A128">
        <f t="shared" si="92"/>
        <v>125</v>
      </c>
      <c r="B128" s="407">
        <v>1</v>
      </c>
      <c r="C128" s="407" t="s">
        <v>505</v>
      </c>
      <c r="D128" s="407" t="s">
        <v>786</v>
      </c>
      <c r="E128" s="407"/>
      <c r="F128" s="408" t="s">
        <v>1097</v>
      </c>
      <c r="G128" s="409">
        <v>1116</v>
      </c>
      <c r="H128" s="410"/>
      <c r="I128" s="409">
        <v>1116</v>
      </c>
      <c r="J128" s="58">
        <v>17000</v>
      </c>
      <c r="K128" s="417">
        <f t="shared" si="109"/>
        <v>6.5647058823529406E-2</v>
      </c>
      <c r="L128" s="17" t="s">
        <v>966</v>
      </c>
      <c r="M128" s="720">
        <v>43942</v>
      </c>
      <c r="N128" s="721" t="b">
        <f t="shared" si="99"/>
        <v>0</v>
      </c>
      <c r="O128" s="721" t="b">
        <f t="shared" si="98"/>
        <v>0</v>
      </c>
      <c r="P128" s="721" t="b">
        <f t="shared" si="110"/>
        <v>1</v>
      </c>
      <c r="Q128" s="721" t="b">
        <f t="shared" si="101"/>
        <v>0</v>
      </c>
      <c r="R128" s="721" t="b">
        <f t="shared" si="100"/>
        <v>0</v>
      </c>
      <c r="S128" s="721" t="b">
        <f t="shared" si="83"/>
        <v>0</v>
      </c>
      <c r="T128" s="721" t="b">
        <f t="shared" si="96"/>
        <v>0</v>
      </c>
      <c r="U128" s="721" t="b">
        <f t="shared" si="104"/>
        <v>0</v>
      </c>
      <c r="V128" s="721" t="b">
        <f t="shared" si="106"/>
        <v>0</v>
      </c>
      <c r="W128" s="721" t="b">
        <f t="shared" si="75"/>
        <v>0</v>
      </c>
      <c r="X128" s="721" t="b">
        <f t="shared" si="71"/>
        <v>0</v>
      </c>
      <c r="Y128" s="721" t="b">
        <f t="shared" si="108"/>
        <v>0</v>
      </c>
      <c r="Z128" s="721" t="b">
        <f t="shared" si="81"/>
        <v>0</v>
      </c>
      <c r="AA128" s="721" t="b">
        <f t="shared" si="111"/>
        <v>0</v>
      </c>
      <c r="AB128" s="17"/>
      <c r="AC128" s="17"/>
      <c r="AD128" s="17"/>
      <c r="AE128" s="17"/>
      <c r="AF128" s="17"/>
      <c r="AG128" s="17"/>
      <c r="AH128" s="17"/>
      <c r="AI128" s="17"/>
      <c r="AJ128" s="17"/>
      <c r="AK128" s="17"/>
      <c r="AL128" s="17"/>
      <c r="AM128" s="17"/>
      <c r="AN128" s="17"/>
      <c r="AO128" s="17"/>
      <c r="AP128" s="17"/>
      <c r="AQ128" s="17"/>
    </row>
    <row r="129" spans="1:43" hidden="1">
      <c r="A129">
        <f t="shared" si="92"/>
        <v>126</v>
      </c>
      <c r="B129" s="407">
        <v>1</v>
      </c>
      <c r="C129" s="407" t="s">
        <v>505</v>
      </c>
      <c r="D129" s="407" t="s">
        <v>786</v>
      </c>
      <c r="E129" s="407"/>
      <c r="F129" s="408" t="s">
        <v>1098</v>
      </c>
      <c r="G129" s="409">
        <v>39.11</v>
      </c>
      <c r="H129" s="410"/>
      <c r="I129" s="409">
        <v>39.11</v>
      </c>
      <c r="J129" s="58">
        <v>404</v>
      </c>
      <c r="K129" s="417">
        <f t="shared" si="109"/>
        <v>9.680693069306931E-2</v>
      </c>
      <c r="L129" s="17" t="s">
        <v>966</v>
      </c>
      <c r="M129" s="720">
        <v>43942</v>
      </c>
      <c r="N129" s="721" t="b">
        <f t="shared" si="99"/>
        <v>0</v>
      </c>
      <c r="O129" s="721" t="b">
        <f t="shared" si="98"/>
        <v>0</v>
      </c>
      <c r="P129" s="721" t="b">
        <f t="shared" si="110"/>
        <v>1</v>
      </c>
      <c r="Q129" s="721" t="b">
        <f t="shared" si="101"/>
        <v>0</v>
      </c>
      <c r="R129" s="721" t="b">
        <f t="shared" si="100"/>
        <v>0</v>
      </c>
      <c r="S129" s="721" t="b">
        <f t="shared" si="83"/>
        <v>0</v>
      </c>
      <c r="T129" s="721" t="b">
        <f t="shared" si="96"/>
        <v>0</v>
      </c>
      <c r="U129" s="721" t="b">
        <f t="shared" si="104"/>
        <v>0</v>
      </c>
      <c r="V129" s="721" t="b">
        <f t="shared" si="106"/>
        <v>0</v>
      </c>
      <c r="W129" s="721" t="b">
        <f t="shared" si="75"/>
        <v>0</v>
      </c>
      <c r="X129" s="721" t="b">
        <f t="shared" si="71"/>
        <v>0</v>
      </c>
      <c r="Y129" s="721" t="b">
        <f t="shared" si="108"/>
        <v>0</v>
      </c>
      <c r="Z129" s="721" t="b">
        <f t="shared" si="81"/>
        <v>0</v>
      </c>
      <c r="AA129" s="721" t="b">
        <f t="shared" si="111"/>
        <v>0</v>
      </c>
      <c r="AB129" s="17"/>
      <c r="AC129" s="17"/>
      <c r="AD129" s="17"/>
      <c r="AE129" s="17"/>
      <c r="AF129" s="17"/>
      <c r="AG129" s="17"/>
      <c r="AH129" s="17"/>
      <c r="AI129" s="17"/>
      <c r="AJ129" s="17"/>
      <c r="AK129" s="17"/>
      <c r="AL129" s="17"/>
      <c r="AM129" s="17"/>
      <c r="AN129" s="17"/>
      <c r="AO129" s="17"/>
      <c r="AP129" s="17"/>
      <c r="AQ129" s="17"/>
    </row>
    <row r="130" spans="1:43" hidden="1">
      <c r="A130">
        <f t="shared" si="92"/>
        <v>127</v>
      </c>
      <c r="B130" s="407">
        <v>1</v>
      </c>
      <c r="C130" s="407" t="s">
        <v>505</v>
      </c>
      <c r="D130" s="407" t="s">
        <v>786</v>
      </c>
      <c r="E130" s="407"/>
      <c r="F130" s="408" t="s">
        <v>1036</v>
      </c>
      <c r="G130" s="409">
        <v>36.619999999999997</v>
      </c>
      <c r="H130" s="410"/>
      <c r="I130" s="409">
        <v>36.619999999999997</v>
      </c>
      <c r="J130" s="58">
        <v>370</v>
      </c>
      <c r="K130" s="417">
        <f t="shared" si="109"/>
        <v>9.8972972972972972E-2</v>
      </c>
      <c r="L130" s="17" t="s">
        <v>966</v>
      </c>
      <c r="M130" s="720">
        <v>43942</v>
      </c>
      <c r="N130" s="721" t="b">
        <f t="shared" si="99"/>
        <v>0</v>
      </c>
      <c r="O130" s="721" t="b">
        <f t="shared" si="98"/>
        <v>0</v>
      </c>
      <c r="P130" s="721" t="b">
        <f t="shared" si="110"/>
        <v>1</v>
      </c>
      <c r="Q130" s="721" t="b">
        <f t="shared" si="101"/>
        <v>0</v>
      </c>
      <c r="R130" s="721" t="b">
        <f t="shared" si="100"/>
        <v>0</v>
      </c>
      <c r="S130" s="721" t="b">
        <f t="shared" si="83"/>
        <v>0</v>
      </c>
      <c r="T130" s="721" t="b">
        <f t="shared" si="96"/>
        <v>0</v>
      </c>
      <c r="U130" s="721" t="b">
        <f t="shared" si="104"/>
        <v>0</v>
      </c>
      <c r="V130" s="721" t="b">
        <f t="shared" si="106"/>
        <v>0</v>
      </c>
      <c r="W130" s="721" t="b">
        <f t="shared" si="75"/>
        <v>0</v>
      </c>
      <c r="X130" s="721" t="b">
        <f t="shared" si="71"/>
        <v>0</v>
      </c>
      <c r="Y130" s="721" t="b">
        <f t="shared" si="108"/>
        <v>0</v>
      </c>
      <c r="Z130" s="721" t="b">
        <f t="shared" si="81"/>
        <v>0</v>
      </c>
      <c r="AA130" s="721" t="b">
        <f t="shared" si="111"/>
        <v>0</v>
      </c>
      <c r="AB130" s="17"/>
      <c r="AC130" s="17"/>
      <c r="AD130" s="17"/>
      <c r="AE130" s="17"/>
      <c r="AF130" s="17"/>
      <c r="AG130" s="17"/>
      <c r="AH130" s="17"/>
      <c r="AI130" s="17"/>
      <c r="AJ130" s="17"/>
      <c r="AK130" s="17"/>
      <c r="AL130" s="17"/>
      <c r="AM130" s="17"/>
      <c r="AN130" s="17"/>
      <c r="AO130" s="17"/>
      <c r="AP130" s="17"/>
      <c r="AQ130" s="17"/>
    </row>
    <row r="131" spans="1:43" hidden="1">
      <c r="A131">
        <f t="shared" si="92"/>
        <v>128</v>
      </c>
      <c r="B131" s="407">
        <v>1</v>
      </c>
      <c r="C131" s="407" t="s">
        <v>505</v>
      </c>
      <c r="D131" s="407" t="s">
        <v>786</v>
      </c>
      <c r="E131" s="407"/>
      <c r="F131" s="408" t="s">
        <v>1029</v>
      </c>
      <c r="G131" s="409">
        <v>40.799999999999997</v>
      </c>
      <c r="H131" s="410"/>
      <c r="I131" s="409">
        <v>40.799999999999997</v>
      </c>
      <c r="J131" s="58">
        <v>650</v>
      </c>
      <c r="K131" s="417">
        <f t="shared" si="109"/>
        <v>6.2769230769230772E-2</v>
      </c>
      <c r="L131" s="17" t="s">
        <v>966</v>
      </c>
      <c r="M131" s="720">
        <v>43942</v>
      </c>
      <c r="N131" s="721" t="b">
        <f t="shared" si="99"/>
        <v>0</v>
      </c>
      <c r="O131" s="721" t="b">
        <f t="shared" si="98"/>
        <v>0</v>
      </c>
      <c r="P131" s="721" t="b">
        <f t="shared" si="110"/>
        <v>1</v>
      </c>
      <c r="Q131" s="721" t="b">
        <f t="shared" si="101"/>
        <v>0</v>
      </c>
      <c r="R131" s="721" t="b">
        <f t="shared" si="100"/>
        <v>0</v>
      </c>
      <c r="S131" s="721" t="b">
        <f t="shared" si="83"/>
        <v>0</v>
      </c>
      <c r="T131" s="721" t="b">
        <f t="shared" si="96"/>
        <v>0</v>
      </c>
      <c r="U131" s="721" t="b">
        <f t="shared" si="104"/>
        <v>0</v>
      </c>
      <c r="V131" s="721" t="b">
        <f t="shared" si="106"/>
        <v>0</v>
      </c>
      <c r="W131" s="721" t="b">
        <f t="shared" si="75"/>
        <v>0</v>
      </c>
      <c r="X131" s="721" t="b">
        <f t="shared" si="71"/>
        <v>0</v>
      </c>
      <c r="Y131" s="721" t="b">
        <f t="shared" si="108"/>
        <v>0</v>
      </c>
      <c r="Z131" s="721" t="b">
        <f t="shared" si="81"/>
        <v>0</v>
      </c>
      <c r="AA131" s="721" t="b">
        <f t="shared" si="111"/>
        <v>0</v>
      </c>
      <c r="AB131" s="17"/>
      <c r="AC131" s="17"/>
      <c r="AD131" s="17"/>
      <c r="AE131" s="17"/>
      <c r="AF131" s="17"/>
      <c r="AG131" s="17"/>
      <c r="AH131" s="17"/>
      <c r="AI131" s="17"/>
      <c r="AJ131" s="17"/>
      <c r="AK131" s="17"/>
      <c r="AL131" s="17"/>
      <c r="AM131" s="17"/>
      <c r="AN131" s="17"/>
      <c r="AO131" s="17"/>
      <c r="AP131" s="17"/>
      <c r="AQ131" s="17"/>
    </row>
    <row r="132" spans="1:43" hidden="1">
      <c r="A132">
        <f t="shared" si="92"/>
        <v>129</v>
      </c>
      <c r="B132" s="407">
        <v>1</v>
      </c>
      <c r="C132" s="407" t="s">
        <v>505</v>
      </c>
      <c r="D132" s="407" t="s">
        <v>786</v>
      </c>
      <c r="E132" s="407"/>
      <c r="F132" s="408" t="s">
        <v>1081</v>
      </c>
      <c r="G132" s="409">
        <v>43.2</v>
      </c>
      <c r="H132" s="410"/>
      <c r="I132" s="409">
        <v>43.2</v>
      </c>
      <c r="J132" s="58">
        <v>730</v>
      </c>
      <c r="K132" s="417">
        <f t="shared" si="109"/>
        <v>5.9178082191780827E-2</v>
      </c>
      <c r="L132" s="17" t="s">
        <v>966</v>
      </c>
      <c r="M132" s="720">
        <v>43942</v>
      </c>
      <c r="N132" s="721" t="b">
        <f t="shared" si="99"/>
        <v>0</v>
      </c>
      <c r="O132" s="721" t="b">
        <f t="shared" si="98"/>
        <v>0</v>
      </c>
      <c r="P132" s="721" t="b">
        <f t="shared" si="110"/>
        <v>1</v>
      </c>
      <c r="Q132" s="721" t="b">
        <f t="shared" si="101"/>
        <v>0</v>
      </c>
      <c r="R132" s="721" t="b">
        <f t="shared" si="100"/>
        <v>0</v>
      </c>
      <c r="S132" s="721" t="b">
        <f t="shared" si="83"/>
        <v>0</v>
      </c>
      <c r="T132" s="721" t="b">
        <f t="shared" si="96"/>
        <v>0</v>
      </c>
      <c r="U132" s="721" t="b">
        <f t="shared" si="104"/>
        <v>0</v>
      </c>
      <c r="V132" s="721" t="b">
        <f t="shared" si="106"/>
        <v>0</v>
      </c>
      <c r="W132" s="721" t="b">
        <f t="shared" si="75"/>
        <v>0</v>
      </c>
      <c r="X132" s="721" t="b">
        <f t="shared" ref="X132:X195" si="112">FALSE()</f>
        <v>0</v>
      </c>
      <c r="Y132" s="721" t="b">
        <f t="shared" si="108"/>
        <v>0</v>
      </c>
      <c r="Z132" s="721" t="b">
        <f t="shared" si="81"/>
        <v>0</v>
      </c>
      <c r="AA132" s="721" t="b">
        <f t="shared" si="111"/>
        <v>0</v>
      </c>
      <c r="AB132" s="17"/>
      <c r="AC132" s="17"/>
      <c r="AD132" s="17"/>
      <c r="AE132" s="17"/>
      <c r="AF132" s="17"/>
      <c r="AG132" s="17"/>
      <c r="AH132" s="17"/>
      <c r="AI132" s="17"/>
      <c r="AJ132" s="17"/>
      <c r="AK132" s="17"/>
      <c r="AL132" s="17"/>
      <c r="AM132" s="17"/>
      <c r="AN132" s="17"/>
      <c r="AO132" s="17"/>
      <c r="AP132" s="17"/>
      <c r="AQ132" s="17"/>
    </row>
    <row r="133" spans="1:43" hidden="1">
      <c r="A133">
        <f t="shared" si="92"/>
        <v>130</v>
      </c>
      <c r="B133" s="407">
        <v>1</v>
      </c>
      <c r="C133" s="407" t="s">
        <v>505</v>
      </c>
      <c r="D133" s="407" t="s">
        <v>786</v>
      </c>
      <c r="E133" s="407"/>
      <c r="F133" s="408" t="s">
        <v>1099</v>
      </c>
      <c r="G133" s="409">
        <v>158.28</v>
      </c>
      <c r="H133" s="410"/>
      <c r="I133" s="409">
        <v>158.28</v>
      </c>
      <c r="K133" s="17"/>
      <c r="L133" s="17" t="s">
        <v>966</v>
      </c>
      <c r="M133" s="720">
        <v>43942</v>
      </c>
      <c r="N133" s="721" t="b">
        <f t="shared" si="99"/>
        <v>0</v>
      </c>
      <c r="O133" s="721" t="b">
        <f t="shared" si="98"/>
        <v>0</v>
      </c>
      <c r="P133" s="721" t="b">
        <f>FALSE()</f>
        <v>0</v>
      </c>
      <c r="Q133" s="721" t="b">
        <f t="shared" si="101"/>
        <v>0</v>
      </c>
      <c r="R133" s="721" t="b">
        <f t="shared" si="100"/>
        <v>0</v>
      </c>
      <c r="S133" s="721" t="b">
        <f t="shared" si="83"/>
        <v>0</v>
      </c>
      <c r="T133" s="721" t="b">
        <f t="shared" si="96"/>
        <v>0</v>
      </c>
      <c r="U133" s="721" t="b">
        <f t="shared" si="104"/>
        <v>0</v>
      </c>
      <c r="V133" s="721" t="b">
        <f t="shared" si="106"/>
        <v>0</v>
      </c>
      <c r="W133" s="721" t="b">
        <f t="shared" si="75"/>
        <v>0</v>
      </c>
      <c r="X133" s="721" t="b">
        <f t="shared" si="112"/>
        <v>0</v>
      </c>
      <c r="Y133" s="721" t="b">
        <f>TRUE()</f>
        <v>1</v>
      </c>
      <c r="Z133" s="721" t="b">
        <f t="shared" si="81"/>
        <v>0</v>
      </c>
      <c r="AA133" s="721" t="b">
        <f t="shared" si="111"/>
        <v>0</v>
      </c>
      <c r="AB133" s="17"/>
      <c r="AC133" s="17"/>
      <c r="AD133" s="17"/>
      <c r="AE133" s="17"/>
      <c r="AF133" s="17"/>
      <c r="AG133" s="17"/>
      <c r="AH133" s="17"/>
      <c r="AI133" s="17"/>
      <c r="AJ133" s="17"/>
      <c r="AK133" s="17"/>
      <c r="AL133" s="17"/>
      <c r="AM133" s="17"/>
      <c r="AN133" s="17"/>
      <c r="AO133" s="17"/>
      <c r="AP133" s="17"/>
      <c r="AQ133" s="17"/>
    </row>
    <row r="134" spans="1:43" hidden="1">
      <c r="A134">
        <f t="shared" si="92"/>
        <v>131</v>
      </c>
      <c r="B134" s="407">
        <v>1</v>
      </c>
      <c r="C134" s="407" t="s">
        <v>505</v>
      </c>
      <c r="D134" s="407" t="s">
        <v>786</v>
      </c>
      <c r="E134" s="407"/>
      <c r="F134" s="408" t="s">
        <v>1100</v>
      </c>
      <c r="G134" s="409">
        <v>33.21</v>
      </c>
      <c r="H134" s="410"/>
      <c r="I134" s="409">
        <v>33.21</v>
      </c>
      <c r="K134" s="17"/>
      <c r="L134" s="17" t="s">
        <v>966</v>
      </c>
      <c r="M134" s="720">
        <v>43942</v>
      </c>
      <c r="N134" s="721" t="b">
        <f t="shared" si="99"/>
        <v>0</v>
      </c>
      <c r="O134" s="721" t="b">
        <f t="shared" si="98"/>
        <v>0</v>
      </c>
      <c r="P134" s="721" t="b">
        <f>TRUE()</f>
        <v>1</v>
      </c>
      <c r="Q134" s="721" t="b">
        <f t="shared" si="101"/>
        <v>0</v>
      </c>
      <c r="R134" s="721" t="b">
        <f t="shared" si="100"/>
        <v>0</v>
      </c>
      <c r="S134" s="721" t="b">
        <f t="shared" si="83"/>
        <v>0</v>
      </c>
      <c r="T134" s="721" t="b">
        <f t="shared" si="96"/>
        <v>0</v>
      </c>
      <c r="U134" s="721" t="b">
        <f t="shared" si="104"/>
        <v>0</v>
      </c>
      <c r="V134" s="721" t="b">
        <f t="shared" si="106"/>
        <v>0</v>
      </c>
      <c r="W134" s="721" t="b">
        <f t="shared" si="75"/>
        <v>0</v>
      </c>
      <c r="X134" s="721" t="b">
        <f t="shared" si="112"/>
        <v>0</v>
      </c>
      <c r="Y134" s="721" t="b">
        <f>FALSE()</f>
        <v>0</v>
      </c>
      <c r="Z134" s="721" t="b">
        <f t="shared" si="81"/>
        <v>0</v>
      </c>
      <c r="AA134" s="721" t="b">
        <f t="shared" si="111"/>
        <v>0</v>
      </c>
      <c r="AB134" s="17"/>
      <c r="AC134" s="17"/>
      <c r="AD134" s="17"/>
      <c r="AE134" s="17"/>
      <c r="AF134" s="17"/>
      <c r="AG134" s="17"/>
      <c r="AH134" s="17"/>
      <c r="AI134" s="17"/>
      <c r="AJ134" s="17"/>
      <c r="AK134" s="17"/>
      <c r="AL134" s="17"/>
      <c r="AM134" s="17"/>
      <c r="AN134" s="17"/>
      <c r="AO134" s="17"/>
      <c r="AP134" s="17"/>
      <c r="AQ134" s="17"/>
    </row>
    <row r="135" spans="1:43" hidden="1">
      <c r="A135">
        <f t="shared" si="92"/>
        <v>132</v>
      </c>
      <c r="B135" s="407">
        <v>1</v>
      </c>
      <c r="C135" s="407" t="s">
        <v>505</v>
      </c>
      <c r="D135" s="407" t="s">
        <v>786</v>
      </c>
      <c r="E135" s="407"/>
      <c r="F135" s="408" t="s">
        <v>1082</v>
      </c>
      <c r="G135" s="409">
        <v>150.33000000000001</v>
      </c>
      <c r="H135" s="410"/>
      <c r="I135" s="409">
        <v>150.33000000000001</v>
      </c>
      <c r="K135" s="17"/>
      <c r="L135" s="17" t="s">
        <v>966</v>
      </c>
      <c r="M135" s="720">
        <v>43942</v>
      </c>
      <c r="N135" s="721" t="b">
        <f t="shared" si="99"/>
        <v>0</v>
      </c>
      <c r="O135" s="721" t="b">
        <f t="shared" si="98"/>
        <v>0</v>
      </c>
      <c r="P135" s="721" t="b">
        <f t="shared" ref="P135:P140" si="113">FALSE()</f>
        <v>0</v>
      </c>
      <c r="Q135" s="721" t="b">
        <f t="shared" si="101"/>
        <v>0</v>
      </c>
      <c r="R135" s="721" t="b">
        <f t="shared" si="100"/>
        <v>0</v>
      </c>
      <c r="S135" s="721" t="b">
        <f t="shared" si="83"/>
        <v>0</v>
      </c>
      <c r="T135" s="721" t="b">
        <f t="shared" si="96"/>
        <v>0</v>
      </c>
      <c r="U135" s="721" t="b">
        <f t="shared" si="104"/>
        <v>0</v>
      </c>
      <c r="V135" s="721" t="b">
        <f t="shared" si="106"/>
        <v>0</v>
      </c>
      <c r="W135" s="721" t="b">
        <f t="shared" si="75"/>
        <v>0</v>
      </c>
      <c r="X135" s="721" t="b">
        <f t="shared" si="112"/>
        <v>0</v>
      </c>
      <c r="Y135" s="721" t="b">
        <f t="shared" ref="Y135:Y139" si="114">TRUE()</f>
        <v>1</v>
      </c>
      <c r="Z135" s="721" t="b">
        <f t="shared" si="81"/>
        <v>0</v>
      </c>
      <c r="AA135" s="721" t="b">
        <f t="shared" si="111"/>
        <v>0</v>
      </c>
      <c r="AB135" s="17"/>
      <c r="AC135" s="17"/>
      <c r="AD135" s="17"/>
      <c r="AE135" s="17"/>
      <c r="AF135" s="17"/>
      <c r="AG135" s="17"/>
      <c r="AH135" s="17"/>
      <c r="AI135" s="17"/>
      <c r="AJ135" s="17"/>
      <c r="AK135" s="17"/>
      <c r="AL135" s="17"/>
      <c r="AM135" s="17"/>
      <c r="AN135" s="17"/>
      <c r="AO135" s="17"/>
      <c r="AP135" s="17"/>
      <c r="AQ135" s="17"/>
    </row>
    <row r="136" spans="1:43" hidden="1">
      <c r="A136">
        <f t="shared" si="92"/>
        <v>133</v>
      </c>
      <c r="B136" s="407">
        <v>1</v>
      </c>
      <c r="C136" s="407" t="s">
        <v>505</v>
      </c>
      <c r="D136" s="407" t="s">
        <v>786</v>
      </c>
      <c r="E136" s="407"/>
      <c r="F136" s="408" t="s">
        <v>1026</v>
      </c>
      <c r="G136" s="409">
        <v>19.07</v>
      </c>
      <c r="H136" s="410"/>
      <c r="I136" s="409">
        <v>19.07</v>
      </c>
      <c r="K136" s="17"/>
      <c r="L136" s="17" t="s">
        <v>966</v>
      </c>
      <c r="M136" s="720">
        <v>43942</v>
      </c>
      <c r="N136" s="721" t="b">
        <f t="shared" si="99"/>
        <v>0</v>
      </c>
      <c r="O136" s="721" t="b">
        <f t="shared" si="98"/>
        <v>0</v>
      </c>
      <c r="P136" s="721" t="b">
        <f t="shared" si="113"/>
        <v>0</v>
      </c>
      <c r="Q136" s="721" t="b">
        <f t="shared" si="101"/>
        <v>0</v>
      </c>
      <c r="R136" s="721" t="b">
        <f t="shared" si="100"/>
        <v>0</v>
      </c>
      <c r="S136" s="721" t="b">
        <f t="shared" si="83"/>
        <v>0</v>
      </c>
      <c r="T136" s="721" t="b">
        <f t="shared" si="96"/>
        <v>0</v>
      </c>
      <c r="U136" s="721" t="b">
        <f t="shared" si="104"/>
        <v>0</v>
      </c>
      <c r="V136" s="721" t="b">
        <f t="shared" si="106"/>
        <v>0</v>
      </c>
      <c r="W136" s="721" t="b">
        <f t="shared" si="75"/>
        <v>0</v>
      </c>
      <c r="X136" s="721" t="b">
        <f t="shared" si="112"/>
        <v>0</v>
      </c>
      <c r="Y136" s="721" t="b">
        <f t="shared" si="114"/>
        <v>1</v>
      </c>
      <c r="Z136" s="721" t="b">
        <f t="shared" si="81"/>
        <v>0</v>
      </c>
      <c r="AA136" s="721" t="b">
        <f t="shared" si="111"/>
        <v>0</v>
      </c>
      <c r="AB136" s="17"/>
      <c r="AC136" s="17"/>
      <c r="AD136" s="17"/>
      <c r="AE136" s="17"/>
      <c r="AF136" s="17"/>
      <c r="AG136" s="17"/>
      <c r="AH136" s="17"/>
      <c r="AI136" s="17"/>
      <c r="AJ136" s="17"/>
      <c r="AK136" s="17"/>
      <c r="AL136" s="17"/>
      <c r="AM136" s="17"/>
      <c r="AN136" s="17"/>
      <c r="AO136" s="17"/>
      <c r="AP136" s="17"/>
      <c r="AQ136" s="17"/>
    </row>
    <row r="137" spans="1:43" hidden="1">
      <c r="A137">
        <f t="shared" si="92"/>
        <v>134</v>
      </c>
      <c r="B137" s="407">
        <v>1</v>
      </c>
      <c r="C137" s="407" t="s">
        <v>505</v>
      </c>
      <c r="D137" s="407" t="s">
        <v>786</v>
      </c>
      <c r="E137" s="407"/>
      <c r="F137" s="408" t="s">
        <v>1083</v>
      </c>
      <c r="G137" s="409">
        <v>179.67</v>
      </c>
      <c r="H137" s="410"/>
      <c r="I137" s="409">
        <v>179.67</v>
      </c>
      <c r="K137" s="17"/>
      <c r="L137" s="17" t="s">
        <v>966</v>
      </c>
      <c r="M137" s="720">
        <v>43942</v>
      </c>
      <c r="N137" s="721" t="b">
        <f t="shared" si="99"/>
        <v>0</v>
      </c>
      <c r="O137" s="721" t="b">
        <f t="shared" si="98"/>
        <v>0</v>
      </c>
      <c r="P137" s="721" t="b">
        <f t="shared" si="113"/>
        <v>0</v>
      </c>
      <c r="Q137" s="721" t="b">
        <f t="shared" si="101"/>
        <v>0</v>
      </c>
      <c r="R137" s="721" t="b">
        <f t="shared" si="100"/>
        <v>0</v>
      </c>
      <c r="S137" s="721" t="b">
        <f t="shared" si="83"/>
        <v>0</v>
      </c>
      <c r="T137" s="721" t="b">
        <f t="shared" si="96"/>
        <v>0</v>
      </c>
      <c r="U137" s="721" t="b">
        <f t="shared" si="104"/>
        <v>0</v>
      </c>
      <c r="V137" s="721" t="b">
        <f t="shared" si="106"/>
        <v>0</v>
      </c>
      <c r="W137" s="721" t="b">
        <f t="shared" si="75"/>
        <v>0</v>
      </c>
      <c r="X137" s="721" t="b">
        <f t="shared" si="112"/>
        <v>0</v>
      </c>
      <c r="Y137" s="721" t="b">
        <f t="shared" si="114"/>
        <v>1</v>
      </c>
      <c r="Z137" s="721" t="b">
        <f t="shared" si="81"/>
        <v>0</v>
      </c>
      <c r="AA137" s="721" t="b">
        <f t="shared" si="111"/>
        <v>0</v>
      </c>
      <c r="AB137" s="17"/>
      <c r="AC137" s="17"/>
      <c r="AD137" s="17"/>
      <c r="AE137" s="17"/>
      <c r="AF137" s="17"/>
      <c r="AG137" s="17"/>
      <c r="AH137" s="17"/>
      <c r="AI137" s="17"/>
      <c r="AJ137" s="17"/>
      <c r="AK137" s="17"/>
      <c r="AL137" s="17"/>
      <c r="AM137" s="17"/>
      <c r="AN137" s="17"/>
      <c r="AO137" s="17"/>
      <c r="AP137" s="17"/>
      <c r="AQ137" s="17"/>
    </row>
    <row r="138" spans="1:43" hidden="1">
      <c r="A138">
        <f t="shared" si="92"/>
        <v>135</v>
      </c>
      <c r="B138" s="407">
        <v>1</v>
      </c>
      <c r="C138" s="407" t="s">
        <v>505</v>
      </c>
      <c r="D138" s="407" t="s">
        <v>786</v>
      </c>
      <c r="E138" s="407"/>
      <c r="F138" s="408" t="s">
        <v>1084</v>
      </c>
      <c r="G138" s="409">
        <v>470.8</v>
      </c>
      <c r="H138" s="410"/>
      <c r="I138" s="409">
        <v>470.8</v>
      </c>
      <c r="K138" s="17"/>
      <c r="L138" s="17" t="s">
        <v>966</v>
      </c>
      <c r="M138" s="720">
        <v>43942</v>
      </c>
      <c r="N138" s="721" t="b">
        <f t="shared" si="99"/>
        <v>0</v>
      </c>
      <c r="O138" s="721" t="b">
        <f t="shared" si="98"/>
        <v>0</v>
      </c>
      <c r="P138" s="721" t="b">
        <f t="shared" si="113"/>
        <v>0</v>
      </c>
      <c r="Q138" s="721" t="b">
        <f t="shared" si="101"/>
        <v>0</v>
      </c>
      <c r="R138" s="721" t="b">
        <f t="shared" si="100"/>
        <v>0</v>
      </c>
      <c r="S138" s="721" t="b">
        <f t="shared" si="83"/>
        <v>0</v>
      </c>
      <c r="T138" s="721" t="b">
        <f t="shared" si="96"/>
        <v>0</v>
      </c>
      <c r="U138" s="721" t="b">
        <f t="shared" si="104"/>
        <v>0</v>
      </c>
      <c r="V138" s="721" t="b">
        <f t="shared" si="106"/>
        <v>0</v>
      </c>
      <c r="W138" s="721" t="b">
        <f t="shared" si="75"/>
        <v>0</v>
      </c>
      <c r="X138" s="721" t="b">
        <f t="shared" si="112"/>
        <v>0</v>
      </c>
      <c r="Y138" s="721" t="b">
        <f t="shared" si="114"/>
        <v>1</v>
      </c>
      <c r="Z138" s="721" t="b">
        <f t="shared" si="81"/>
        <v>0</v>
      </c>
      <c r="AA138" s="721" t="b">
        <f t="shared" si="111"/>
        <v>0</v>
      </c>
      <c r="AB138" s="17"/>
      <c r="AC138" s="17"/>
      <c r="AD138" s="17"/>
      <c r="AE138" s="17"/>
      <c r="AF138" s="17"/>
      <c r="AG138" s="17"/>
      <c r="AH138" s="17"/>
      <c r="AI138" s="17"/>
      <c r="AJ138" s="17"/>
      <c r="AK138" s="17"/>
      <c r="AL138" s="17"/>
      <c r="AM138" s="17"/>
      <c r="AN138" s="17"/>
      <c r="AO138" s="17"/>
      <c r="AP138" s="17"/>
      <c r="AQ138" s="17"/>
    </row>
    <row r="139" spans="1:43" hidden="1">
      <c r="A139">
        <f t="shared" si="92"/>
        <v>136</v>
      </c>
      <c r="B139" s="407">
        <v>1</v>
      </c>
      <c r="C139" s="407" t="s">
        <v>505</v>
      </c>
      <c r="D139" s="407" t="s">
        <v>786</v>
      </c>
      <c r="E139" s="407"/>
      <c r="F139" s="408" t="s">
        <v>1085</v>
      </c>
      <c r="G139" s="409">
        <v>40.33</v>
      </c>
      <c r="H139" s="410"/>
      <c r="I139" s="409">
        <v>40.33</v>
      </c>
      <c r="K139" s="17"/>
      <c r="L139" s="17" t="s">
        <v>966</v>
      </c>
      <c r="M139" s="720">
        <v>43942</v>
      </c>
      <c r="N139" s="721" t="b">
        <f t="shared" si="99"/>
        <v>0</v>
      </c>
      <c r="O139" s="721" t="b">
        <f t="shared" si="98"/>
        <v>0</v>
      </c>
      <c r="P139" s="721" t="b">
        <f t="shared" si="113"/>
        <v>0</v>
      </c>
      <c r="Q139" s="721" t="b">
        <f t="shared" si="101"/>
        <v>0</v>
      </c>
      <c r="R139" s="721" t="b">
        <f t="shared" si="100"/>
        <v>0</v>
      </c>
      <c r="S139" s="721" t="b">
        <f t="shared" si="83"/>
        <v>0</v>
      </c>
      <c r="T139" s="721" t="b">
        <f t="shared" si="96"/>
        <v>0</v>
      </c>
      <c r="U139" s="721" t="b">
        <f t="shared" si="104"/>
        <v>0</v>
      </c>
      <c r="V139" s="721" t="b">
        <f t="shared" si="106"/>
        <v>0</v>
      </c>
      <c r="W139" s="721" t="b">
        <f t="shared" si="75"/>
        <v>0</v>
      </c>
      <c r="X139" s="721" t="b">
        <f t="shared" si="112"/>
        <v>0</v>
      </c>
      <c r="Y139" s="721" t="b">
        <f t="shared" si="114"/>
        <v>1</v>
      </c>
      <c r="Z139" s="721" t="b">
        <f t="shared" si="81"/>
        <v>0</v>
      </c>
      <c r="AA139" s="721" t="b">
        <f t="shared" si="111"/>
        <v>0</v>
      </c>
      <c r="AB139" s="17"/>
      <c r="AC139" s="17"/>
      <c r="AD139" s="17"/>
      <c r="AE139" s="17"/>
      <c r="AF139" s="17"/>
      <c r="AG139" s="17"/>
      <c r="AH139" s="17"/>
      <c r="AI139" s="17"/>
      <c r="AJ139" s="17"/>
      <c r="AK139" s="17"/>
      <c r="AL139" s="17"/>
      <c r="AM139" s="17"/>
      <c r="AN139" s="17"/>
      <c r="AO139" s="17"/>
      <c r="AP139" s="17"/>
      <c r="AQ139" s="17"/>
    </row>
    <row r="140" spans="1:43" hidden="1">
      <c r="A140">
        <f t="shared" si="92"/>
        <v>137</v>
      </c>
      <c r="B140" s="407">
        <v>1</v>
      </c>
      <c r="C140" s="407" t="s">
        <v>505</v>
      </c>
      <c r="D140" s="407" t="s">
        <v>786</v>
      </c>
      <c r="E140" s="407"/>
      <c r="F140" s="408" t="s">
        <v>803</v>
      </c>
      <c r="G140" s="409">
        <v>564.44000000000005</v>
      </c>
      <c r="H140" s="410"/>
      <c r="I140" s="409">
        <v>564.44000000000005</v>
      </c>
      <c r="K140" s="17"/>
      <c r="L140" s="17" t="s">
        <v>966</v>
      </c>
      <c r="M140" s="720">
        <v>43942</v>
      </c>
      <c r="N140" s="721" t="b">
        <f t="shared" si="99"/>
        <v>0</v>
      </c>
      <c r="O140" s="721" t="b">
        <f t="shared" si="98"/>
        <v>0</v>
      </c>
      <c r="P140" s="721" t="b">
        <f t="shared" si="113"/>
        <v>0</v>
      </c>
      <c r="Q140" s="721" t="b">
        <f t="shared" si="101"/>
        <v>0</v>
      </c>
      <c r="R140" s="721" t="b">
        <f t="shared" si="100"/>
        <v>0</v>
      </c>
      <c r="S140" s="721" t="b">
        <f>TRUE()</f>
        <v>1</v>
      </c>
      <c r="T140" s="721" t="b">
        <f t="shared" si="96"/>
        <v>0</v>
      </c>
      <c r="U140" s="721" t="b">
        <f t="shared" si="104"/>
        <v>0</v>
      </c>
      <c r="V140" s="721" t="b">
        <f t="shared" si="106"/>
        <v>0</v>
      </c>
      <c r="W140" s="721" t="b">
        <f t="shared" si="75"/>
        <v>0</v>
      </c>
      <c r="X140" s="721" t="b">
        <f t="shared" si="112"/>
        <v>0</v>
      </c>
      <c r="Y140" s="721" t="b">
        <f t="shared" ref="Y140:Y203" si="115">FALSE()</f>
        <v>0</v>
      </c>
      <c r="Z140" s="721" t="b">
        <f t="shared" si="81"/>
        <v>0</v>
      </c>
      <c r="AA140" s="721" t="b">
        <f t="shared" si="111"/>
        <v>0</v>
      </c>
      <c r="AB140" s="17"/>
      <c r="AC140" s="17"/>
      <c r="AD140" s="17"/>
      <c r="AE140" s="17"/>
      <c r="AF140" s="17"/>
      <c r="AG140" s="17"/>
      <c r="AH140" s="17"/>
      <c r="AI140" s="17"/>
      <c r="AJ140" s="17"/>
      <c r="AK140" s="17"/>
      <c r="AL140" s="17"/>
      <c r="AM140" s="17"/>
      <c r="AN140" s="17"/>
      <c r="AO140" s="17"/>
      <c r="AP140" s="17"/>
      <c r="AQ140" s="17"/>
    </row>
    <row r="141" spans="1:43" hidden="1">
      <c r="A141">
        <f t="shared" si="92"/>
        <v>138</v>
      </c>
      <c r="B141" s="407">
        <v>1</v>
      </c>
      <c r="C141" s="407" t="s">
        <v>505</v>
      </c>
      <c r="D141" s="407" t="s">
        <v>786</v>
      </c>
      <c r="E141" s="407"/>
      <c r="F141" s="408" t="s">
        <v>1101</v>
      </c>
      <c r="G141" s="409">
        <v>116.67</v>
      </c>
      <c r="H141" s="410"/>
      <c r="I141" s="409">
        <v>116.67</v>
      </c>
      <c r="K141" s="17"/>
      <c r="L141" s="17" t="s">
        <v>966</v>
      </c>
      <c r="M141" s="720">
        <v>43942</v>
      </c>
      <c r="N141" s="721" t="b">
        <f t="shared" si="99"/>
        <v>0</v>
      </c>
      <c r="O141" s="721" t="b">
        <f t="shared" si="98"/>
        <v>0</v>
      </c>
      <c r="P141" s="721" t="b">
        <f>TRUE()</f>
        <v>1</v>
      </c>
      <c r="Q141" s="721" t="b">
        <f t="shared" si="101"/>
        <v>0</v>
      </c>
      <c r="R141" s="721" t="b">
        <f t="shared" si="100"/>
        <v>0</v>
      </c>
      <c r="S141" s="721" t="b">
        <f t="shared" si="83"/>
        <v>0</v>
      </c>
      <c r="T141" s="721" t="b">
        <f t="shared" si="96"/>
        <v>0</v>
      </c>
      <c r="U141" s="721" t="b">
        <f t="shared" si="104"/>
        <v>0</v>
      </c>
      <c r="V141" s="721" t="b">
        <f t="shared" si="106"/>
        <v>0</v>
      </c>
      <c r="W141" s="721" t="b">
        <f t="shared" si="75"/>
        <v>0</v>
      </c>
      <c r="X141" s="721" t="b">
        <f t="shared" si="112"/>
        <v>0</v>
      </c>
      <c r="Y141" s="721" t="b">
        <f t="shared" si="115"/>
        <v>0</v>
      </c>
      <c r="Z141" s="721" t="b">
        <f t="shared" si="81"/>
        <v>0</v>
      </c>
      <c r="AA141" s="721" t="b">
        <f t="shared" si="111"/>
        <v>0</v>
      </c>
      <c r="AB141" s="17"/>
      <c r="AC141" s="17"/>
      <c r="AD141" s="17"/>
      <c r="AE141" s="17"/>
      <c r="AF141" s="17"/>
      <c r="AG141" s="17"/>
      <c r="AH141" s="17"/>
      <c r="AI141" s="17"/>
      <c r="AJ141" s="17"/>
      <c r="AK141" s="17"/>
      <c r="AL141" s="17"/>
      <c r="AM141" s="17"/>
      <c r="AN141" s="17"/>
      <c r="AO141" s="17"/>
      <c r="AP141" s="17"/>
      <c r="AQ141" s="17"/>
    </row>
    <row r="142" spans="1:43" hidden="1">
      <c r="A142">
        <f t="shared" si="92"/>
        <v>139</v>
      </c>
      <c r="B142" s="487">
        <v>1</v>
      </c>
      <c r="C142" s="487" t="s">
        <v>522</v>
      </c>
      <c r="D142" s="487" t="s">
        <v>531</v>
      </c>
      <c r="E142" s="487"/>
      <c r="F142" s="492" t="s">
        <v>1102</v>
      </c>
      <c r="G142" s="430">
        <v>250</v>
      </c>
      <c r="H142" s="428"/>
      <c r="I142" s="430">
        <f t="shared" si="91"/>
        <v>250</v>
      </c>
      <c r="K142" s="719"/>
      <c r="L142" s="17" t="s">
        <v>972</v>
      </c>
      <c r="M142" s="17"/>
      <c r="N142" s="721" t="b">
        <f t="shared" si="99"/>
        <v>0</v>
      </c>
      <c r="O142" s="721" t="b">
        <f t="shared" si="98"/>
        <v>0</v>
      </c>
      <c r="P142" s="721" t="b">
        <f t="shared" ref="P142:P144" si="116">FALSE()</f>
        <v>0</v>
      </c>
      <c r="Q142" s="721" t="b">
        <f>TRUE()</f>
        <v>1</v>
      </c>
      <c r="R142" s="721" t="b">
        <f t="shared" si="100"/>
        <v>0</v>
      </c>
      <c r="S142" s="721" t="b">
        <f t="shared" si="83"/>
        <v>0</v>
      </c>
      <c r="T142" s="721" t="b">
        <f t="shared" si="96"/>
        <v>0</v>
      </c>
      <c r="U142" s="721" t="b">
        <f t="shared" si="104"/>
        <v>0</v>
      </c>
      <c r="V142" s="721" t="b">
        <f t="shared" si="106"/>
        <v>0</v>
      </c>
      <c r="W142" s="721" t="b">
        <f t="shared" si="75"/>
        <v>0</v>
      </c>
      <c r="X142" s="721" t="b">
        <f t="shared" si="112"/>
        <v>0</v>
      </c>
      <c r="Y142" s="721" t="b">
        <f t="shared" si="115"/>
        <v>0</v>
      </c>
      <c r="Z142" s="721" t="b">
        <f t="shared" si="81"/>
        <v>0</v>
      </c>
      <c r="AA142" s="721" t="b">
        <f t="shared" si="111"/>
        <v>0</v>
      </c>
      <c r="AB142" s="17"/>
      <c r="AC142" s="17"/>
      <c r="AD142" s="17"/>
      <c r="AE142" s="17"/>
      <c r="AF142" s="17"/>
      <c r="AG142" s="17"/>
      <c r="AH142" s="17"/>
      <c r="AI142" s="17"/>
      <c r="AJ142" s="17"/>
      <c r="AK142" s="17"/>
      <c r="AL142" s="17"/>
      <c r="AM142" s="17"/>
      <c r="AN142" s="17"/>
      <c r="AO142" s="17"/>
      <c r="AP142" s="17"/>
      <c r="AQ142" s="17"/>
    </row>
    <row r="143" spans="1:43" ht="22.25" hidden="1">
      <c r="A143">
        <f t="shared" si="92"/>
        <v>140</v>
      </c>
      <c r="B143" s="407">
        <v>1</v>
      </c>
      <c r="C143" s="407" t="s">
        <v>522</v>
      </c>
      <c r="D143" s="407"/>
      <c r="E143" s="407"/>
      <c r="F143" s="408" t="s">
        <v>695</v>
      </c>
      <c r="G143" s="409">
        <v>100</v>
      </c>
      <c r="H143" s="410"/>
      <c r="I143" s="409">
        <f t="shared" si="91"/>
        <v>100</v>
      </c>
      <c r="K143" s="204" t="s">
        <v>696</v>
      </c>
      <c r="L143" s="17" t="s">
        <v>972</v>
      </c>
      <c r="M143" s="17"/>
      <c r="N143" s="721" t="b">
        <f t="shared" si="99"/>
        <v>0</v>
      </c>
      <c r="O143" s="721" t="b">
        <f t="shared" si="98"/>
        <v>0</v>
      </c>
      <c r="P143" s="721" t="b">
        <f t="shared" si="116"/>
        <v>0</v>
      </c>
      <c r="Q143" s="721" t="b">
        <f t="shared" ref="Q143:Q147" si="117">FALSE()</f>
        <v>0</v>
      </c>
      <c r="R143" s="721" t="b">
        <f t="shared" si="100"/>
        <v>0</v>
      </c>
      <c r="S143" s="721" t="b">
        <f t="shared" si="83"/>
        <v>0</v>
      </c>
      <c r="T143" s="721" t="b">
        <f t="shared" si="96"/>
        <v>0</v>
      </c>
      <c r="U143" s="721" t="b">
        <f t="shared" si="104"/>
        <v>0</v>
      </c>
      <c r="V143" s="721" t="b">
        <f t="shared" si="106"/>
        <v>0</v>
      </c>
      <c r="W143" s="721" t="b">
        <f t="shared" si="75"/>
        <v>0</v>
      </c>
      <c r="X143" s="721" t="b">
        <f t="shared" si="112"/>
        <v>0</v>
      </c>
      <c r="Y143" s="721" t="b">
        <f t="shared" si="115"/>
        <v>0</v>
      </c>
      <c r="Z143" s="721" t="b">
        <f>TRUE()</f>
        <v>1</v>
      </c>
      <c r="AA143" s="721" t="b">
        <f t="shared" si="111"/>
        <v>0</v>
      </c>
      <c r="AB143" s="17"/>
      <c r="AC143" s="17"/>
      <c r="AD143" s="17"/>
      <c r="AE143" s="17"/>
      <c r="AF143" s="17"/>
      <c r="AG143" s="17"/>
      <c r="AH143" s="17"/>
      <c r="AI143" s="17"/>
      <c r="AJ143" s="17"/>
      <c r="AK143" s="17"/>
      <c r="AL143" s="17"/>
      <c r="AM143" s="17"/>
      <c r="AN143" s="17"/>
      <c r="AO143" s="17"/>
      <c r="AP143" s="17"/>
      <c r="AQ143" s="17"/>
    </row>
    <row r="144" spans="1:43" hidden="1">
      <c r="A144">
        <f t="shared" si="92"/>
        <v>141</v>
      </c>
      <c r="B144" s="487">
        <v>1</v>
      </c>
      <c r="C144" s="407" t="s">
        <v>539</v>
      </c>
      <c r="D144" s="407" t="s">
        <v>690</v>
      </c>
      <c r="E144" s="407"/>
      <c r="F144" s="407" t="s">
        <v>1103</v>
      </c>
      <c r="G144" s="409">
        <v>11.45</v>
      </c>
      <c r="H144" s="428"/>
      <c r="I144" s="430">
        <f t="shared" si="91"/>
        <v>11.45</v>
      </c>
      <c r="K144" s="719"/>
      <c r="L144" s="17" t="s">
        <v>690</v>
      </c>
      <c r="M144" s="17"/>
      <c r="N144" s="721" t="b">
        <f t="shared" si="99"/>
        <v>0</v>
      </c>
      <c r="O144" s="721" t="b">
        <f t="shared" si="98"/>
        <v>0</v>
      </c>
      <c r="P144" s="721" t="b">
        <f t="shared" si="116"/>
        <v>0</v>
      </c>
      <c r="Q144" s="721" t="b">
        <f t="shared" si="117"/>
        <v>0</v>
      </c>
      <c r="R144" s="721" t="b">
        <f t="shared" si="100"/>
        <v>0</v>
      </c>
      <c r="S144" s="721" t="b">
        <f t="shared" si="83"/>
        <v>0</v>
      </c>
      <c r="T144" s="721" t="b">
        <f t="shared" si="96"/>
        <v>0</v>
      </c>
      <c r="U144" s="721" t="b">
        <f t="shared" si="104"/>
        <v>0</v>
      </c>
      <c r="V144" s="721" t="b">
        <f t="shared" si="106"/>
        <v>0</v>
      </c>
      <c r="W144" s="721" t="b">
        <f>TRUE()</f>
        <v>1</v>
      </c>
      <c r="X144" s="721" t="b">
        <f t="shared" si="112"/>
        <v>0</v>
      </c>
      <c r="Y144" s="721" t="b">
        <f t="shared" si="115"/>
        <v>0</v>
      </c>
      <c r="Z144" s="721" t="b">
        <f t="shared" ref="Z144:Z149" si="118">FALSE()</f>
        <v>0</v>
      </c>
      <c r="AA144" s="721" t="b">
        <f t="shared" si="111"/>
        <v>0</v>
      </c>
      <c r="AB144" s="17"/>
      <c r="AC144" s="17"/>
      <c r="AD144" s="17"/>
      <c r="AE144" s="17"/>
      <c r="AF144" s="17"/>
      <c r="AG144" s="17"/>
      <c r="AH144" s="17"/>
      <c r="AI144" s="17"/>
      <c r="AJ144" s="17"/>
      <c r="AK144" s="17"/>
      <c r="AL144" s="17"/>
      <c r="AM144" s="17"/>
      <c r="AN144" s="17"/>
      <c r="AO144" s="17"/>
      <c r="AP144" s="17"/>
      <c r="AQ144" s="17"/>
    </row>
    <row r="145" spans="1:43" hidden="1">
      <c r="A145">
        <f t="shared" si="92"/>
        <v>142</v>
      </c>
      <c r="B145" s="407">
        <v>3</v>
      </c>
      <c r="C145" s="407" t="s">
        <v>522</v>
      </c>
      <c r="D145" s="407" t="s">
        <v>783</v>
      </c>
      <c r="E145" s="407"/>
      <c r="F145" s="408" t="s">
        <v>784</v>
      </c>
      <c r="G145" s="409">
        <v>2000</v>
      </c>
      <c r="H145" s="410"/>
      <c r="I145" s="409">
        <f t="shared" si="91"/>
        <v>2000</v>
      </c>
      <c r="J145" s="58">
        <v>25000</v>
      </c>
      <c r="K145" s="417">
        <f t="shared" si="109"/>
        <v>0.08</v>
      </c>
      <c r="L145" s="17" t="s">
        <v>972</v>
      </c>
      <c r="M145" s="720">
        <v>43994</v>
      </c>
      <c r="N145" s="721" t="b">
        <f t="shared" si="99"/>
        <v>0</v>
      </c>
      <c r="O145" s="721" t="b">
        <f t="shared" si="98"/>
        <v>0</v>
      </c>
      <c r="P145" s="721" t="b">
        <f t="shared" ref="P145:P147" si="119">TRUE()</f>
        <v>1</v>
      </c>
      <c r="Q145" s="721" t="b">
        <f t="shared" si="117"/>
        <v>0</v>
      </c>
      <c r="R145" s="721" t="b">
        <f t="shared" si="100"/>
        <v>0</v>
      </c>
      <c r="S145" s="721" t="b">
        <f t="shared" si="83"/>
        <v>0</v>
      </c>
      <c r="T145" s="721" t="b">
        <f t="shared" si="96"/>
        <v>0</v>
      </c>
      <c r="U145" s="721" t="b">
        <f t="shared" si="104"/>
        <v>0</v>
      </c>
      <c r="V145" s="721" t="b">
        <f t="shared" si="106"/>
        <v>0</v>
      </c>
      <c r="W145" s="721" t="b">
        <f t="shared" ref="W145:W198" si="120">FALSE()</f>
        <v>0</v>
      </c>
      <c r="X145" s="721" t="b">
        <f t="shared" si="112"/>
        <v>0</v>
      </c>
      <c r="Y145" s="721" t="b">
        <f t="shared" si="115"/>
        <v>0</v>
      </c>
      <c r="Z145" s="721" t="b">
        <f t="shared" si="118"/>
        <v>0</v>
      </c>
      <c r="AA145" s="721" t="b">
        <f t="shared" si="111"/>
        <v>0</v>
      </c>
      <c r="AB145" s="17"/>
      <c r="AC145" s="17"/>
      <c r="AD145" s="17"/>
      <c r="AE145" s="17"/>
      <c r="AF145" s="17"/>
      <c r="AG145" s="17"/>
      <c r="AH145" s="17"/>
      <c r="AI145" s="17"/>
      <c r="AJ145" s="17"/>
      <c r="AK145" s="17"/>
      <c r="AL145" s="17"/>
      <c r="AM145" s="17"/>
      <c r="AN145" s="17"/>
      <c r="AO145" s="17"/>
      <c r="AP145" s="17"/>
      <c r="AQ145" s="17"/>
    </row>
    <row r="146" spans="1:43" hidden="1">
      <c r="A146">
        <f t="shared" si="92"/>
        <v>143</v>
      </c>
      <c r="B146" s="487">
        <v>1</v>
      </c>
      <c r="C146" s="487" t="s">
        <v>522</v>
      </c>
      <c r="D146" s="487" t="s">
        <v>531</v>
      </c>
      <c r="E146" s="487"/>
      <c r="F146" s="492" t="s">
        <v>1104</v>
      </c>
      <c r="G146" s="430">
        <v>1426.67</v>
      </c>
      <c r="H146" s="428"/>
      <c r="I146" s="430">
        <f t="shared" si="91"/>
        <v>1426.67</v>
      </c>
      <c r="J146" s="58">
        <v>6000</v>
      </c>
      <c r="K146" s="417">
        <f t="shared" si="109"/>
        <v>0.23777833333333334</v>
      </c>
      <c r="L146" s="17" t="s">
        <v>972</v>
      </c>
      <c r="M146" s="726">
        <v>43994</v>
      </c>
      <c r="N146" s="721" t="b">
        <f t="shared" si="99"/>
        <v>0</v>
      </c>
      <c r="O146" s="721" t="b">
        <f t="shared" si="98"/>
        <v>0</v>
      </c>
      <c r="P146" s="721" t="b">
        <f t="shared" si="119"/>
        <v>1</v>
      </c>
      <c r="Q146" s="721" t="b">
        <f t="shared" si="117"/>
        <v>0</v>
      </c>
      <c r="R146" s="721" t="b">
        <f t="shared" si="100"/>
        <v>0</v>
      </c>
      <c r="S146" s="721" t="b">
        <f t="shared" si="83"/>
        <v>0</v>
      </c>
      <c r="T146" s="721" t="b">
        <f t="shared" si="96"/>
        <v>0</v>
      </c>
      <c r="U146" s="721" t="b">
        <f t="shared" si="104"/>
        <v>0</v>
      </c>
      <c r="V146" s="721" t="b">
        <f t="shared" si="106"/>
        <v>0</v>
      </c>
      <c r="W146" s="721" t="b">
        <f t="shared" si="120"/>
        <v>0</v>
      </c>
      <c r="X146" s="721" t="b">
        <f t="shared" si="112"/>
        <v>0</v>
      </c>
      <c r="Y146" s="721" t="b">
        <f t="shared" si="115"/>
        <v>0</v>
      </c>
      <c r="Z146" s="721" t="b">
        <f t="shared" si="118"/>
        <v>0</v>
      </c>
      <c r="AA146" s="721" t="b">
        <f t="shared" si="111"/>
        <v>0</v>
      </c>
      <c r="AB146" s="17"/>
      <c r="AC146" s="17"/>
      <c r="AD146" s="17"/>
      <c r="AE146" s="17"/>
      <c r="AF146" s="17"/>
      <c r="AG146" s="17"/>
      <c r="AH146" s="17"/>
      <c r="AI146" s="17"/>
      <c r="AJ146" s="17"/>
      <c r="AK146" s="17"/>
      <c r="AL146" s="17"/>
      <c r="AM146" s="17"/>
      <c r="AN146" s="17"/>
      <c r="AO146" s="17"/>
      <c r="AP146" s="17"/>
      <c r="AQ146" s="17"/>
    </row>
    <row r="147" spans="1:43" hidden="1">
      <c r="A147">
        <f t="shared" si="92"/>
        <v>144</v>
      </c>
      <c r="B147" s="487">
        <v>1</v>
      </c>
      <c r="C147" s="487" t="s">
        <v>522</v>
      </c>
      <c r="D147" s="487" t="s">
        <v>531</v>
      </c>
      <c r="E147" s="487"/>
      <c r="F147" s="492" t="s">
        <v>1105</v>
      </c>
      <c r="G147" s="430">
        <v>1588</v>
      </c>
      <c r="H147" s="428"/>
      <c r="I147" s="430">
        <f t="shared" si="91"/>
        <v>1588</v>
      </c>
      <c r="J147" s="58">
        <v>8200</v>
      </c>
      <c r="K147" s="417">
        <f t="shared" si="109"/>
        <v>0.19365853658536586</v>
      </c>
      <c r="L147" s="17" t="s">
        <v>972</v>
      </c>
      <c r="M147" s="726">
        <v>43994</v>
      </c>
      <c r="N147" s="721" t="b">
        <f t="shared" si="99"/>
        <v>0</v>
      </c>
      <c r="O147" s="721" t="b">
        <f t="shared" si="98"/>
        <v>0</v>
      </c>
      <c r="P147" s="721" t="b">
        <f t="shared" si="119"/>
        <v>1</v>
      </c>
      <c r="Q147" s="721" t="b">
        <f t="shared" si="117"/>
        <v>0</v>
      </c>
      <c r="R147" s="721" t="b">
        <f t="shared" si="100"/>
        <v>0</v>
      </c>
      <c r="S147" s="721" t="b">
        <f t="shared" si="83"/>
        <v>0</v>
      </c>
      <c r="T147" s="721" t="b">
        <f t="shared" si="96"/>
        <v>0</v>
      </c>
      <c r="U147" s="721" t="b">
        <f t="shared" si="104"/>
        <v>0</v>
      </c>
      <c r="V147" s="721" t="b">
        <f t="shared" si="106"/>
        <v>0</v>
      </c>
      <c r="W147" s="721" t="b">
        <f t="shared" si="120"/>
        <v>0</v>
      </c>
      <c r="X147" s="721" t="b">
        <f t="shared" si="112"/>
        <v>0</v>
      </c>
      <c r="Y147" s="721" t="b">
        <f t="shared" si="115"/>
        <v>0</v>
      </c>
      <c r="Z147" s="721" t="b">
        <f t="shared" si="118"/>
        <v>0</v>
      </c>
      <c r="AA147" s="721" t="b">
        <f t="shared" si="111"/>
        <v>0</v>
      </c>
      <c r="AB147" s="17"/>
      <c r="AC147" s="17"/>
      <c r="AD147" s="17"/>
      <c r="AE147" s="17"/>
      <c r="AF147" s="17"/>
      <c r="AG147" s="17"/>
      <c r="AH147" s="17"/>
      <c r="AI147" s="17"/>
      <c r="AJ147" s="17"/>
      <c r="AK147" s="17"/>
      <c r="AL147" s="17"/>
      <c r="AM147" s="17"/>
      <c r="AN147" s="17"/>
      <c r="AO147" s="17"/>
      <c r="AP147" s="17"/>
      <c r="AQ147" s="17"/>
    </row>
    <row r="148" spans="1:43" hidden="1">
      <c r="A148">
        <f t="shared" si="92"/>
        <v>145</v>
      </c>
      <c r="B148" s="487">
        <v>1</v>
      </c>
      <c r="C148" s="487" t="s">
        <v>522</v>
      </c>
      <c r="D148" s="487" t="s">
        <v>531</v>
      </c>
      <c r="E148" s="487"/>
      <c r="F148" s="492" t="s">
        <v>1106</v>
      </c>
      <c r="G148" s="430">
        <v>200</v>
      </c>
      <c r="H148" s="428"/>
      <c r="I148" s="430">
        <f t="shared" si="91"/>
        <v>200</v>
      </c>
      <c r="K148" s="727"/>
      <c r="L148" s="727" t="s">
        <v>972</v>
      </c>
      <c r="M148" s="727"/>
      <c r="N148" s="721" t="b">
        <f t="shared" si="99"/>
        <v>0</v>
      </c>
      <c r="O148" s="721" t="b">
        <f t="shared" si="98"/>
        <v>0</v>
      </c>
      <c r="P148" s="721" t="b">
        <f t="shared" ref="P148:P150" si="121">FALSE()</f>
        <v>0</v>
      </c>
      <c r="Q148" s="721" t="b">
        <f>TRUE()</f>
        <v>1</v>
      </c>
      <c r="R148" s="721" t="b">
        <f t="shared" si="100"/>
        <v>0</v>
      </c>
      <c r="S148" s="721" t="b">
        <f t="shared" si="83"/>
        <v>0</v>
      </c>
      <c r="T148" s="721" t="b">
        <f t="shared" si="96"/>
        <v>0</v>
      </c>
      <c r="U148" s="721" t="b">
        <f t="shared" si="104"/>
        <v>0</v>
      </c>
      <c r="V148" s="721" t="b">
        <f t="shared" si="106"/>
        <v>0</v>
      </c>
      <c r="W148" s="721" t="b">
        <f t="shared" si="120"/>
        <v>0</v>
      </c>
      <c r="X148" s="721" t="b">
        <f t="shared" si="112"/>
        <v>0</v>
      </c>
      <c r="Y148" s="721" t="b">
        <f t="shared" si="115"/>
        <v>0</v>
      </c>
      <c r="Z148" s="721" t="b">
        <f t="shared" si="118"/>
        <v>0</v>
      </c>
      <c r="AA148" s="721" t="b">
        <f t="shared" si="111"/>
        <v>0</v>
      </c>
      <c r="AB148" s="17"/>
      <c r="AC148" s="17"/>
      <c r="AD148" s="17"/>
      <c r="AE148" s="17"/>
      <c r="AF148" s="17"/>
      <c r="AG148" s="17"/>
      <c r="AH148" s="17"/>
      <c r="AI148" s="17"/>
      <c r="AJ148" s="17"/>
      <c r="AK148" s="17"/>
      <c r="AL148" s="17"/>
      <c r="AM148" s="17"/>
      <c r="AN148" s="17"/>
      <c r="AO148" s="17"/>
      <c r="AP148" s="17"/>
      <c r="AQ148" s="17"/>
    </row>
    <row r="149" spans="1:43" ht="22.25" hidden="1">
      <c r="A149">
        <f t="shared" si="92"/>
        <v>146</v>
      </c>
      <c r="B149" s="407">
        <v>1</v>
      </c>
      <c r="C149" s="407" t="s">
        <v>522</v>
      </c>
      <c r="D149" s="407"/>
      <c r="E149" s="407"/>
      <c r="F149" s="407" t="s">
        <v>1107</v>
      </c>
      <c r="G149" s="409">
        <f>'REX Durées'!F17</f>
        <v>53.453066666666665</v>
      </c>
      <c r="H149" s="410"/>
      <c r="I149" s="409">
        <f t="shared" si="91"/>
        <v>53.453066666666665</v>
      </c>
      <c r="K149" s="204" t="s">
        <v>977</v>
      </c>
      <c r="L149" s="17" t="s">
        <v>1108</v>
      </c>
      <c r="M149" s="17"/>
      <c r="N149" s="721" t="b">
        <f t="shared" si="99"/>
        <v>0</v>
      </c>
      <c r="O149" s="721" t="b">
        <f>TRUE()</f>
        <v>1</v>
      </c>
      <c r="P149" s="721" t="b">
        <f t="shared" si="121"/>
        <v>0</v>
      </c>
      <c r="Q149" s="721" t="b">
        <f t="shared" ref="Q149:Q156" si="122">FALSE()</f>
        <v>0</v>
      </c>
      <c r="R149" s="721" t="b">
        <f t="shared" si="100"/>
        <v>0</v>
      </c>
      <c r="S149" s="721" t="b">
        <f t="shared" si="83"/>
        <v>0</v>
      </c>
      <c r="T149" s="721" t="b">
        <f t="shared" si="96"/>
        <v>0</v>
      </c>
      <c r="U149" s="721" t="b">
        <f t="shared" si="104"/>
        <v>0</v>
      </c>
      <c r="V149" s="721" t="b">
        <f t="shared" si="106"/>
        <v>0</v>
      </c>
      <c r="W149" s="721" t="b">
        <f t="shared" si="120"/>
        <v>0</v>
      </c>
      <c r="X149" s="721" t="b">
        <f t="shared" si="112"/>
        <v>0</v>
      </c>
      <c r="Y149" s="721" t="b">
        <f t="shared" si="115"/>
        <v>0</v>
      </c>
      <c r="Z149" s="721" t="b">
        <f t="shared" si="118"/>
        <v>0</v>
      </c>
      <c r="AA149" s="721" t="b">
        <f t="shared" si="111"/>
        <v>0</v>
      </c>
      <c r="AB149" s="17"/>
      <c r="AC149" s="17"/>
      <c r="AD149" s="17"/>
      <c r="AE149" s="17"/>
      <c r="AF149" s="17"/>
      <c r="AG149" s="17"/>
      <c r="AH149" s="17"/>
      <c r="AI149" s="17"/>
      <c r="AJ149" s="17"/>
      <c r="AK149" s="17"/>
      <c r="AL149" s="17"/>
      <c r="AM149" s="17"/>
      <c r="AN149" s="17"/>
      <c r="AO149" s="17"/>
      <c r="AP149" s="17"/>
      <c r="AQ149" s="17"/>
    </row>
    <row r="150" spans="1:43" ht="111.3" hidden="1">
      <c r="A150">
        <f t="shared" si="92"/>
        <v>147</v>
      </c>
      <c r="B150" s="407">
        <f>1120*1.1</f>
        <v>1232</v>
      </c>
      <c r="C150" s="407"/>
      <c r="D150" s="407" t="s">
        <v>1109</v>
      </c>
      <c r="E150" s="407"/>
      <c r="F150" s="407" t="s">
        <v>1110</v>
      </c>
      <c r="G150" s="409">
        <f>190/1000</f>
        <v>0.19</v>
      </c>
      <c r="H150" s="410"/>
      <c r="I150" s="409">
        <f t="shared" si="91"/>
        <v>0.19</v>
      </c>
      <c r="K150" s="204" t="s">
        <v>1111</v>
      </c>
      <c r="L150" s="17" t="s">
        <v>1112</v>
      </c>
      <c r="M150" s="17"/>
      <c r="N150" s="721" t="b">
        <f t="shared" si="99"/>
        <v>0</v>
      </c>
      <c r="O150" s="721" t="b">
        <f t="shared" ref="O150:O204" si="123">FALSE()</f>
        <v>0</v>
      </c>
      <c r="P150" s="721" t="b">
        <f t="shared" si="121"/>
        <v>0</v>
      </c>
      <c r="Q150" s="721" t="b">
        <f t="shared" si="122"/>
        <v>0</v>
      </c>
      <c r="R150" s="721" t="b">
        <f t="shared" si="100"/>
        <v>0</v>
      </c>
      <c r="S150" s="721" t="b">
        <f t="shared" si="83"/>
        <v>0</v>
      </c>
      <c r="T150" s="721" t="b">
        <f t="shared" si="96"/>
        <v>0</v>
      </c>
      <c r="U150" s="721" t="b">
        <f t="shared" si="104"/>
        <v>0</v>
      </c>
      <c r="V150" s="721" t="b">
        <f t="shared" si="106"/>
        <v>0</v>
      </c>
      <c r="W150" s="721" t="b">
        <f t="shared" si="120"/>
        <v>0</v>
      </c>
      <c r="X150" s="721" t="b">
        <f t="shared" si="112"/>
        <v>0</v>
      </c>
      <c r="Y150" s="721" t="b">
        <f t="shared" si="115"/>
        <v>0</v>
      </c>
      <c r="Z150" s="721" t="b">
        <f>TRUE()</f>
        <v>1</v>
      </c>
      <c r="AA150" s="721" t="b">
        <f t="shared" si="111"/>
        <v>0</v>
      </c>
      <c r="AB150" s="17"/>
      <c r="AC150" s="17"/>
      <c r="AD150" s="17"/>
      <c r="AE150" s="17"/>
      <c r="AF150" s="17"/>
      <c r="AG150" s="17"/>
      <c r="AH150" s="17"/>
      <c r="AI150" s="17"/>
      <c r="AJ150" s="17"/>
      <c r="AK150" s="17"/>
      <c r="AL150" s="17"/>
      <c r="AM150" s="17"/>
      <c r="AN150" s="17"/>
      <c r="AO150" s="17"/>
      <c r="AP150" s="17"/>
      <c r="AQ150" s="17"/>
    </row>
    <row r="151" spans="1:43" hidden="1">
      <c r="A151">
        <f t="shared" si="92"/>
        <v>148</v>
      </c>
      <c r="B151" s="407">
        <v>1</v>
      </c>
      <c r="C151" s="407" t="s">
        <v>522</v>
      </c>
      <c r="D151" s="407" t="s">
        <v>1113</v>
      </c>
      <c r="E151" s="407"/>
      <c r="F151" s="408" t="s">
        <v>1114</v>
      </c>
      <c r="G151" s="409">
        <f>2893/1.2</f>
        <v>2410.8333333333335</v>
      </c>
      <c r="H151" s="410"/>
      <c r="I151" s="409">
        <f t="shared" si="91"/>
        <v>2410.8333333333335</v>
      </c>
      <c r="J151" s="58">
        <v>25000</v>
      </c>
      <c r="K151" s="417">
        <f t="shared" si="109"/>
        <v>9.6433333333333343E-2</v>
      </c>
      <c r="L151" s="17" t="s">
        <v>1115</v>
      </c>
      <c r="M151" s="720">
        <v>43994</v>
      </c>
      <c r="N151" s="721" t="b">
        <f t="shared" si="99"/>
        <v>0</v>
      </c>
      <c r="O151" s="721" t="b">
        <f t="shared" si="123"/>
        <v>0</v>
      </c>
      <c r="P151" s="721" t="b">
        <f>TRUE()</f>
        <v>1</v>
      </c>
      <c r="Q151" s="721" t="b">
        <f t="shared" si="122"/>
        <v>0</v>
      </c>
      <c r="R151" s="721" t="b">
        <f t="shared" si="100"/>
        <v>0</v>
      </c>
      <c r="S151" s="721" t="b">
        <f t="shared" si="83"/>
        <v>0</v>
      </c>
      <c r="T151" s="721" t="b">
        <f t="shared" si="96"/>
        <v>0</v>
      </c>
      <c r="U151" s="721" t="b">
        <f t="shared" si="104"/>
        <v>0</v>
      </c>
      <c r="V151" s="721" t="b">
        <f t="shared" si="106"/>
        <v>0</v>
      </c>
      <c r="W151" s="721" t="b">
        <f t="shared" si="120"/>
        <v>0</v>
      </c>
      <c r="X151" s="721" t="b">
        <f t="shared" si="112"/>
        <v>0</v>
      </c>
      <c r="Y151" s="721" t="b">
        <f t="shared" si="115"/>
        <v>0</v>
      </c>
      <c r="Z151" s="721" t="b">
        <f t="shared" ref="Z151:Z171" si="124">FALSE()</f>
        <v>0</v>
      </c>
      <c r="AA151" s="721" t="b">
        <f t="shared" si="111"/>
        <v>0</v>
      </c>
      <c r="AB151" s="17"/>
      <c r="AC151" s="17"/>
      <c r="AD151" s="17"/>
      <c r="AE151" s="17"/>
      <c r="AF151" s="17"/>
      <c r="AG151" s="17"/>
      <c r="AH151" s="17"/>
      <c r="AI151" s="17"/>
      <c r="AJ151" s="17"/>
      <c r="AK151" s="17"/>
      <c r="AL151" s="17"/>
      <c r="AM151" s="17"/>
      <c r="AN151" s="17"/>
      <c r="AO151" s="17"/>
      <c r="AP151" s="17"/>
      <c r="AQ151" s="17"/>
    </row>
    <row r="152" spans="1:43" hidden="1">
      <c r="A152">
        <f t="shared" si="92"/>
        <v>149</v>
      </c>
      <c r="B152" s="487">
        <v>1</v>
      </c>
      <c r="C152" s="487" t="s">
        <v>522</v>
      </c>
      <c r="D152" s="487" t="s">
        <v>531</v>
      </c>
      <c r="E152" s="487"/>
      <c r="F152" s="492" t="s">
        <v>1116</v>
      </c>
      <c r="G152" s="430">
        <v>500</v>
      </c>
      <c r="H152" s="428"/>
      <c r="I152" s="430">
        <f t="shared" si="91"/>
        <v>500</v>
      </c>
      <c r="J152" s="58">
        <v>15000</v>
      </c>
      <c r="K152" s="719"/>
      <c r="L152" s="728" t="s">
        <v>972</v>
      </c>
      <c r="M152" s="728"/>
      <c r="N152" s="721" t="b">
        <f t="shared" si="99"/>
        <v>0</v>
      </c>
      <c r="O152" s="721" t="b">
        <f t="shared" si="123"/>
        <v>0</v>
      </c>
      <c r="P152" s="721" t="b">
        <f>FALSE()</f>
        <v>0</v>
      </c>
      <c r="Q152" s="721" t="b">
        <f t="shared" si="122"/>
        <v>0</v>
      </c>
      <c r="R152" s="721" t="b">
        <f>TRUE()</f>
        <v>1</v>
      </c>
      <c r="S152" s="721" t="b">
        <f t="shared" si="83"/>
        <v>0</v>
      </c>
      <c r="T152" s="721" t="b">
        <f t="shared" si="96"/>
        <v>0</v>
      </c>
      <c r="U152" s="721" t="b">
        <f t="shared" si="104"/>
        <v>0</v>
      </c>
      <c r="V152" s="721" t="b">
        <f t="shared" si="106"/>
        <v>0</v>
      </c>
      <c r="W152" s="721" t="b">
        <f t="shared" si="120"/>
        <v>0</v>
      </c>
      <c r="X152" s="721" t="b">
        <f t="shared" si="112"/>
        <v>0</v>
      </c>
      <c r="Y152" s="721" t="b">
        <f t="shared" si="115"/>
        <v>0</v>
      </c>
      <c r="Z152" s="721" t="b">
        <f t="shared" si="124"/>
        <v>0</v>
      </c>
      <c r="AA152" s="721" t="b">
        <f t="shared" si="111"/>
        <v>0</v>
      </c>
      <c r="AB152" s="17"/>
      <c r="AC152" s="17"/>
      <c r="AD152" s="17"/>
      <c r="AE152" s="17"/>
      <c r="AF152" s="17"/>
      <c r="AG152" s="17"/>
      <c r="AH152" s="17"/>
      <c r="AI152" s="17"/>
      <c r="AJ152" s="17"/>
      <c r="AK152" s="17"/>
      <c r="AL152" s="17"/>
      <c r="AM152" s="17"/>
      <c r="AN152" s="17"/>
      <c r="AO152" s="17"/>
      <c r="AP152" s="17"/>
      <c r="AQ152" s="17"/>
    </row>
    <row r="153" spans="1:43" hidden="1">
      <c r="A153">
        <f t="shared" si="92"/>
        <v>150</v>
      </c>
      <c r="B153" s="487">
        <v>1</v>
      </c>
      <c r="C153" s="487" t="s">
        <v>522</v>
      </c>
      <c r="D153" s="487" t="s">
        <v>531</v>
      </c>
      <c r="E153" s="487"/>
      <c r="F153" s="492" t="s">
        <v>1117</v>
      </c>
      <c r="G153" s="430"/>
      <c r="H153" s="428"/>
      <c r="I153" s="430">
        <f t="shared" si="91"/>
        <v>0</v>
      </c>
      <c r="J153" s="58">
        <v>15000</v>
      </c>
      <c r="K153" s="417">
        <f t="shared" si="109"/>
        <v>0</v>
      </c>
      <c r="L153" s="728" t="s">
        <v>972</v>
      </c>
      <c r="M153" s="728"/>
      <c r="N153" s="721" t="b">
        <f t="shared" si="99"/>
        <v>0</v>
      </c>
      <c r="O153" s="721" t="b">
        <f t="shared" si="123"/>
        <v>0</v>
      </c>
      <c r="P153" s="721" t="b">
        <f t="shared" ref="P153:P154" si="125">TRUE()</f>
        <v>1</v>
      </c>
      <c r="Q153" s="721" t="b">
        <f t="shared" si="122"/>
        <v>0</v>
      </c>
      <c r="R153" s="721" t="b">
        <f t="shared" ref="R153:R154" si="126">FALSE()</f>
        <v>0</v>
      </c>
      <c r="S153" s="721" t="b">
        <f t="shared" si="83"/>
        <v>0</v>
      </c>
      <c r="T153" s="721" t="b">
        <f t="shared" si="96"/>
        <v>0</v>
      </c>
      <c r="U153" s="721" t="b">
        <f t="shared" si="104"/>
        <v>0</v>
      </c>
      <c r="V153" s="721" t="b">
        <f t="shared" si="106"/>
        <v>0</v>
      </c>
      <c r="W153" s="721" t="b">
        <f t="shared" si="120"/>
        <v>0</v>
      </c>
      <c r="X153" s="721" t="b">
        <f t="shared" si="112"/>
        <v>0</v>
      </c>
      <c r="Y153" s="721" t="b">
        <f t="shared" si="115"/>
        <v>0</v>
      </c>
      <c r="Z153" s="721" t="b">
        <f t="shared" si="124"/>
        <v>0</v>
      </c>
      <c r="AA153" s="721" t="b">
        <f t="shared" si="111"/>
        <v>0</v>
      </c>
      <c r="AB153" s="17"/>
      <c r="AC153" s="17"/>
      <c r="AD153" s="17"/>
      <c r="AE153" s="17"/>
      <c r="AF153" s="17"/>
      <c r="AG153" s="17"/>
      <c r="AH153" s="17"/>
      <c r="AI153" s="17"/>
      <c r="AJ153" s="17"/>
      <c r="AK153" s="17"/>
      <c r="AL153" s="17"/>
      <c r="AM153" s="17"/>
      <c r="AN153" s="17"/>
      <c r="AO153" s="17"/>
      <c r="AP153" s="17"/>
      <c r="AQ153" s="17"/>
    </row>
    <row r="154" spans="1:43" hidden="1">
      <c r="A154">
        <f t="shared" si="92"/>
        <v>151</v>
      </c>
      <c r="B154" s="407">
        <v>1</v>
      </c>
      <c r="C154" s="407" t="s">
        <v>522</v>
      </c>
      <c r="D154" s="407" t="s">
        <v>1118</v>
      </c>
      <c r="E154" s="407"/>
      <c r="F154" s="408" t="s">
        <v>1119</v>
      </c>
      <c r="G154" s="409">
        <f>1961.49*17.5/15</f>
        <v>2288.4049999999997</v>
      </c>
      <c r="H154" s="410"/>
      <c r="I154" s="409">
        <f t="shared" si="91"/>
        <v>2288.4049999999997</v>
      </c>
      <c r="J154" s="58">
        <v>17500</v>
      </c>
      <c r="K154" s="725">
        <f t="shared" si="109"/>
        <v>0.13076599999999999</v>
      </c>
      <c r="L154" s="17" t="s">
        <v>972</v>
      </c>
      <c r="M154" s="720">
        <v>43994</v>
      </c>
      <c r="N154" s="721" t="b">
        <f t="shared" si="99"/>
        <v>0</v>
      </c>
      <c r="O154" s="721" t="b">
        <f t="shared" si="123"/>
        <v>0</v>
      </c>
      <c r="P154" s="721" t="b">
        <f t="shared" si="125"/>
        <v>1</v>
      </c>
      <c r="Q154" s="721" t="b">
        <f t="shared" si="122"/>
        <v>0</v>
      </c>
      <c r="R154" s="721" t="b">
        <f t="shared" si="126"/>
        <v>0</v>
      </c>
      <c r="S154" s="721" t="b">
        <f t="shared" si="83"/>
        <v>0</v>
      </c>
      <c r="T154" s="721" t="b">
        <f t="shared" si="96"/>
        <v>0</v>
      </c>
      <c r="U154" s="721" t="b">
        <f t="shared" si="104"/>
        <v>0</v>
      </c>
      <c r="V154" s="721" t="b">
        <f t="shared" si="106"/>
        <v>0</v>
      </c>
      <c r="W154" s="721" t="b">
        <f t="shared" si="120"/>
        <v>0</v>
      </c>
      <c r="X154" s="721" t="b">
        <f t="shared" si="112"/>
        <v>0</v>
      </c>
      <c r="Y154" s="721" t="b">
        <f t="shared" si="115"/>
        <v>0</v>
      </c>
      <c r="Z154" s="721" t="b">
        <f t="shared" si="124"/>
        <v>0</v>
      </c>
      <c r="AA154" s="721" t="b">
        <f t="shared" si="111"/>
        <v>0</v>
      </c>
      <c r="AB154" s="17"/>
      <c r="AC154" s="17"/>
      <c r="AD154" s="17"/>
      <c r="AE154" s="17"/>
      <c r="AF154" s="17"/>
      <c r="AG154" s="17"/>
      <c r="AH154" s="17"/>
      <c r="AI154" s="17"/>
      <c r="AJ154" s="17"/>
      <c r="AK154" s="17"/>
      <c r="AL154" s="17"/>
      <c r="AM154" s="17"/>
      <c r="AN154" s="17"/>
      <c r="AO154" s="17"/>
      <c r="AP154" s="17"/>
      <c r="AQ154" s="17"/>
    </row>
    <row r="155" spans="1:43" hidden="1">
      <c r="A155">
        <f t="shared" si="92"/>
        <v>152</v>
      </c>
      <c r="B155" s="487">
        <v>1</v>
      </c>
      <c r="C155" s="487" t="s">
        <v>522</v>
      </c>
      <c r="D155" s="487" t="s">
        <v>531</v>
      </c>
      <c r="E155" s="487"/>
      <c r="F155" s="492" t="s">
        <v>1120</v>
      </c>
      <c r="G155" s="430">
        <v>500</v>
      </c>
      <c r="H155" s="428"/>
      <c r="I155" s="430">
        <f t="shared" si="91"/>
        <v>500</v>
      </c>
      <c r="J155" s="58">
        <v>15000</v>
      </c>
      <c r="K155" s="417">
        <f t="shared" si="109"/>
        <v>3.3333333333333333E-2</v>
      </c>
      <c r="L155" s="728" t="s">
        <v>972</v>
      </c>
      <c r="M155" s="728"/>
      <c r="N155" s="721" t="b">
        <f t="shared" si="99"/>
        <v>0</v>
      </c>
      <c r="O155" s="721" t="b">
        <f t="shared" si="123"/>
        <v>0</v>
      </c>
      <c r="P155" s="721" t="b">
        <f t="shared" ref="P155:P157" si="127">FALSE()</f>
        <v>0</v>
      </c>
      <c r="Q155" s="721" t="b">
        <f t="shared" si="122"/>
        <v>0</v>
      </c>
      <c r="R155" s="721" t="b">
        <f t="shared" ref="R155:R156" si="128">TRUE()</f>
        <v>1</v>
      </c>
      <c r="S155" s="721" t="b">
        <f t="shared" si="83"/>
        <v>0</v>
      </c>
      <c r="T155" s="721" t="b">
        <f t="shared" si="96"/>
        <v>0</v>
      </c>
      <c r="U155" s="721" t="b">
        <f t="shared" si="104"/>
        <v>0</v>
      </c>
      <c r="V155" s="721" t="b">
        <f t="shared" si="106"/>
        <v>0</v>
      </c>
      <c r="W155" s="721" t="b">
        <f t="shared" si="120"/>
        <v>0</v>
      </c>
      <c r="X155" s="721" t="b">
        <f t="shared" si="112"/>
        <v>0</v>
      </c>
      <c r="Y155" s="721" t="b">
        <f t="shared" si="115"/>
        <v>0</v>
      </c>
      <c r="Z155" s="721" t="b">
        <f t="shared" si="124"/>
        <v>0</v>
      </c>
      <c r="AA155" s="721" t="b">
        <f t="shared" si="111"/>
        <v>0</v>
      </c>
      <c r="AB155" s="17"/>
      <c r="AC155" s="17"/>
      <c r="AD155" s="17"/>
      <c r="AE155" s="17"/>
      <c r="AF155" s="17"/>
      <c r="AG155" s="17"/>
      <c r="AH155" s="17"/>
      <c r="AI155" s="17"/>
      <c r="AJ155" s="17"/>
      <c r="AK155" s="17"/>
      <c r="AL155" s="17"/>
      <c r="AM155" s="17"/>
      <c r="AN155" s="17"/>
      <c r="AO155" s="17"/>
      <c r="AP155" s="17"/>
      <c r="AQ155" s="17"/>
    </row>
    <row r="156" spans="1:43" ht="166.95" hidden="1">
      <c r="A156">
        <f t="shared" si="92"/>
        <v>153</v>
      </c>
      <c r="B156" s="487">
        <v>1</v>
      </c>
      <c r="C156" s="487" t="s">
        <v>522</v>
      </c>
      <c r="D156" s="487" t="s">
        <v>974</v>
      </c>
      <c r="E156" s="407" t="s">
        <v>1121</v>
      </c>
      <c r="F156" s="408" t="s">
        <v>1122</v>
      </c>
      <c r="G156" s="409">
        <v>1584.09</v>
      </c>
      <c r="H156" s="410"/>
      <c r="I156" s="430">
        <f t="shared" si="91"/>
        <v>1584.09</v>
      </c>
      <c r="J156" s="58">
        <v>84700</v>
      </c>
      <c r="K156" s="17"/>
      <c r="L156" s="17" t="s">
        <v>966</v>
      </c>
      <c r="M156" s="17"/>
      <c r="N156" s="721" t="b">
        <f t="shared" si="99"/>
        <v>0</v>
      </c>
      <c r="O156" s="721" t="b">
        <f t="shared" si="123"/>
        <v>0</v>
      </c>
      <c r="P156" s="721" t="b">
        <f t="shared" si="127"/>
        <v>0</v>
      </c>
      <c r="Q156" s="721" t="b">
        <f t="shared" si="122"/>
        <v>0</v>
      </c>
      <c r="R156" s="721" t="b">
        <f t="shared" si="128"/>
        <v>1</v>
      </c>
      <c r="S156" s="721" t="b">
        <f t="shared" si="83"/>
        <v>0</v>
      </c>
      <c r="T156" s="721" t="b">
        <f t="shared" si="96"/>
        <v>0</v>
      </c>
      <c r="U156" s="721" t="b">
        <f t="shared" si="104"/>
        <v>0</v>
      </c>
      <c r="V156" s="721" t="b">
        <f t="shared" si="106"/>
        <v>0</v>
      </c>
      <c r="W156" s="721" t="b">
        <f t="shared" si="120"/>
        <v>0</v>
      </c>
      <c r="X156" s="721" t="b">
        <f t="shared" si="112"/>
        <v>0</v>
      </c>
      <c r="Y156" s="721" t="b">
        <f t="shared" si="115"/>
        <v>0</v>
      </c>
      <c r="Z156" s="721" t="b">
        <f t="shared" si="124"/>
        <v>0</v>
      </c>
      <c r="AA156" s="721" t="b">
        <f t="shared" si="111"/>
        <v>0</v>
      </c>
      <c r="AB156" s="17"/>
      <c r="AC156" s="17"/>
      <c r="AD156" s="17"/>
      <c r="AE156" s="17"/>
      <c r="AF156" s="17"/>
      <c r="AG156" s="17"/>
      <c r="AH156" s="17"/>
      <c r="AI156" s="17"/>
      <c r="AJ156" s="17"/>
      <c r="AK156" s="17"/>
      <c r="AL156" s="17"/>
      <c r="AM156" s="17"/>
      <c r="AN156" s="17"/>
      <c r="AO156" s="17"/>
      <c r="AP156" s="17"/>
      <c r="AQ156" s="17"/>
    </row>
    <row r="157" spans="1:43" hidden="1">
      <c r="A157">
        <f t="shared" si="92"/>
        <v>154</v>
      </c>
      <c r="B157" s="407">
        <v>1</v>
      </c>
      <c r="C157" s="407" t="s">
        <v>505</v>
      </c>
      <c r="D157" s="407" t="s">
        <v>531</v>
      </c>
      <c r="E157" s="407"/>
      <c r="F157" s="408" t="s">
        <v>1123</v>
      </c>
      <c r="G157" s="409">
        <v>350</v>
      </c>
      <c r="H157" s="410"/>
      <c r="I157" s="409">
        <f t="shared" si="91"/>
        <v>350</v>
      </c>
      <c r="K157" s="17"/>
      <c r="L157" s="17" t="s">
        <v>972</v>
      </c>
      <c r="M157" s="720">
        <v>43942</v>
      </c>
      <c r="N157" s="721" t="b">
        <f t="shared" si="99"/>
        <v>0</v>
      </c>
      <c r="O157" s="721" t="b">
        <f t="shared" si="123"/>
        <v>0</v>
      </c>
      <c r="P157" s="721" t="b">
        <f t="shared" si="127"/>
        <v>0</v>
      </c>
      <c r="Q157" s="721" t="b">
        <f>TRUE()</f>
        <v>1</v>
      </c>
      <c r="R157" s="721" t="b">
        <f t="shared" ref="R157:R199" si="129">FALSE()</f>
        <v>0</v>
      </c>
      <c r="S157" s="721" t="b">
        <f t="shared" ref="S157:S183" si="130">FALSE()</f>
        <v>0</v>
      </c>
      <c r="T157" s="721" t="b">
        <f t="shared" si="96"/>
        <v>0</v>
      </c>
      <c r="U157" s="721" t="b">
        <f t="shared" si="104"/>
        <v>0</v>
      </c>
      <c r="V157" s="721" t="b">
        <f t="shared" si="106"/>
        <v>0</v>
      </c>
      <c r="W157" s="721" t="b">
        <f t="shared" si="120"/>
        <v>0</v>
      </c>
      <c r="X157" s="721" t="b">
        <f t="shared" si="112"/>
        <v>0</v>
      </c>
      <c r="Y157" s="721" t="b">
        <f t="shared" si="115"/>
        <v>0</v>
      </c>
      <c r="Z157" s="721" t="b">
        <f t="shared" si="124"/>
        <v>0</v>
      </c>
      <c r="AA157" s="721" t="b">
        <f t="shared" si="111"/>
        <v>0</v>
      </c>
      <c r="AB157" s="17"/>
      <c r="AC157" s="17"/>
      <c r="AD157" s="17"/>
      <c r="AE157" s="17"/>
      <c r="AF157" s="17"/>
      <c r="AG157" s="17"/>
      <c r="AH157" s="17"/>
      <c r="AI157" s="17"/>
      <c r="AJ157" s="17"/>
      <c r="AK157" s="17"/>
      <c r="AL157" s="17"/>
      <c r="AM157" s="17"/>
      <c r="AN157" s="17"/>
      <c r="AO157" s="17"/>
      <c r="AP157" s="17"/>
      <c r="AQ157" s="17"/>
    </row>
    <row r="158" spans="1:43" hidden="1">
      <c r="A158">
        <f t="shared" si="92"/>
        <v>155</v>
      </c>
      <c r="B158" s="407">
        <v>1</v>
      </c>
      <c r="C158" s="407" t="s">
        <v>522</v>
      </c>
      <c r="D158" s="407" t="s">
        <v>1118</v>
      </c>
      <c r="E158" s="407"/>
      <c r="F158" s="408" t="s">
        <v>1124</v>
      </c>
      <c r="G158" s="409">
        <f>109/1.2</f>
        <v>90.833333333333343</v>
      </c>
      <c r="H158" s="410"/>
      <c r="I158" s="409">
        <f t="shared" si="91"/>
        <v>90.833333333333343</v>
      </c>
      <c r="J158" s="58">
        <v>240</v>
      </c>
      <c r="K158" s="417">
        <f t="shared" si="109"/>
        <v>0.37847222222222227</v>
      </c>
      <c r="L158" s="17" t="s">
        <v>1115</v>
      </c>
      <c r="M158" s="720">
        <v>43973</v>
      </c>
      <c r="N158" s="721" t="b">
        <f t="shared" si="99"/>
        <v>0</v>
      </c>
      <c r="O158" s="721" t="b">
        <f t="shared" si="123"/>
        <v>0</v>
      </c>
      <c r="P158" s="721" t="b">
        <f t="shared" ref="P158:P171" si="131">TRUE()</f>
        <v>1</v>
      </c>
      <c r="Q158" s="721" t="b">
        <f t="shared" ref="Q158:Q182" si="132">FALSE()</f>
        <v>0</v>
      </c>
      <c r="R158" s="721" t="b">
        <f t="shared" si="129"/>
        <v>0</v>
      </c>
      <c r="S158" s="721" t="b">
        <f t="shared" si="130"/>
        <v>0</v>
      </c>
      <c r="T158" s="721" t="b">
        <f t="shared" si="96"/>
        <v>0</v>
      </c>
      <c r="U158" s="721" t="b">
        <f t="shared" si="104"/>
        <v>0</v>
      </c>
      <c r="V158" s="721" t="b">
        <f t="shared" si="106"/>
        <v>0</v>
      </c>
      <c r="W158" s="721" t="b">
        <f t="shared" si="120"/>
        <v>0</v>
      </c>
      <c r="X158" s="721" t="b">
        <f t="shared" si="112"/>
        <v>0</v>
      </c>
      <c r="Y158" s="721" t="b">
        <f t="shared" si="115"/>
        <v>0</v>
      </c>
      <c r="Z158" s="721" t="b">
        <f t="shared" si="124"/>
        <v>0</v>
      </c>
      <c r="AA158" s="721" t="b">
        <f t="shared" si="111"/>
        <v>0</v>
      </c>
      <c r="AB158" s="17"/>
      <c r="AC158" s="17"/>
      <c r="AD158" s="17"/>
      <c r="AE158" s="17"/>
      <c r="AF158" s="17"/>
      <c r="AG158" s="17"/>
      <c r="AH158" s="17"/>
      <c r="AI158" s="17"/>
      <c r="AJ158" s="17"/>
      <c r="AK158" s="17"/>
      <c r="AL158" s="17"/>
      <c r="AM158" s="17"/>
      <c r="AN158" s="17"/>
      <c r="AO158" s="17"/>
      <c r="AP158" s="17"/>
      <c r="AQ158" s="17"/>
    </row>
    <row r="159" spans="1:43" hidden="1">
      <c r="A159">
        <f t="shared" si="92"/>
        <v>156</v>
      </c>
      <c r="B159" s="407">
        <v>1</v>
      </c>
      <c r="C159" s="407" t="s">
        <v>522</v>
      </c>
      <c r="D159" s="407" t="s">
        <v>1118</v>
      </c>
      <c r="E159" s="407"/>
      <c r="F159" s="408" t="s">
        <v>1125</v>
      </c>
      <c r="G159" s="409">
        <f>129/1.2</f>
        <v>107.5</v>
      </c>
      <c r="H159" s="410"/>
      <c r="I159" s="409">
        <f t="shared" si="91"/>
        <v>107.5</v>
      </c>
      <c r="J159" s="58">
        <v>290</v>
      </c>
      <c r="K159" s="417">
        <f t="shared" si="109"/>
        <v>0.37068965517241381</v>
      </c>
      <c r="L159" s="17" t="s">
        <v>1115</v>
      </c>
      <c r="M159" s="720">
        <v>43973</v>
      </c>
      <c r="N159" s="721" t="b">
        <f t="shared" si="99"/>
        <v>0</v>
      </c>
      <c r="O159" s="721" t="b">
        <f t="shared" si="123"/>
        <v>0</v>
      </c>
      <c r="P159" s="721" t="b">
        <f t="shared" si="131"/>
        <v>1</v>
      </c>
      <c r="Q159" s="721" t="b">
        <f t="shared" si="132"/>
        <v>0</v>
      </c>
      <c r="R159" s="721" t="b">
        <f t="shared" si="129"/>
        <v>0</v>
      </c>
      <c r="S159" s="721" t="b">
        <f t="shared" si="130"/>
        <v>0</v>
      </c>
      <c r="T159" s="721" t="b">
        <f t="shared" si="96"/>
        <v>0</v>
      </c>
      <c r="U159" s="721" t="b">
        <f t="shared" si="104"/>
        <v>0</v>
      </c>
      <c r="V159" s="721" t="b">
        <f t="shared" si="106"/>
        <v>0</v>
      </c>
      <c r="W159" s="721" t="b">
        <f t="shared" si="120"/>
        <v>0</v>
      </c>
      <c r="X159" s="721" t="b">
        <f t="shared" si="112"/>
        <v>0</v>
      </c>
      <c r="Y159" s="721" t="b">
        <f t="shared" si="115"/>
        <v>0</v>
      </c>
      <c r="Z159" s="721" t="b">
        <f t="shared" si="124"/>
        <v>0</v>
      </c>
      <c r="AA159" s="721" t="b">
        <f t="shared" si="111"/>
        <v>0</v>
      </c>
      <c r="AB159" s="17"/>
      <c r="AC159" s="17"/>
      <c r="AD159" s="17"/>
      <c r="AE159" s="17"/>
      <c r="AF159" s="17"/>
      <c r="AG159" s="17"/>
      <c r="AH159" s="17"/>
      <c r="AI159" s="17"/>
      <c r="AJ159" s="17"/>
      <c r="AK159" s="17"/>
      <c r="AL159" s="17"/>
      <c r="AM159" s="17"/>
      <c r="AN159" s="17"/>
      <c r="AO159" s="17"/>
      <c r="AP159" s="17"/>
      <c r="AQ159" s="17"/>
    </row>
    <row r="160" spans="1:43" hidden="1">
      <c r="A160">
        <f t="shared" si="92"/>
        <v>157</v>
      </c>
      <c r="B160" s="407">
        <v>1</v>
      </c>
      <c r="C160" s="407" t="s">
        <v>522</v>
      </c>
      <c r="D160" s="407" t="s">
        <v>1118</v>
      </c>
      <c r="E160" s="407"/>
      <c r="F160" s="408" t="s">
        <v>1126</v>
      </c>
      <c r="G160" s="409">
        <f>195/1.2</f>
        <v>162.5</v>
      </c>
      <c r="H160" s="410"/>
      <c r="I160" s="409">
        <f t="shared" si="91"/>
        <v>162.5</v>
      </c>
      <c r="J160" s="58">
        <v>600</v>
      </c>
      <c r="K160" s="417">
        <f t="shared" si="109"/>
        <v>0.27083333333333331</v>
      </c>
      <c r="L160" s="17" t="s">
        <v>1115</v>
      </c>
      <c r="M160" s="720">
        <v>43973</v>
      </c>
      <c r="N160" s="721" t="b">
        <f t="shared" si="99"/>
        <v>0</v>
      </c>
      <c r="O160" s="721" t="b">
        <f t="shared" si="123"/>
        <v>0</v>
      </c>
      <c r="P160" s="721" t="b">
        <f t="shared" si="131"/>
        <v>1</v>
      </c>
      <c r="Q160" s="721" t="b">
        <f t="shared" si="132"/>
        <v>0</v>
      </c>
      <c r="R160" s="721" t="b">
        <f t="shared" si="129"/>
        <v>0</v>
      </c>
      <c r="S160" s="721" t="b">
        <f t="shared" si="130"/>
        <v>0</v>
      </c>
      <c r="T160" s="721" t="b">
        <f t="shared" si="96"/>
        <v>0</v>
      </c>
      <c r="U160" s="721" t="b">
        <f t="shared" si="104"/>
        <v>0</v>
      </c>
      <c r="V160" s="721" t="b">
        <f t="shared" si="106"/>
        <v>0</v>
      </c>
      <c r="W160" s="721" t="b">
        <f t="shared" si="120"/>
        <v>0</v>
      </c>
      <c r="X160" s="721" t="b">
        <f t="shared" si="112"/>
        <v>0</v>
      </c>
      <c r="Y160" s="721" t="b">
        <f t="shared" si="115"/>
        <v>0</v>
      </c>
      <c r="Z160" s="721" t="b">
        <f t="shared" si="124"/>
        <v>0</v>
      </c>
      <c r="AA160" s="721" t="b">
        <f t="shared" si="111"/>
        <v>0</v>
      </c>
      <c r="AB160" s="17"/>
      <c r="AC160" s="17"/>
      <c r="AD160" s="17"/>
      <c r="AE160" s="17"/>
      <c r="AF160" s="17"/>
      <c r="AG160" s="17"/>
      <c r="AH160" s="17"/>
      <c r="AI160" s="17"/>
      <c r="AJ160" s="17"/>
      <c r="AK160" s="17"/>
      <c r="AL160" s="17"/>
      <c r="AM160" s="17"/>
      <c r="AN160" s="17"/>
      <c r="AO160" s="17"/>
      <c r="AP160" s="17"/>
      <c r="AQ160" s="17"/>
    </row>
    <row r="161" spans="1:43" hidden="1">
      <c r="A161">
        <f t="shared" si="92"/>
        <v>158</v>
      </c>
      <c r="B161" s="407">
        <v>1</v>
      </c>
      <c r="C161" s="407" t="s">
        <v>522</v>
      </c>
      <c r="D161" s="407" t="s">
        <v>1127</v>
      </c>
      <c r="E161" s="407"/>
      <c r="F161" s="408" t="s">
        <v>1128</v>
      </c>
      <c r="G161" s="409">
        <f>410/1.2</f>
        <v>341.66666666666669</v>
      </c>
      <c r="H161" s="410"/>
      <c r="I161" s="409">
        <f t="shared" si="91"/>
        <v>341.66666666666669</v>
      </c>
      <c r="J161" s="58">
        <v>1000</v>
      </c>
      <c r="K161" s="417">
        <f t="shared" si="109"/>
        <v>0.34166666666666667</v>
      </c>
      <c r="L161" s="17" t="s">
        <v>1129</v>
      </c>
      <c r="M161" s="720">
        <v>43973</v>
      </c>
      <c r="N161" s="721" t="b">
        <f t="shared" si="99"/>
        <v>0</v>
      </c>
      <c r="O161" s="721" t="b">
        <f t="shared" si="123"/>
        <v>0</v>
      </c>
      <c r="P161" s="721" t="b">
        <f t="shared" si="131"/>
        <v>1</v>
      </c>
      <c r="Q161" s="721" t="b">
        <f t="shared" si="132"/>
        <v>0</v>
      </c>
      <c r="R161" s="721" t="b">
        <f t="shared" si="129"/>
        <v>0</v>
      </c>
      <c r="S161" s="721" t="b">
        <f t="shared" si="130"/>
        <v>0</v>
      </c>
      <c r="T161" s="721" t="b">
        <f t="shared" si="96"/>
        <v>0</v>
      </c>
      <c r="U161" s="721" t="b">
        <f t="shared" si="104"/>
        <v>0</v>
      </c>
      <c r="V161" s="721" t="b">
        <f t="shared" si="106"/>
        <v>0</v>
      </c>
      <c r="W161" s="721" t="b">
        <f t="shared" si="120"/>
        <v>0</v>
      </c>
      <c r="X161" s="721" t="b">
        <f t="shared" si="112"/>
        <v>0</v>
      </c>
      <c r="Y161" s="721" t="b">
        <f t="shared" si="115"/>
        <v>0</v>
      </c>
      <c r="Z161" s="721" t="b">
        <f t="shared" si="124"/>
        <v>0</v>
      </c>
      <c r="AA161" s="721" t="b">
        <f t="shared" si="111"/>
        <v>0</v>
      </c>
      <c r="AB161" s="17"/>
      <c r="AC161" s="17"/>
      <c r="AD161" s="17"/>
      <c r="AE161" s="17"/>
      <c r="AF161" s="17"/>
      <c r="AG161" s="17"/>
      <c r="AH161" s="17"/>
      <c r="AI161" s="17"/>
      <c r="AJ161" s="17"/>
      <c r="AK161" s="17"/>
      <c r="AL161" s="17"/>
      <c r="AM161" s="17"/>
      <c r="AN161" s="17"/>
      <c r="AO161" s="17"/>
      <c r="AP161" s="17"/>
      <c r="AQ161" s="17"/>
    </row>
    <row r="162" spans="1:43" hidden="1">
      <c r="A162">
        <f t="shared" si="92"/>
        <v>159</v>
      </c>
      <c r="B162" s="407">
        <v>1</v>
      </c>
      <c r="C162" s="407" t="s">
        <v>522</v>
      </c>
      <c r="D162" s="407"/>
      <c r="E162" s="407"/>
      <c r="F162" s="408" t="s">
        <v>1130</v>
      </c>
      <c r="G162" s="409"/>
      <c r="H162" s="410"/>
      <c r="I162" s="409">
        <f t="shared" si="91"/>
        <v>0</v>
      </c>
      <c r="J162" s="58">
        <v>1200</v>
      </c>
      <c r="K162" s="417">
        <f t="shared" si="109"/>
        <v>0</v>
      </c>
      <c r="L162" s="17"/>
      <c r="M162" s="17"/>
      <c r="N162" s="721" t="b">
        <f t="shared" si="99"/>
        <v>0</v>
      </c>
      <c r="O162" s="721" t="b">
        <f t="shared" si="123"/>
        <v>0</v>
      </c>
      <c r="P162" s="721" t="b">
        <f t="shared" si="131"/>
        <v>1</v>
      </c>
      <c r="Q162" s="721" t="b">
        <f t="shared" si="132"/>
        <v>0</v>
      </c>
      <c r="R162" s="721" t="b">
        <f t="shared" si="129"/>
        <v>0</v>
      </c>
      <c r="S162" s="721" t="b">
        <f t="shared" si="130"/>
        <v>0</v>
      </c>
      <c r="T162" s="721" t="b">
        <f t="shared" si="96"/>
        <v>0</v>
      </c>
      <c r="U162" s="721" t="b">
        <f t="shared" si="104"/>
        <v>0</v>
      </c>
      <c r="V162" s="721" t="b">
        <f t="shared" si="106"/>
        <v>0</v>
      </c>
      <c r="W162" s="721" t="b">
        <f t="shared" si="120"/>
        <v>0</v>
      </c>
      <c r="X162" s="721" t="b">
        <f t="shared" si="112"/>
        <v>0</v>
      </c>
      <c r="Y162" s="721" t="b">
        <f t="shared" si="115"/>
        <v>0</v>
      </c>
      <c r="Z162" s="721" t="b">
        <f t="shared" si="124"/>
        <v>0</v>
      </c>
      <c r="AA162" s="721" t="b">
        <f t="shared" si="111"/>
        <v>0</v>
      </c>
      <c r="AB162" s="17"/>
      <c r="AC162" s="17"/>
      <c r="AD162" s="17"/>
      <c r="AE162" s="17"/>
      <c r="AF162" s="17"/>
      <c r="AG162" s="17"/>
      <c r="AH162" s="17"/>
      <c r="AI162" s="17"/>
      <c r="AJ162" s="17"/>
      <c r="AK162" s="17"/>
      <c r="AL162" s="17"/>
      <c r="AM162" s="17"/>
      <c r="AN162" s="17"/>
      <c r="AO162" s="17"/>
      <c r="AP162" s="17"/>
      <c r="AQ162" s="17"/>
    </row>
    <row r="163" spans="1:43" hidden="1">
      <c r="A163">
        <f t="shared" si="92"/>
        <v>160</v>
      </c>
      <c r="B163" s="407">
        <v>1</v>
      </c>
      <c r="C163" s="407" t="s">
        <v>522</v>
      </c>
      <c r="D163" s="407" t="s">
        <v>1127</v>
      </c>
      <c r="E163" s="407"/>
      <c r="F163" s="408" t="s">
        <v>1131</v>
      </c>
      <c r="G163" s="409">
        <f>7/1.2</f>
        <v>5.8333333333333339</v>
      </c>
      <c r="H163" s="410"/>
      <c r="I163" s="409">
        <f t="shared" si="91"/>
        <v>5.8333333333333339</v>
      </c>
      <c r="K163" s="204"/>
      <c r="L163" s="17" t="s">
        <v>1129</v>
      </c>
      <c r="M163" s="720">
        <v>43973</v>
      </c>
      <c r="N163" s="721" t="b">
        <f t="shared" si="99"/>
        <v>0</v>
      </c>
      <c r="O163" s="721" t="b">
        <f t="shared" si="123"/>
        <v>0</v>
      </c>
      <c r="P163" s="721" t="b">
        <f t="shared" si="131"/>
        <v>1</v>
      </c>
      <c r="Q163" s="721" t="b">
        <f t="shared" si="132"/>
        <v>0</v>
      </c>
      <c r="R163" s="721" t="b">
        <f t="shared" si="129"/>
        <v>0</v>
      </c>
      <c r="S163" s="721" t="b">
        <f t="shared" si="130"/>
        <v>0</v>
      </c>
      <c r="T163" s="721" t="b">
        <f t="shared" si="96"/>
        <v>0</v>
      </c>
      <c r="U163" s="721" t="b">
        <f t="shared" si="104"/>
        <v>0</v>
      </c>
      <c r="V163" s="721" t="b">
        <f t="shared" si="106"/>
        <v>0</v>
      </c>
      <c r="W163" s="721" t="b">
        <f t="shared" si="120"/>
        <v>0</v>
      </c>
      <c r="X163" s="721" t="b">
        <f t="shared" si="112"/>
        <v>0</v>
      </c>
      <c r="Y163" s="721" t="b">
        <f t="shared" si="115"/>
        <v>0</v>
      </c>
      <c r="Z163" s="721" t="b">
        <f t="shared" si="124"/>
        <v>0</v>
      </c>
      <c r="AA163" s="721" t="b">
        <f t="shared" si="111"/>
        <v>0</v>
      </c>
      <c r="AB163" s="17"/>
      <c r="AC163" s="17"/>
      <c r="AD163" s="17"/>
      <c r="AE163" s="17"/>
      <c r="AF163" s="17"/>
      <c r="AG163" s="17"/>
      <c r="AH163" s="17"/>
      <c r="AI163" s="17"/>
      <c r="AJ163" s="17"/>
      <c r="AK163" s="17"/>
      <c r="AL163" s="17"/>
      <c r="AM163" s="17"/>
      <c r="AN163" s="17"/>
      <c r="AO163" s="17"/>
      <c r="AP163" s="17"/>
      <c r="AQ163" s="17"/>
    </row>
    <row r="164" spans="1:43" hidden="1">
      <c r="A164">
        <f t="shared" si="92"/>
        <v>161</v>
      </c>
      <c r="B164" s="407">
        <v>1</v>
      </c>
      <c r="C164" s="407" t="s">
        <v>522</v>
      </c>
      <c r="D164" s="407" t="s">
        <v>1127</v>
      </c>
      <c r="E164" s="407"/>
      <c r="F164" s="408" t="s">
        <v>1132</v>
      </c>
      <c r="G164" s="409">
        <f>13/1.2</f>
        <v>10.833333333333334</v>
      </c>
      <c r="H164" s="410"/>
      <c r="I164" s="409">
        <f t="shared" ref="I164:I227" si="133">G164*(1-H164)</f>
        <v>10.833333333333334</v>
      </c>
      <c r="K164" s="204"/>
      <c r="L164" s="17" t="s">
        <v>1129</v>
      </c>
      <c r="M164" s="720">
        <v>43973</v>
      </c>
      <c r="N164" s="721" t="b">
        <f t="shared" si="99"/>
        <v>0</v>
      </c>
      <c r="O164" s="721" t="b">
        <f t="shared" si="123"/>
        <v>0</v>
      </c>
      <c r="P164" s="721" t="b">
        <f t="shared" si="131"/>
        <v>1</v>
      </c>
      <c r="Q164" s="721" t="b">
        <f t="shared" si="132"/>
        <v>0</v>
      </c>
      <c r="R164" s="721" t="b">
        <f t="shared" si="129"/>
        <v>0</v>
      </c>
      <c r="S164" s="721" t="b">
        <f t="shared" si="130"/>
        <v>0</v>
      </c>
      <c r="T164" s="721" t="b">
        <f t="shared" si="96"/>
        <v>0</v>
      </c>
      <c r="U164" s="721" t="b">
        <f t="shared" si="104"/>
        <v>0</v>
      </c>
      <c r="V164" s="721" t="b">
        <f t="shared" si="106"/>
        <v>0</v>
      </c>
      <c r="W164" s="721" t="b">
        <f t="shared" si="120"/>
        <v>0</v>
      </c>
      <c r="X164" s="721" t="b">
        <f t="shared" si="112"/>
        <v>0</v>
      </c>
      <c r="Y164" s="721" t="b">
        <f t="shared" si="115"/>
        <v>0</v>
      </c>
      <c r="Z164" s="721" t="b">
        <f t="shared" si="124"/>
        <v>0</v>
      </c>
      <c r="AA164" s="721" t="b">
        <f t="shared" si="111"/>
        <v>0</v>
      </c>
      <c r="AB164" s="17"/>
      <c r="AC164" s="17"/>
      <c r="AD164" s="17"/>
      <c r="AE164" s="17"/>
      <c r="AF164" s="17"/>
      <c r="AG164" s="17"/>
      <c r="AH164" s="17"/>
      <c r="AI164" s="17"/>
      <c r="AJ164" s="17"/>
      <c r="AK164" s="17"/>
      <c r="AL164" s="17"/>
      <c r="AM164" s="17"/>
      <c r="AN164" s="17"/>
      <c r="AO164" s="17"/>
      <c r="AP164" s="17"/>
      <c r="AQ164" s="17"/>
    </row>
    <row r="165" spans="1:43" hidden="1">
      <c r="A165">
        <f t="shared" ref="A165:A228" si="134">A164+1</f>
        <v>162</v>
      </c>
      <c r="B165" s="407">
        <v>1</v>
      </c>
      <c r="C165" s="407" t="s">
        <v>522</v>
      </c>
      <c r="D165" s="407" t="s">
        <v>1127</v>
      </c>
      <c r="E165" s="407"/>
      <c r="F165" s="408" t="s">
        <v>1133</v>
      </c>
      <c r="G165" s="409">
        <f>13.5/1.2</f>
        <v>11.25</v>
      </c>
      <c r="H165" s="410"/>
      <c r="I165" s="409">
        <f t="shared" si="133"/>
        <v>11.25</v>
      </c>
      <c r="K165" s="204"/>
      <c r="L165" s="17" t="s">
        <v>1129</v>
      </c>
      <c r="M165" s="720">
        <v>43973</v>
      </c>
      <c r="N165" s="721" t="b">
        <f t="shared" si="99"/>
        <v>0</v>
      </c>
      <c r="O165" s="721" t="b">
        <f t="shared" si="123"/>
        <v>0</v>
      </c>
      <c r="P165" s="721" t="b">
        <f t="shared" si="131"/>
        <v>1</v>
      </c>
      <c r="Q165" s="721" t="b">
        <f t="shared" si="132"/>
        <v>0</v>
      </c>
      <c r="R165" s="721" t="b">
        <f t="shared" si="129"/>
        <v>0</v>
      </c>
      <c r="S165" s="721" t="b">
        <f t="shared" si="130"/>
        <v>0</v>
      </c>
      <c r="T165" s="721" t="b">
        <f t="shared" si="96"/>
        <v>0</v>
      </c>
      <c r="U165" s="721" t="b">
        <f t="shared" si="104"/>
        <v>0</v>
      </c>
      <c r="V165" s="721" t="b">
        <f t="shared" si="106"/>
        <v>0</v>
      </c>
      <c r="W165" s="721" t="b">
        <f t="shared" si="120"/>
        <v>0</v>
      </c>
      <c r="X165" s="721" t="b">
        <f t="shared" si="112"/>
        <v>0</v>
      </c>
      <c r="Y165" s="721" t="b">
        <f t="shared" si="115"/>
        <v>0</v>
      </c>
      <c r="Z165" s="721" t="b">
        <f t="shared" si="124"/>
        <v>0</v>
      </c>
      <c r="AA165" s="721" t="b">
        <f t="shared" si="111"/>
        <v>0</v>
      </c>
      <c r="AB165" s="17"/>
      <c r="AC165" s="17"/>
      <c r="AD165" s="17"/>
      <c r="AE165" s="17"/>
      <c r="AF165" s="17"/>
      <c r="AG165" s="17"/>
      <c r="AH165" s="17"/>
      <c r="AI165" s="17"/>
      <c r="AJ165" s="17"/>
      <c r="AK165" s="17"/>
      <c r="AL165" s="17"/>
      <c r="AM165" s="17"/>
      <c r="AN165" s="17"/>
      <c r="AO165" s="17"/>
      <c r="AP165" s="17"/>
      <c r="AQ165" s="17"/>
    </row>
    <row r="166" spans="1:43" hidden="1">
      <c r="A166">
        <f t="shared" si="134"/>
        <v>163</v>
      </c>
      <c r="B166" s="407">
        <v>1</v>
      </c>
      <c r="C166" s="407" t="s">
        <v>522</v>
      </c>
      <c r="D166" s="407" t="s">
        <v>1127</v>
      </c>
      <c r="E166" s="407"/>
      <c r="F166" s="408" t="s">
        <v>1134</v>
      </c>
      <c r="G166" s="409">
        <f>15/1.2</f>
        <v>12.5</v>
      </c>
      <c r="H166" s="410"/>
      <c r="I166" s="409">
        <f t="shared" si="133"/>
        <v>12.5</v>
      </c>
      <c r="K166" s="204"/>
      <c r="L166" s="17" t="s">
        <v>1129</v>
      </c>
      <c r="M166" s="720">
        <v>43973</v>
      </c>
      <c r="N166" s="721" t="b">
        <f t="shared" si="99"/>
        <v>0</v>
      </c>
      <c r="O166" s="721" t="b">
        <f t="shared" si="123"/>
        <v>0</v>
      </c>
      <c r="P166" s="721" t="b">
        <f t="shared" si="131"/>
        <v>1</v>
      </c>
      <c r="Q166" s="721" t="b">
        <f t="shared" si="132"/>
        <v>0</v>
      </c>
      <c r="R166" s="721" t="b">
        <f t="shared" si="129"/>
        <v>0</v>
      </c>
      <c r="S166" s="721" t="b">
        <f t="shared" si="130"/>
        <v>0</v>
      </c>
      <c r="T166" s="721" t="b">
        <f t="shared" si="96"/>
        <v>0</v>
      </c>
      <c r="U166" s="721" t="b">
        <f t="shared" si="104"/>
        <v>0</v>
      </c>
      <c r="V166" s="721" t="b">
        <f t="shared" si="106"/>
        <v>0</v>
      </c>
      <c r="W166" s="721" t="b">
        <f t="shared" si="120"/>
        <v>0</v>
      </c>
      <c r="X166" s="721" t="b">
        <f t="shared" si="112"/>
        <v>0</v>
      </c>
      <c r="Y166" s="721" t="b">
        <f t="shared" si="115"/>
        <v>0</v>
      </c>
      <c r="Z166" s="721" t="b">
        <f t="shared" si="124"/>
        <v>0</v>
      </c>
      <c r="AA166" s="721" t="b">
        <f t="shared" si="111"/>
        <v>0</v>
      </c>
      <c r="AB166" s="17"/>
      <c r="AC166" s="17"/>
      <c r="AD166" s="17"/>
      <c r="AE166" s="17"/>
      <c r="AF166" s="17"/>
      <c r="AG166" s="17"/>
      <c r="AH166" s="17"/>
      <c r="AI166" s="17"/>
      <c r="AJ166" s="17"/>
      <c r="AK166" s="17"/>
      <c r="AL166" s="17"/>
      <c r="AM166" s="17"/>
      <c r="AN166" s="17"/>
      <c r="AO166" s="17"/>
      <c r="AP166" s="17"/>
      <c r="AQ166" s="17"/>
    </row>
    <row r="167" spans="1:43" hidden="1">
      <c r="A167">
        <f t="shared" si="134"/>
        <v>164</v>
      </c>
      <c r="B167" s="407">
        <v>1</v>
      </c>
      <c r="C167" s="407" t="s">
        <v>522</v>
      </c>
      <c r="D167" s="407" t="s">
        <v>1127</v>
      </c>
      <c r="E167" s="407"/>
      <c r="F167" s="408" t="s">
        <v>1135</v>
      </c>
      <c r="G167" s="409">
        <f>22/1.2</f>
        <v>18.333333333333336</v>
      </c>
      <c r="H167" s="410"/>
      <c r="I167" s="409">
        <f t="shared" si="133"/>
        <v>18.333333333333336</v>
      </c>
      <c r="K167" s="204"/>
      <c r="L167" s="17" t="s">
        <v>1129</v>
      </c>
      <c r="M167" s="720">
        <v>43973</v>
      </c>
      <c r="N167" s="721" t="b">
        <f t="shared" si="99"/>
        <v>0</v>
      </c>
      <c r="O167" s="721" t="b">
        <f t="shared" si="123"/>
        <v>0</v>
      </c>
      <c r="P167" s="721" t="b">
        <f t="shared" si="131"/>
        <v>1</v>
      </c>
      <c r="Q167" s="721" t="b">
        <f t="shared" si="132"/>
        <v>0</v>
      </c>
      <c r="R167" s="721" t="b">
        <f t="shared" si="129"/>
        <v>0</v>
      </c>
      <c r="S167" s="721" t="b">
        <f t="shared" si="130"/>
        <v>0</v>
      </c>
      <c r="T167" s="721" t="b">
        <f t="shared" si="96"/>
        <v>0</v>
      </c>
      <c r="U167" s="721" t="b">
        <f t="shared" si="104"/>
        <v>0</v>
      </c>
      <c r="V167" s="721" t="b">
        <f t="shared" si="106"/>
        <v>0</v>
      </c>
      <c r="W167" s="721" t="b">
        <f t="shared" si="120"/>
        <v>0</v>
      </c>
      <c r="X167" s="721" t="b">
        <f t="shared" si="112"/>
        <v>0</v>
      </c>
      <c r="Y167" s="721" t="b">
        <f t="shared" si="115"/>
        <v>0</v>
      </c>
      <c r="Z167" s="721" t="b">
        <f t="shared" si="124"/>
        <v>0</v>
      </c>
      <c r="AA167" s="721" t="b">
        <f t="shared" si="111"/>
        <v>0</v>
      </c>
      <c r="AB167" s="17"/>
      <c r="AC167" s="17"/>
      <c r="AD167" s="17"/>
      <c r="AE167" s="17"/>
      <c r="AF167" s="17"/>
      <c r="AG167" s="17"/>
      <c r="AH167" s="17"/>
      <c r="AI167" s="17"/>
      <c r="AJ167" s="17"/>
      <c r="AK167" s="17"/>
      <c r="AL167" s="17"/>
      <c r="AM167" s="17"/>
      <c r="AN167" s="17"/>
      <c r="AO167" s="17"/>
      <c r="AP167" s="17"/>
      <c r="AQ167" s="17"/>
    </row>
    <row r="168" spans="1:43" hidden="1">
      <c r="A168">
        <f t="shared" si="134"/>
        <v>165</v>
      </c>
      <c r="B168" s="407">
        <v>1</v>
      </c>
      <c r="C168" s="407" t="s">
        <v>522</v>
      </c>
      <c r="D168" s="407" t="s">
        <v>1127</v>
      </c>
      <c r="E168" s="407"/>
      <c r="F168" s="408" t="s">
        <v>1136</v>
      </c>
      <c r="G168" s="409">
        <f>260/1.2</f>
        <v>216.66666666666669</v>
      </c>
      <c r="H168" s="410"/>
      <c r="I168" s="409">
        <f t="shared" si="133"/>
        <v>216.66666666666669</v>
      </c>
      <c r="J168" s="58">
        <v>600</v>
      </c>
      <c r="K168" s="417">
        <f t="shared" si="109"/>
        <v>0.36111111111111116</v>
      </c>
      <c r="L168" s="17" t="s">
        <v>1129</v>
      </c>
      <c r="M168" s="720">
        <v>43973</v>
      </c>
      <c r="N168" s="721" t="b">
        <f t="shared" si="99"/>
        <v>0</v>
      </c>
      <c r="O168" s="721" t="b">
        <f t="shared" si="123"/>
        <v>0</v>
      </c>
      <c r="P168" s="721" t="b">
        <f t="shared" si="131"/>
        <v>1</v>
      </c>
      <c r="Q168" s="721" t="b">
        <f t="shared" si="132"/>
        <v>0</v>
      </c>
      <c r="R168" s="721" t="b">
        <f t="shared" si="129"/>
        <v>0</v>
      </c>
      <c r="S168" s="721" t="b">
        <f t="shared" si="130"/>
        <v>0</v>
      </c>
      <c r="T168" s="721" t="b">
        <f t="shared" si="96"/>
        <v>0</v>
      </c>
      <c r="U168" s="721" t="b">
        <f t="shared" si="104"/>
        <v>0</v>
      </c>
      <c r="V168" s="721" t="b">
        <f t="shared" si="106"/>
        <v>0</v>
      </c>
      <c r="W168" s="721" t="b">
        <f t="shared" si="120"/>
        <v>0</v>
      </c>
      <c r="X168" s="721" t="b">
        <f t="shared" si="112"/>
        <v>0</v>
      </c>
      <c r="Y168" s="721" t="b">
        <f t="shared" si="115"/>
        <v>0</v>
      </c>
      <c r="Z168" s="721" t="b">
        <f t="shared" si="124"/>
        <v>0</v>
      </c>
      <c r="AA168" s="721" t="b">
        <f t="shared" si="111"/>
        <v>0</v>
      </c>
      <c r="AB168" s="17"/>
      <c r="AC168" s="17"/>
      <c r="AD168" s="17"/>
      <c r="AE168" s="17"/>
      <c r="AF168" s="17"/>
      <c r="AG168" s="17"/>
      <c r="AH168" s="17"/>
      <c r="AI168" s="17"/>
      <c r="AJ168" s="17"/>
      <c r="AK168" s="17"/>
      <c r="AL168" s="17"/>
      <c r="AM168" s="17"/>
      <c r="AN168" s="17"/>
      <c r="AO168" s="17"/>
      <c r="AP168" s="17"/>
      <c r="AQ168" s="17"/>
    </row>
    <row r="169" spans="1:43" hidden="1">
      <c r="A169">
        <f t="shared" si="134"/>
        <v>166</v>
      </c>
      <c r="B169" s="407">
        <v>1</v>
      </c>
      <c r="C169" s="407" t="s">
        <v>522</v>
      </c>
      <c r="D169" s="407" t="s">
        <v>1127</v>
      </c>
      <c r="E169" s="407"/>
      <c r="F169" s="408" t="s">
        <v>1137</v>
      </c>
      <c r="G169" s="409">
        <f>310/1.2</f>
        <v>258.33333333333337</v>
      </c>
      <c r="H169" s="410"/>
      <c r="I169" s="409">
        <f t="shared" si="133"/>
        <v>258.33333333333337</v>
      </c>
      <c r="J169" s="58">
        <v>600</v>
      </c>
      <c r="K169" s="417">
        <f t="shared" si="109"/>
        <v>0.43055555555555564</v>
      </c>
      <c r="L169" s="17" t="s">
        <v>1129</v>
      </c>
      <c r="M169" s="720">
        <v>43973</v>
      </c>
      <c r="N169" s="721" t="b">
        <f t="shared" si="99"/>
        <v>0</v>
      </c>
      <c r="O169" s="721" t="b">
        <f t="shared" si="123"/>
        <v>0</v>
      </c>
      <c r="P169" s="721" t="b">
        <f t="shared" si="131"/>
        <v>1</v>
      </c>
      <c r="Q169" s="721" t="b">
        <f t="shared" si="132"/>
        <v>0</v>
      </c>
      <c r="R169" s="721" t="b">
        <f t="shared" si="129"/>
        <v>0</v>
      </c>
      <c r="S169" s="721" t="b">
        <f t="shared" si="130"/>
        <v>0</v>
      </c>
      <c r="T169" s="721" t="b">
        <f t="shared" si="96"/>
        <v>0</v>
      </c>
      <c r="U169" s="721" t="b">
        <f t="shared" si="104"/>
        <v>0</v>
      </c>
      <c r="V169" s="721" t="b">
        <f t="shared" si="106"/>
        <v>0</v>
      </c>
      <c r="W169" s="721" t="b">
        <f t="shared" si="120"/>
        <v>0</v>
      </c>
      <c r="X169" s="721" t="b">
        <f t="shared" si="112"/>
        <v>0</v>
      </c>
      <c r="Y169" s="721" t="b">
        <f t="shared" si="115"/>
        <v>0</v>
      </c>
      <c r="Z169" s="721" t="b">
        <f t="shared" si="124"/>
        <v>0</v>
      </c>
      <c r="AA169" s="721" t="b">
        <f t="shared" si="111"/>
        <v>0</v>
      </c>
      <c r="AB169" s="17"/>
      <c r="AC169" s="17"/>
      <c r="AD169" s="17"/>
      <c r="AE169" s="17"/>
      <c r="AF169" s="17"/>
      <c r="AG169" s="17"/>
      <c r="AH169" s="17"/>
      <c r="AI169" s="17"/>
      <c r="AJ169" s="17"/>
      <c r="AK169" s="17"/>
      <c r="AL169" s="17"/>
      <c r="AM169" s="17"/>
      <c r="AN169" s="17"/>
      <c r="AO169" s="17"/>
      <c r="AP169" s="17"/>
      <c r="AQ169" s="17"/>
    </row>
    <row r="170" spans="1:43" hidden="1">
      <c r="A170">
        <f t="shared" si="134"/>
        <v>167</v>
      </c>
      <c r="B170" s="407">
        <v>1</v>
      </c>
      <c r="C170" s="407" t="s">
        <v>522</v>
      </c>
      <c r="D170" s="407" t="s">
        <v>1127</v>
      </c>
      <c r="E170" s="407"/>
      <c r="F170" s="408" t="s">
        <v>1138</v>
      </c>
      <c r="G170" s="409">
        <f>360/1.2</f>
        <v>300</v>
      </c>
      <c r="H170" s="410"/>
      <c r="I170" s="409">
        <f t="shared" si="133"/>
        <v>300</v>
      </c>
      <c r="J170" s="58">
        <v>1000</v>
      </c>
      <c r="K170" s="417">
        <f t="shared" si="109"/>
        <v>0.3</v>
      </c>
      <c r="L170" s="17" t="s">
        <v>1129</v>
      </c>
      <c r="M170" s="720">
        <v>43973</v>
      </c>
      <c r="N170" s="721" t="b">
        <f t="shared" si="99"/>
        <v>0</v>
      </c>
      <c r="O170" s="721" t="b">
        <f t="shared" si="123"/>
        <v>0</v>
      </c>
      <c r="P170" s="721" t="b">
        <f t="shared" si="131"/>
        <v>1</v>
      </c>
      <c r="Q170" s="721" t="b">
        <f t="shared" si="132"/>
        <v>0</v>
      </c>
      <c r="R170" s="721" t="b">
        <f t="shared" si="129"/>
        <v>0</v>
      </c>
      <c r="S170" s="721" t="b">
        <f t="shared" si="130"/>
        <v>0</v>
      </c>
      <c r="T170" s="721" t="b">
        <f t="shared" si="96"/>
        <v>0</v>
      </c>
      <c r="U170" s="721" t="b">
        <f t="shared" si="104"/>
        <v>0</v>
      </c>
      <c r="V170" s="721" t="b">
        <f t="shared" si="106"/>
        <v>0</v>
      </c>
      <c r="W170" s="721" t="b">
        <f t="shared" si="120"/>
        <v>0</v>
      </c>
      <c r="X170" s="721" t="b">
        <f t="shared" si="112"/>
        <v>0</v>
      </c>
      <c r="Y170" s="721" t="b">
        <f t="shared" si="115"/>
        <v>0</v>
      </c>
      <c r="Z170" s="721" t="b">
        <f t="shared" si="124"/>
        <v>0</v>
      </c>
      <c r="AA170" s="721" t="b">
        <f t="shared" si="111"/>
        <v>0</v>
      </c>
      <c r="AB170" s="17"/>
      <c r="AC170" s="17"/>
      <c r="AD170" s="17"/>
      <c r="AE170" s="17"/>
      <c r="AF170" s="17"/>
      <c r="AG170" s="17"/>
      <c r="AH170" s="17"/>
      <c r="AI170" s="17"/>
      <c r="AJ170" s="17"/>
      <c r="AK170" s="17"/>
      <c r="AL170" s="17"/>
      <c r="AM170" s="17"/>
      <c r="AN170" s="17"/>
      <c r="AO170" s="17"/>
      <c r="AP170" s="17"/>
      <c r="AQ170" s="17"/>
    </row>
    <row r="171" spans="1:43" hidden="1">
      <c r="A171">
        <f t="shared" si="134"/>
        <v>168</v>
      </c>
      <c r="B171" s="407">
        <v>1</v>
      </c>
      <c r="C171" s="407" t="s">
        <v>522</v>
      </c>
      <c r="D171" s="407" t="s">
        <v>1127</v>
      </c>
      <c r="E171" s="407"/>
      <c r="F171" s="408" t="s">
        <v>1139</v>
      </c>
      <c r="G171" s="409">
        <f>410/1.2</f>
        <v>341.66666666666669</v>
      </c>
      <c r="H171" s="410"/>
      <c r="I171" s="409">
        <f t="shared" si="133"/>
        <v>341.66666666666669</v>
      </c>
      <c r="J171" s="58">
        <v>1000</v>
      </c>
      <c r="K171" s="417">
        <f t="shared" si="109"/>
        <v>0.34166666666666667</v>
      </c>
      <c r="L171" s="17" t="s">
        <v>1129</v>
      </c>
      <c r="M171" s="720">
        <v>43973</v>
      </c>
      <c r="N171" s="721" t="b">
        <f t="shared" si="99"/>
        <v>0</v>
      </c>
      <c r="O171" s="721" t="b">
        <f t="shared" si="123"/>
        <v>0</v>
      </c>
      <c r="P171" s="721" t="b">
        <f t="shared" si="131"/>
        <v>1</v>
      </c>
      <c r="Q171" s="721" t="b">
        <f t="shared" si="132"/>
        <v>0</v>
      </c>
      <c r="R171" s="721" t="b">
        <f t="shared" si="129"/>
        <v>0</v>
      </c>
      <c r="S171" s="721" t="b">
        <f t="shared" si="130"/>
        <v>0</v>
      </c>
      <c r="T171" s="721" t="b">
        <f t="shared" ref="T171:T234" si="135">FALSE()</f>
        <v>0</v>
      </c>
      <c r="U171" s="721" t="b">
        <f t="shared" si="104"/>
        <v>0</v>
      </c>
      <c r="V171" s="721" t="b">
        <f t="shared" si="106"/>
        <v>0</v>
      </c>
      <c r="W171" s="721" t="b">
        <f t="shared" si="120"/>
        <v>0</v>
      </c>
      <c r="X171" s="721" t="b">
        <f t="shared" si="112"/>
        <v>0</v>
      </c>
      <c r="Y171" s="721" t="b">
        <f t="shared" si="115"/>
        <v>0</v>
      </c>
      <c r="Z171" s="721" t="b">
        <f t="shared" si="124"/>
        <v>0</v>
      </c>
      <c r="AA171" s="721" t="b">
        <f t="shared" si="111"/>
        <v>0</v>
      </c>
      <c r="AB171" s="17"/>
      <c r="AC171" s="17"/>
      <c r="AD171" s="17"/>
      <c r="AE171" s="17"/>
      <c r="AF171" s="17"/>
      <c r="AG171" s="17"/>
      <c r="AH171" s="17"/>
      <c r="AI171" s="17"/>
      <c r="AJ171" s="17"/>
      <c r="AK171" s="17"/>
      <c r="AL171" s="17"/>
      <c r="AM171" s="17"/>
      <c r="AN171" s="17"/>
      <c r="AO171" s="17"/>
      <c r="AP171" s="17"/>
      <c r="AQ171" s="17"/>
    </row>
    <row r="172" spans="1:43" hidden="1">
      <c r="A172">
        <f t="shared" si="134"/>
        <v>169</v>
      </c>
      <c r="B172" s="407">
        <v>1</v>
      </c>
      <c r="C172" s="407" t="s">
        <v>522</v>
      </c>
      <c r="D172" s="407" t="s">
        <v>1140</v>
      </c>
      <c r="E172" s="407"/>
      <c r="F172" s="408" t="s">
        <v>1141</v>
      </c>
      <c r="G172" s="409">
        <v>40.4</v>
      </c>
      <c r="H172" s="410"/>
      <c r="I172" s="409">
        <f t="shared" si="133"/>
        <v>40.4</v>
      </c>
      <c r="K172" s="17"/>
      <c r="L172" s="17" t="s">
        <v>1142</v>
      </c>
      <c r="M172" s="720">
        <v>43973</v>
      </c>
      <c r="N172" s="721" t="b">
        <f t="shared" si="99"/>
        <v>0</v>
      </c>
      <c r="O172" s="721" t="b">
        <f t="shared" si="123"/>
        <v>0</v>
      </c>
      <c r="P172" s="721" t="b">
        <f t="shared" ref="P172:P200" si="136">FALSE()</f>
        <v>0</v>
      </c>
      <c r="Q172" s="721" t="b">
        <f t="shared" si="132"/>
        <v>0</v>
      </c>
      <c r="R172" s="721" t="b">
        <f t="shared" si="129"/>
        <v>0</v>
      </c>
      <c r="S172" s="721" t="b">
        <f t="shared" si="130"/>
        <v>0</v>
      </c>
      <c r="T172" s="721" t="b">
        <f t="shared" si="135"/>
        <v>0</v>
      </c>
      <c r="U172" s="721" t="b">
        <f t="shared" si="104"/>
        <v>0</v>
      </c>
      <c r="V172" s="721" t="b">
        <f t="shared" si="106"/>
        <v>0</v>
      </c>
      <c r="W172" s="721" t="b">
        <f t="shared" si="120"/>
        <v>0</v>
      </c>
      <c r="X172" s="721" t="b">
        <f t="shared" si="112"/>
        <v>0</v>
      </c>
      <c r="Y172" s="721" t="b">
        <f t="shared" si="115"/>
        <v>0</v>
      </c>
      <c r="Z172" s="721" t="b">
        <f t="shared" ref="Z172:Z182" si="137">TRUE()</f>
        <v>1</v>
      </c>
      <c r="AA172" s="721" t="b">
        <f t="shared" si="111"/>
        <v>0</v>
      </c>
      <c r="AB172" s="17"/>
      <c r="AC172" s="17"/>
      <c r="AD172" s="17"/>
      <c r="AE172" s="17"/>
      <c r="AF172" s="17"/>
      <c r="AG172" s="17"/>
      <c r="AH172" s="17"/>
      <c r="AI172" s="17"/>
      <c r="AJ172" s="17"/>
      <c r="AK172" s="17"/>
      <c r="AL172" s="17"/>
      <c r="AM172" s="17"/>
      <c r="AN172" s="17"/>
      <c r="AO172" s="17"/>
      <c r="AP172" s="17"/>
      <c r="AQ172" s="17"/>
    </row>
    <row r="173" spans="1:43" hidden="1">
      <c r="A173">
        <f t="shared" si="134"/>
        <v>170</v>
      </c>
      <c r="B173" s="407">
        <v>1</v>
      </c>
      <c r="C173" s="407" t="s">
        <v>522</v>
      </c>
      <c r="D173" s="407" t="s">
        <v>1140</v>
      </c>
      <c r="E173" s="407"/>
      <c r="F173" s="408" t="s">
        <v>1143</v>
      </c>
      <c r="G173" s="409">
        <v>30.4</v>
      </c>
      <c r="H173" s="410"/>
      <c r="I173" s="409">
        <f t="shared" si="133"/>
        <v>30.4</v>
      </c>
      <c r="K173" s="17"/>
      <c r="L173" s="17" t="s">
        <v>1142</v>
      </c>
      <c r="M173" s="720">
        <v>43973</v>
      </c>
      <c r="N173" s="721" t="b">
        <f t="shared" ref="N173:N201" si="138">FALSE()</f>
        <v>0</v>
      </c>
      <c r="O173" s="721" t="b">
        <f t="shared" si="123"/>
        <v>0</v>
      </c>
      <c r="P173" s="721" t="b">
        <f t="shared" si="136"/>
        <v>0</v>
      </c>
      <c r="Q173" s="721" t="b">
        <f t="shared" si="132"/>
        <v>0</v>
      </c>
      <c r="R173" s="721" t="b">
        <f t="shared" si="129"/>
        <v>0</v>
      </c>
      <c r="S173" s="721" t="b">
        <f t="shared" si="130"/>
        <v>0</v>
      </c>
      <c r="T173" s="721" t="b">
        <f t="shared" si="135"/>
        <v>0</v>
      </c>
      <c r="U173" s="721" t="b">
        <f t="shared" si="104"/>
        <v>0</v>
      </c>
      <c r="V173" s="721" t="b">
        <f t="shared" si="106"/>
        <v>0</v>
      </c>
      <c r="W173" s="721" t="b">
        <f t="shared" si="120"/>
        <v>0</v>
      </c>
      <c r="X173" s="721" t="b">
        <f t="shared" si="112"/>
        <v>0</v>
      </c>
      <c r="Y173" s="721" t="b">
        <f t="shared" si="115"/>
        <v>0</v>
      </c>
      <c r="Z173" s="721" t="b">
        <f t="shared" si="137"/>
        <v>1</v>
      </c>
      <c r="AA173" s="721" t="b">
        <f t="shared" si="111"/>
        <v>0</v>
      </c>
      <c r="AB173" s="17"/>
      <c r="AC173" s="17"/>
      <c r="AD173" s="17"/>
      <c r="AE173" s="17"/>
      <c r="AF173" s="17"/>
      <c r="AG173" s="17"/>
      <c r="AH173" s="17"/>
      <c r="AI173" s="17"/>
      <c r="AJ173" s="17"/>
      <c r="AK173" s="17"/>
      <c r="AL173" s="17"/>
      <c r="AM173" s="17"/>
      <c r="AN173" s="17"/>
      <c r="AO173" s="17"/>
      <c r="AP173" s="17"/>
      <c r="AQ173" s="17"/>
    </row>
    <row r="174" spans="1:43" hidden="1">
      <c r="A174">
        <f t="shared" si="134"/>
        <v>171</v>
      </c>
      <c r="B174" s="407">
        <v>1</v>
      </c>
      <c r="C174" s="407" t="s">
        <v>522</v>
      </c>
      <c r="D174" s="407" t="s">
        <v>1140</v>
      </c>
      <c r="E174" s="407"/>
      <c r="F174" s="408" t="s">
        <v>1144</v>
      </c>
      <c r="G174" s="409">
        <v>20.399999999999999</v>
      </c>
      <c r="H174" s="410"/>
      <c r="I174" s="409">
        <f t="shared" si="133"/>
        <v>20.399999999999999</v>
      </c>
      <c r="K174" s="17"/>
      <c r="L174" s="17" t="s">
        <v>1142</v>
      </c>
      <c r="M174" s="720">
        <v>43973</v>
      </c>
      <c r="N174" s="721" t="b">
        <f t="shared" si="138"/>
        <v>0</v>
      </c>
      <c r="O174" s="721" t="b">
        <f t="shared" si="123"/>
        <v>0</v>
      </c>
      <c r="P174" s="721" t="b">
        <f t="shared" si="136"/>
        <v>0</v>
      </c>
      <c r="Q174" s="721" t="b">
        <f t="shared" si="132"/>
        <v>0</v>
      </c>
      <c r="R174" s="721" t="b">
        <f t="shared" si="129"/>
        <v>0</v>
      </c>
      <c r="S174" s="721" t="b">
        <f t="shared" si="130"/>
        <v>0</v>
      </c>
      <c r="T174" s="721" t="b">
        <f t="shared" si="135"/>
        <v>0</v>
      </c>
      <c r="U174" s="721" t="b">
        <f t="shared" si="104"/>
        <v>0</v>
      </c>
      <c r="V174" s="721" t="b">
        <f t="shared" si="106"/>
        <v>0</v>
      </c>
      <c r="W174" s="721" t="b">
        <f t="shared" si="120"/>
        <v>0</v>
      </c>
      <c r="X174" s="721" t="b">
        <f t="shared" si="112"/>
        <v>0</v>
      </c>
      <c r="Y174" s="721" t="b">
        <f t="shared" si="115"/>
        <v>0</v>
      </c>
      <c r="Z174" s="721" t="b">
        <f t="shared" si="137"/>
        <v>1</v>
      </c>
      <c r="AA174" s="721" t="b">
        <f t="shared" si="111"/>
        <v>0</v>
      </c>
      <c r="AB174" s="17"/>
      <c r="AC174" s="17"/>
      <c r="AD174" s="17"/>
      <c r="AE174" s="17"/>
      <c r="AF174" s="17"/>
      <c r="AG174" s="17"/>
      <c r="AH174" s="17"/>
      <c r="AI174" s="17"/>
      <c r="AJ174" s="17"/>
      <c r="AK174" s="17"/>
      <c r="AL174" s="17"/>
      <c r="AM174" s="17"/>
      <c r="AN174" s="17"/>
      <c r="AO174" s="17"/>
      <c r="AP174" s="17"/>
      <c r="AQ174" s="17"/>
    </row>
    <row r="175" spans="1:43" hidden="1">
      <c r="A175">
        <f t="shared" si="134"/>
        <v>172</v>
      </c>
      <c r="B175" s="407">
        <v>1</v>
      </c>
      <c r="C175" s="407" t="s">
        <v>522</v>
      </c>
      <c r="D175" s="407" t="s">
        <v>1140</v>
      </c>
      <c r="E175" s="407"/>
      <c r="F175" s="408" t="s">
        <v>1145</v>
      </c>
      <c r="G175" s="409">
        <v>15.4</v>
      </c>
      <c r="H175" s="410"/>
      <c r="I175" s="409">
        <f t="shared" si="133"/>
        <v>15.4</v>
      </c>
      <c r="K175" s="17"/>
      <c r="L175" s="17" t="s">
        <v>1142</v>
      </c>
      <c r="M175" s="720">
        <v>43973</v>
      </c>
      <c r="N175" s="721" t="b">
        <f t="shared" si="138"/>
        <v>0</v>
      </c>
      <c r="O175" s="721" t="b">
        <f t="shared" si="123"/>
        <v>0</v>
      </c>
      <c r="P175" s="721" t="b">
        <f t="shared" si="136"/>
        <v>0</v>
      </c>
      <c r="Q175" s="721" t="b">
        <f t="shared" si="132"/>
        <v>0</v>
      </c>
      <c r="R175" s="721" t="b">
        <f t="shared" si="129"/>
        <v>0</v>
      </c>
      <c r="S175" s="721" t="b">
        <f t="shared" si="130"/>
        <v>0</v>
      </c>
      <c r="T175" s="721" t="b">
        <f t="shared" si="135"/>
        <v>0</v>
      </c>
      <c r="U175" s="721" t="b">
        <f t="shared" si="104"/>
        <v>0</v>
      </c>
      <c r="V175" s="721" t="b">
        <f t="shared" si="106"/>
        <v>0</v>
      </c>
      <c r="W175" s="721" t="b">
        <f t="shared" si="120"/>
        <v>0</v>
      </c>
      <c r="X175" s="721" t="b">
        <f t="shared" si="112"/>
        <v>0</v>
      </c>
      <c r="Y175" s="721" t="b">
        <f t="shared" si="115"/>
        <v>0</v>
      </c>
      <c r="Z175" s="721" t="b">
        <f t="shared" si="137"/>
        <v>1</v>
      </c>
      <c r="AA175" s="721" t="b">
        <f t="shared" si="111"/>
        <v>0</v>
      </c>
      <c r="AB175" s="17"/>
      <c r="AC175" s="17"/>
      <c r="AD175" s="17"/>
      <c r="AE175" s="17"/>
      <c r="AF175" s="17"/>
      <c r="AG175" s="17"/>
      <c r="AH175" s="17"/>
      <c r="AI175" s="17"/>
      <c r="AJ175" s="17"/>
      <c r="AK175" s="17"/>
      <c r="AL175" s="17"/>
      <c r="AM175" s="17"/>
      <c r="AN175" s="17"/>
      <c r="AO175" s="17"/>
      <c r="AP175" s="17"/>
      <c r="AQ175" s="17"/>
    </row>
    <row r="176" spans="1:43" hidden="1">
      <c r="A176">
        <f t="shared" si="134"/>
        <v>173</v>
      </c>
      <c r="B176" s="407">
        <v>1</v>
      </c>
      <c r="C176" s="407" t="s">
        <v>522</v>
      </c>
      <c r="D176" s="407" t="s">
        <v>1140</v>
      </c>
      <c r="E176" s="407"/>
      <c r="F176" s="408" t="s">
        <v>1146</v>
      </c>
      <c r="G176" s="409">
        <v>10.4</v>
      </c>
      <c r="H176" s="410"/>
      <c r="I176" s="409">
        <f t="shared" si="133"/>
        <v>10.4</v>
      </c>
      <c r="K176" s="17"/>
      <c r="L176" s="17" t="s">
        <v>1142</v>
      </c>
      <c r="M176" s="720">
        <v>43973</v>
      </c>
      <c r="N176" s="721" t="b">
        <f t="shared" si="138"/>
        <v>0</v>
      </c>
      <c r="O176" s="721" t="b">
        <f t="shared" si="123"/>
        <v>0</v>
      </c>
      <c r="P176" s="721" t="b">
        <f t="shared" si="136"/>
        <v>0</v>
      </c>
      <c r="Q176" s="721" t="b">
        <f t="shared" si="132"/>
        <v>0</v>
      </c>
      <c r="R176" s="721" t="b">
        <f t="shared" si="129"/>
        <v>0</v>
      </c>
      <c r="S176" s="721" t="b">
        <f t="shared" si="130"/>
        <v>0</v>
      </c>
      <c r="T176" s="721" t="b">
        <f t="shared" si="135"/>
        <v>0</v>
      </c>
      <c r="U176" s="721" t="b">
        <f t="shared" si="104"/>
        <v>0</v>
      </c>
      <c r="V176" s="721" t="b">
        <f t="shared" si="106"/>
        <v>0</v>
      </c>
      <c r="W176" s="721" t="b">
        <f t="shared" si="120"/>
        <v>0</v>
      </c>
      <c r="X176" s="721" t="b">
        <f t="shared" si="112"/>
        <v>0</v>
      </c>
      <c r="Y176" s="721" t="b">
        <f t="shared" si="115"/>
        <v>0</v>
      </c>
      <c r="Z176" s="721" t="b">
        <f t="shared" si="137"/>
        <v>1</v>
      </c>
      <c r="AA176" s="721" t="b">
        <f t="shared" si="111"/>
        <v>0</v>
      </c>
      <c r="AB176" s="17"/>
      <c r="AC176" s="17"/>
      <c r="AD176" s="17"/>
      <c r="AE176" s="17"/>
      <c r="AF176" s="17"/>
      <c r="AG176" s="17"/>
      <c r="AH176" s="17"/>
      <c r="AI176" s="17"/>
      <c r="AJ176" s="17"/>
      <c r="AK176" s="17"/>
      <c r="AL176" s="17"/>
      <c r="AM176" s="17"/>
      <c r="AN176" s="17"/>
      <c r="AO176" s="17"/>
      <c r="AP176" s="17"/>
      <c r="AQ176" s="17"/>
    </row>
    <row r="177" spans="1:43" hidden="1">
      <c r="A177">
        <f t="shared" si="134"/>
        <v>174</v>
      </c>
      <c r="B177" s="407">
        <v>1</v>
      </c>
      <c r="C177" s="407" t="s">
        <v>522</v>
      </c>
      <c r="D177" s="407" t="s">
        <v>1140</v>
      </c>
      <c r="E177" s="407"/>
      <c r="F177" s="408" t="s">
        <v>1147</v>
      </c>
      <c r="G177" s="409">
        <v>8.4</v>
      </c>
      <c r="H177" s="410"/>
      <c r="I177" s="409">
        <f t="shared" si="133"/>
        <v>8.4</v>
      </c>
      <c r="K177" s="17"/>
      <c r="L177" s="17" t="s">
        <v>1142</v>
      </c>
      <c r="M177" s="720">
        <v>43973</v>
      </c>
      <c r="N177" s="721" t="b">
        <f t="shared" si="138"/>
        <v>0</v>
      </c>
      <c r="O177" s="721" t="b">
        <f t="shared" si="123"/>
        <v>0</v>
      </c>
      <c r="P177" s="721" t="b">
        <f t="shared" si="136"/>
        <v>0</v>
      </c>
      <c r="Q177" s="721" t="b">
        <f t="shared" si="132"/>
        <v>0</v>
      </c>
      <c r="R177" s="721" t="b">
        <f t="shared" si="129"/>
        <v>0</v>
      </c>
      <c r="S177" s="721" t="b">
        <f t="shared" si="130"/>
        <v>0</v>
      </c>
      <c r="T177" s="721" t="b">
        <f t="shared" si="135"/>
        <v>0</v>
      </c>
      <c r="U177" s="721" t="b">
        <f t="shared" si="104"/>
        <v>0</v>
      </c>
      <c r="V177" s="721" t="b">
        <f t="shared" si="106"/>
        <v>0</v>
      </c>
      <c r="W177" s="721" t="b">
        <f t="shared" si="120"/>
        <v>0</v>
      </c>
      <c r="X177" s="721" t="b">
        <f t="shared" si="112"/>
        <v>0</v>
      </c>
      <c r="Y177" s="721" t="b">
        <f t="shared" si="115"/>
        <v>0</v>
      </c>
      <c r="Z177" s="721" t="b">
        <f t="shared" si="137"/>
        <v>1</v>
      </c>
      <c r="AA177" s="721" t="b">
        <f t="shared" si="111"/>
        <v>0</v>
      </c>
      <c r="AB177" s="17"/>
      <c r="AC177" s="17"/>
      <c r="AD177" s="17"/>
      <c r="AE177" s="17"/>
      <c r="AF177" s="17"/>
      <c r="AG177" s="17"/>
      <c r="AH177" s="17"/>
      <c r="AI177" s="17"/>
      <c r="AJ177" s="17"/>
      <c r="AK177" s="17"/>
      <c r="AL177" s="17"/>
      <c r="AM177" s="17"/>
      <c r="AN177" s="17"/>
      <c r="AO177" s="17"/>
      <c r="AP177" s="17"/>
      <c r="AQ177" s="17"/>
    </row>
    <row r="178" spans="1:43" hidden="1">
      <c r="A178">
        <f t="shared" si="134"/>
        <v>175</v>
      </c>
      <c r="B178" s="407">
        <v>1</v>
      </c>
      <c r="C178" s="407" t="s">
        <v>522</v>
      </c>
      <c r="D178" s="407" t="s">
        <v>1140</v>
      </c>
      <c r="E178" s="407"/>
      <c r="F178" s="408" t="s">
        <v>1148</v>
      </c>
      <c r="G178" s="409">
        <v>5.4</v>
      </c>
      <c r="H178" s="410"/>
      <c r="I178" s="409">
        <f t="shared" si="133"/>
        <v>5.4</v>
      </c>
      <c r="K178" s="17"/>
      <c r="L178" s="17" t="s">
        <v>1142</v>
      </c>
      <c r="M178" s="720">
        <v>43973</v>
      </c>
      <c r="N178" s="721" t="b">
        <f t="shared" si="138"/>
        <v>0</v>
      </c>
      <c r="O178" s="721" t="b">
        <f t="shared" si="123"/>
        <v>0</v>
      </c>
      <c r="P178" s="721" t="b">
        <f t="shared" si="136"/>
        <v>0</v>
      </c>
      <c r="Q178" s="721" t="b">
        <f t="shared" si="132"/>
        <v>0</v>
      </c>
      <c r="R178" s="721" t="b">
        <f t="shared" si="129"/>
        <v>0</v>
      </c>
      <c r="S178" s="721" t="b">
        <f t="shared" si="130"/>
        <v>0</v>
      </c>
      <c r="T178" s="721" t="b">
        <f t="shared" si="135"/>
        <v>0</v>
      </c>
      <c r="U178" s="721" t="b">
        <f t="shared" ref="U178:U221" si="139">FALSE()</f>
        <v>0</v>
      </c>
      <c r="V178" s="721" t="b">
        <f t="shared" si="106"/>
        <v>0</v>
      </c>
      <c r="W178" s="721" t="b">
        <f t="shared" si="120"/>
        <v>0</v>
      </c>
      <c r="X178" s="721" t="b">
        <f t="shared" si="112"/>
        <v>0</v>
      </c>
      <c r="Y178" s="721" t="b">
        <f t="shared" si="115"/>
        <v>0</v>
      </c>
      <c r="Z178" s="721" t="b">
        <f t="shared" si="137"/>
        <v>1</v>
      </c>
      <c r="AA178" s="721" t="b">
        <f t="shared" si="111"/>
        <v>0</v>
      </c>
      <c r="AB178" s="17"/>
      <c r="AC178" s="17"/>
      <c r="AD178" s="17"/>
      <c r="AE178" s="17"/>
      <c r="AF178" s="17"/>
      <c r="AG178" s="17"/>
      <c r="AH178" s="17"/>
      <c r="AI178" s="17"/>
      <c r="AJ178" s="17"/>
      <c r="AK178" s="17"/>
      <c r="AL178" s="17"/>
      <c r="AM178" s="17"/>
      <c r="AN178" s="17"/>
      <c r="AO178" s="17"/>
      <c r="AP178" s="17"/>
      <c r="AQ178" s="17"/>
    </row>
    <row r="179" spans="1:43" hidden="1">
      <c r="A179">
        <f t="shared" si="134"/>
        <v>176</v>
      </c>
      <c r="B179" s="407">
        <v>1</v>
      </c>
      <c r="C179" s="407" t="s">
        <v>522</v>
      </c>
      <c r="D179" s="407" t="s">
        <v>1140</v>
      </c>
      <c r="E179" s="407"/>
      <c r="F179" s="408" t="s">
        <v>1149</v>
      </c>
      <c r="G179" s="409">
        <v>4.4000000000000004</v>
      </c>
      <c r="H179" s="410"/>
      <c r="I179" s="409">
        <f t="shared" si="133"/>
        <v>4.4000000000000004</v>
      </c>
      <c r="K179" s="17"/>
      <c r="L179" s="17" t="s">
        <v>1142</v>
      </c>
      <c r="M179" s="720">
        <v>43973</v>
      </c>
      <c r="N179" s="721" t="b">
        <f t="shared" si="138"/>
        <v>0</v>
      </c>
      <c r="O179" s="721" t="b">
        <f t="shared" si="123"/>
        <v>0</v>
      </c>
      <c r="P179" s="721" t="b">
        <f t="shared" si="136"/>
        <v>0</v>
      </c>
      <c r="Q179" s="721" t="b">
        <f t="shared" si="132"/>
        <v>0</v>
      </c>
      <c r="R179" s="721" t="b">
        <f t="shared" si="129"/>
        <v>0</v>
      </c>
      <c r="S179" s="721" t="b">
        <f t="shared" si="130"/>
        <v>0</v>
      </c>
      <c r="T179" s="721" t="b">
        <f t="shared" si="135"/>
        <v>0</v>
      </c>
      <c r="U179" s="721" t="b">
        <f t="shared" si="139"/>
        <v>0</v>
      </c>
      <c r="V179" s="721" t="b">
        <f t="shared" si="106"/>
        <v>0</v>
      </c>
      <c r="W179" s="721" t="b">
        <f t="shared" si="120"/>
        <v>0</v>
      </c>
      <c r="X179" s="721" t="b">
        <f t="shared" si="112"/>
        <v>0</v>
      </c>
      <c r="Y179" s="721" t="b">
        <f t="shared" si="115"/>
        <v>0</v>
      </c>
      <c r="Z179" s="721" t="b">
        <f t="shared" si="137"/>
        <v>1</v>
      </c>
      <c r="AA179" s="721" t="b">
        <f t="shared" si="111"/>
        <v>0</v>
      </c>
      <c r="AB179" s="17"/>
      <c r="AC179" s="17"/>
      <c r="AD179" s="17"/>
      <c r="AE179" s="17"/>
      <c r="AF179" s="17"/>
      <c r="AG179" s="17"/>
      <c r="AH179" s="17"/>
      <c r="AI179" s="17"/>
      <c r="AJ179" s="17"/>
      <c r="AK179" s="17"/>
      <c r="AL179" s="17"/>
      <c r="AM179" s="17"/>
      <c r="AN179" s="17"/>
      <c r="AO179" s="17"/>
      <c r="AP179" s="17"/>
      <c r="AQ179" s="17"/>
    </row>
    <row r="180" spans="1:43" hidden="1">
      <c r="A180">
        <f t="shared" si="134"/>
        <v>177</v>
      </c>
      <c r="B180" s="407">
        <v>1</v>
      </c>
      <c r="C180" s="407" t="s">
        <v>522</v>
      </c>
      <c r="D180" s="407" t="s">
        <v>1140</v>
      </c>
      <c r="E180" s="407"/>
      <c r="F180" s="408" t="s">
        <v>1150</v>
      </c>
      <c r="G180" s="409">
        <v>3.4</v>
      </c>
      <c r="H180" s="410"/>
      <c r="I180" s="409">
        <f t="shared" si="133"/>
        <v>3.4</v>
      </c>
      <c r="K180" s="17"/>
      <c r="L180" s="17" t="s">
        <v>1142</v>
      </c>
      <c r="M180" s="720">
        <v>43973</v>
      </c>
      <c r="N180" s="721" t="b">
        <f t="shared" si="138"/>
        <v>0</v>
      </c>
      <c r="O180" s="721" t="b">
        <f t="shared" si="123"/>
        <v>0</v>
      </c>
      <c r="P180" s="721" t="b">
        <f t="shared" si="136"/>
        <v>0</v>
      </c>
      <c r="Q180" s="721" t="b">
        <f t="shared" si="132"/>
        <v>0</v>
      </c>
      <c r="R180" s="721" t="b">
        <f t="shared" si="129"/>
        <v>0</v>
      </c>
      <c r="S180" s="721" t="b">
        <f t="shared" si="130"/>
        <v>0</v>
      </c>
      <c r="T180" s="721" t="b">
        <f t="shared" si="135"/>
        <v>0</v>
      </c>
      <c r="U180" s="721" t="b">
        <f t="shared" si="139"/>
        <v>0</v>
      </c>
      <c r="V180" s="721" t="b">
        <f t="shared" ref="V180:V217" si="140">FALSE()</f>
        <v>0</v>
      </c>
      <c r="W180" s="721" t="b">
        <f t="shared" si="120"/>
        <v>0</v>
      </c>
      <c r="X180" s="721" t="b">
        <f t="shared" si="112"/>
        <v>0</v>
      </c>
      <c r="Y180" s="721" t="b">
        <f t="shared" si="115"/>
        <v>0</v>
      </c>
      <c r="Z180" s="721" t="b">
        <f t="shared" si="137"/>
        <v>1</v>
      </c>
      <c r="AA180" s="721" t="b">
        <f t="shared" si="111"/>
        <v>0</v>
      </c>
      <c r="AB180" s="17"/>
      <c r="AC180" s="17"/>
      <c r="AD180" s="17"/>
      <c r="AE180" s="17"/>
      <c r="AF180" s="17"/>
      <c r="AG180" s="17"/>
      <c r="AH180" s="17"/>
      <c r="AI180" s="17"/>
      <c r="AJ180" s="17"/>
      <c r="AK180" s="17"/>
      <c r="AL180" s="17"/>
      <c r="AM180" s="17"/>
      <c r="AN180" s="17"/>
      <c r="AO180" s="17"/>
      <c r="AP180" s="17"/>
      <c r="AQ180" s="17"/>
    </row>
    <row r="181" spans="1:43" hidden="1">
      <c r="A181">
        <f t="shared" si="134"/>
        <v>178</v>
      </c>
      <c r="B181" s="407">
        <v>1</v>
      </c>
      <c r="C181" s="407" t="s">
        <v>522</v>
      </c>
      <c r="D181" s="407" t="s">
        <v>1151</v>
      </c>
      <c r="E181" s="407"/>
      <c r="F181" s="408" t="s">
        <v>1152</v>
      </c>
      <c r="G181" s="409">
        <v>68.459999999999994</v>
      </c>
      <c r="H181" s="410"/>
      <c r="I181" s="409">
        <f t="shared" si="133"/>
        <v>68.459999999999994</v>
      </c>
      <c r="K181" s="17"/>
      <c r="L181" s="17" t="s">
        <v>1153</v>
      </c>
      <c r="M181" s="720">
        <v>43973</v>
      </c>
      <c r="N181" s="721" t="b">
        <f t="shared" si="138"/>
        <v>0</v>
      </c>
      <c r="O181" s="721" t="b">
        <f t="shared" si="123"/>
        <v>0</v>
      </c>
      <c r="P181" s="721" t="b">
        <f t="shared" si="136"/>
        <v>0</v>
      </c>
      <c r="Q181" s="721" t="b">
        <f t="shared" si="132"/>
        <v>0</v>
      </c>
      <c r="R181" s="721" t="b">
        <f t="shared" si="129"/>
        <v>0</v>
      </c>
      <c r="S181" s="721" t="b">
        <f t="shared" si="130"/>
        <v>0</v>
      </c>
      <c r="T181" s="721" t="b">
        <f t="shared" si="135"/>
        <v>0</v>
      </c>
      <c r="U181" s="721" t="b">
        <f t="shared" si="139"/>
        <v>0</v>
      </c>
      <c r="V181" s="721" t="b">
        <f t="shared" si="140"/>
        <v>0</v>
      </c>
      <c r="W181" s="721" t="b">
        <f t="shared" si="120"/>
        <v>0</v>
      </c>
      <c r="X181" s="721" t="b">
        <f t="shared" si="112"/>
        <v>0</v>
      </c>
      <c r="Y181" s="721" t="b">
        <f t="shared" si="115"/>
        <v>0</v>
      </c>
      <c r="Z181" s="721" t="b">
        <f t="shared" si="137"/>
        <v>1</v>
      </c>
      <c r="AA181" s="721" t="b">
        <f t="shared" si="111"/>
        <v>0</v>
      </c>
      <c r="AB181" s="17"/>
      <c r="AC181" s="17"/>
      <c r="AD181" s="17"/>
      <c r="AE181" s="17"/>
      <c r="AF181" s="17"/>
      <c r="AG181" s="17"/>
      <c r="AH181" s="17"/>
      <c r="AI181" s="17"/>
      <c r="AJ181" s="17"/>
      <c r="AK181" s="17"/>
      <c r="AL181" s="17"/>
      <c r="AM181" s="17"/>
      <c r="AN181" s="17"/>
      <c r="AO181" s="17"/>
      <c r="AP181" s="17"/>
      <c r="AQ181" s="17"/>
    </row>
    <row r="182" spans="1:43" hidden="1">
      <c r="A182">
        <f t="shared" si="134"/>
        <v>179</v>
      </c>
      <c r="B182" s="407">
        <v>1</v>
      </c>
      <c r="C182" s="407" t="s">
        <v>522</v>
      </c>
      <c r="D182" s="407" t="s">
        <v>1151</v>
      </c>
      <c r="E182" s="407"/>
      <c r="F182" s="408" t="s">
        <v>1154</v>
      </c>
      <c r="G182" s="409">
        <v>52.33</v>
      </c>
      <c r="H182" s="410"/>
      <c r="I182" s="409">
        <f t="shared" si="133"/>
        <v>52.33</v>
      </c>
      <c r="K182" s="17"/>
      <c r="L182" s="17" t="s">
        <v>1153</v>
      </c>
      <c r="M182" s="720">
        <v>43973</v>
      </c>
      <c r="N182" s="721" t="b">
        <f t="shared" si="138"/>
        <v>0</v>
      </c>
      <c r="O182" s="721" t="b">
        <f t="shared" si="123"/>
        <v>0</v>
      </c>
      <c r="P182" s="721" t="b">
        <f t="shared" si="136"/>
        <v>0</v>
      </c>
      <c r="Q182" s="721" t="b">
        <f t="shared" si="132"/>
        <v>0</v>
      </c>
      <c r="R182" s="721" t="b">
        <f t="shared" si="129"/>
        <v>0</v>
      </c>
      <c r="S182" s="721" t="b">
        <f t="shared" si="130"/>
        <v>0</v>
      </c>
      <c r="T182" s="721" t="b">
        <f t="shared" si="135"/>
        <v>0</v>
      </c>
      <c r="U182" s="721" t="b">
        <f t="shared" si="139"/>
        <v>0</v>
      </c>
      <c r="V182" s="721" t="b">
        <f t="shared" si="140"/>
        <v>0</v>
      </c>
      <c r="W182" s="721" t="b">
        <f t="shared" si="120"/>
        <v>0</v>
      </c>
      <c r="X182" s="721" t="b">
        <f t="shared" si="112"/>
        <v>0</v>
      </c>
      <c r="Y182" s="721" t="b">
        <f t="shared" si="115"/>
        <v>0</v>
      </c>
      <c r="Z182" s="721" t="b">
        <f t="shared" si="137"/>
        <v>1</v>
      </c>
      <c r="AA182" s="721" t="b">
        <f t="shared" si="111"/>
        <v>0</v>
      </c>
      <c r="AB182" s="17"/>
      <c r="AC182" s="17"/>
      <c r="AD182" s="17"/>
      <c r="AE182" s="17"/>
      <c r="AF182" s="17"/>
      <c r="AG182" s="17"/>
      <c r="AH182" s="17"/>
      <c r="AI182" s="17"/>
      <c r="AJ182" s="17"/>
      <c r="AK182" s="17"/>
      <c r="AL182" s="17"/>
      <c r="AM182" s="17"/>
      <c r="AN182" s="17"/>
      <c r="AO182" s="17"/>
      <c r="AP182" s="17"/>
      <c r="AQ182" s="17"/>
    </row>
    <row r="183" spans="1:43" hidden="1">
      <c r="A183">
        <f t="shared" si="134"/>
        <v>180</v>
      </c>
      <c r="B183" s="407">
        <v>1</v>
      </c>
      <c r="C183" s="407" t="s">
        <v>505</v>
      </c>
      <c r="D183" s="407" t="s">
        <v>531</v>
      </c>
      <c r="E183" s="407"/>
      <c r="F183" s="408" t="s">
        <v>1155</v>
      </c>
      <c r="G183" s="409">
        <v>550</v>
      </c>
      <c r="H183" s="410"/>
      <c r="I183" s="409">
        <f t="shared" si="133"/>
        <v>550</v>
      </c>
      <c r="K183" s="17"/>
      <c r="L183" s="17" t="s">
        <v>972</v>
      </c>
      <c r="M183" s="720">
        <v>43984</v>
      </c>
      <c r="N183" s="721" t="b">
        <f t="shared" si="138"/>
        <v>0</v>
      </c>
      <c r="O183" s="721" t="b">
        <f t="shared" si="123"/>
        <v>0</v>
      </c>
      <c r="P183" s="721" t="b">
        <f t="shared" si="136"/>
        <v>0</v>
      </c>
      <c r="Q183" s="721" t="b">
        <f>TRUE()</f>
        <v>1</v>
      </c>
      <c r="R183" s="721" t="b">
        <f t="shared" si="129"/>
        <v>0</v>
      </c>
      <c r="S183" s="721" t="b">
        <f t="shared" si="130"/>
        <v>0</v>
      </c>
      <c r="T183" s="721" t="b">
        <f t="shared" si="135"/>
        <v>0</v>
      </c>
      <c r="U183" s="721" t="b">
        <f t="shared" si="139"/>
        <v>0</v>
      </c>
      <c r="V183" s="721" t="b">
        <f t="shared" si="140"/>
        <v>0</v>
      </c>
      <c r="W183" s="721" t="b">
        <f t="shared" si="120"/>
        <v>0</v>
      </c>
      <c r="X183" s="721" t="b">
        <f t="shared" si="112"/>
        <v>0</v>
      </c>
      <c r="Y183" s="721" t="b">
        <f t="shared" si="115"/>
        <v>0</v>
      </c>
      <c r="Z183" s="721" t="b">
        <f t="shared" ref="Z183:Z188" si="141">FALSE()</f>
        <v>0</v>
      </c>
      <c r="AA183" s="721" t="b">
        <f t="shared" si="111"/>
        <v>0</v>
      </c>
      <c r="AB183" s="17"/>
      <c r="AC183" s="17"/>
      <c r="AD183" s="17"/>
      <c r="AE183" s="17"/>
      <c r="AF183" s="17"/>
      <c r="AG183" s="17"/>
      <c r="AH183" s="17"/>
      <c r="AI183" s="17"/>
      <c r="AJ183" s="17"/>
      <c r="AK183" s="17"/>
      <c r="AL183" s="17"/>
      <c r="AM183" s="17"/>
      <c r="AN183" s="17"/>
      <c r="AO183" s="17"/>
      <c r="AP183" s="17"/>
      <c r="AQ183" s="17"/>
    </row>
    <row r="184" spans="1:43" hidden="1">
      <c r="A184">
        <f t="shared" si="134"/>
        <v>181</v>
      </c>
      <c r="B184" s="407">
        <v>1</v>
      </c>
      <c r="C184" s="407" t="s">
        <v>522</v>
      </c>
      <c r="D184" s="407" t="s">
        <v>678</v>
      </c>
      <c r="E184" s="407"/>
      <c r="F184" s="408" t="s">
        <v>1156</v>
      </c>
      <c r="G184" s="409">
        <v>348.32</v>
      </c>
      <c r="H184" s="410"/>
      <c r="I184" s="409">
        <f t="shared" si="133"/>
        <v>348.32</v>
      </c>
      <c r="J184" s="58">
        <f>100*400*1.732</f>
        <v>69280</v>
      </c>
      <c r="K184" s="17" t="s">
        <v>1157</v>
      </c>
      <c r="L184" s="17" t="s">
        <v>1158</v>
      </c>
      <c r="M184" s="720">
        <v>43984</v>
      </c>
      <c r="N184" s="721" t="b">
        <f t="shared" si="138"/>
        <v>0</v>
      </c>
      <c r="O184" s="721" t="b">
        <f t="shared" si="123"/>
        <v>0</v>
      </c>
      <c r="P184" s="721" t="b">
        <f t="shared" si="136"/>
        <v>0</v>
      </c>
      <c r="Q184" s="721" t="b">
        <f t="shared" ref="Q184:Q211" si="142">FALSE()</f>
        <v>0</v>
      </c>
      <c r="R184" s="721" t="b">
        <f t="shared" si="129"/>
        <v>0</v>
      </c>
      <c r="S184" s="721" t="b">
        <f t="shared" ref="S184:S188" si="143">TRUE()</f>
        <v>1</v>
      </c>
      <c r="T184" s="721" t="b">
        <f t="shared" si="135"/>
        <v>0</v>
      </c>
      <c r="U184" s="721" t="b">
        <f t="shared" si="139"/>
        <v>0</v>
      </c>
      <c r="V184" s="721" t="b">
        <f t="shared" si="140"/>
        <v>0</v>
      </c>
      <c r="W184" s="721" t="b">
        <f t="shared" si="120"/>
        <v>0</v>
      </c>
      <c r="X184" s="721" t="b">
        <f t="shared" si="112"/>
        <v>0</v>
      </c>
      <c r="Y184" s="721" t="b">
        <f t="shared" si="115"/>
        <v>0</v>
      </c>
      <c r="Z184" s="721" t="b">
        <f t="shared" si="141"/>
        <v>0</v>
      </c>
      <c r="AA184" s="721" t="b">
        <f t="shared" ref="AA184:AA235" si="144">FALSE()</f>
        <v>0</v>
      </c>
      <c r="AB184" s="17"/>
      <c r="AC184" s="17"/>
      <c r="AD184" s="17"/>
      <c r="AE184" s="17"/>
      <c r="AF184" s="17"/>
      <c r="AG184" s="17"/>
      <c r="AH184" s="17"/>
      <c r="AI184" s="17"/>
      <c r="AJ184" s="17"/>
      <c r="AK184" s="17"/>
      <c r="AL184" s="17"/>
      <c r="AM184" s="17"/>
      <c r="AN184" s="17"/>
      <c r="AO184" s="17"/>
      <c r="AP184" s="17"/>
      <c r="AQ184" s="17"/>
    </row>
    <row r="185" spans="1:43" hidden="1">
      <c r="A185">
        <f t="shared" si="134"/>
        <v>182</v>
      </c>
      <c r="B185" s="407">
        <v>1</v>
      </c>
      <c r="C185" s="407" t="s">
        <v>522</v>
      </c>
      <c r="D185" s="407" t="s">
        <v>678</v>
      </c>
      <c r="E185" s="407"/>
      <c r="F185" s="408" t="s">
        <v>1159</v>
      </c>
      <c r="G185" s="409">
        <v>1061.32</v>
      </c>
      <c r="H185" s="410"/>
      <c r="I185" s="409">
        <f t="shared" si="133"/>
        <v>1061.32</v>
      </c>
      <c r="J185" s="58">
        <f>160*400*1.732</f>
        <v>110848</v>
      </c>
      <c r="K185" s="17" t="s">
        <v>1157</v>
      </c>
      <c r="L185" s="17" t="s">
        <v>1158</v>
      </c>
      <c r="M185" s="720">
        <v>43984</v>
      </c>
      <c r="N185" s="721" t="b">
        <f t="shared" si="138"/>
        <v>0</v>
      </c>
      <c r="O185" s="721" t="b">
        <f t="shared" si="123"/>
        <v>0</v>
      </c>
      <c r="P185" s="721" t="b">
        <f t="shared" si="136"/>
        <v>0</v>
      </c>
      <c r="Q185" s="721" t="b">
        <f t="shared" si="142"/>
        <v>0</v>
      </c>
      <c r="R185" s="721" t="b">
        <f t="shared" si="129"/>
        <v>0</v>
      </c>
      <c r="S185" s="721" t="b">
        <f t="shared" si="143"/>
        <v>1</v>
      </c>
      <c r="T185" s="721" t="b">
        <f t="shared" si="135"/>
        <v>0</v>
      </c>
      <c r="U185" s="721" t="b">
        <f t="shared" si="139"/>
        <v>0</v>
      </c>
      <c r="V185" s="721" t="b">
        <f t="shared" si="140"/>
        <v>0</v>
      </c>
      <c r="W185" s="721" t="b">
        <f t="shared" si="120"/>
        <v>0</v>
      </c>
      <c r="X185" s="721" t="b">
        <f t="shared" si="112"/>
        <v>0</v>
      </c>
      <c r="Y185" s="721" t="b">
        <f t="shared" si="115"/>
        <v>0</v>
      </c>
      <c r="Z185" s="721" t="b">
        <f t="shared" si="141"/>
        <v>0</v>
      </c>
      <c r="AA185" s="721" t="b">
        <f t="shared" si="144"/>
        <v>0</v>
      </c>
      <c r="AB185" s="17"/>
      <c r="AC185" s="17"/>
      <c r="AD185" s="17"/>
      <c r="AE185" s="17"/>
      <c r="AF185" s="17"/>
      <c r="AG185" s="17"/>
      <c r="AH185" s="17"/>
      <c r="AI185" s="17"/>
      <c r="AJ185" s="17"/>
      <c r="AK185" s="17"/>
      <c r="AL185" s="17"/>
      <c r="AM185" s="17"/>
      <c r="AN185" s="17"/>
      <c r="AO185" s="17"/>
      <c r="AP185" s="17"/>
      <c r="AQ185" s="17"/>
    </row>
    <row r="186" spans="1:43" hidden="1">
      <c r="A186">
        <f t="shared" si="134"/>
        <v>183</v>
      </c>
      <c r="B186" s="407">
        <v>1</v>
      </c>
      <c r="C186" s="407" t="s">
        <v>522</v>
      </c>
      <c r="D186" s="407" t="s">
        <v>678</v>
      </c>
      <c r="E186" s="407"/>
      <c r="F186" s="408" t="s">
        <v>1160</v>
      </c>
      <c r="G186" s="409">
        <v>1668.3</v>
      </c>
      <c r="H186" s="410"/>
      <c r="I186" s="409">
        <f t="shared" si="133"/>
        <v>1668.3</v>
      </c>
      <c r="J186" s="58">
        <f>250*400*1.732</f>
        <v>173200</v>
      </c>
      <c r="K186" s="17" t="s">
        <v>1157</v>
      </c>
      <c r="L186" s="17" t="s">
        <v>1158</v>
      </c>
      <c r="M186" s="720">
        <v>43984</v>
      </c>
      <c r="N186" s="721" t="b">
        <f t="shared" si="138"/>
        <v>0</v>
      </c>
      <c r="O186" s="721" t="b">
        <f t="shared" si="123"/>
        <v>0</v>
      </c>
      <c r="P186" s="721" t="b">
        <f t="shared" si="136"/>
        <v>0</v>
      </c>
      <c r="Q186" s="721" t="b">
        <f t="shared" si="142"/>
        <v>0</v>
      </c>
      <c r="R186" s="721" t="b">
        <f t="shared" si="129"/>
        <v>0</v>
      </c>
      <c r="S186" s="721" t="b">
        <f t="shared" si="143"/>
        <v>1</v>
      </c>
      <c r="T186" s="721" t="b">
        <f t="shared" si="135"/>
        <v>0</v>
      </c>
      <c r="U186" s="721" t="b">
        <f t="shared" si="139"/>
        <v>0</v>
      </c>
      <c r="V186" s="721" t="b">
        <f t="shared" si="140"/>
        <v>0</v>
      </c>
      <c r="W186" s="721" t="b">
        <f t="shared" si="120"/>
        <v>0</v>
      </c>
      <c r="X186" s="721" t="b">
        <f t="shared" si="112"/>
        <v>0</v>
      </c>
      <c r="Y186" s="721" t="b">
        <f t="shared" si="115"/>
        <v>0</v>
      </c>
      <c r="Z186" s="721" t="b">
        <f t="shared" si="141"/>
        <v>0</v>
      </c>
      <c r="AA186" s="721" t="b">
        <f t="shared" si="144"/>
        <v>0</v>
      </c>
      <c r="AB186" s="17"/>
      <c r="AC186" s="17"/>
      <c r="AD186" s="17"/>
      <c r="AE186" s="17"/>
      <c r="AF186" s="17"/>
      <c r="AG186" s="17"/>
      <c r="AH186" s="17"/>
      <c r="AI186" s="17"/>
      <c r="AJ186" s="17"/>
      <c r="AK186" s="17"/>
      <c r="AL186" s="17"/>
      <c r="AM186" s="17"/>
      <c r="AN186" s="17"/>
      <c r="AO186" s="17"/>
      <c r="AP186" s="17"/>
      <c r="AQ186" s="17"/>
    </row>
    <row r="187" spans="1:43" hidden="1">
      <c r="A187">
        <f t="shared" si="134"/>
        <v>184</v>
      </c>
      <c r="B187" s="407">
        <v>1</v>
      </c>
      <c r="C187" s="407" t="s">
        <v>522</v>
      </c>
      <c r="D187" s="407" t="s">
        <v>678</v>
      </c>
      <c r="E187" s="407"/>
      <c r="F187" s="408" t="s">
        <v>1161</v>
      </c>
      <c r="G187" s="409">
        <v>1229.2</v>
      </c>
      <c r="H187" s="410"/>
      <c r="I187" s="409">
        <f t="shared" si="133"/>
        <v>1229.2</v>
      </c>
      <c r="K187" s="17" t="s">
        <v>1162</v>
      </c>
      <c r="L187" s="17" t="s">
        <v>1158</v>
      </c>
      <c r="M187" s="720">
        <v>43984</v>
      </c>
      <c r="N187" s="721" t="b">
        <f t="shared" si="138"/>
        <v>0</v>
      </c>
      <c r="O187" s="721" t="b">
        <f t="shared" si="123"/>
        <v>0</v>
      </c>
      <c r="P187" s="721" t="b">
        <f t="shared" si="136"/>
        <v>0</v>
      </c>
      <c r="Q187" s="721" t="b">
        <f t="shared" si="142"/>
        <v>0</v>
      </c>
      <c r="R187" s="721" t="b">
        <f t="shared" si="129"/>
        <v>0</v>
      </c>
      <c r="S187" s="721" t="b">
        <f t="shared" si="143"/>
        <v>1</v>
      </c>
      <c r="T187" s="721" t="b">
        <f t="shared" si="135"/>
        <v>0</v>
      </c>
      <c r="U187" s="721" t="b">
        <f t="shared" si="139"/>
        <v>0</v>
      </c>
      <c r="V187" s="721" t="b">
        <f t="shared" si="140"/>
        <v>0</v>
      </c>
      <c r="W187" s="721" t="b">
        <f t="shared" si="120"/>
        <v>0</v>
      </c>
      <c r="X187" s="721" t="b">
        <f t="shared" si="112"/>
        <v>0</v>
      </c>
      <c r="Y187" s="721" t="b">
        <f t="shared" si="115"/>
        <v>0</v>
      </c>
      <c r="Z187" s="721" t="b">
        <f t="shared" si="141"/>
        <v>0</v>
      </c>
      <c r="AA187" s="721" t="b">
        <f t="shared" si="144"/>
        <v>0</v>
      </c>
      <c r="AB187" s="17"/>
      <c r="AC187" s="17"/>
      <c r="AD187" s="17"/>
      <c r="AE187" s="17"/>
      <c r="AF187" s="17"/>
      <c r="AG187" s="17"/>
      <c r="AH187" s="17"/>
      <c r="AI187" s="17"/>
      <c r="AJ187" s="17"/>
      <c r="AK187" s="17"/>
      <c r="AL187" s="17"/>
      <c r="AM187" s="17"/>
      <c r="AN187" s="17"/>
      <c r="AO187" s="17"/>
      <c r="AP187" s="17"/>
      <c r="AQ187" s="17"/>
    </row>
    <row r="188" spans="1:43" hidden="1">
      <c r="A188">
        <f t="shared" si="134"/>
        <v>185</v>
      </c>
      <c r="B188" s="407">
        <v>1</v>
      </c>
      <c r="C188" s="407" t="s">
        <v>522</v>
      </c>
      <c r="D188" s="407" t="s">
        <v>678</v>
      </c>
      <c r="E188" s="407"/>
      <c r="F188" s="408" t="s">
        <v>1163</v>
      </c>
      <c r="G188" s="409">
        <v>489.99</v>
      </c>
      <c r="H188" s="410"/>
      <c r="I188" s="409">
        <f t="shared" si="133"/>
        <v>489.99</v>
      </c>
      <c r="K188" s="17" t="s">
        <v>1164</v>
      </c>
      <c r="L188" s="17" t="s">
        <v>1158</v>
      </c>
      <c r="M188" s="720">
        <v>43984</v>
      </c>
      <c r="N188" s="721" t="b">
        <f t="shared" si="138"/>
        <v>0</v>
      </c>
      <c r="O188" s="721" t="b">
        <f t="shared" si="123"/>
        <v>0</v>
      </c>
      <c r="P188" s="721" t="b">
        <f t="shared" si="136"/>
        <v>0</v>
      </c>
      <c r="Q188" s="721" t="b">
        <f t="shared" si="142"/>
        <v>0</v>
      </c>
      <c r="R188" s="721" t="b">
        <f t="shared" si="129"/>
        <v>0</v>
      </c>
      <c r="S188" s="721" t="b">
        <f t="shared" si="143"/>
        <v>1</v>
      </c>
      <c r="T188" s="721" t="b">
        <f t="shared" si="135"/>
        <v>0</v>
      </c>
      <c r="U188" s="721" t="b">
        <f t="shared" si="139"/>
        <v>0</v>
      </c>
      <c r="V188" s="721" t="b">
        <f t="shared" si="140"/>
        <v>0</v>
      </c>
      <c r="W188" s="721" t="b">
        <f t="shared" si="120"/>
        <v>0</v>
      </c>
      <c r="X188" s="721" t="b">
        <f t="shared" si="112"/>
        <v>0</v>
      </c>
      <c r="Y188" s="721" t="b">
        <f t="shared" si="115"/>
        <v>0</v>
      </c>
      <c r="Z188" s="721" t="b">
        <f t="shared" si="141"/>
        <v>0</v>
      </c>
      <c r="AA188" s="721" t="b">
        <f t="shared" si="144"/>
        <v>0</v>
      </c>
      <c r="AB188" s="17"/>
      <c r="AC188" s="17"/>
      <c r="AD188" s="17"/>
      <c r="AE188" s="17"/>
      <c r="AF188" s="17"/>
      <c r="AG188" s="17"/>
      <c r="AH188" s="17"/>
      <c r="AI188" s="17"/>
      <c r="AJ188" s="17"/>
      <c r="AK188" s="17"/>
      <c r="AL188" s="17"/>
      <c r="AM188" s="17"/>
      <c r="AN188" s="17"/>
      <c r="AO188" s="17"/>
      <c r="AP188" s="17"/>
      <c r="AQ188" s="17"/>
    </row>
    <row r="189" spans="1:43" ht="22.25" hidden="1">
      <c r="A189">
        <f t="shared" si="134"/>
        <v>186</v>
      </c>
      <c r="B189" s="407">
        <v>1</v>
      </c>
      <c r="C189" s="407" t="s">
        <v>522</v>
      </c>
      <c r="D189" s="407" t="s">
        <v>678</v>
      </c>
      <c r="E189" s="407" t="s">
        <v>1165</v>
      </c>
      <c r="F189" s="408" t="s">
        <v>1166</v>
      </c>
      <c r="G189" s="409">
        <v>200.25</v>
      </c>
      <c r="H189" s="410"/>
      <c r="I189" s="409">
        <f t="shared" si="133"/>
        <v>200.25</v>
      </c>
      <c r="J189" s="58">
        <v>3700</v>
      </c>
      <c r="K189" s="417">
        <f t="shared" ref="K189:K245" si="145">G189/J189</f>
        <v>5.4121621621621624E-2</v>
      </c>
      <c r="L189" s="17" t="s">
        <v>1158</v>
      </c>
      <c r="M189" s="720">
        <v>43984</v>
      </c>
      <c r="N189" s="721" t="b">
        <f t="shared" si="138"/>
        <v>0</v>
      </c>
      <c r="O189" s="721" t="b">
        <f t="shared" si="123"/>
        <v>0</v>
      </c>
      <c r="P189" s="721" t="b">
        <f t="shared" si="136"/>
        <v>0</v>
      </c>
      <c r="Q189" s="721" t="b">
        <f t="shared" si="142"/>
        <v>0</v>
      </c>
      <c r="R189" s="721" t="b">
        <f t="shared" si="129"/>
        <v>0</v>
      </c>
      <c r="S189" s="721" t="b">
        <f t="shared" ref="S189:S237" si="146">FALSE()</f>
        <v>0</v>
      </c>
      <c r="T189" s="721" t="b">
        <f t="shared" si="135"/>
        <v>0</v>
      </c>
      <c r="U189" s="721" t="b">
        <f t="shared" si="139"/>
        <v>0</v>
      </c>
      <c r="V189" s="721" t="b">
        <f t="shared" si="140"/>
        <v>0</v>
      </c>
      <c r="W189" s="721" t="b">
        <f t="shared" si="120"/>
        <v>0</v>
      </c>
      <c r="X189" s="721" t="b">
        <f t="shared" si="112"/>
        <v>0</v>
      </c>
      <c r="Y189" s="721" t="b">
        <f t="shared" si="115"/>
        <v>0</v>
      </c>
      <c r="Z189" s="721" t="b">
        <f t="shared" ref="Z189:Z198" si="147">TRUE()</f>
        <v>1</v>
      </c>
      <c r="AA189" s="721" t="b">
        <f t="shared" si="144"/>
        <v>0</v>
      </c>
      <c r="AB189" s="17"/>
      <c r="AC189" s="17"/>
      <c r="AD189" s="17"/>
      <c r="AE189" s="17"/>
      <c r="AF189" s="17"/>
      <c r="AG189" s="17"/>
      <c r="AH189" s="17"/>
      <c r="AI189" s="17"/>
      <c r="AJ189" s="17"/>
      <c r="AK189" s="17"/>
      <c r="AL189" s="17"/>
      <c r="AM189" s="17"/>
      <c r="AN189" s="17"/>
      <c r="AO189" s="17"/>
      <c r="AP189" s="17"/>
      <c r="AQ189" s="17"/>
    </row>
    <row r="190" spans="1:43" hidden="1">
      <c r="A190">
        <f t="shared" si="134"/>
        <v>187</v>
      </c>
      <c r="B190" s="407">
        <v>1</v>
      </c>
      <c r="C190" s="407" t="s">
        <v>522</v>
      </c>
      <c r="D190" s="407" t="s">
        <v>678</v>
      </c>
      <c r="E190" s="407" t="s">
        <v>1167</v>
      </c>
      <c r="F190" s="408" t="s">
        <v>1168</v>
      </c>
      <c r="G190" s="409">
        <v>790.91</v>
      </c>
      <c r="H190" s="410"/>
      <c r="I190" s="409">
        <f t="shared" si="133"/>
        <v>790.91</v>
      </c>
      <c r="K190" s="17"/>
      <c r="L190" s="17" t="s">
        <v>1158</v>
      </c>
      <c r="M190" s="720">
        <v>43984</v>
      </c>
      <c r="N190" s="721" t="b">
        <f t="shared" si="138"/>
        <v>0</v>
      </c>
      <c r="O190" s="721" t="b">
        <f t="shared" si="123"/>
        <v>0</v>
      </c>
      <c r="P190" s="721" t="b">
        <f t="shared" si="136"/>
        <v>0</v>
      </c>
      <c r="Q190" s="721" t="b">
        <f t="shared" si="142"/>
        <v>0</v>
      </c>
      <c r="R190" s="721" t="b">
        <f t="shared" si="129"/>
        <v>0</v>
      </c>
      <c r="S190" s="721" t="b">
        <f t="shared" si="146"/>
        <v>0</v>
      </c>
      <c r="T190" s="721" t="b">
        <f t="shared" si="135"/>
        <v>0</v>
      </c>
      <c r="U190" s="721" t="b">
        <f t="shared" si="139"/>
        <v>0</v>
      </c>
      <c r="V190" s="721" t="b">
        <f t="shared" si="140"/>
        <v>0</v>
      </c>
      <c r="W190" s="721" t="b">
        <f t="shared" si="120"/>
        <v>0</v>
      </c>
      <c r="X190" s="721" t="b">
        <f t="shared" si="112"/>
        <v>0</v>
      </c>
      <c r="Y190" s="721" t="b">
        <f t="shared" si="115"/>
        <v>0</v>
      </c>
      <c r="Z190" s="721" t="b">
        <f t="shared" si="147"/>
        <v>1</v>
      </c>
      <c r="AA190" s="721" t="b">
        <f t="shared" si="144"/>
        <v>0</v>
      </c>
      <c r="AB190" s="17"/>
      <c r="AC190" s="17"/>
      <c r="AD190" s="17"/>
      <c r="AE190" s="17"/>
      <c r="AF190" s="17"/>
      <c r="AG190" s="17"/>
      <c r="AH190" s="17"/>
      <c r="AI190" s="17"/>
      <c r="AJ190" s="17"/>
      <c r="AK190" s="17"/>
      <c r="AL190" s="17"/>
      <c r="AM190" s="17"/>
      <c r="AN190" s="17"/>
      <c r="AO190" s="17"/>
      <c r="AP190" s="17"/>
      <c r="AQ190" s="17"/>
    </row>
    <row r="191" spans="1:43" ht="22.25" hidden="1">
      <c r="A191">
        <f t="shared" si="134"/>
        <v>188</v>
      </c>
      <c r="B191" s="407">
        <v>1</v>
      </c>
      <c r="C191" s="407" t="s">
        <v>522</v>
      </c>
      <c r="D191" s="407" t="s">
        <v>678</v>
      </c>
      <c r="E191" s="407" t="s">
        <v>1169</v>
      </c>
      <c r="F191" s="408" t="s">
        <v>1170</v>
      </c>
      <c r="G191" s="409">
        <v>185.16</v>
      </c>
      <c r="H191" s="410"/>
      <c r="I191" s="409">
        <f t="shared" si="133"/>
        <v>185.16</v>
      </c>
      <c r="J191" s="58">
        <v>3700</v>
      </c>
      <c r="K191" s="417">
        <f t="shared" si="145"/>
        <v>5.0043243243243239E-2</v>
      </c>
      <c r="L191" s="17" t="s">
        <v>1158</v>
      </c>
      <c r="M191" s="720">
        <v>43984</v>
      </c>
      <c r="N191" s="721" t="b">
        <f t="shared" si="138"/>
        <v>0</v>
      </c>
      <c r="O191" s="721" t="b">
        <f t="shared" si="123"/>
        <v>0</v>
      </c>
      <c r="P191" s="721" t="b">
        <f t="shared" si="136"/>
        <v>0</v>
      </c>
      <c r="Q191" s="721" t="b">
        <f t="shared" si="142"/>
        <v>0</v>
      </c>
      <c r="R191" s="721" t="b">
        <f t="shared" si="129"/>
        <v>0</v>
      </c>
      <c r="S191" s="721" t="b">
        <f t="shared" si="146"/>
        <v>0</v>
      </c>
      <c r="T191" s="721" t="b">
        <f t="shared" si="135"/>
        <v>0</v>
      </c>
      <c r="U191" s="721" t="b">
        <f t="shared" si="139"/>
        <v>0</v>
      </c>
      <c r="V191" s="721" t="b">
        <f t="shared" si="140"/>
        <v>0</v>
      </c>
      <c r="W191" s="721" t="b">
        <f t="shared" si="120"/>
        <v>0</v>
      </c>
      <c r="X191" s="721" t="b">
        <f t="shared" si="112"/>
        <v>0</v>
      </c>
      <c r="Y191" s="721" t="b">
        <f t="shared" si="115"/>
        <v>0</v>
      </c>
      <c r="Z191" s="721" t="b">
        <f t="shared" si="147"/>
        <v>1</v>
      </c>
      <c r="AA191" s="721" t="b">
        <f t="shared" si="144"/>
        <v>0</v>
      </c>
      <c r="AB191" s="17"/>
      <c r="AC191" s="17"/>
      <c r="AD191" s="17"/>
      <c r="AE191" s="17"/>
      <c r="AF191" s="17"/>
      <c r="AG191" s="17"/>
      <c r="AH191" s="17"/>
      <c r="AI191" s="17"/>
      <c r="AJ191" s="17"/>
      <c r="AK191" s="17"/>
      <c r="AL191" s="17"/>
      <c r="AM191" s="17"/>
      <c r="AN191" s="17"/>
      <c r="AO191" s="17"/>
      <c r="AP191" s="17"/>
      <c r="AQ191" s="17"/>
    </row>
    <row r="192" spans="1:43" ht="22.25" hidden="1">
      <c r="A192">
        <f t="shared" si="134"/>
        <v>189</v>
      </c>
      <c r="B192" s="407">
        <v>1</v>
      </c>
      <c r="C192" s="407" t="s">
        <v>522</v>
      </c>
      <c r="D192" s="407" t="s">
        <v>678</v>
      </c>
      <c r="E192" s="407" t="s">
        <v>1171</v>
      </c>
      <c r="F192" s="408" t="s">
        <v>1172</v>
      </c>
      <c r="G192" s="409">
        <v>1245.04</v>
      </c>
      <c r="H192" s="410"/>
      <c r="I192" s="409">
        <f t="shared" si="133"/>
        <v>1245.04</v>
      </c>
      <c r="J192" s="58">
        <v>7400</v>
      </c>
      <c r="K192" s="417">
        <f t="shared" si="145"/>
        <v>0.16824864864864864</v>
      </c>
      <c r="L192" s="17" t="s">
        <v>1158</v>
      </c>
      <c r="M192" s="720">
        <v>43984</v>
      </c>
      <c r="N192" s="721" t="b">
        <f t="shared" si="138"/>
        <v>0</v>
      </c>
      <c r="O192" s="721" t="b">
        <f t="shared" si="123"/>
        <v>0</v>
      </c>
      <c r="P192" s="721" t="b">
        <f t="shared" si="136"/>
        <v>0</v>
      </c>
      <c r="Q192" s="721" t="b">
        <f t="shared" si="142"/>
        <v>0</v>
      </c>
      <c r="R192" s="721" t="b">
        <f t="shared" si="129"/>
        <v>0</v>
      </c>
      <c r="S192" s="721" t="b">
        <f t="shared" si="146"/>
        <v>0</v>
      </c>
      <c r="T192" s="721" t="b">
        <f t="shared" si="135"/>
        <v>0</v>
      </c>
      <c r="U192" s="721" t="b">
        <f t="shared" si="139"/>
        <v>0</v>
      </c>
      <c r="V192" s="721" t="b">
        <f t="shared" si="140"/>
        <v>0</v>
      </c>
      <c r="W192" s="721" t="b">
        <f t="shared" si="120"/>
        <v>0</v>
      </c>
      <c r="X192" s="721" t="b">
        <f t="shared" si="112"/>
        <v>0</v>
      </c>
      <c r="Y192" s="721" t="b">
        <f t="shared" si="115"/>
        <v>0</v>
      </c>
      <c r="Z192" s="721" t="b">
        <f t="shared" si="147"/>
        <v>1</v>
      </c>
      <c r="AA192" s="721" t="b">
        <f t="shared" si="144"/>
        <v>0</v>
      </c>
      <c r="AB192" s="17"/>
      <c r="AC192" s="17"/>
      <c r="AD192" s="17"/>
      <c r="AE192" s="17"/>
      <c r="AF192" s="17"/>
      <c r="AG192" s="17"/>
      <c r="AH192" s="17"/>
      <c r="AI192" s="17"/>
      <c r="AJ192" s="17"/>
      <c r="AK192" s="17"/>
      <c r="AL192" s="17"/>
      <c r="AM192" s="17"/>
      <c r="AN192" s="17"/>
      <c r="AO192" s="17"/>
      <c r="AP192" s="17"/>
      <c r="AQ192" s="17"/>
    </row>
    <row r="193" spans="1:66" hidden="1">
      <c r="A193">
        <f t="shared" si="134"/>
        <v>190</v>
      </c>
      <c r="B193" s="407">
        <v>1</v>
      </c>
      <c r="C193" s="407" t="s">
        <v>522</v>
      </c>
      <c r="D193" s="407" t="s">
        <v>678</v>
      </c>
      <c r="E193" s="407" t="s">
        <v>1173</v>
      </c>
      <c r="F193" s="408" t="s">
        <v>1174</v>
      </c>
      <c r="G193" s="409">
        <v>1057.9100000000001</v>
      </c>
      <c r="H193" s="410"/>
      <c r="I193" s="409">
        <f t="shared" si="133"/>
        <v>1057.9100000000001</v>
      </c>
      <c r="J193" s="58">
        <v>4600</v>
      </c>
      <c r="K193" s="417">
        <f t="shared" si="145"/>
        <v>0.22998043478260871</v>
      </c>
      <c r="L193" s="17" t="s">
        <v>1158</v>
      </c>
      <c r="M193" s="720">
        <v>43984</v>
      </c>
      <c r="N193" s="721" t="b">
        <f t="shared" si="138"/>
        <v>0</v>
      </c>
      <c r="O193" s="721" t="b">
        <f t="shared" si="123"/>
        <v>0</v>
      </c>
      <c r="P193" s="721" t="b">
        <f t="shared" si="136"/>
        <v>0</v>
      </c>
      <c r="Q193" s="721" t="b">
        <f t="shared" si="142"/>
        <v>0</v>
      </c>
      <c r="R193" s="721" t="b">
        <f t="shared" si="129"/>
        <v>0</v>
      </c>
      <c r="S193" s="721" t="b">
        <f t="shared" si="146"/>
        <v>0</v>
      </c>
      <c r="T193" s="721" t="b">
        <f t="shared" si="135"/>
        <v>0</v>
      </c>
      <c r="U193" s="721" t="b">
        <f t="shared" si="139"/>
        <v>0</v>
      </c>
      <c r="V193" s="721" t="b">
        <f t="shared" si="140"/>
        <v>0</v>
      </c>
      <c r="W193" s="721" t="b">
        <f t="shared" si="120"/>
        <v>0</v>
      </c>
      <c r="X193" s="721" t="b">
        <f t="shared" si="112"/>
        <v>0</v>
      </c>
      <c r="Y193" s="721" t="b">
        <f t="shared" si="115"/>
        <v>0</v>
      </c>
      <c r="Z193" s="721" t="b">
        <f t="shared" si="147"/>
        <v>1</v>
      </c>
      <c r="AA193" s="721" t="b">
        <f t="shared" si="144"/>
        <v>0</v>
      </c>
      <c r="AB193" s="17"/>
      <c r="AC193" s="17"/>
      <c r="AD193" s="17"/>
      <c r="AE193" s="17"/>
      <c r="AF193" s="17"/>
      <c r="AG193" s="17"/>
      <c r="AH193" s="17"/>
      <c r="AI193" s="17"/>
      <c r="AJ193" s="17"/>
      <c r="AK193" s="17"/>
      <c r="AL193" s="17"/>
      <c r="AM193" s="17"/>
      <c r="AN193" s="17"/>
      <c r="AO193" s="17"/>
      <c r="AP193" s="17"/>
      <c r="AQ193" s="17"/>
    </row>
    <row r="194" spans="1:66" hidden="1">
      <c r="A194">
        <f t="shared" si="134"/>
        <v>191</v>
      </c>
      <c r="B194" s="407">
        <v>1</v>
      </c>
      <c r="C194" s="407" t="s">
        <v>522</v>
      </c>
      <c r="D194" s="407" t="s">
        <v>678</v>
      </c>
      <c r="E194" s="407" t="s">
        <v>679</v>
      </c>
      <c r="F194" s="408" t="s">
        <v>680</v>
      </c>
      <c r="G194" s="409">
        <v>2801.13</v>
      </c>
      <c r="H194" s="410"/>
      <c r="I194" s="409">
        <f t="shared" si="133"/>
        <v>2801.13</v>
      </c>
      <c r="J194" s="58">
        <v>22000</v>
      </c>
      <c r="K194" s="417">
        <f t="shared" si="145"/>
        <v>0.12732409090909091</v>
      </c>
      <c r="L194" s="17" t="s">
        <v>1158</v>
      </c>
      <c r="M194" s="720">
        <v>43984</v>
      </c>
      <c r="N194" s="721" t="b">
        <f t="shared" si="138"/>
        <v>0</v>
      </c>
      <c r="O194" s="721" t="b">
        <f t="shared" si="123"/>
        <v>0</v>
      </c>
      <c r="P194" s="721" t="b">
        <f t="shared" si="136"/>
        <v>0</v>
      </c>
      <c r="Q194" s="721" t="b">
        <f t="shared" si="142"/>
        <v>0</v>
      </c>
      <c r="R194" s="721" t="b">
        <f t="shared" si="129"/>
        <v>0</v>
      </c>
      <c r="S194" s="721" t="b">
        <f t="shared" si="146"/>
        <v>0</v>
      </c>
      <c r="T194" s="721" t="b">
        <f t="shared" si="135"/>
        <v>0</v>
      </c>
      <c r="U194" s="721" t="b">
        <f t="shared" si="139"/>
        <v>0</v>
      </c>
      <c r="V194" s="721" t="b">
        <f t="shared" si="140"/>
        <v>0</v>
      </c>
      <c r="W194" s="721" t="b">
        <f t="shared" si="120"/>
        <v>0</v>
      </c>
      <c r="X194" s="721" t="b">
        <f t="shared" si="112"/>
        <v>0</v>
      </c>
      <c r="Y194" s="721" t="b">
        <f t="shared" si="115"/>
        <v>0</v>
      </c>
      <c r="Z194" s="721" t="b">
        <f t="shared" si="147"/>
        <v>1</v>
      </c>
      <c r="AA194" s="721" t="b">
        <f t="shared" si="144"/>
        <v>0</v>
      </c>
      <c r="AB194" s="17"/>
      <c r="AC194" s="17"/>
      <c r="AD194" s="17"/>
      <c r="AE194" s="17"/>
      <c r="AF194" s="17"/>
      <c r="AG194" s="17"/>
      <c r="AH194" s="17"/>
      <c r="AI194" s="17"/>
      <c r="AJ194" s="17"/>
      <c r="AK194" s="17"/>
      <c r="AL194" s="17"/>
      <c r="AM194" s="17"/>
      <c r="AN194" s="17"/>
      <c r="AO194" s="17"/>
      <c r="AP194" s="17"/>
      <c r="AQ194" s="17"/>
    </row>
    <row r="195" spans="1:66" hidden="1">
      <c r="A195">
        <f t="shared" si="134"/>
        <v>192</v>
      </c>
      <c r="B195" s="407">
        <v>1</v>
      </c>
      <c r="C195" s="407" t="s">
        <v>522</v>
      </c>
      <c r="D195" s="407" t="s">
        <v>678</v>
      </c>
      <c r="E195" s="407" t="s">
        <v>1175</v>
      </c>
      <c r="F195" s="408" t="s">
        <v>1176</v>
      </c>
      <c r="G195" s="409">
        <v>4086.24</v>
      </c>
      <c r="H195" s="410"/>
      <c r="I195" s="409">
        <f t="shared" si="133"/>
        <v>4086.24</v>
      </c>
      <c r="J195" s="58">
        <v>22000</v>
      </c>
      <c r="K195" s="417">
        <f t="shared" si="145"/>
        <v>0.1857381818181818</v>
      </c>
      <c r="L195" s="17" t="s">
        <v>1158</v>
      </c>
      <c r="M195" s="720">
        <v>43984</v>
      </c>
      <c r="N195" s="721" t="b">
        <f t="shared" si="138"/>
        <v>0</v>
      </c>
      <c r="O195" s="721" t="b">
        <f t="shared" si="123"/>
        <v>0</v>
      </c>
      <c r="P195" s="721" t="b">
        <f t="shared" si="136"/>
        <v>0</v>
      </c>
      <c r="Q195" s="721" t="b">
        <f t="shared" si="142"/>
        <v>0</v>
      </c>
      <c r="R195" s="721" t="b">
        <f t="shared" si="129"/>
        <v>0</v>
      </c>
      <c r="S195" s="721" t="b">
        <f t="shared" si="146"/>
        <v>0</v>
      </c>
      <c r="T195" s="721" t="b">
        <f t="shared" si="135"/>
        <v>0</v>
      </c>
      <c r="U195" s="721" t="b">
        <f t="shared" si="139"/>
        <v>0</v>
      </c>
      <c r="V195" s="721" t="b">
        <f t="shared" si="140"/>
        <v>0</v>
      </c>
      <c r="W195" s="721" t="b">
        <f t="shared" si="120"/>
        <v>0</v>
      </c>
      <c r="X195" s="721" t="b">
        <f t="shared" si="112"/>
        <v>0</v>
      </c>
      <c r="Y195" s="721" t="b">
        <f t="shared" si="115"/>
        <v>0</v>
      </c>
      <c r="Z195" s="721" t="b">
        <f t="shared" si="147"/>
        <v>1</v>
      </c>
      <c r="AA195" s="721" t="b">
        <f t="shared" si="144"/>
        <v>0</v>
      </c>
      <c r="AB195" s="17"/>
      <c r="AC195" s="17"/>
      <c r="AD195" s="17"/>
      <c r="AE195" s="17"/>
      <c r="AF195" s="17"/>
      <c r="AG195" s="17"/>
      <c r="AH195" s="17"/>
      <c r="AI195" s="17"/>
      <c r="AJ195" s="17"/>
      <c r="AK195" s="17"/>
      <c r="AL195" s="17"/>
      <c r="AM195" s="17"/>
      <c r="AN195" s="17"/>
      <c r="AO195" s="17"/>
      <c r="AP195" s="17"/>
      <c r="AQ195" s="17"/>
    </row>
    <row r="196" spans="1:66" hidden="1">
      <c r="A196">
        <f t="shared" si="134"/>
        <v>193</v>
      </c>
      <c r="B196" s="407">
        <v>1</v>
      </c>
      <c r="C196" s="407" t="s">
        <v>522</v>
      </c>
      <c r="D196" s="407" t="s">
        <v>678</v>
      </c>
      <c r="E196" s="407" t="s">
        <v>1177</v>
      </c>
      <c r="F196" s="408" t="s">
        <v>1178</v>
      </c>
      <c r="G196" s="409">
        <v>479.94</v>
      </c>
      <c r="H196" s="410"/>
      <c r="I196" s="409">
        <f t="shared" si="133"/>
        <v>479.94</v>
      </c>
      <c r="K196" s="17"/>
      <c r="L196" s="17" t="s">
        <v>1158</v>
      </c>
      <c r="M196" s="720">
        <v>43984</v>
      </c>
      <c r="N196" s="721" t="b">
        <f t="shared" si="138"/>
        <v>0</v>
      </c>
      <c r="O196" s="721" t="b">
        <f t="shared" si="123"/>
        <v>0</v>
      </c>
      <c r="P196" s="721" t="b">
        <f t="shared" si="136"/>
        <v>0</v>
      </c>
      <c r="Q196" s="721" t="b">
        <f t="shared" si="142"/>
        <v>0</v>
      </c>
      <c r="R196" s="721" t="b">
        <f t="shared" si="129"/>
        <v>0</v>
      </c>
      <c r="S196" s="721" t="b">
        <f t="shared" si="146"/>
        <v>0</v>
      </c>
      <c r="T196" s="721" t="b">
        <f t="shared" si="135"/>
        <v>0</v>
      </c>
      <c r="U196" s="721" t="b">
        <f t="shared" si="139"/>
        <v>0</v>
      </c>
      <c r="V196" s="721" t="b">
        <f t="shared" si="140"/>
        <v>0</v>
      </c>
      <c r="W196" s="721" t="b">
        <f t="shared" si="120"/>
        <v>0</v>
      </c>
      <c r="X196" s="721" t="b">
        <f t="shared" ref="X196:X259" si="148">FALSE()</f>
        <v>0</v>
      </c>
      <c r="Y196" s="721" t="b">
        <f t="shared" si="115"/>
        <v>0</v>
      </c>
      <c r="Z196" s="721" t="b">
        <f t="shared" si="147"/>
        <v>1</v>
      </c>
      <c r="AA196" s="721" t="b">
        <f t="shared" si="144"/>
        <v>0</v>
      </c>
      <c r="AB196" s="17"/>
      <c r="AC196" s="17"/>
      <c r="AD196" s="17"/>
      <c r="AE196" s="17"/>
      <c r="AF196" s="17"/>
      <c r="AG196" s="17"/>
      <c r="AH196" s="17"/>
      <c r="AI196" s="17"/>
      <c r="AJ196" s="17"/>
      <c r="AK196" s="17"/>
      <c r="AL196" s="17"/>
      <c r="AM196" s="17"/>
      <c r="AN196" s="17"/>
      <c r="AO196" s="17"/>
      <c r="AP196" s="17"/>
      <c r="AQ196" s="17"/>
    </row>
    <row r="197" spans="1:66" hidden="1">
      <c r="A197">
        <f t="shared" si="134"/>
        <v>194</v>
      </c>
      <c r="B197" s="407">
        <v>1</v>
      </c>
      <c r="C197" s="407" t="s">
        <v>522</v>
      </c>
      <c r="D197" s="407" t="s">
        <v>678</v>
      </c>
      <c r="E197" s="407" t="s">
        <v>1179</v>
      </c>
      <c r="F197" s="408" t="s">
        <v>1180</v>
      </c>
      <c r="G197" s="409">
        <v>685.21</v>
      </c>
      <c r="H197" s="410"/>
      <c r="I197" s="409">
        <f t="shared" si="133"/>
        <v>685.21</v>
      </c>
      <c r="J197" s="58">
        <v>7000</v>
      </c>
      <c r="K197" s="417">
        <f t="shared" si="145"/>
        <v>9.7887142857142867E-2</v>
      </c>
      <c r="L197" s="17" t="s">
        <v>1158</v>
      </c>
      <c r="M197" s="720">
        <v>43984</v>
      </c>
      <c r="N197" s="721" t="b">
        <f t="shared" si="138"/>
        <v>0</v>
      </c>
      <c r="O197" s="721" t="b">
        <f t="shared" si="123"/>
        <v>0</v>
      </c>
      <c r="P197" s="721" t="b">
        <f t="shared" si="136"/>
        <v>0</v>
      </c>
      <c r="Q197" s="721" t="b">
        <f t="shared" si="142"/>
        <v>0</v>
      </c>
      <c r="R197" s="721" t="b">
        <f t="shared" si="129"/>
        <v>0</v>
      </c>
      <c r="S197" s="721" t="b">
        <f t="shared" si="146"/>
        <v>0</v>
      </c>
      <c r="T197" s="721" t="b">
        <f t="shared" si="135"/>
        <v>0</v>
      </c>
      <c r="U197" s="721" t="b">
        <f t="shared" si="139"/>
        <v>0</v>
      </c>
      <c r="V197" s="721" t="b">
        <f t="shared" si="140"/>
        <v>0</v>
      </c>
      <c r="W197" s="721" t="b">
        <f t="shared" si="120"/>
        <v>0</v>
      </c>
      <c r="X197" s="721" t="b">
        <f t="shared" si="148"/>
        <v>0</v>
      </c>
      <c r="Y197" s="721" t="b">
        <f t="shared" si="115"/>
        <v>0</v>
      </c>
      <c r="Z197" s="721" t="b">
        <f t="shared" si="147"/>
        <v>1</v>
      </c>
      <c r="AA197" s="721" t="b">
        <f t="shared" si="144"/>
        <v>0</v>
      </c>
      <c r="AB197" s="17"/>
      <c r="AC197" s="17"/>
      <c r="AD197" s="17"/>
      <c r="AE197" s="17"/>
      <c r="AF197" s="17"/>
      <c r="AG197" s="17"/>
      <c r="AH197" s="17"/>
      <c r="AI197" s="17"/>
      <c r="AJ197" s="17"/>
      <c r="AK197" s="17"/>
      <c r="AL197" s="17"/>
      <c r="AM197" s="17"/>
      <c r="AN197" s="17"/>
      <c r="AO197" s="17"/>
      <c r="AP197" s="17"/>
      <c r="AQ197" s="17"/>
    </row>
    <row r="198" spans="1:66" ht="22.25" hidden="1">
      <c r="A198">
        <f t="shared" si="134"/>
        <v>195</v>
      </c>
      <c r="B198" s="407">
        <v>1</v>
      </c>
      <c r="C198" s="407" t="s">
        <v>522</v>
      </c>
      <c r="D198" s="407" t="s">
        <v>678</v>
      </c>
      <c r="E198" s="407" t="s">
        <v>1181</v>
      </c>
      <c r="F198" s="408" t="s">
        <v>1182</v>
      </c>
      <c r="G198" s="409">
        <v>1141.78</v>
      </c>
      <c r="H198" s="410"/>
      <c r="I198" s="409">
        <f t="shared" si="133"/>
        <v>1141.78</v>
      </c>
      <c r="J198" s="58">
        <v>22000</v>
      </c>
      <c r="K198" s="417">
        <f t="shared" si="145"/>
        <v>5.1899090909090909E-2</v>
      </c>
      <c r="L198" s="17" t="s">
        <v>1158</v>
      </c>
      <c r="M198" s="720">
        <v>43984</v>
      </c>
      <c r="N198" s="721" t="b">
        <f t="shared" si="138"/>
        <v>0</v>
      </c>
      <c r="O198" s="721" t="b">
        <f t="shared" si="123"/>
        <v>0</v>
      </c>
      <c r="P198" s="721" t="b">
        <f t="shared" si="136"/>
        <v>0</v>
      </c>
      <c r="Q198" s="721" t="b">
        <f t="shared" si="142"/>
        <v>0</v>
      </c>
      <c r="R198" s="721" t="b">
        <f t="shared" si="129"/>
        <v>0</v>
      </c>
      <c r="S198" s="721" t="b">
        <f t="shared" si="146"/>
        <v>0</v>
      </c>
      <c r="T198" s="721" t="b">
        <f t="shared" si="135"/>
        <v>0</v>
      </c>
      <c r="U198" s="721" t="b">
        <f t="shared" si="139"/>
        <v>0</v>
      </c>
      <c r="V198" s="721" t="b">
        <f t="shared" si="140"/>
        <v>0</v>
      </c>
      <c r="W198" s="721" t="b">
        <f t="shared" si="120"/>
        <v>0</v>
      </c>
      <c r="X198" s="721" t="b">
        <f t="shared" si="148"/>
        <v>0</v>
      </c>
      <c r="Y198" s="721" t="b">
        <f t="shared" si="115"/>
        <v>0</v>
      </c>
      <c r="Z198" s="721" t="b">
        <f t="shared" si="147"/>
        <v>1</v>
      </c>
      <c r="AA198" s="721" t="b">
        <f t="shared" si="144"/>
        <v>0</v>
      </c>
      <c r="AB198" s="17"/>
      <c r="AC198" s="17"/>
      <c r="AD198" s="17"/>
      <c r="AE198" s="17"/>
      <c r="AF198" s="17"/>
      <c r="AG198" s="17"/>
      <c r="AH198" s="17"/>
      <c r="AI198" s="17"/>
      <c r="AJ198" s="17"/>
      <c r="AK198" s="17"/>
      <c r="AL198" s="17"/>
      <c r="AM198" s="17"/>
      <c r="AN198" s="17"/>
      <c r="AO198" s="17"/>
      <c r="AP198" s="17"/>
      <c r="AQ198" s="17"/>
    </row>
    <row r="199" spans="1:66" hidden="1">
      <c r="A199">
        <f t="shared" si="134"/>
        <v>196</v>
      </c>
      <c r="B199" s="487">
        <v>1</v>
      </c>
      <c r="C199" s="407" t="s">
        <v>539</v>
      </c>
      <c r="D199" s="407" t="s">
        <v>690</v>
      </c>
      <c r="E199" s="407"/>
      <c r="F199" s="407" t="s">
        <v>693</v>
      </c>
      <c r="G199" s="409">
        <v>2.04</v>
      </c>
      <c r="H199" s="428"/>
      <c r="I199" s="430">
        <f t="shared" si="133"/>
        <v>2.04</v>
      </c>
      <c r="K199" s="719"/>
      <c r="L199" s="17" t="s">
        <v>690</v>
      </c>
      <c r="M199" s="724">
        <v>43984</v>
      </c>
      <c r="N199" s="721" t="b">
        <f t="shared" si="138"/>
        <v>0</v>
      </c>
      <c r="O199" s="721" t="b">
        <f t="shared" si="123"/>
        <v>0</v>
      </c>
      <c r="P199" s="721" t="b">
        <f t="shared" si="136"/>
        <v>0</v>
      </c>
      <c r="Q199" s="721" t="b">
        <f t="shared" si="142"/>
        <v>0</v>
      </c>
      <c r="R199" s="721" t="b">
        <f t="shared" si="129"/>
        <v>0</v>
      </c>
      <c r="S199" s="721" t="b">
        <f t="shared" si="146"/>
        <v>0</v>
      </c>
      <c r="T199" s="721" t="b">
        <f t="shared" si="135"/>
        <v>0</v>
      </c>
      <c r="U199" s="721" t="b">
        <f t="shared" si="139"/>
        <v>0</v>
      </c>
      <c r="V199" s="721" t="b">
        <f t="shared" si="140"/>
        <v>0</v>
      </c>
      <c r="W199" s="721" t="b">
        <f>TRUE()</f>
        <v>1</v>
      </c>
      <c r="X199" s="721" t="b">
        <f t="shared" si="148"/>
        <v>0</v>
      </c>
      <c r="Y199" s="721" t="b">
        <f t="shared" si="115"/>
        <v>0</v>
      </c>
      <c r="Z199" s="721" t="b">
        <f t="shared" ref="Z199:Z257" si="149">FALSE()</f>
        <v>0</v>
      </c>
      <c r="AA199" s="721" t="b">
        <f t="shared" si="144"/>
        <v>0</v>
      </c>
      <c r="AB199" s="17"/>
      <c r="AC199" s="17"/>
      <c r="AD199" s="17"/>
      <c r="AE199" s="17"/>
      <c r="AF199" s="17"/>
      <c r="AG199" s="17"/>
      <c r="AH199" s="17"/>
      <c r="AI199" s="17"/>
      <c r="AJ199" s="17"/>
      <c r="AK199" s="17"/>
      <c r="AL199" s="17"/>
      <c r="AM199" s="17"/>
      <c r="AN199" s="17"/>
      <c r="AO199" s="17"/>
      <c r="AP199" s="17"/>
      <c r="AQ199" s="17"/>
    </row>
    <row r="200" spans="1:66" hidden="1">
      <c r="A200">
        <f t="shared" si="134"/>
        <v>197</v>
      </c>
      <c r="B200" s="487">
        <v>1</v>
      </c>
      <c r="C200" s="487" t="s">
        <v>522</v>
      </c>
      <c r="D200" s="487" t="s">
        <v>531</v>
      </c>
      <c r="E200" s="407"/>
      <c r="F200" s="408" t="s">
        <v>1183</v>
      </c>
      <c r="G200" s="409">
        <v>1000</v>
      </c>
      <c r="H200" s="410"/>
      <c r="I200" s="430">
        <f t="shared" si="133"/>
        <v>1000</v>
      </c>
      <c r="J200" s="58">
        <v>100000</v>
      </c>
      <c r="K200" s="17"/>
      <c r="L200" s="17" t="s">
        <v>972</v>
      </c>
      <c r="M200" s="17"/>
      <c r="N200" s="721" t="b">
        <f t="shared" si="138"/>
        <v>0</v>
      </c>
      <c r="O200" s="721" t="b">
        <f t="shared" si="123"/>
        <v>0</v>
      </c>
      <c r="P200" s="721" t="b">
        <f t="shared" si="136"/>
        <v>0</v>
      </c>
      <c r="Q200" s="721" t="b">
        <f t="shared" si="142"/>
        <v>0</v>
      </c>
      <c r="R200" s="721" t="b">
        <f>TRUE()</f>
        <v>1</v>
      </c>
      <c r="S200" s="721" t="b">
        <f t="shared" si="146"/>
        <v>0</v>
      </c>
      <c r="T200" s="721" t="b">
        <f t="shared" si="135"/>
        <v>0</v>
      </c>
      <c r="U200" s="721" t="b">
        <f t="shared" si="139"/>
        <v>0</v>
      </c>
      <c r="V200" s="721" t="b">
        <f t="shared" si="140"/>
        <v>0</v>
      </c>
      <c r="W200" s="721" t="b">
        <f t="shared" ref="W200:W216" si="150">FALSE()</f>
        <v>0</v>
      </c>
      <c r="X200" s="721" t="b">
        <f t="shared" si="148"/>
        <v>0</v>
      </c>
      <c r="Y200" s="721" t="b">
        <f t="shared" si="115"/>
        <v>0</v>
      </c>
      <c r="Z200" s="721" t="b">
        <f t="shared" si="149"/>
        <v>0</v>
      </c>
      <c r="AA200" s="721" t="b">
        <f t="shared" si="144"/>
        <v>0</v>
      </c>
      <c r="AB200" s="17"/>
      <c r="AC200" s="17"/>
      <c r="AD200" s="17"/>
      <c r="AE200" s="17"/>
      <c r="AF200" s="17"/>
      <c r="AG200" s="17"/>
      <c r="AH200" s="17"/>
      <c r="AI200" s="17"/>
      <c r="AJ200" s="17"/>
      <c r="AK200" s="17"/>
      <c r="AL200" s="17"/>
      <c r="AM200" s="17"/>
      <c r="AN200" s="17"/>
      <c r="AO200" s="17"/>
      <c r="AP200" s="17"/>
      <c r="AQ200" s="17"/>
    </row>
    <row r="201" spans="1:66" hidden="1">
      <c r="A201">
        <f t="shared" si="134"/>
        <v>198</v>
      </c>
      <c r="B201" s="487">
        <v>1</v>
      </c>
      <c r="C201" s="487" t="s">
        <v>522</v>
      </c>
      <c r="D201" s="487" t="s">
        <v>531</v>
      </c>
      <c r="E201" s="487"/>
      <c r="F201" s="492" t="s">
        <v>1184</v>
      </c>
      <c r="G201" s="430">
        <f>1736*(25/27.6)^0.8</f>
        <v>1603.8895660117162</v>
      </c>
      <c r="H201" s="428"/>
      <c r="I201" s="430">
        <f t="shared" si="133"/>
        <v>1603.8895660117162</v>
      </c>
      <c r="J201" s="58">
        <v>25000</v>
      </c>
      <c r="K201" s="417">
        <f t="shared" si="145"/>
        <v>6.4155582640468653E-2</v>
      </c>
      <c r="L201" s="17" t="s">
        <v>972</v>
      </c>
      <c r="M201" s="720">
        <v>43994</v>
      </c>
      <c r="N201" s="721" t="b">
        <f t="shared" si="138"/>
        <v>0</v>
      </c>
      <c r="O201" s="721" t="b">
        <f t="shared" si="123"/>
        <v>0</v>
      </c>
      <c r="P201" s="721" t="b">
        <f>TRUE()</f>
        <v>1</v>
      </c>
      <c r="Q201" s="721" t="b">
        <f t="shared" si="142"/>
        <v>0</v>
      </c>
      <c r="R201" s="721" t="b">
        <f t="shared" ref="R201:R208" si="151">FALSE()</f>
        <v>0</v>
      </c>
      <c r="S201" s="721" t="b">
        <f t="shared" si="146"/>
        <v>0</v>
      </c>
      <c r="T201" s="721" t="b">
        <f t="shared" si="135"/>
        <v>0</v>
      </c>
      <c r="U201" s="721" t="b">
        <f t="shared" si="139"/>
        <v>0</v>
      </c>
      <c r="V201" s="721" t="b">
        <f t="shared" si="140"/>
        <v>0</v>
      </c>
      <c r="W201" s="721" t="b">
        <f t="shared" si="150"/>
        <v>0</v>
      </c>
      <c r="X201" s="721" t="b">
        <f t="shared" si="148"/>
        <v>0</v>
      </c>
      <c r="Y201" s="721" t="b">
        <f t="shared" si="115"/>
        <v>0</v>
      </c>
      <c r="Z201" s="721" t="b">
        <f t="shared" si="149"/>
        <v>0</v>
      </c>
      <c r="AA201" s="721" t="b">
        <f t="shared" si="144"/>
        <v>0</v>
      </c>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row>
    <row r="202" spans="1:66" hidden="1">
      <c r="A202">
        <f t="shared" si="134"/>
        <v>199</v>
      </c>
      <c r="B202" s="407">
        <v>1</v>
      </c>
      <c r="C202" s="407" t="s">
        <v>505</v>
      </c>
      <c r="D202" s="407" t="s">
        <v>751</v>
      </c>
      <c r="E202" s="407"/>
      <c r="F202" s="408" t="s">
        <v>1185</v>
      </c>
      <c r="G202" s="409">
        <v>90.39</v>
      </c>
      <c r="H202" s="410"/>
      <c r="I202" s="409">
        <f t="shared" si="133"/>
        <v>90.39</v>
      </c>
      <c r="J202" s="58">
        <v>310</v>
      </c>
      <c r="K202" s="417">
        <f t="shared" si="145"/>
        <v>0.29158064516129034</v>
      </c>
      <c r="L202" s="17" t="s">
        <v>966</v>
      </c>
      <c r="M202" s="720">
        <v>43891</v>
      </c>
      <c r="N202" s="721" t="b">
        <f t="shared" ref="N202:N204" si="152">TRUE()</f>
        <v>1</v>
      </c>
      <c r="O202" s="721" t="b">
        <f t="shared" si="123"/>
        <v>0</v>
      </c>
      <c r="P202" s="721" t="b">
        <f t="shared" ref="P202:P223" si="153">FALSE()</f>
        <v>0</v>
      </c>
      <c r="Q202" s="721" t="b">
        <f t="shared" si="142"/>
        <v>0</v>
      </c>
      <c r="R202" s="721" t="b">
        <f t="shared" si="151"/>
        <v>0</v>
      </c>
      <c r="S202" s="721" t="b">
        <f t="shared" si="146"/>
        <v>0</v>
      </c>
      <c r="T202" s="721" t="b">
        <f t="shared" si="135"/>
        <v>0</v>
      </c>
      <c r="U202" s="721" t="b">
        <f t="shared" si="139"/>
        <v>0</v>
      </c>
      <c r="V202" s="721" t="b">
        <f t="shared" si="140"/>
        <v>0</v>
      </c>
      <c r="W202" s="721" t="b">
        <f t="shared" si="150"/>
        <v>0</v>
      </c>
      <c r="X202" s="721" t="b">
        <f t="shared" si="148"/>
        <v>0</v>
      </c>
      <c r="Y202" s="721" t="b">
        <f t="shared" si="115"/>
        <v>0</v>
      </c>
      <c r="Z202" s="721" t="b">
        <f t="shared" si="149"/>
        <v>0</v>
      </c>
      <c r="AA202" s="721" t="b">
        <f t="shared" si="144"/>
        <v>0</v>
      </c>
      <c r="AB202" s="17"/>
      <c r="AC202" s="17"/>
      <c r="AD202" s="17"/>
      <c r="AE202" s="17"/>
      <c r="AF202" s="17"/>
      <c r="AG202" s="17"/>
      <c r="AH202" s="17"/>
      <c r="AI202" s="17"/>
      <c r="AJ202" s="17"/>
      <c r="AK202" s="17"/>
      <c r="AL202" s="17"/>
      <c r="AM202" s="17"/>
      <c r="AN202" s="17"/>
      <c r="AO202" s="17"/>
      <c r="AP202" s="17"/>
      <c r="AQ202" s="17"/>
    </row>
    <row r="203" spans="1:66" hidden="1">
      <c r="A203">
        <f t="shared" si="134"/>
        <v>200</v>
      </c>
      <c r="B203" s="407">
        <v>1</v>
      </c>
      <c r="C203" s="407" t="s">
        <v>505</v>
      </c>
      <c r="D203" s="407" t="s">
        <v>751</v>
      </c>
      <c r="E203" s="407"/>
      <c r="F203" s="408" t="s">
        <v>1186</v>
      </c>
      <c r="G203" s="409">
        <f>135.67+0.36</f>
        <v>136.03</v>
      </c>
      <c r="H203" s="410"/>
      <c r="I203" s="409">
        <f t="shared" si="133"/>
        <v>136.03</v>
      </c>
      <c r="J203" s="58">
        <v>330</v>
      </c>
      <c r="K203" s="417">
        <f t="shared" si="145"/>
        <v>0.4122121212121212</v>
      </c>
      <c r="L203" s="17" t="s">
        <v>966</v>
      </c>
      <c r="M203" s="720">
        <v>43891</v>
      </c>
      <c r="N203" s="721" t="b">
        <f t="shared" si="152"/>
        <v>1</v>
      </c>
      <c r="O203" s="721" t="b">
        <f t="shared" si="123"/>
        <v>0</v>
      </c>
      <c r="P203" s="721" t="b">
        <f t="shared" si="153"/>
        <v>0</v>
      </c>
      <c r="Q203" s="721" t="b">
        <f t="shared" si="142"/>
        <v>0</v>
      </c>
      <c r="R203" s="721" t="b">
        <f t="shared" si="151"/>
        <v>0</v>
      </c>
      <c r="S203" s="721" t="b">
        <f t="shared" si="146"/>
        <v>0</v>
      </c>
      <c r="T203" s="721" t="b">
        <f t="shared" si="135"/>
        <v>0</v>
      </c>
      <c r="U203" s="721" t="b">
        <f t="shared" si="139"/>
        <v>0</v>
      </c>
      <c r="V203" s="721" t="b">
        <f t="shared" si="140"/>
        <v>0</v>
      </c>
      <c r="W203" s="721" t="b">
        <f t="shared" si="150"/>
        <v>0</v>
      </c>
      <c r="X203" s="721" t="b">
        <f t="shared" si="148"/>
        <v>0</v>
      </c>
      <c r="Y203" s="721" t="b">
        <f t="shared" si="115"/>
        <v>0</v>
      </c>
      <c r="Z203" s="721" t="b">
        <f t="shared" si="149"/>
        <v>0</v>
      </c>
      <c r="AA203" s="721" t="b">
        <f t="shared" si="144"/>
        <v>0</v>
      </c>
      <c r="AB203" s="17"/>
      <c r="AC203" s="17"/>
      <c r="AD203" s="17"/>
      <c r="AE203" s="17"/>
      <c r="AF203" s="17"/>
      <c r="AG203" s="17"/>
      <c r="AH203" s="17"/>
      <c r="AI203" s="17"/>
      <c r="AJ203" s="17"/>
      <c r="AK203" s="17"/>
      <c r="AL203" s="17"/>
      <c r="AM203" s="17"/>
      <c r="AN203" s="17"/>
      <c r="AO203" s="17"/>
      <c r="AP203" s="17"/>
      <c r="AQ203" s="17"/>
    </row>
    <row r="204" spans="1:66" hidden="1">
      <c r="A204">
        <f t="shared" si="134"/>
        <v>201</v>
      </c>
      <c r="B204" s="407">
        <v>1</v>
      </c>
      <c r="C204" s="407" t="s">
        <v>505</v>
      </c>
      <c r="D204" s="407" t="s">
        <v>751</v>
      </c>
      <c r="E204" s="407"/>
      <c r="F204" s="408" t="s">
        <v>1187</v>
      </c>
      <c r="G204" s="409">
        <f>129.07+0.36</f>
        <v>129.43</v>
      </c>
      <c r="H204" s="410"/>
      <c r="I204" s="409">
        <f t="shared" si="133"/>
        <v>129.43</v>
      </c>
      <c r="J204" s="58">
        <v>330</v>
      </c>
      <c r="K204" s="417">
        <f t="shared" si="145"/>
        <v>0.39221212121212123</v>
      </c>
      <c r="L204" s="17" t="s">
        <v>966</v>
      </c>
      <c r="M204" s="720">
        <v>43891</v>
      </c>
      <c r="N204" s="721" t="b">
        <f t="shared" si="152"/>
        <v>1</v>
      </c>
      <c r="O204" s="721" t="b">
        <f t="shared" si="123"/>
        <v>0</v>
      </c>
      <c r="P204" s="721" t="b">
        <f t="shared" si="153"/>
        <v>0</v>
      </c>
      <c r="Q204" s="721" t="b">
        <f t="shared" si="142"/>
        <v>0</v>
      </c>
      <c r="R204" s="721" t="b">
        <f t="shared" si="151"/>
        <v>0</v>
      </c>
      <c r="S204" s="721" t="b">
        <f t="shared" si="146"/>
        <v>0</v>
      </c>
      <c r="T204" s="721" t="b">
        <f t="shared" si="135"/>
        <v>0</v>
      </c>
      <c r="U204" s="721" t="b">
        <f t="shared" si="139"/>
        <v>0</v>
      </c>
      <c r="V204" s="721" t="b">
        <f t="shared" si="140"/>
        <v>0</v>
      </c>
      <c r="W204" s="721" t="b">
        <f t="shared" si="150"/>
        <v>0</v>
      </c>
      <c r="X204" s="721" t="b">
        <f t="shared" si="148"/>
        <v>0</v>
      </c>
      <c r="Y204" s="721" t="b">
        <f t="shared" ref="Y204:Y267" si="154">FALSE()</f>
        <v>0</v>
      </c>
      <c r="Z204" s="721" t="b">
        <f t="shared" si="149"/>
        <v>0</v>
      </c>
      <c r="AA204" s="721" t="b">
        <f t="shared" si="144"/>
        <v>0</v>
      </c>
      <c r="AB204" s="17"/>
      <c r="AC204" s="17"/>
      <c r="AD204" s="17"/>
      <c r="AE204" s="17"/>
      <c r="AF204" s="17"/>
      <c r="AG204" s="17"/>
      <c r="AH204" s="17"/>
      <c r="AI204" s="17"/>
      <c r="AJ204" s="17"/>
      <c r="AK204" s="17"/>
      <c r="AL204" s="17"/>
      <c r="AM204" s="17"/>
      <c r="AN204" s="17"/>
      <c r="AO204" s="17"/>
      <c r="AP204" s="17"/>
      <c r="AQ204" s="17"/>
    </row>
    <row r="205" spans="1:66" hidden="1">
      <c r="A205">
        <f t="shared" si="134"/>
        <v>202</v>
      </c>
      <c r="B205" s="407">
        <v>1</v>
      </c>
      <c r="C205" s="407" t="s">
        <v>505</v>
      </c>
      <c r="D205" s="407" t="s">
        <v>751</v>
      </c>
      <c r="E205" s="407"/>
      <c r="F205" s="408" t="s">
        <v>1188</v>
      </c>
      <c r="G205" s="409">
        <f>2384.07/303</f>
        <v>7.8682178217821788</v>
      </c>
      <c r="H205" s="410"/>
      <c r="I205" s="409">
        <f t="shared" si="133"/>
        <v>7.8682178217821788</v>
      </c>
      <c r="J205" s="58">
        <f>303*330/(22+1)/14/2</f>
        <v>155.2639751552795</v>
      </c>
      <c r="K205" s="417">
        <f t="shared" si="145"/>
        <v>5.0676390411318363E-2</v>
      </c>
      <c r="L205" s="17" t="s">
        <v>966</v>
      </c>
      <c r="M205" s="720">
        <v>43891</v>
      </c>
      <c r="N205" s="721" t="b">
        <f t="shared" ref="N205:N239" si="155">FALSE()</f>
        <v>0</v>
      </c>
      <c r="O205" s="721" t="b">
        <f t="shared" ref="O205:O208" si="156">TRUE()</f>
        <v>1</v>
      </c>
      <c r="P205" s="721" t="b">
        <f t="shared" si="153"/>
        <v>0</v>
      </c>
      <c r="Q205" s="721" t="b">
        <f t="shared" si="142"/>
        <v>0</v>
      </c>
      <c r="R205" s="721" t="b">
        <f t="shared" si="151"/>
        <v>0</v>
      </c>
      <c r="S205" s="721" t="b">
        <f t="shared" si="146"/>
        <v>0</v>
      </c>
      <c r="T205" s="721" t="b">
        <f t="shared" si="135"/>
        <v>0</v>
      </c>
      <c r="U205" s="721" t="b">
        <f t="shared" si="139"/>
        <v>0</v>
      </c>
      <c r="V205" s="721" t="b">
        <f t="shared" si="140"/>
        <v>0</v>
      </c>
      <c r="W205" s="721" t="b">
        <f t="shared" si="150"/>
        <v>0</v>
      </c>
      <c r="X205" s="721" t="b">
        <f t="shared" si="148"/>
        <v>0</v>
      </c>
      <c r="Y205" s="721" t="b">
        <f t="shared" si="154"/>
        <v>0</v>
      </c>
      <c r="Z205" s="721" t="b">
        <f t="shared" si="149"/>
        <v>0</v>
      </c>
      <c r="AA205" s="721" t="b">
        <f t="shared" si="144"/>
        <v>0</v>
      </c>
      <c r="AB205" s="17"/>
      <c r="AC205" s="17"/>
      <c r="AD205" s="17"/>
      <c r="AE205" s="17"/>
      <c r="AF205" s="17"/>
      <c r="AG205" s="17"/>
      <c r="AH205" s="17"/>
      <c r="AI205" s="17"/>
      <c r="AJ205" s="17"/>
      <c r="AK205" s="17"/>
      <c r="AL205" s="17"/>
      <c r="AM205" s="17"/>
      <c r="AN205" s="17"/>
      <c r="AO205" s="17"/>
      <c r="AP205" s="17"/>
      <c r="AQ205" s="17"/>
    </row>
    <row r="206" spans="1:66" hidden="1">
      <c r="A206">
        <f t="shared" si="134"/>
        <v>203</v>
      </c>
      <c r="B206" s="407">
        <v>1</v>
      </c>
      <c r="C206" s="407" t="s">
        <v>505</v>
      </c>
      <c r="D206" s="407" t="s">
        <v>751</v>
      </c>
      <c r="E206" s="407"/>
      <c r="F206" s="408" t="s">
        <v>1189</v>
      </c>
      <c r="G206" s="409">
        <f>2456.4/322</f>
        <v>7.628571428571429</v>
      </c>
      <c r="H206" s="410"/>
      <c r="I206" s="409">
        <f t="shared" si="133"/>
        <v>7.628571428571429</v>
      </c>
      <c r="J206" s="58">
        <f>322*310/(23+1)/14/2</f>
        <v>148.54166666666669</v>
      </c>
      <c r="K206" s="417">
        <f t="shared" si="145"/>
        <v>5.1356441594870766E-2</v>
      </c>
      <c r="L206" s="17" t="s">
        <v>966</v>
      </c>
      <c r="M206" s="720">
        <v>43891</v>
      </c>
      <c r="N206" s="721" t="b">
        <f t="shared" si="155"/>
        <v>0</v>
      </c>
      <c r="O206" s="721" t="b">
        <f t="shared" si="156"/>
        <v>1</v>
      </c>
      <c r="P206" s="721" t="b">
        <f t="shared" si="153"/>
        <v>0</v>
      </c>
      <c r="Q206" s="721" t="b">
        <f t="shared" si="142"/>
        <v>0</v>
      </c>
      <c r="R206" s="721" t="b">
        <f t="shared" si="151"/>
        <v>0</v>
      </c>
      <c r="S206" s="721" t="b">
        <f t="shared" si="146"/>
        <v>0</v>
      </c>
      <c r="T206" s="721" t="b">
        <f t="shared" si="135"/>
        <v>0</v>
      </c>
      <c r="U206" s="721" t="b">
        <f t="shared" si="139"/>
        <v>0</v>
      </c>
      <c r="V206" s="721" t="b">
        <f t="shared" si="140"/>
        <v>0</v>
      </c>
      <c r="W206" s="721" t="b">
        <f t="shared" si="150"/>
        <v>0</v>
      </c>
      <c r="X206" s="721" t="b">
        <f t="shared" si="148"/>
        <v>0</v>
      </c>
      <c r="Y206" s="721" t="b">
        <f t="shared" si="154"/>
        <v>0</v>
      </c>
      <c r="Z206" s="721" t="b">
        <f t="shared" si="149"/>
        <v>0</v>
      </c>
      <c r="AA206" s="721" t="b">
        <f t="shared" si="144"/>
        <v>0</v>
      </c>
      <c r="AB206" s="17"/>
      <c r="AC206" s="17"/>
      <c r="AD206" s="17"/>
      <c r="AE206" s="17"/>
      <c r="AF206" s="17"/>
      <c r="AG206" s="17"/>
      <c r="AH206" s="17"/>
      <c r="AI206" s="17"/>
      <c r="AJ206" s="17"/>
      <c r="AK206" s="17"/>
      <c r="AL206" s="17"/>
      <c r="AM206" s="17"/>
      <c r="AN206" s="17"/>
      <c r="AO206" s="17"/>
      <c r="AP206" s="17"/>
      <c r="AQ206" s="17"/>
    </row>
    <row r="207" spans="1:66" hidden="1">
      <c r="A207">
        <f t="shared" si="134"/>
        <v>204</v>
      </c>
      <c r="B207" s="407">
        <v>1</v>
      </c>
      <c r="C207" s="407" t="s">
        <v>505</v>
      </c>
      <c r="D207" s="407" t="s">
        <v>751</v>
      </c>
      <c r="E207" s="407"/>
      <c r="F207" s="408" t="s">
        <v>1190</v>
      </c>
      <c r="G207" s="409">
        <f>1069.62/116</f>
        <v>9.2208620689655163</v>
      </c>
      <c r="H207" s="410"/>
      <c r="I207" s="409">
        <f t="shared" si="133"/>
        <v>9.2208620689655163</v>
      </c>
      <c r="J207" s="58">
        <f>116*310/(13+1)/9/2</f>
        <v>142.69841269841268</v>
      </c>
      <c r="K207" s="417">
        <f t="shared" si="145"/>
        <v>6.46178320739519E-2</v>
      </c>
      <c r="L207" s="17" t="s">
        <v>966</v>
      </c>
      <c r="M207" s="720">
        <v>43891</v>
      </c>
      <c r="N207" s="721" t="b">
        <f t="shared" si="155"/>
        <v>0</v>
      </c>
      <c r="O207" s="721" t="b">
        <f t="shared" si="156"/>
        <v>1</v>
      </c>
      <c r="P207" s="721" t="b">
        <f t="shared" si="153"/>
        <v>0</v>
      </c>
      <c r="Q207" s="721" t="b">
        <f t="shared" si="142"/>
        <v>0</v>
      </c>
      <c r="R207" s="721" t="b">
        <f t="shared" si="151"/>
        <v>0</v>
      </c>
      <c r="S207" s="721" t="b">
        <f t="shared" si="146"/>
        <v>0</v>
      </c>
      <c r="T207" s="721" t="b">
        <f t="shared" si="135"/>
        <v>0</v>
      </c>
      <c r="U207" s="721" t="b">
        <f t="shared" si="139"/>
        <v>0</v>
      </c>
      <c r="V207" s="721" t="b">
        <f t="shared" si="140"/>
        <v>0</v>
      </c>
      <c r="W207" s="721" t="b">
        <f t="shared" si="150"/>
        <v>0</v>
      </c>
      <c r="X207" s="721" t="b">
        <f t="shared" si="148"/>
        <v>0</v>
      </c>
      <c r="Y207" s="721" t="b">
        <f t="shared" si="154"/>
        <v>0</v>
      </c>
      <c r="Z207" s="721" t="b">
        <f t="shared" si="149"/>
        <v>0</v>
      </c>
      <c r="AA207" s="721" t="b">
        <f t="shared" si="144"/>
        <v>0</v>
      </c>
      <c r="AB207" s="17"/>
      <c r="AC207" s="17"/>
      <c r="AD207" s="17"/>
      <c r="AE207" s="17"/>
      <c r="AF207" s="17"/>
      <c r="AG207" s="17"/>
      <c r="AH207" s="17"/>
      <c r="AI207" s="17"/>
      <c r="AJ207" s="17"/>
      <c r="AK207" s="17"/>
      <c r="AL207" s="17"/>
      <c r="AM207" s="17"/>
      <c r="AN207" s="17"/>
      <c r="AO207" s="17"/>
      <c r="AP207" s="17"/>
      <c r="AQ207" s="17"/>
    </row>
    <row r="208" spans="1:66" hidden="1">
      <c r="A208">
        <f t="shared" si="134"/>
        <v>205</v>
      </c>
      <c r="B208" s="407">
        <v>1</v>
      </c>
      <c r="C208" s="407" t="s">
        <v>505</v>
      </c>
      <c r="D208" s="407" t="s">
        <v>751</v>
      </c>
      <c r="E208" s="407"/>
      <c r="F208" s="408" t="s">
        <v>1191</v>
      </c>
      <c r="G208" s="409">
        <f>913.68/109</f>
        <v>8.3823853211009176</v>
      </c>
      <c r="H208" s="410"/>
      <c r="I208" s="409">
        <f t="shared" si="133"/>
        <v>8.3823853211009176</v>
      </c>
      <c r="J208" s="58">
        <f>109*330/(11+1)/10/2</f>
        <v>149.875</v>
      </c>
      <c r="K208" s="417">
        <f t="shared" si="145"/>
        <v>5.592917645438477E-2</v>
      </c>
      <c r="L208" s="17" t="s">
        <v>966</v>
      </c>
      <c r="M208" s="720">
        <v>43891</v>
      </c>
      <c r="N208" s="721" t="b">
        <f t="shared" si="155"/>
        <v>0</v>
      </c>
      <c r="O208" s="721" t="b">
        <f t="shared" si="156"/>
        <v>1</v>
      </c>
      <c r="P208" s="721" t="b">
        <f t="shared" si="153"/>
        <v>0</v>
      </c>
      <c r="Q208" s="721" t="b">
        <f t="shared" si="142"/>
        <v>0</v>
      </c>
      <c r="R208" s="721" t="b">
        <f t="shared" si="151"/>
        <v>0</v>
      </c>
      <c r="S208" s="721" t="b">
        <f t="shared" si="146"/>
        <v>0</v>
      </c>
      <c r="T208" s="721" t="b">
        <f t="shared" si="135"/>
        <v>0</v>
      </c>
      <c r="U208" s="721" t="b">
        <f t="shared" si="139"/>
        <v>0</v>
      </c>
      <c r="V208" s="721" t="b">
        <f t="shared" si="140"/>
        <v>0</v>
      </c>
      <c r="W208" s="721" t="b">
        <f t="shared" si="150"/>
        <v>0</v>
      </c>
      <c r="X208" s="721" t="b">
        <f t="shared" si="148"/>
        <v>0</v>
      </c>
      <c r="Y208" s="721" t="b">
        <f t="shared" si="154"/>
        <v>0</v>
      </c>
      <c r="Z208" s="721" t="b">
        <f t="shared" si="149"/>
        <v>0</v>
      </c>
      <c r="AA208" s="721" t="b">
        <f t="shared" si="144"/>
        <v>0</v>
      </c>
      <c r="AB208" s="17"/>
      <c r="AC208" s="17"/>
      <c r="AD208" s="17"/>
      <c r="AE208" s="17"/>
      <c r="AF208" s="17"/>
      <c r="AG208" s="17"/>
      <c r="AH208" s="17"/>
      <c r="AI208" s="17"/>
      <c r="AJ208" s="17"/>
      <c r="AK208" s="17"/>
      <c r="AL208" s="17"/>
      <c r="AM208" s="17"/>
      <c r="AN208" s="17"/>
      <c r="AO208" s="17"/>
      <c r="AP208" s="17"/>
      <c r="AQ208" s="17"/>
    </row>
    <row r="209" spans="1:43" ht="22.25" hidden="1">
      <c r="A209">
        <f t="shared" si="134"/>
        <v>206</v>
      </c>
      <c r="B209" s="407">
        <v>1</v>
      </c>
      <c r="C209" s="407" t="s">
        <v>505</v>
      </c>
      <c r="D209" s="407" t="s">
        <v>751</v>
      </c>
      <c r="E209" s="407"/>
      <c r="F209" s="408" t="s">
        <v>1192</v>
      </c>
      <c r="G209" s="409">
        <v>1508.89</v>
      </c>
      <c r="H209" s="410"/>
      <c r="I209" s="409">
        <f t="shared" si="133"/>
        <v>1508.89</v>
      </c>
      <c r="J209" s="58">
        <v>115000</v>
      </c>
      <c r="K209" s="417"/>
      <c r="L209" s="17" t="s">
        <v>966</v>
      </c>
      <c r="M209" s="720">
        <v>43891</v>
      </c>
      <c r="N209" s="721" t="b">
        <f t="shared" si="155"/>
        <v>0</v>
      </c>
      <c r="O209" s="721" t="b">
        <f t="shared" ref="O209:O240" si="157">FALSE()</f>
        <v>0</v>
      </c>
      <c r="P209" s="721" t="b">
        <f t="shared" si="153"/>
        <v>0</v>
      </c>
      <c r="Q209" s="721" t="b">
        <f t="shared" si="142"/>
        <v>0</v>
      </c>
      <c r="R209" s="721" t="b">
        <f t="shared" ref="R209:R211" si="158">TRUE()</f>
        <v>1</v>
      </c>
      <c r="S209" s="721" t="b">
        <f t="shared" si="146"/>
        <v>0</v>
      </c>
      <c r="T209" s="721" t="b">
        <f t="shared" si="135"/>
        <v>0</v>
      </c>
      <c r="U209" s="721" t="b">
        <f t="shared" si="139"/>
        <v>0</v>
      </c>
      <c r="V209" s="721" t="b">
        <f t="shared" si="140"/>
        <v>0</v>
      </c>
      <c r="W209" s="721" t="b">
        <f t="shared" si="150"/>
        <v>0</v>
      </c>
      <c r="X209" s="721" t="b">
        <f t="shared" si="148"/>
        <v>0</v>
      </c>
      <c r="Y209" s="721" t="b">
        <f t="shared" si="154"/>
        <v>0</v>
      </c>
      <c r="Z209" s="721" t="b">
        <f t="shared" si="149"/>
        <v>0</v>
      </c>
      <c r="AA209" s="721" t="b">
        <f t="shared" si="144"/>
        <v>0</v>
      </c>
      <c r="AB209" s="17"/>
      <c r="AC209" s="17"/>
      <c r="AD209" s="17"/>
      <c r="AE209" s="17"/>
      <c r="AF209" s="17"/>
      <c r="AG209" s="17"/>
      <c r="AH209" s="17"/>
      <c r="AI209" s="17"/>
      <c r="AJ209" s="17"/>
      <c r="AK209" s="17"/>
      <c r="AL209" s="17"/>
      <c r="AM209" s="17"/>
      <c r="AN209" s="17"/>
      <c r="AO209" s="17"/>
      <c r="AP209" s="17"/>
      <c r="AQ209" s="17"/>
    </row>
    <row r="210" spans="1:43" hidden="1">
      <c r="A210">
        <f t="shared" si="134"/>
        <v>207</v>
      </c>
      <c r="B210" s="407">
        <v>1</v>
      </c>
      <c r="C210" s="407" t="s">
        <v>505</v>
      </c>
      <c r="D210" s="407" t="s">
        <v>751</v>
      </c>
      <c r="E210" s="407"/>
      <c r="F210" s="408" t="s">
        <v>1193</v>
      </c>
      <c r="G210" s="409">
        <v>1326.67</v>
      </c>
      <c r="H210" s="410"/>
      <c r="I210" s="409">
        <f t="shared" si="133"/>
        <v>1326.67</v>
      </c>
      <c r="J210" s="58">
        <f>160/1.2*400*1.732</f>
        <v>92373.333333333343</v>
      </c>
      <c r="K210" s="417"/>
      <c r="L210" s="17" t="s">
        <v>966</v>
      </c>
      <c r="M210" s="720">
        <v>43891</v>
      </c>
      <c r="N210" s="721" t="b">
        <f t="shared" si="155"/>
        <v>0</v>
      </c>
      <c r="O210" s="721" t="b">
        <f t="shared" si="157"/>
        <v>0</v>
      </c>
      <c r="P210" s="721" t="b">
        <f t="shared" si="153"/>
        <v>0</v>
      </c>
      <c r="Q210" s="721" t="b">
        <f t="shared" si="142"/>
        <v>0</v>
      </c>
      <c r="R210" s="721" t="b">
        <f t="shared" si="158"/>
        <v>1</v>
      </c>
      <c r="S210" s="721" t="b">
        <f t="shared" si="146"/>
        <v>0</v>
      </c>
      <c r="T210" s="721" t="b">
        <f t="shared" si="135"/>
        <v>0</v>
      </c>
      <c r="U210" s="721" t="b">
        <f t="shared" si="139"/>
        <v>0</v>
      </c>
      <c r="V210" s="721" t="b">
        <f t="shared" si="140"/>
        <v>0</v>
      </c>
      <c r="W210" s="721" t="b">
        <f t="shared" si="150"/>
        <v>0</v>
      </c>
      <c r="X210" s="721" t="b">
        <f t="shared" si="148"/>
        <v>0</v>
      </c>
      <c r="Y210" s="721" t="b">
        <f t="shared" si="154"/>
        <v>0</v>
      </c>
      <c r="Z210" s="721" t="b">
        <f t="shared" si="149"/>
        <v>0</v>
      </c>
      <c r="AA210" s="721" t="b">
        <f t="shared" si="144"/>
        <v>0</v>
      </c>
      <c r="AB210" s="17"/>
      <c r="AC210" s="17"/>
      <c r="AD210" s="17"/>
      <c r="AE210" s="17"/>
      <c r="AF210" s="17"/>
      <c r="AG210" s="17"/>
      <c r="AH210" s="17"/>
      <c r="AI210" s="17"/>
      <c r="AJ210" s="17"/>
      <c r="AK210" s="17"/>
      <c r="AL210" s="17"/>
      <c r="AM210" s="17"/>
      <c r="AN210" s="17"/>
      <c r="AO210" s="17"/>
      <c r="AP210" s="17"/>
      <c r="AQ210" s="17"/>
    </row>
    <row r="211" spans="1:43" hidden="1">
      <c r="A211">
        <f t="shared" si="134"/>
        <v>208</v>
      </c>
      <c r="B211" s="407">
        <v>1</v>
      </c>
      <c r="C211" s="407" t="s">
        <v>505</v>
      </c>
      <c r="D211" s="407" t="s">
        <v>751</v>
      </c>
      <c r="E211" s="407"/>
      <c r="F211" s="408" t="s">
        <v>1194</v>
      </c>
      <c r="G211" s="409">
        <v>525.55999999999995</v>
      </c>
      <c r="H211" s="410"/>
      <c r="I211" s="409">
        <f t="shared" si="133"/>
        <v>525.55999999999995</v>
      </c>
      <c r="J211" s="58">
        <v>30000</v>
      </c>
      <c r="K211" s="417"/>
      <c r="L211" s="17" t="s">
        <v>966</v>
      </c>
      <c r="M211" s="720">
        <v>43891</v>
      </c>
      <c r="N211" s="721" t="b">
        <f t="shared" si="155"/>
        <v>0</v>
      </c>
      <c r="O211" s="721" t="b">
        <f t="shared" si="157"/>
        <v>0</v>
      </c>
      <c r="P211" s="721" t="b">
        <f t="shared" si="153"/>
        <v>0</v>
      </c>
      <c r="Q211" s="721" t="b">
        <f t="shared" si="142"/>
        <v>0</v>
      </c>
      <c r="R211" s="721" t="b">
        <f t="shared" si="158"/>
        <v>1</v>
      </c>
      <c r="S211" s="721" t="b">
        <f t="shared" si="146"/>
        <v>0</v>
      </c>
      <c r="T211" s="721" t="b">
        <f t="shared" si="135"/>
        <v>0</v>
      </c>
      <c r="U211" s="721" t="b">
        <f t="shared" si="139"/>
        <v>0</v>
      </c>
      <c r="V211" s="721" t="b">
        <f t="shared" si="140"/>
        <v>0</v>
      </c>
      <c r="W211" s="721" t="b">
        <f t="shared" si="150"/>
        <v>0</v>
      </c>
      <c r="X211" s="721" t="b">
        <f t="shared" si="148"/>
        <v>0</v>
      </c>
      <c r="Y211" s="721" t="b">
        <f t="shared" si="154"/>
        <v>0</v>
      </c>
      <c r="Z211" s="721" t="b">
        <f t="shared" si="149"/>
        <v>0</v>
      </c>
      <c r="AA211" s="721" t="b">
        <f t="shared" si="144"/>
        <v>0</v>
      </c>
      <c r="AB211" s="17"/>
      <c r="AC211" s="17"/>
      <c r="AD211" s="17"/>
      <c r="AE211" s="17"/>
      <c r="AF211" s="17"/>
      <c r="AG211" s="17"/>
      <c r="AH211" s="17"/>
      <c r="AI211" s="17"/>
      <c r="AJ211" s="17"/>
      <c r="AK211" s="17"/>
      <c r="AL211" s="17"/>
      <c r="AM211" s="17"/>
      <c r="AN211" s="17"/>
      <c r="AO211" s="17"/>
      <c r="AP211" s="17"/>
      <c r="AQ211" s="17"/>
    </row>
    <row r="212" spans="1:43" hidden="1">
      <c r="A212">
        <f t="shared" si="134"/>
        <v>209</v>
      </c>
      <c r="B212" s="407">
        <v>1</v>
      </c>
      <c r="C212" s="407" t="s">
        <v>505</v>
      </c>
      <c r="D212" s="407" t="s">
        <v>751</v>
      </c>
      <c r="E212" s="407"/>
      <c r="F212" s="408" t="s">
        <v>826</v>
      </c>
      <c r="G212" s="409">
        <v>115.56</v>
      </c>
      <c r="H212" s="410"/>
      <c r="I212" s="409">
        <f t="shared" si="133"/>
        <v>115.56</v>
      </c>
      <c r="K212" s="417"/>
      <c r="L212" s="17" t="s">
        <v>966</v>
      </c>
      <c r="M212" s="720">
        <v>43891</v>
      </c>
      <c r="N212" s="721" t="b">
        <f t="shared" si="155"/>
        <v>0</v>
      </c>
      <c r="O212" s="721" t="b">
        <f t="shared" si="157"/>
        <v>0</v>
      </c>
      <c r="P212" s="721" t="b">
        <f t="shared" si="153"/>
        <v>0</v>
      </c>
      <c r="Q212" s="721" t="b">
        <f t="shared" ref="Q212:Q216" si="159">TRUE()</f>
        <v>1</v>
      </c>
      <c r="R212" s="721" t="b">
        <f t="shared" ref="R212:R238" si="160">FALSE()</f>
        <v>0</v>
      </c>
      <c r="S212" s="721" t="b">
        <f t="shared" si="146"/>
        <v>0</v>
      </c>
      <c r="T212" s="721" t="b">
        <f t="shared" si="135"/>
        <v>0</v>
      </c>
      <c r="U212" s="721" t="b">
        <f t="shared" si="139"/>
        <v>0</v>
      </c>
      <c r="V212" s="721" t="b">
        <f t="shared" si="140"/>
        <v>0</v>
      </c>
      <c r="W212" s="721" t="b">
        <f t="shared" si="150"/>
        <v>0</v>
      </c>
      <c r="X212" s="721" t="b">
        <f t="shared" si="148"/>
        <v>0</v>
      </c>
      <c r="Y212" s="721" t="b">
        <f t="shared" si="154"/>
        <v>0</v>
      </c>
      <c r="Z212" s="721" t="b">
        <f t="shared" si="149"/>
        <v>0</v>
      </c>
      <c r="AA212" s="721" t="b">
        <f t="shared" si="144"/>
        <v>0</v>
      </c>
      <c r="AB212" s="17"/>
      <c r="AC212" s="17"/>
      <c r="AD212" s="17"/>
      <c r="AE212" s="17"/>
      <c r="AF212" s="17"/>
      <c r="AG212" s="17"/>
      <c r="AH212" s="17"/>
      <c r="AI212" s="17"/>
      <c r="AJ212" s="17"/>
      <c r="AK212" s="17"/>
      <c r="AL212" s="17"/>
      <c r="AM212" s="17"/>
      <c r="AN212" s="17"/>
      <c r="AO212" s="17"/>
      <c r="AP212" s="17"/>
      <c r="AQ212" s="17"/>
    </row>
    <row r="213" spans="1:43" hidden="1">
      <c r="A213">
        <f t="shared" si="134"/>
        <v>210</v>
      </c>
      <c r="B213" s="407">
        <v>1</v>
      </c>
      <c r="C213" s="407" t="s">
        <v>505</v>
      </c>
      <c r="D213" s="407" t="s">
        <v>751</v>
      </c>
      <c r="E213" s="407"/>
      <c r="F213" s="408" t="s">
        <v>1195</v>
      </c>
      <c r="G213" s="409">
        <v>132.22</v>
      </c>
      <c r="H213" s="410"/>
      <c r="I213" s="409">
        <f t="shared" si="133"/>
        <v>132.22</v>
      </c>
      <c r="K213" s="417"/>
      <c r="L213" s="17" t="s">
        <v>966</v>
      </c>
      <c r="M213" s="720">
        <v>43891</v>
      </c>
      <c r="N213" s="721" t="b">
        <f t="shared" si="155"/>
        <v>0</v>
      </c>
      <c r="O213" s="721" t="b">
        <f t="shared" si="157"/>
        <v>0</v>
      </c>
      <c r="P213" s="721" t="b">
        <f t="shared" si="153"/>
        <v>0</v>
      </c>
      <c r="Q213" s="721" t="b">
        <f t="shared" si="159"/>
        <v>1</v>
      </c>
      <c r="R213" s="721" t="b">
        <f t="shared" si="160"/>
        <v>0</v>
      </c>
      <c r="S213" s="721" t="b">
        <f t="shared" si="146"/>
        <v>0</v>
      </c>
      <c r="T213" s="721" t="b">
        <f t="shared" si="135"/>
        <v>0</v>
      </c>
      <c r="U213" s="721" t="b">
        <f t="shared" si="139"/>
        <v>0</v>
      </c>
      <c r="V213" s="721" t="b">
        <f t="shared" si="140"/>
        <v>0</v>
      </c>
      <c r="W213" s="721" t="b">
        <f t="shared" si="150"/>
        <v>0</v>
      </c>
      <c r="X213" s="721" t="b">
        <f t="shared" si="148"/>
        <v>0</v>
      </c>
      <c r="Y213" s="721" t="b">
        <f t="shared" si="154"/>
        <v>0</v>
      </c>
      <c r="Z213" s="721" t="b">
        <f t="shared" si="149"/>
        <v>0</v>
      </c>
      <c r="AA213" s="721" t="b">
        <f t="shared" si="144"/>
        <v>0</v>
      </c>
      <c r="AB213" s="17"/>
      <c r="AC213" s="17"/>
      <c r="AD213" s="17"/>
      <c r="AE213" s="17"/>
      <c r="AF213" s="17"/>
      <c r="AG213" s="17"/>
      <c r="AH213" s="17"/>
      <c r="AI213" s="17"/>
      <c r="AJ213" s="17"/>
      <c r="AK213" s="17"/>
      <c r="AL213" s="17"/>
      <c r="AM213" s="17"/>
      <c r="AN213" s="17"/>
      <c r="AO213" s="17"/>
      <c r="AP213" s="17"/>
      <c r="AQ213" s="17"/>
    </row>
    <row r="214" spans="1:43" hidden="1">
      <c r="A214">
        <f t="shared" si="134"/>
        <v>211</v>
      </c>
      <c r="B214" s="407">
        <v>1</v>
      </c>
      <c r="C214" s="407" t="s">
        <v>505</v>
      </c>
      <c r="D214" s="407" t="s">
        <v>751</v>
      </c>
      <c r="E214" s="407"/>
      <c r="F214" s="408" t="s">
        <v>1196</v>
      </c>
      <c r="G214" s="409">
        <v>277.77999999999997</v>
      </c>
      <c r="H214" s="410"/>
      <c r="I214" s="409">
        <f t="shared" si="133"/>
        <v>277.77999999999997</v>
      </c>
      <c r="K214" s="417"/>
      <c r="L214" s="17" t="s">
        <v>966</v>
      </c>
      <c r="M214" s="720">
        <v>43891</v>
      </c>
      <c r="N214" s="721" t="b">
        <f t="shared" si="155"/>
        <v>0</v>
      </c>
      <c r="O214" s="721" t="b">
        <f t="shared" si="157"/>
        <v>0</v>
      </c>
      <c r="P214" s="721" t="b">
        <f t="shared" si="153"/>
        <v>0</v>
      </c>
      <c r="Q214" s="721" t="b">
        <f t="shared" si="159"/>
        <v>1</v>
      </c>
      <c r="R214" s="721" t="b">
        <f t="shared" si="160"/>
        <v>0</v>
      </c>
      <c r="S214" s="721" t="b">
        <f t="shared" si="146"/>
        <v>0</v>
      </c>
      <c r="T214" s="721" t="b">
        <f t="shared" si="135"/>
        <v>0</v>
      </c>
      <c r="U214" s="721" t="b">
        <f t="shared" si="139"/>
        <v>0</v>
      </c>
      <c r="V214" s="721" t="b">
        <f t="shared" si="140"/>
        <v>0</v>
      </c>
      <c r="W214" s="721" t="b">
        <f t="shared" si="150"/>
        <v>0</v>
      </c>
      <c r="X214" s="721" t="b">
        <f t="shared" si="148"/>
        <v>0</v>
      </c>
      <c r="Y214" s="721" t="b">
        <f t="shared" si="154"/>
        <v>0</v>
      </c>
      <c r="Z214" s="721" t="b">
        <f t="shared" si="149"/>
        <v>0</v>
      </c>
      <c r="AA214" s="721" t="b">
        <f t="shared" si="144"/>
        <v>0</v>
      </c>
      <c r="AB214" s="17"/>
      <c r="AC214" s="17"/>
      <c r="AD214" s="17"/>
      <c r="AE214" s="17"/>
      <c r="AF214" s="17"/>
      <c r="AG214" s="17"/>
      <c r="AH214" s="17"/>
      <c r="AI214" s="17"/>
      <c r="AJ214" s="17"/>
      <c r="AK214" s="17"/>
      <c r="AL214" s="17"/>
      <c r="AM214" s="17"/>
      <c r="AN214" s="17"/>
      <c r="AO214" s="17"/>
      <c r="AP214" s="17"/>
      <c r="AQ214" s="17"/>
    </row>
    <row r="215" spans="1:43" hidden="1">
      <c r="A215">
        <f t="shared" si="134"/>
        <v>212</v>
      </c>
      <c r="B215" s="407">
        <v>1</v>
      </c>
      <c r="C215" s="407" t="s">
        <v>505</v>
      </c>
      <c r="D215" s="407" t="s">
        <v>751</v>
      </c>
      <c r="E215" s="407"/>
      <c r="F215" s="408" t="s">
        <v>1197</v>
      </c>
      <c r="G215" s="409">
        <v>316.67</v>
      </c>
      <c r="H215" s="410"/>
      <c r="I215" s="409">
        <f t="shared" si="133"/>
        <v>316.67</v>
      </c>
      <c r="K215" s="417"/>
      <c r="L215" s="17" t="s">
        <v>966</v>
      </c>
      <c r="M215" s="720">
        <v>43891</v>
      </c>
      <c r="N215" s="721" t="b">
        <f t="shared" si="155"/>
        <v>0</v>
      </c>
      <c r="O215" s="721" t="b">
        <f t="shared" si="157"/>
        <v>0</v>
      </c>
      <c r="P215" s="721" t="b">
        <f t="shared" si="153"/>
        <v>0</v>
      </c>
      <c r="Q215" s="721" t="b">
        <f t="shared" si="159"/>
        <v>1</v>
      </c>
      <c r="R215" s="721" t="b">
        <f t="shared" si="160"/>
        <v>0</v>
      </c>
      <c r="S215" s="721" t="b">
        <f t="shared" si="146"/>
        <v>0</v>
      </c>
      <c r="T215" s="721" t="b">
        <f t="shared" si="135"/>
        <v>0</v>
      </c>
      <c r="U215" s="721" t="b">
        <f t="shared" si="139"/>
        <v>0</v>
      </c>
      <c r="V215" s="721" t="b">
        <f t="shared" si="140"/>
        <v>0</v>
      </c>
      <c r="W215" s="721" t="b">
        <f t="shared" si="150"/>
        <v>0</v>
      </c>
      <c r="X215" s="721" t="b">
        <f t="shared" si="148"/>
        <v>0</v>
      </c>
      <c r="Y215" s="721" t="b">
        <f t="shared" si="154"/>
        <v>0</v>
      </c>
      <c r="Z215" s="721" t="b">
        <f t="shared" si="149"/>
        <v>0</v>
      </c>
      <c r="AA215" s="721" t="b">
        <f t="shared" si="144"/>
        <v>0</v>
      </c>
      <c r="AB215" s="17"/>
      <c r="AC215" s="17"/>
      <c r="AD215" s="17"/>
      <c r="AE215" s="17"/>
      <c r="AF215" s="17"/>
      <c r="AG215" s="17"/>
      <c r="AH215" s="17"/>
      <c r="AI215" s="17"/>
      <c r="AJ215" s="17"/>
      <c r="AK215" s="17"/>
      <c r="AL215" s="17"/>
      <c r="AM215" s="17"/>
      <c r="AN215" s="17"/>
      <c r="AO215" s="17"/>
      <c r="AP215" s="17"/>
      <c r="AQ215" s="17"/>
    </row>
    <row r="216" spans="1:43" hidden="1">
      <c r="A216">
        <f t="shared" si="134"/>
        <v>213</v>
      </c>
      <c r="B216" s="407">
        <v>1</v>
      </c>
      <c r="C216" s="407" t="s">
        <v>505</v>
      </c>
      <c r="D216" s="407" t="s">
        <v>751</v>
      </c>
      <c r="E216" s="407"/>
      <c r="F216" s="408" t="s">
        <v>1198</v>
      </c>
      <c r="G216" s="409">
        <v>464.44</v>
      </c>
      <c r="H216" s="410"/>
      <c r="I216" s="409">
        <f t="shared" si="133"/>
        <v>464.44</v>
      </c>
      <c r="K216" s="417"/>
      <c r="L216" s="17" t="s">
        <v>966</v>
      </c>
      <c r="M216" s="720">
        <v>43891</v>
      </c>
      <c r="N216" s="721" t="b">
        <f t="shared" si="155"/>
        <v>0</v>
      </c>
      <c r="O216" s="721" t="b">
        <f t="shared" si="157"/>
        <v>0</v>
      </c>
      <c r="P216" s="721" t="b">
        <f t="shared" si="153"/>
        <v>0</v>
      </c>
      <c r="Q216" s="721" t="b">
        <f t="shared" si="159"/>
        <v>1</v>
      </c>
      <c r="R216" s="721" t="b">
        <f t="shared" si="160"/>
        <v>0</v>
      </c>
      <c r="S216" s="721" t="b">
        <f t="shared" si="146"/>
        <v>0</v>
      </c>
      <c r="T216" s="721" t="b">
        <f t="shared" si="135"/>
        <v>0</v>
      </c>
      <c r="U216" s="721" t="b">
        <f t="shared" si="139"/>
        <v>0</v>
      </c>
      <c r="V216" s="721" t="b">
        <f t="shared" si="140"/>
        <v>0</v>
      </c>
      <c r="W216" s="721" t="b">
        <f t="shared" si="150"/>
        <v>0</v>
      </c>
      <c r="X216" s="721" t="b">
        <f t="shared" si="148"/>
        <v>0</v>
      </c>
      <c r="Y216" s="721" t="b">
        <f t="shared" si="154"/>
        <v>0</v>
      </c>
      <c r="Z216" s="721" t="b">
        <f t="shared" si="149"/>
        <v>0</v>
      </c>
      <c r="AA216" s="721" t="b">
        <f t="shared" si="144"/>
        <v>0</v>
      </c>
      <c r="AB216" s="17"/>
      <c r="AC216" s="17"/>
      <c r="AD216" s="17"/>
      <c r="AE216" s="17"/>
      <c r="AF216" s="17"/>
      <c r="AG216" s="17"/>
      <c r="AH216" s="17"/>
      <c r="AI216" s="17"/>
      <c r="AJ216" s="17"/>
      <c r="AK216" s="17"/>
      <c r="AL216" s="17"/>
      <c r="AM216" s="17"/>
      <c r="AN216" s="17"/>
      <c r="AO216" s="17"/>
      <c r="AP216" s="17"/>
      <c r="AQ216" s="17"/>
    </row>
    <row r="217" spans="1:43" hidden="1">
      <c r="A217">
        <f t="shared" si="134"/>
        <v>214</v>
      </c>
      <c r="B217" s="407">
        <v>1</v>
      </c>
      <c r="C217" s="407" t="s">
        <v>539</v>
      </c>
      <c r="D217" s="407" t="s">
        <v>751</v>
      </c>
      <c r="E217" s="407"/>
      <c r="F217" s="408" t="s">
        <v>1199</v>
      </c>
      <c r="G217" s="409">
        <v>5.53</v>
      </c>
      <c r="H217" s="410"/>
      <c r="I217" s="409">
        <f t="shared" si="133"/>
        <v>5.53</v>
      </c>
      <c r="K217" s="417"/>
      <c r="L217" s="17" t="s">
        <v>966</v>
      </c>
      <c r="M217" s="720">
        <v>43891</v>
      </c>
      <c r="N217" s="721" t="b">
        <f t="shared" si="155"/>
        <v>0</v>
      </c>
      <c r="O217" s="721" t="b">
        <f t="shared" si="157"/>
        <v>0</v>
      </c>
      <c r="P217" s="721" t="b">
        <f t="shared" si="153"/>
        <v>0</v>
      </c>
      <c r="Q217" s="721" t="b">
        <f t="shared" ref="Q217:Q242" si="161">FALSE()</f>
        <v>0</v>
      </c>
      <c r="R217" s="721" t="b">
        <f t="shared" si="160"/>
        <v>0</v>
      </c>
      <c r="S217" s="721" t="b">
        <f t="shared" si="146"/>
        <v>0</v>
      </c>
      <c r="T217" s="721" t="b">
        <f t="shared" si="135"/>
        <v>0</v>
      </c>
      <c r="U217" s="721" t="b">
        <f t="shared" si="139"/>
        <v>0</v>
      </c>
      <c r="V217" s="721" t="b">
        <f t="shared" si="140"/>
        <v>0</v>
      </c>
      <c r="W217" s="721" t="b">
        <f>TRUE()</f>
        <v>1</v>
      </c>
      <c r="X217" s="721" t="b">
        <f t="shared" si="148"/>
        <v>0</v>
      </c>
      <c r="Y217" s="721" t="b">
        <f t="shared" si="154"/>
        <v>0</v>
      </c>
      <c r="Z217" s="721" t="b">
        <f t="shared" si="149"/>
        <v>0</v>
      </c>
      <c r="AA217" s="721" t="b">
        <f t="shared" si="144"/>
        <v>0</v>
      </c>
      <c r="AB217" s="17"/>
      <c r="AC217" s="17"/>
      <c r="AD217" s="17"/>
      <c r="AE217" s="17"/>
      <c r="AF217" s="17"/>
      <c r="AG217" s="17"/>
      <c r="AH217" s="17"/>
      <c r="AI217" s="17"/>
      <c r="AJ217" s="17"/>
      <c r="AK217" s="17"/>
      <c r="AL217" s="17"/>
      <c r="AM217" s="17"/>
      <c r="AN217" s="17"/>
      <c r="AO217" s="17"/>
      <c r="AP217" s="17"/>
      <c r="AQ217" s="17"/>
    </row>
    <row r="218" spans="1:43" hidden="1">
      <c r="A218">
        <f t="shared" si="134"/>
        <v>215</v>
      </c>
      <c r="B218" s="407">
        <v>1</v>
      </c>
      <c r="C218" s="407" t="s">
        <v>539</v>
      </c>
      <c r="D218" s="407" t="s">
        <v>751</v>
      </c>
      <c r="E218" s="407"/>
      <c r="F218" s="408" t="s">
        <v>1200</v>
      </c>
      <c r="G218" s="409">
        <f t="shared" ref="G218:G219" si="162">226.82/500</f>
        <v>0.45363999999999999</v>
      </c>
      <c r="H218" s="410"/>
      <c r="I218" s="409">
        <f t="shared" si="133"/>
        <v>0.45363999999999999</v>
      </c>
      <c r="K218" s="417"/>
      <c r="L218" s="17" t="s">
        <v>966</v>
      </c>
      <c r="M218" s="720">
        <v>43891</v>
      </c>
      <c r="N218" s="721" t="b">
        <f t="shared" si="155"/>
        <v>0</v>
      </c>
      <c r="O218" s="721" t="b">
        <f t="shared" si="157"/>
        <v>0</v>
      </c>
      <c r="P218" s="721" t="b">
        <f t="shared" si="153"/>
        <v>0</v>
      </c>
      <c r="Q218" s="721" t="b">
        <f t="shared" si="161"/>
        <v>0</v>
      </c>
      <c r="R218" s="721" t="b">
        <f t="shared" si="160"/>
        <v>0</v>
      </c>
      <c r="S218" s="721" t="b">
        <f t="shared" si="146"/>
        <v>0</v>
      </c>
      <c r="T218" s="721" t="b">
        <f t="shared" si="135"/>
        <v>0</v>
      </c>
      <c r="U218" s="721" t="b">
        <f t="shared" si="139"/>
        <v>0</v>
      </c>
      <c r="V218" s="721" t="b">
        <f t="shared" ref="V218:V221" si="163">TRUE()</f>
        <v>1</v>
      </c>
      <c r="W218" s="721" t="b">
        <f t="shared" ref="W218:W244" si="164">FALSE()</f>
        <v>0</v>
      </c>
      <c r="X218" s="721" t="b">
        <f t="shared" si="148"/>
        <v>0</v>
      </c>
      <c r="Y218" s="721" t="b">
        <f t="shared" si="154"/>
        <v>0</v>
      </c>
      <c r="Z218" s="721" t="b">
        <f t="shared" si="149"/>
        <v>0</v>
      </c>
      <c r="AA218" s="721" t="b">
        <f t="shared" si="144"/>
        <v>0</v>
      </c>
      <c r="AB218" s="17"/>
      <c r="AC218" s="17"/>
      <c r="AD218" s="17"/>
      <c r="AE218" s="17"/>
      <c r="AF218" s="17"/>
      <c r="AG218" s="17"/>
      <c r="AH218" s="17"/>
      <c r="AI218" s="17"/>
      <c r="AJ218" s="17"/>
      <c r="AK218" s="17"/>
      <c r="AL218" s="17"/>
      <c r="AM218" s="17"/>
      <c r="AN218" s="17"/>
      <c r="AO218" s="17"/>
      <c r="AP218" s="17"/>
      <c r="AQ218" s="17"/>
    </row>
    <row r="219" spans="1:43" hidden="1">
      <c r="A219">
        <f t="shared" si="134"/>
        <v>216</v>
      </c>
      <c r="B219" s="407">
        <v>1</v>
      </c>
      <c r="C219" s="407" t="s">
        <v>505</v>
      </c>
      <c r="D219" s="407" t="s">
        <v>751</v>
      </c>
      <c r="E219" s="407"/>
      <c r="F219" s="408" t="s">
        <v>1201</v>
      </c>
      <c r="G219" s="409">
        <f t="shared" si="162"/>
        <v>0.45363999999999999</v>
      </c>
      <c r="H219" s="410"/>
      <c r="I219" s="409">
        <f t="shared" si="133"/>
        <v>0.45363999999999999</v>
      </c>
      <c r="K219" s="417"/>
      <c r="L219" s="17" t="s">
        <v>966</v>
      </c>
      <c r="M219" s="720">
        <v>43891</v>
      </c>
      <c r="N219" s="721" t="b">
        <f t="shared" si="155"/>
        <v>0</v>
      </c>
      <c r="O219" s="721" t="b">
        <f t="shared" si="157"/>
        <v>0</v>
      </c>
      <c r="P219" s="721" t="b">
        <f t="shared" si="153"/>
        <v>0</v>
      </c>
      <c r="Q219" s="721" t="b">
        <f t="shared" si="161"/>
        <v>0</v>
      </c>
      <c r="R219" s="721" t="b">
        <f t="shared" si="160"/>
        <v>0</v>
      </c>
      <c r="S219" s="721" t="b">
        <f t="shared" si="146"/>
        <v>0</v>
      </c>
      <c r="T219" s="721" t="b">
        <f t="shared" si="135"/>
        <v>0</v>
      </c>
      <c r="U219" s="721" t="b">
        <f t="shared" si="139"/>
        <v>0</v>
      </c>
      <c r="V219" s="721" t="b">
        <f t="shared" si="163"/>
        <v>1</v>
      </c>
      <c r="W219" s="721" t="b">
        <f t="shared" si="164"/>
        <v>0</v>
      </c>
      <c r="X219" s="721" t="b">
        <f t="shared" si="148"/>
        <v>0</v>
      </c>
      <c r="Y219" s="721" t="b">
        <f t="shared" si="154"/>
        <v>0</v>
      </c>
      <c r="Z219" s="721" t="b">
        <f t="shared" si="149"/>
        <v>0</v>
      </c>
      <c r="AA219" s="721" t="b">
        <f t="shared" si="144"/>
        <v>0</v>
      </c>
      <c r="AB219" s="17"/>
      <c r="AC219" s="17"/>
      <c r="AD219" s="17"/>
      <c r="AE219" s="17"/>
      <c r="AF219" s="17"/>
      <c r="AG219" s="17"/>
      <c r="AH219" s="17"/>
      <c r="AI219" s="17"/>
      <c r="AJ219" s="17"/>
      <c r="AK219" s="17"/>
      <c r="AL219" s="17"/>
      <c r="AM219" s="17"/>
      <c r="AN219" s="17"/>
      <c r="AO219" s="17"/>
      <c r="AP219" s="17"/>
      <c r="AQ219" s="17"/>
    </row>
    <row r="220" spans="1:43" hidden="1">
      <c r="A220">
        <f t="shared" si="134"/>
        <v>217</v>
      </c>
      <c r="B220" s="407">
        <v>1</v>
      </c>
      <c r="C220" s="407" t="s">
        <v>539</v>
      </c>
      <c r="D220" s="407" t="s">
        <v>751</v>
      </c>
      <c r="E220" s="407"/>
      <c r="F220" s="408" t="s">
        <v>755</v>
      </c>
      <c r="G220" s="409">
        <f t="shared" ref="G220:G221" si="165">307.26/500</f>
        <v>0.61451999999999996</v>
      </c>
      <c r="H220" s="410"/>
      <c r="I220" s="409">
        <f t="shared" si="133"/>
        <v>0.61451999999999996</v>
      </c>
      <c r="K220" s="417"/>
      <c r="L220" s="17" t="s">
        <v>966</v>
      </c>
      <c r="M220" s="720">
        <v>43891</v>
      </c>
      <c r="N220" s="721" t="b">
        <f t="shared" si="155"/>
        <v>0</v>
      </c>
      <c r="O220" s="721" t="b">
        <f t="shared" si="157"/>
        <v>0</v>
      </c>
      <c r="P220" s="721" t="b">
        <f t="shared" si="153"/>
        <v>0</v>
      </c>
      <c r="Q220" s="721" t="b">
        <f t="shared" si="161"/>
        <v>0</v>
      </c>
      <c r="R220" s="721" t="b">
        <f t="shared" si="160"/>
        <v>0</v>
      </c>
      <c r="S220" s="721" t="b">
        <f t="shared" si="146"/>
        <v>0</v>
      </c>
      <c r="T220" s="721" t="b">
        <f t="shared" si="135"/>
        <v>0</v>
      </c>
      <c r="U220" s="721" t="b">
        <f t="shared" si="139"/>
        <v>0</v>
      </c>
      <c r="V220" s="721" t="b">
        <f t="shared" si="163"/>
        <v>1</v>
      </c>
      <c r="W220" s="721" t="b">
        <f t="shared" si="164"/>
        <v>0</v>
      </c>
      <c r="X220" s="721" t="b">
        <f t="shared" si="148"/>
        <v>0</v>
      </c>
      <c r="Y220" s="721" t="b">
        <f t="shared" si="154"/>
        <v>0</v>
      </c>
      <c r="Z220" s="721" t="b">
        <f t="shared" si="149"/>
        <v>0</v>
      </c>
      <c r="AA220" s="721" t="b">
        <f t="shared" si="144"/>
        <v>0</v>
      </c>
      <c r="AB220" s="17"/>
      <c r="AC220" s="17"/>
      <c r="AD220" s="17"/>
      <c r="AE220" s="17"/>
      <c r="AF220" s="17"/>
      <c r="AG220" s="17"/>
      <c r="AH220" s="17"/>
      <c r="AI220" s="17"/>
      <c r="AJ220" s="17"/>
      <c r="AK220" s="17"/>
      <c r="AL220" s="17"/>
      <c r="AM220" s="17"/>
      <c r="AN220" s="17"/>
      <c r="AO220" s="17"/>
      <c r="AP220" s="17"/>
      <c r="AQ220" s="17"/>
    </row>
    <row r="221" spans="1:43" hidden="1">
      <c r="A221">
        <f t="shared" si="134"/>
        <v>218</v>
      </c>
      <c r="B221" s="407">
        <v>1</v>
      </c>
      <c r="C221" s="407" t="s">
        <v>539</v>
      </c>
      <c r="D221" s="407" t="s">
        <v>751</v>
      </c>
      <c r="E221" s="407"/>
      <c r="F221" s="408" t="s">
        <v>757</v>
      </c>
      <c r="G221" s="409">
        <f t="shared" si="165"/>
        <v>0.61451999999999996</v>
      </c>
      <c r="H221" s="410"/>
      <c r="I221" s="409">
        <f t="shared" si="133"/>
        <v>0.61451999999999996</v>
      </c>
      <c r="K221" s="417"/>
      <c r="L221" s="17" t="s">
        <v>966</v>
      </c>
      <c r="M221" s="720">
        <v>43891</v>
      </c>
      <c r="N221" s="721" t="b">
        <f t="shared" si="155"/>
        <v>0</v>
      </c>
      <c r="O221" s="721" t="b">
        <f t="shared" si="157"/>
        <v>0</v>
      </c>
      <c r="P221" s="721" t="b">
        <f t="shared" si="153"/>
        <v>0</v>
      </c>
      <c r="Q221" s="721" t="b">
        <f t="shared" si="161"/>
        <v>0</v>
      </c>
      <c r="R221" s="721" t="b">
        <f t="shared" si="160"/>
        <v>0</v>
      </c>
      <c r="S221" s="721" t="b">
        <f t="shared" si="146"/>
        <v>0</v>
      </c>
      <c r="T221" s="721" t="b">
        <f t="shared" si="135"/>
        <v>0</v>
      </c>
      <c r="U221" s="721" t="b">
        <f t="shared" si="139"/>
        <v>0</v>
      </c>
      <c r="V221" s="721" t="b">
        <f t="shared" si="163"/>
        <v>1</v>
      </c>
      <c r="W221" s="721" t="b">
        <f t="shared" si="164"/>
        <v>0</v>
      </c>
      <c r="X221" s="721" t="b">
        <f t="shared" si="148"/>
        <v>0</v>
      </c>
      <c r="Y221" s="721" t="b">
        <f t="shared" si="154"/>
        <v>0</v>
      </c>
      <c r="Z221" s="721" t="b">
        <f t="shared" si="149"/>
        <v>0</v>
      </c>
      <c r="AA221" s="721" t="b">
        <f t="shared" si="144"/>
        <v>0</v>
      </c>
      <c r="AB221" s="17"/>
      <c r="AC221" s="17"/>
      <c r="AD221" s="17"/>
      <c r="AE221" s="17"/>
      <c r="AF221" s="17"/>
      <c r="AG221" s="17"/>
      <c r="AH221" s="17"/>
      <c r="AI221" s="17"/>
      <c r="AJ221" s="17"/>
      <c r="AK221" s="17"/>
      <c r="AL221" s="17"/>
      <c r="AM221" s="17"/>
      <c r="AN221" s="17"/>
      <c r="AO221" s="17"/>
      <c r="AP221" s="17"/>
      <c r="AQ221" s="17"/>
    </row>
    <row r="222" spans="1:43" hidden="1">
      <c r="A222">
        <f t="shared" si="134"/>
        <v>219</v>
      </c>
      <c r="B222" s="407">
        <v>1</v>
      </c>
      <c r="C222" s="407" t="s">
        <v>505</v>
      </c>
      <c r="D222" s="407" t="s">
        <v>751</v>
      </c>
      <c r="E222" s="407"/>
      <c r="F222" s="408" t="s">
        <v>1202</v>
      </c>
      <c r="G222" s="409">
        <v>1.3</v>
      </c>
      <c r="H222" s="410"/>
      <c r="I222" s="409">
        <f t="shared" si="133"/>
        <v>1.3</v>
      </c>
      <c r="K222" s="417"/>
      <c r="L222" s="17" t="s">
        <v>966</v>
      </c>
      <c r="M222" s="720">
        <v>43891</v>
      </c>
      <c r="N222" s="721" t="b">
        <f t="shared" si="155"/>
        <v>0</v>
      </c>
      <c r="O222" s="721" t="b">
        <f t="shared" si="157"/>
        <v>0</v>
      </c>
      <c r="P222" s="721" t="b">
        <f t="shared" si="153"/>
        <v>0</v>
      </c>
      <c r="Q222" s="721" t="b">
        <f t="shared" si="161"/>
        <v>0</v>
      </c>
      <c r="R222" s="721" t="b">
        <f t="shared" si="160"/>
        <v>0</v>
      </c>
      <c r="S222" s="721" t="b">
        <f t="shared" si="146"/>
        <v>0</v>
      </c>
      <c r="T222" s="721" t="b">
        <f t="shared" si="135"/>
        <v>0</v>
      </c>
      <c r="U222" s="721" t="b">
        <f t="shared" ref="U222:U223" si="166">TRUE()</f>
        <v>1</v>
      </c>
      <c r="V222" s="721" t="b">
        <f t="shared" ref="V222:V245" si="167">FALSE()</f>
        <v>0</v>
      </c>
      <c r="W222" s="721" t="b">
        <f t="shared" si="164"/>
        <v>0</v>
      </c>
      <c r="X222" s="721" t="b">
        <f t="shared" si="148"/>
        <v>0</v>
      </c>
      <c r="Y222" s="721" t="b">
        <f t="shared" si="154"/>
        <v>0</v>
      </c>
      <c r="Z222" s="721" t="b">
        <f t="shared" si="149"/>
        <v>0</v>
      </c>
      <c r="AA222" s="721" t="b">
        <f t="shared" si="144"/>
        <v>0</v>
      </c>
      <c r="AB222" s="17"/>
      <c r="AC222" s="17"/>
      <c r="AD222" s="17"/>
      <c r="AE222" s="17"/>
      <c r="AF222" s="17"/>
      <c r="AG222" s="17"/>
      <c r="AH222" s="17"/>
      <c r="AI222" s="17"/>
      <c r="AJ222" s="17"/>
      <c r="AK222" s="17"/>
      <c r="AL222" s="17"/>
      <c r="AM222" s="17"/>
      <c r="AN222" s="17"/>
      <c r="AO222" s="17"/>
      <c r="AP222" s="17"/>
      <c r="AQ222" s="17"/>
    </row>
    <row r="223" spans="1:43" hidden="1">
      <c r="A223">
        <f t="shared" si="134"/>
        <v>220</v>
      </c>
      <c r="B223" s="407">
        <v>1</v>
      </c>
      <c r="C223" s="407" t="s">
        <v>505</v>
      </c>
      <c r="D223" s="407" t="s">
        <v>751</v>
      </c>
      <c r="E223" s="407"/>
      <c r="F223" s="408" t="s">
        <v>1203</v>
      </c>
      <c r="G223" s="409">
        <v>0.98</v>
      </c>
      <c r="H223" s="410"/>
      <c r="I223" s="409">
        <f t="shared" si="133"/>
        <v>0.98</v>
      </c>
      <c r="K223" s="417"/>
      <c r="L223" s="17" t="s">
        <v>966</v>
      </c>
      <c r="M223" s="720">
        <v>43891</v>
      </c>
      <c r="N223" s="721" t="b">
        <f t="shared" si="155"/>
        <v>0</v>
      </c>
      <c r="O223" s="721" t="b">
        <f t="shared" si="157"/>
        <v>0</v>
      </c>
      <c r="P223" s="721" t="b">
        <f t="shared" si="153"/>
        <v>0</v>
      </c>
      <c r="Q223" s="721" t="b">
        <f t="shared" si="161"/>
        <v>0</v>
      </c>
      <c r="R223" s="721" t="b">
        <f t="shared" si="160"/>
        <v>0</v>
      </c>
      <c r="S223" s="721" t="b">
        <f t="shared" si="146"/>
        <v>0</v>
      </c>
      <c r="T223" s="721" t="b">
        <f t="shared" si="135"/>
        <v>0</v>
      </c>
      <c r="U223" s="721" t="b">
        <f t="shared" si="166"/>
        <v>1</v>
      </c>
      <c r="V223" s="721" t="b">
        <f t="shared" si="167"/>
        <v>0</v>
      </c>
      <c r="W223" s="721" t="b">
        <f t="shared" si="164"/>
        <v>0</v>
      </c>
      <c r="X223" s="721" t="b">
        <f t="shared" si="148"/>
        <v>0</v>
      </c>
      <c r="Y223" s="721" t="b">
        <f t="shared" si="154"/>
        <v>0</v>
      </c>
      <c r="Z223" s="721" t="b">
        <f t="shared" si="149"/>
        <v>0</v>
      </c>
      <c r="AA223" s="721" t="b">
        <f t="shared" si="144"/>
        <v>0</v>
      </c>
      <c r="AB223" s="17"/>
      <c r="AC223" s="17"/>
      <c r="AD223" s="17"/>
      <c r="AE223" s="17"/>
      <c r="AF223" s="17"/>
      <c r="AG223" s="17"/>
      <c r="AH223" s="17"/>
      <c r="AI223" s="17"/>
      <c r="AJ223" s="17"/>
      <c r="AK223" s="17"/>
      <c r="AL223" s="17"/>
      <c r="AM223" s="17"/>
      <c r="AN223" s="17"/>
      <c r="AO223" s="17"/>
      <c r="AP223" s="17"/>
      <c r="AQ223" s="17"/>
    </row>
    <row r="224" spans="1:43" hidden="1">
      <c r="A224">
        <f t="shared" si="134"/>
        <v>221</v>
      </c>
      <c r="B224" s="407">
        <v>1</v>
      </c>
      <c r="C224" s="407" t="s">
        <v>505</v>
      </c>
      <c r="D224" s="407" t="s">
        <v>751</v>
      </c>
      <c r="E224" s="407"/>
      <c r="F224" s="408" t="s">
        <v>1204</v>
      </c>
      <c r="G224" s="409">
        <v>1810</v>
      </c>
      <c r="H224" s="410"/>
      <c r="I224" s="409">
        <f t="shared" si="133"/>
        <v>1810</v>
      </c>
      <c r="J224" s="58">
        <v>27000</v>
      </c>
      <c r="K224" s="417">
        <f t="shared" si="145"/>
        <v>6.7037037037037034E-2</v>
      </c>
      <c r="L224" s="17" t="s">
        <v>966</v>
      </c>
      <c r="M224" s="720">
        <v>43891</v>
      </c>
      <c r="N224" s="721" t="b">
        <f t="shared" si="155"/>
        <v>0</v>
      </c>
      <c r="O224" s="721" t="b">
        <f t="shared" si="157"/>
        <v>0</v>
      </c>
      <c r="P224" s="721" t="b">
        <f t="shared" ref="P224:P235" si="168">TRUE()</f>
        <v>1</v>
      </c>
      <c r="Q224" s="721" t="b">
        <f t="shared" si="161"/>
        <v>0</v>
      </c>
      <c r="R224" s="721" t="b">
        <f t="shared" si="160"/>
        <v>0</v>
      </c>
      <c r="S224" s="721" t="b">
        <f t="shared" si="146"/>
        <v>0</v>
      </c>
      <c r="T224" s="721" t="b">
        <f t="shared" si="135"/>
        <v>0</v>
      </c>
      <c r="U224" s="721" t="b">
        <f t="shared" ref="U224:U247" si="169">FALSE()</f>
        <v>0</v>
      </c>
      <c r="V224" s="721" t="b">
        <f t="shared" si="167"/>
        <v>0</v>
      </c>
      <c r="W224" s="721" t="b">
        <f t="shared" si="164"/>
        <v>0</v>
      </c>
      <c r="X224" s="721" t="b">
        <f t="shared" si="148"/>
        <v>0</v>
      </c>
      <c r="Y224" s="721" t="b">
        <f t="shared" si="154"/>
        <v>0</v>
      </c>
      <c r="Z224" s="721" t="b">
        <f t="shared" si="149"/>
        <v>0</v>
      </c>
      <c r="AA224" s="721" t="b">
        <f t="shared" si="144"/>
        <v>0</v>
      </c>
      <c r="AB224" s="17"/>
      <c r="AC224" s="17"/>
      <c r="AD224" s="17"/>
      <c r="AE224" s="17"/>
      <c r="AF224" s="17"/>
      <c r="AG224" s="17"/>
      <c r="AH224" s="17"/>
      <c r="AI224" s="17"/>
      <c r="AJ224" s="17"/>
      <c r="AK224" s="17"/>
      <c r="AL224" s="17"/>
      <c r="AM224" s="17"/>
      <c r="AN224" s="17"/>
      <c r="AO224" s="17"/>
      <c r="AP224" s="17"/>
      <c r="AQ224" s="17"/>
    </row>
    <row r="225" spans="1:43" hidden="1">
      <c r="A225">
        <f t="shared" si="134"/>
        <v>222</v>
      </c>
      <c r="B225" s="407">
        <v>1</v>
      </c>
      <c r="C225" s="407" t="s">
        <v>505</v>
      </c>
      <c r="D225" s="407" t="s">
        <v>751</v>
      </c>
      <c r="E225" s="407"/>
      <c r="F225" s="408" t="s">
        <v>1092</v>
      </c>
      <c r="G225" s="409">
        <v>1677.33</v>
      </c>
      <c r="H225" s="410"/>
      <c r="I225" s="409">
        <f t="shared" si="133"/>
        <v>1677.33</v>
      </c>
      <c r="J225" s="58">
        <v>12500</v>
      </c>
      <c r="K225" s="417">
        <f t="shared" si="145"/>
        <v>0.13418639999999998</v>
      </c>
      <c r="L225" s="17" t="s">
        <v>966</v>
      </c>
      <c r="M225" s="720">
        <v>43891</v>
      </c>
      <c r="N225" s="721" t="b">
        <f t="shared" si="155"/>
        <v>0</v>
      </c>
      <c r="O225" s="721" t="b">
        <f t="shared" si="157"/>
        <v>0</v>
      </c>
      <c r="P225" s="721" t="b">
        <f t="shared" si="168"/>
        <v>1</v>
      </c>
      <c r="Q225" s="721" t="b">
        <f t="shared" si="161"/>
        <v>0</v>
      </c>
      <c r="R225" s="721" t="b">
        <f t="shared" si="160"/>
        <v>0</v>
      </c>
      <c r="S225" s="721" t="b">
        <f t="shared" si="146"/>
        <v>0</v>
      </c>
      <c r="T225" s="721" t="b">
        <f t="shared" si="135"/>
        <v>0</v>
      </c>
      <c r="U225" s="721" t="b">
        <f t="shared" si="169"/>
        <v>0</v>
      </c>
      <c r="V225" s="721" t="b">
        <f t="shared" si="167"/>
        <v>0</v>
      </c>
      <c r="W225" s="721" t="b">
        <f t="shared" si="164"/>
        <v>0</v>
      </c>
      <c r="X225" s="721" t="b">
        <f t="shared" si="148"/>
        <v>0</v>
      </c>
      <c r="Y225" s="721" t="b">
        <f t="shared" si="154"/>
        <v>0</v>
      </c>
      <c r="Z225" s="721" t="b">
        <f t="shared" si="149"/>
        <v>0</v>
      </c>
      <c r="AA225" s="721" t="b">
        <f t="shared" si="144"/>
        <v>0</v>
      </c>
      <c r="AB225" s="17"/>
      <c r="AC225" s="17"/>
      <c r="AD225" s="17"/>
      <c r="AE225" s="17"/>
      <c r="AF225" s="17"/>
      <c r="AG225" s="17"/>
      <c r="AH225" s="17"/>
      <c r="AI225" s="17"/>
      <c r="AJ225" s="17"/>
      <c r="AK225" s="17"/>
      <c r="AL225" s="17"/>
      <c r="AM225" s="17"/>
      <c r="AN225" s="17"/>
      <c r="AO225" s="17"/>
      <c r="AP225" s="17"/>
      <c r="AQ225" s="17"/>
    </row>
    <row r="226" spans="1:43" hidden="1">
      <c r="A226">
        <f t="shared" si="134"/>
        <v>223</v>
      </c>
      <c r="B226" s="407">
        <v>1</v>
      </c>
      <c r="C226" s="407" t="s">
        <v>505</v>
      </c>
      <c r="D226" s="407" t="s">
        <v>751</v>
      </c>
      <c r="E226" s="407"/>
      <c r="F226" s="408" t="s">
        <v>1100</v>
      </c>
      <c r="G226" s="409">
        <v>33.21</v>
      </c>
      <c r="H226" s="410"/>
      <c r="I226" s="409">
        <f t="shared" si="133"/>
        <v>33.21</v>
      </c>
      <c r="K226" s="417" t="e">
        <f t="shared" si="145"/>
        <v>#DIV/0!</v>
      </c>
      <c r="L226" s="17" t="s">
        <v>966</v>
      </c>
      <c r="M226" s="720">
        <v>43891</v>
      </c>
      <c r="N226" s="721" t="b">
        <f t="shared" si="155"/>
        <v>0</v>
      </c>
      <c r="O226" s="721" t="b">
        <f t="shared" si="157"/>
        <v>0</v>
      </c>
      <c r="P226" s="721" t="b">
        <f t="shared" si="168"/>
        <v>1</v>
      </c>
      <c r="Q226" s="721" t="b">
        <f t="shared" si="161"/>
        <v>0</v>
      </c>
      <c r="R226" s="721" t="b">
        <f t="shared" si="160"/>
        <v>0</v>
      </c>
      <c r="S226" s="721" t="b">
        <f t="shared" si="146"/>
        <v>0</v>
      </c>
      <c r="T226" s="721" t="b">
        <f t="shared" si="135"/>
        <v>0</v>
      </c>
      <c r="U226" s="721" t="b">
        <f t="shared" si="169"/>
        <v>0</v>
      </c>
      <c r="V226" s="721" t="b">
        <f t="shared" si="167"/>
        <v>0</v>
      </c>
      <c r="W226" s="721" t="b">
        <f t="shared" si="164"/>
        <v>0</v>
      </c>
      <c r="X226" s="721" t="b">
        <f t="shared" si="148"/>
        <v>0</v>
      </c>
      <c r="Y226" s="721" t="b">
        <f t="shared" si="154"/>
        <v>0</v>
      </c>
      <c r="Z226" s="721" t="b">
        <f t="shared" si="149"/>
        <v>0</v>
      </c>
      <c r="AA226" s="721" t="b">
        <f t="shared" si="144"/>
        <v>0</v>
      </c>
      <c r="AB226" s="17"/>
      <c r="AC226" s="17"/>
      <c r="AD226" s="17"/>
      <c r="AE226" s="17"/>
      <c r="AF226" s="17"/>
      <c r="AG226" s="17"/>
      <c r="AH226" s="17"/>
      <c r="AI226" s="17"/>
      <c r="AJ226" s="17"/>
      <c r="AK226" s="17"/>
      <c r="AL226" s="17"/>
      <c r="AM226" s="17"/>
      <c r="AN226" s="17"/>
      <c r="AO226" s="17"/>
      <c r="AP226" s="17"/>
      <c r="AQ226" s="17"/>
    </row>
    <row r="227" spans="1:43" hidden="1">
      <c r="A227">
        <f t="shared" si="134"/>
        <v>224</v>
      </c>
      <c r="B227" s="407">
        <v>1</v>
      </c>
      <c r="C227" s="407" t="s">
        <v>505</v>
      </c>
      <c r="D227" s="407" t="s">
        <v>751</v>
      </c>
      <c r="E227" s="407"/>
      <c r="F227" s="408" t="s">
        <v>823</v>
      </c>
      <c r="G227" s="409">
        <v>853.37</v>
      </c>
      <c r="H227" s="410"/>
      <c r="I227" s="409">
        <f t="shared" si="133"/>
        <v>853.37</v>
      </c>
      <c r="J227" s="58">
        <v>3000</v>
      </c>
      <c r="K227" s="417">
        <f t="shared" si="145"/>
        <v>0.28445666666666669</v>
      </c>
      <c r="L227" s="17" t="s">
        <v>966</v>
      </c>
      <c r="M227" s="720">
        <v>43891</v>
      </c>
      <c r="N227" s="721" t="b">
        <f t="shared" si="155"/>
        <v>0</v>
      </c>
      <c r="O227" s="721" t="b">
        <f t="shared" si="157"/>
        <v>0</v>
      </c>
      <c r="P227" s="721" t="b">
        <f t="shared" si="168"/>
        <v>1</v>
      </c>
      <c r="Q227" s="721" t="b">
        <f t="shared" si="161"/>
        <v>0</v>
      </c>
      <c r="R227" s="721" t="b">
        <f t="shared" si="160"/>
        <v>0</v>
      </c>
      <c r="S227" s="721" t="b">
        <f t="shared" si="146"/>
        <v>0</v>
      </c>
      <c r="T227" s="721" t="b">
        <f t="shared" si="135"/>
        <v>0</v>
      </c>
      <c r="U227" s="721" t="b">
        <f t="shared" si="169"/>
        <v>0</v>
      </c>
      <c r="V227" s="721" t="b">
        <f t="shared" si="167"/>
        <v>0</v>
      </c>
      <c r="W227" s="721" t="b">
        <f t="shared" si="164"/>
        <v>0</v>
      </c>
      <c r="X227" s="721" t="b">
        <f t="shared" si="148"/>
        <v>0</v>
      </c>
      <c r="Y227" s="721" t="b">
        <f t="shared" si="154"/>
        <v>0</v>
      </c>
      <c r="Z227" s="721" t="b">
        <f t="shared" si="149"/>
        <v>0</v>
      </c>
      <c r="AA227" s="721" t="b">
        <f t="shared" si="144"/>
        <v>0</v>
      </c>
      <c r="AB227" s="17"/>
      <c r="AC227" s="17"/>
      <c r="AD227" s="17"/>
      <c r="AE227" s="17"/>
      <c r="AF227" s="17"/>
      <c r="AG227" s="17"/>
      <c r="AH227" s="17"/>
      <c r="AI227" s="17"/>
      <c r="AJ227" s="17"/>
      <c r="AK227" s="17"/>
      <c r="AL227" s="17"/>
      <c r="AM227" s="17"/>
      <c r="AN227" s="17"/>
      <c r="AO227" s="17"/>
      <c r="AP227" s="17"/>
      <c r="AQ227" s="17"/>
    </row>
    <row r="228" spans="1:43" hidden="1">
      <c r="A228">
        <f t="shared" si="134"/>
        <v>225</v>
      </c>
      <c r="B228" s="407">
        <v>1</v>
      </c>
      <c r="C228" s="407" t="s">
        <v>505</v>
      </c>
      <c r="D228" s="407" t="s">
        <v>751</v>
      </c>
      <c r="E228" s="407"/>
      <c r="F228" s="408" t="s">
        <v>1205</v>
      </c>
      <c r="G228" s="409">
        <v>2506.39</v>
      </c>
      <c r="H228" s="410"/>
      <c r="I228" s="409">
        <f t="shared" ref="I228:I291" si="170">G228*(1-H228)</f>
        <v>2506.39</v>
      </c>
      <c r="J228" s="58">
        <v>27800</v>
      </c>
      <c r="K228" s="417">
        <f t="shared" si="145"/>
        <v>9.015791366906474E-2</v>
      </c>
      <c r="L228" s="17" t="s">
        <v>966</v>
      </c>
      <c r="M228" s="720">
        <v>43891</v>
      </c>
      <c r="N228" s="721" t="b">
        <f t="shared" si="155"/>
        <v>0</v>
      </c>
      <c r="O228" s="721" t="b">
        <f t="shared" si="157"/>
        <v>0</v>
      </c>
      <c r="P228" s="721" t="b">
        <f t="shared" si="168"/>
        <v>1</v>
      </c>
      <c r="Q228" s="721" t="b">
        <f t="shared" si="161"/>
        <v>0</v>
      </c>
      <c r="R228" s="721" t="b">
        <f t="shared" si="160"/>
        <v>0</v>
      </c>
      <c r="S228" s="721" t="b">
        <f t="shared" si="146"/>
        <v>0</v>
      </c>
      <c r="T228" s="721" t="b">
        <f t="shared" si="135"/>
        <v>0</v>
      </c>
      <c r="U228" s="721" t="b">
        <f t="shared" si="169"/>
        <v>0</v>
      </c>
      <c r="V228" s="721" t="b">
        <f t="shared" si="167"/>
        <v>0</v>
      </c>
      <c r="W228" s="721" t="b">
        <f t="shared" si="164"/>
        <v>0</v>
      </c>
      <c r="X228" s="721" t="b">
        <f t="shared" si="148"/>
        <v>0</v>
      </c>
      <c r="Y228" s="721" t="b">
        <f t="shared" si="154"/>
        <v>0</v>
      </c>
      <c r="Z228" s="721" t="b">
        <f t="shared" si="149"/>
        <v>0</v>
      </c>
      <c r="AA228" s="721" t="b">
        <f t="shared" si="144"/>
        <v>0</v>
      </c>
      <c r="AB228" s="17"/>
      <c r="AC228" s="17"/>
      <c r="AD228" s="17"/>
      <c r="AE228" s="17"/>
      <c r="AF228" s="17"/>
      <c r="AG228" s="17"/>
      <c r="AH228" s="17"/>
      <c r="AI228" s="17"/>
      <c r="AJ228" s="17"/>
      <c r="AK228" s="17"/>
      <c r="AL228" s="17"/>
      <c r="AM228" s="17"/>
      <c r="AN228" s="17"/>
      <c r="AO228" s="17"/>
      <c r="AP228" s="17"/>
      <c r="AQ228" s="17"/>
    </row>
    <row r="229" spans="1:43" hidden="1">
      <c r="A229">
        <f t="shared" ref="A229:A292" si="171">A228+1</f>
        <v>226</v>
      </c>
      <c r="B229" s="407">
        <v>1</v>
      </c>
      <c r="C229" s="407" t="s">
        <v>505</v>
      </c>
      <c r="D229" s="407" t="s">
        <v>751</v>
      </c>
      <c r="E229" s="407"/>
      <c r="F229" s="408" t="s">
        <v>1206</v>
      </c>
      <c r="G229" s="409">
        <v>786.53</v>
      </c>
      <c r="H229" s="410"/>
      <c r="I229" s="409">
        <f t="shared" si="170"/>
        <v>786.53</v>
      </c>
      <c r="J229" s="58">
        <f>55000/2</f>
        <v>27500</v>
      </c>
      <c r="K229" s="417">
        <f t="shared" si="145"/>
        <v>2.8601090909090909E-2</v>
      </c>
      <c r="L229" s="17" t="s">
        <v>966</v>
      </c>
      <c r="M229" s="720">
        <v>43891</v>
      </c>
      <c r="N229" s="721" t="b">
        <f t="shared" si="155"/>
        <v>0</v>
      </c>
      <c r="O229" s="721" t="b">
        <f t="shared" si="157"/>
        <v>0</v>
      </c>
      <c r="P229" s="721" t="b">
        <f t="shared" si="168"/>
        <v>1</v>
      </c>
      <c r="Q229" s="721" t="b">
        <f t="shared" si="161"/>
        <v>0</v>
      </c>
      <c r="R229" s="721" t="b">
        <f t="shared" si="160"/>
        <v>0</v>
      </c>
      <c r="S229" s="721" t="b">
        <f t="shared" si="146"/>
        <v>0</v>
      </c>
      <c r="T229" s="721" t="b">
        <f t="shared" si="135"/>
        <v>0</v>
      </c>
      <c r="U229" s="721" t="b">
        <f t="shared" si="169"/>
        <v>0</v>
      </c>
      <c r="V229" s="721" t="b">
        <f t="shared" si="167"/>
        <v>0</v>
      </c>
      <c r="W229" s="721" t="b">
        <f t="shared" si="164"/>
        <v>0</v>
      </c>
      <c r="X229" s="721" t="b">
        <f t="shared" si="148"/>
        <v>0</v>
      </c>
      <c r="Y229" s="721" t="b">
        <f t="shared" si="154"/>
        <v>0</v>
      </c>
      <c r="Z229" s="721" t="b">
        <f t="shared" si="149"/>
        <v>0</v>
      </c>
      <c r="AA229" s="721" t="b">
        <f t="shared" si="144"/>
        <v>0</v>
      </c>
      <c r="AB229" s="17"/>
      <c r="AC229" s="17"/>
      <c r="AD229" s="17"/>
      <c r="AE229" s="17"/>
      <c r="AF229" s="17"/>
      <c r="AG229" s="17"/>
      <c r="AH229" s="17"/>
      <c r="AI229" s="17"/>
      <c r="AJ229" s="17"/>
      <c r="AK229" s="17"/>
      <c r="AL229" s="17"/>
      <c r="AM229" s="17"/>
      <c r="AN229" s="17"/>
      <c r="AO229" s="17"/>
      <c r="AP229" s="17"/>
      <c r="AQ229" s="17"/>
    </row>
    <row r="230" spans="1:43" hidden="1">
      <c r="A230">
        <f t="shared" si="171"/>
        <v>227</v>
      </c>
      <c r="B230" s="407">
        <v>1</v>
      </c>
      <c r="C230" s="407" t="s">
        <v>505</v>
      </c>
      <c r="D230" s="407" t="s">
        <v>751</v>
      </c>
      <c r="E230" s="407"/>
      <c r="F230" s="408" t="s">
        <v>1207</v>
      </c>
      <c r="G230" s="409">
        <v>36.270000000000003</v>
      </c>
      <c r="H230" s="410"/>
      <c r="I230" s="409">
        <f t="shared" si="170"/>
        <v>36.270000000000003</v>
      </c>
      <c r="J230" s="58">
        <v>600</v>
      </c>
      <c r="K230" s="417">
        <f t="shared" si="145"/>
        <v>6.0450000000000004E-2</v>
      </c>
      <c r="L230" s="17" t="s">
        <v>966</v>
      </c>
      <c r="M230" s="720">
        <v>43891</v>
      </c>
      <c r="N230" s="721" t="b">
        <f t="shared" si="155"/>
        <v>0</v>
      </c>
      <c r="O230" s="721" t="b">
        <f t="shared" si="157"/>
        <v>0</v>
      </c>
      <c r="P230" s="721" t="b">
        <f t="shared" si="168"/>
        <v>1</v>
      </c>
      <c r="Q230" s="721" t="b">
        <f t="shared" si="161"/>
        <v>0</v>
      </c>
      <c r="R230" s="721" t="b">
        <f t="shared" si="160"/>
        <v>0</v>
      </c>
      <c r="S230" s="721" t="b">
        <f t="shared" si="146"/>
        <v>0</v>
      </c>
      <c r="T230" s="721" t="b">
        <f t="shared" si="135"/>
        <v>0</v>
      </c>
      <c r="U230" s="721" t="b">
        <f t="shared" si="169"/>
        <v>0</v>
      </c>
      <c r="V230" s="721" t="b">
        <f t="shared" si="167"/>
        <v>0</v>
      </c>
      <c r="W230" s="721" t="b">
        <f t="shared" si="164"/>
        <v>0</v>
      </c>
      <c r="X230" s="721" t="b">
        <f t="shared" si="148"/>
        <v>0</v>
      </c>
      <c r="Y230" s="721" t="b">
        <f t="shared" si="154"/>
        <v>0</v>
      </c>
      <c r="Z230" s="721" t="b">
        <f t="shared" si="149"/>
        <v>0</v>
      </c>
      <c r="AA230" s="721" t="b">
        <f t="shared" si="144"/>
        <v>0</v>
      </c>
      <c r="AB230" s="17"/>
      <c r="AC230" s="17"/>
      <c r="AD230" s="17"/>
      <c r="AE230" s="17"/>
      <c r="AF230" s="17"/>
      <c r="AG230" s="17"/>
      <c r="AH230" s="17"/>
      <c r="AI230" s="17"/>
      <c r="AJ230" s="17"/>
      <c r="AK230" s="17"/>
      <c r="AL230" s="17"/>
      <c r="AM230" s="17"/>
      <c r="AN230" s="17"/>
      <c r="AO230" s="17"/>
      <c r="AP230" s="17"/>
      <c r="AQ230" s="17"/>
    </row>
    <row r="231" spans="1:43" hidden="1">
      <c r="A231">
        <f t="shared" si="171"/>
        <v>228</v>
      </c>
      <c r="B231" s="407">
        <v>1</v>
      </c>
      <c r="C231" s="407" t="s">
        <v>505</v>
      </c>
      <c r="D231" s="407" t="s">
        <v>751</v>
      </c>
      <c r="E231" s="407"/>
      <c r="F231" s="408" t="s">
        <v>1208</v>
      </c>
      <c r="G231" s="409">
        <v>1619.7</v>
      </c>
      <c r="H231" s="410"/>
      <c r="I231" s="409">
        <f t="shared" si="170"/>
        <v>1619.7</v>
      </c>
      <c r="J231" s="58">
        <v>15000</v>
      </c>
      <c r="K231" s="417">
        <f t="shared" si="145"/>
        <v>0.10798000000000001</v>
      </c>
      <c r="L231" s="17" t="s">
        <v>966</v>
      </c>
      <c r="M231" s="720">
        <v>43891</v>
      </c>
      <c r="N231" s="721" t="b">
        <f t="shared" si="155"/>
        <v>0</v>
      </c>
      <c r="O231" s="721" t="b">
        <f t="shared" si="157"/>
        <v>0</v>
      </c>
      <c r="P231" s="721" t="b">
        <f t="shared" si="168"/>
        <v>1</v>
      </c>
      <c r="Q231" s="721" t="b">
        <f t="shared" si="161"/>
        <v>0</v>
      </c>
      <c r="R231" s="721" t="b">
        <f t="shared" si="160"/>
        <v>0</v>
      </c>
      <c r="S231" s="721" t="b">
        <f t="shared" si="146"/>
        <v>0</v>
      </c>
      <c r="T231" s="721" t="b">
        <f t="shared" si="135"/>
        <v>0</v>
      </c>
      <c r="U231" s="721" t="b">
        <f t="shared" si="169"/>
        <v>0</v>
      </c>
      <c r="V231" s="721" t="b">
        <f t="shared" si="167"/>
        <v>0</v>
      </c>
      <c r="W231" s="721" t="b">
        <f t="shared" si="164"/>
        <v>0</v>
      </c>
      <c r="X231" s="721" t="b">
        <f t="shared" si="148"/>
        <v>0</v>
      </c>
      <c r="Y231" s="721" t="b">
        <f t="shared" si="154"/>
        <v>0</v>
      </c>
      <c r="Z231" s="721" t="b">
        <f t="shared" si="149"/>
        <v>0</v>
      </c>
      <c r="AA231" s="721" t="b">
        <f t="shared" si="144"/>
        <v>0</v>
      </c>
      <c r="AB231" s="17"/>
      <c r="AC231" s="17"/>
      <c r="AD231" s="17"/>
      <c r="AE231" s="17"/>
      <c r="AF231" s="17"/>
      <c r="AG231" s="17"/>
      <c r="AH231" s="17"/>
      <c r="AI231" s="17"/>
      <c r="AJ231" s="17"/>
      <c r="AK231" s="17"/>
      <c r="AL231" s="17"/>
      <c r="AM231" s="17"/>
      <c r="AN231" s="17"/>
      <c r="AO231" s="17"/>
      <c r="AP231" s="17"/>
      <c r="AQ231" s="17"/>
    </row>
    <row r="232" spans="1:43" hidden="1">
      <c r="A232">
        <f t="shared" si="171"/>
        <v>229</v>
      </c>
      <c r="B232" s="407">
        <v>1</v>
      </c>
      <c r="C232" s="407" t="s">
        <v>505</v>
      </c>
      <c r="D232" s="407" t="s">
        <v>751</v>
      </c>
      <c r="E232" s="407"/>
      <c r="F232" s="408" t="s">
        <v>1209</v>
      </c>
      <c r="G232" s="409">
        <v>1688.73</v>
      </c>
      <c r="H232" s="410"/>
      <c r="I232" s="409">
        <f t="shared" si="170"/>
        <v>1688.73</v>
      </c>
      <c r="J232" s="58">
        <v>15000</v>
      </c>
      <c r="K232" s="417">
        <f t="shared" si="145"/>
        <v>0.112582</v>
      </c>
      <c r="L232" s="17" t="s">
        <v>966</v>
      </c>
      <c r="M232" s="720">
        <v>43891</v>
      </c>
      <c r="N232" s="721" t="b">
        <f t="shared" si="155"/>
        <v>0</v>
      </c>
      <c r="O232" s="721" t="b">
        <f t="shared" si="157"/>
        <v>0</v>
      </c>
      <c r="P232" s="721" t="b">
        <f t="shared" si="168"/>
        <v>1</v>
      </c>
      <c r="Q232" s="721" t="b">
        <f t="shared" si="161"/>
        <v>0</v>
      </c>
      <c r="R232" s="721" t="b">
        <f t="shared" si="160"/>
        <v>0</v>
      </c>
      <c r="S232" s="721" t="b">
        <f t="shared" si="146"/>
        <v>0</v>
      </c>
      <c r="T232" s="721" t="b">
        <f t="shared" si="135"/>
        <v>0</v>
      </c>
      <c r="U232" s="721" t="b">
        <f t="shared" si="169"/>
        <v>0</v>
      </c>
      <c r="V232" s="721" t="b">
        <f t="shared" si="167"/>
        <v>0</v>
      </c>
      <c r="W232" s="721" t="b">
        <f t="shared" si="164"/>
        <v>0</v>
      </c>
      <c r="X232" s="721" t="b">
        <f t="shared" si="148"/>
        <v>0</v>
      </c>
      <c r="Y232" s="721" t="b">
        <f t="shared" si="154"/>
        <v>0</v>
      </c>
      <c r="Z232" s="721" t="b">
        <f t="shared" si="149"/>
        <v>0</v>
      </c>
      <c r="AA232" s="721" t="b">
        <f t="shared" si="144"/>
        <v>0</v>
      </c>
      <c r="AB232" s="17"/>
      <c r="AC232" s="17"/>
      <c r="AD232" s="17"/>
      <c r="AE232" s="17"/>
      <c r="AF232" s="17"/>
      <c r="AG232" s="17"/>
      <c r="AH232" s="17"/>
      <c r="AI232" s="17"/>
      <c r="AJ232" s="17"/>
      <c r="AK232" s="17"/>
      <c r="AL232" s="17"/>
      <c r="AM232" s="17"/>
      <c r="AN232" s="17"/>
      <c r="AO232" s="17"/>
      <c r="AP232" s="17"/>
      <c r="AQ232" s="17"/>
    </row>
    <row r="233" spans="1:43" hidden="1">
      <c r="A233">
        <f t="shared" si="171"/>
        <v>230</v>
      </c>
      <c r="B233" s="407">
        <v>1</v>
      </c>
      <c r="C233" s="407" t="s">
        <v>505</v>
      </c>
      <c r="D233" s="407" t="s">
        <v>751</v>
      </c>
      <c r="E233" s="407"/>
      <c r="F233" s="408" t="s">
        <v>1096</v>
      </c>
      <c r="G233" s="409">
        <v>1129.33</v>
      </c>
      <c r="H233" s="410"/>
      <c r="I233" s="409">
        <f t="shared" si="170"/>
        <v>1129.33</v>
      </c>
      <c r="J233" s="58">
        <v>15000</v>
      </c>
      <c r="K233" s="417">
        <f t="shared" si="145"/>
        <v>7.5288666666666657E-2</v>
      </c>
      <c r="L233" s="17" t="s">
        <v>966</v>
      </c>
      <c r="M233" s="720">
        <v>43891</v>
      </c>
      <c r="N233" s="721" t="b">
        <f t="shared" si="155"/>
        <v>0</v>
      </c>
      <c r="O233" s="721" t="b">
        <f t="shared" si="157"/>
        <v>0</v>
      </c>
      <c r="P233" s="721" t="b">
        <f t="shared" si="168"/>
        <v>1</v>
      </c>
      <c r="Q233" s="721" t="b">
        <f t="shared" si="161"/>
        <v>0</v>
      </c>
      <c r="R233" s="721" t="b">
        <f t="shared" si="160"/>
        <v>0</v>
      </c>
      <c r="S233" s="721" t="b">
        <f t="shared" si="146"/>
        <v>0</v>
      </c>
      <c r="T233" s="721" t="b">
        <f t="shared" si="135"/>
        <v>0</v>
      </c>
      <c r="U233" s="721" t="b">
        <f t="shared" si="169"/>
        <v>0</v>
      </c>
      <c r="V233" s="721" t="b">
        <f t="shared" si="167"/>
        <v>0</v>
      </c>
      <c r="W233" s="721" t="b">
        <f t="shared" si="164"/>
        <v>0</v>
      </c>
      <c r="X233" s="721" t="b">
        <f t="shared" si="148"/>
        <v>0</v>
      </c>
      <c r="Y233" s="721" t="b">
        <f t="shared" si="154"/>
        <v>0</v>
      </c>
      <c r="Z233" s="721" t="b">
        <f t="shared" si="149"/>
        <v>0</v>
      </c>
      <c r="AA233" s="721" t="b">
        <f t="shared" si="144"/>
        <v>0</v>
      </c>
      <c r="AB233" s="17"/>
      <c r="AC233" s="17"/>
      <c r="AD233" s="17"/>
      <c r="AE233" s="17"/>
      <c r="AF233" s="17"/>
      <c r="AG233" s="17"/>
      <c r="AH233" s="17"/>
      <c r="AI233" s="17"/>
      <c r="AJ233" s="17"/>
      <c r="AK233" s="17"/>
      <c r="AL233" s="17"/>
      <c r="AM233" s="17"/>
      <c r="AN233" s="17"/>
      <c r="AO233" s="17"/>
      <c r="AP233" s="17"/>
      <c r="AQ233" s="17"/>
    </row>
    <row r="234" spans="1:43" hidden="1">
      <c r="A234">
        <f t="shared" si="171"/>
        <v>231</v>
      </c>
      <c r="B234" s="407">
        <v>1</v>
      </c>
      <c r="C234" s="407" t="s">
        <v>505</v>
      </c>
      <c r="D234" s="407" t="s">
        <v>751</v>
      </c>
      <c r="E234" s="407"/>
      <c r="F234" s="408" t="s">
        <v>1210</v>
      </c>
      <c r="G234" s="409">
        <v>39.82</v>
      </c>
      <c r="H234" s="410"/>
      <c r="I234" s="409">
        <f t="shared" si="170"/>
        <v>39.82</v>
      </c>
      <c r="J234" s="58">
        <v>600</v>
      </c>
      <c r="K234" s="417">
        <f t="shared" si="145"/>
        <v>6.6366666666666671E-2</v>
      </c>
      <c r="L234" s="17" t="s">
        <v>966</v>
      </c>
      <c r="M234" s="720">
        <v>43891</v>
      </c>
      <c r="N234" s="721" t="b">
        <f t="shared" si="155"/>
        <v>0</v>
      </c>
      <c r="O234" s="721" t="b">
        <f t="shared" si="157"/>
        <v>0</v>
      </c>
      <c r="P234" s="721" t="b">
        <f t="shared" si="168"/>
        <v>1</v>
      </c>
      <c r="Q234" s="721" t="b">
        <f t="shared" si="161"/>
        <v>0</v>
      </c>
      <c r="R234" s="721" t="b">
        <f t="shared" si="160"/>
        <v>0</v>
      </c>
      <c r="S234" s="721" t="b">
        <f t="shared" si="146"/>
        <v>0</v>
      </c>
      <c r="T234" s="721" t="b">
        <f t="shared" si="135"/>
        <v>0</v>
      </c>
      <c r="U234" s="721" t="b">
        <f t="shared" si="169"/>
        <v>0</v>
      </c>
      <c r="V234" s="721" t="b">
        <f t="shared" si="167"/>
        <v>0</v>
      </c>
      <c r="W234" s="721" t="b">
        <f t="shared" si="164"/>
        <v>0</v>
      </c>
      <c r="X234" s="721" t="b">
        <f t="shared" si="148"/>
        <v>0</v>
      </c>
      <c r="Y234" s="721" t="b">
        <f t="shared" si="154"/>
        <v>0</v>
      </c>
      <c r="Z234" s="721" t="b">
        <f t="shared" si="149"/>
        <v>0</v>
      </c>
      <c r="AA234" s="721" t="b">
        <f t="shared" si="144"/>
        <v>0</v>
      </c>
      <c r="AB234" s="17"/>
      <c r="AC234" s="17"/>
      <c r="AD234" s="17"/>
      <c r="AE234" s="17"/>
      <c r="AF234" s="17"/>
      <c r="AG234" s="17"/>
      <c r="AH234" s="17"/>
      <c r="AI234" s="17"/>
      <c r="AJ234" s="17"/>
      <c r="AK234" s="17"/>
      <c r="AL234" s="17"/>
      <c r="AM234" s="17"/>
      <c r="AN234" s="17"/>
      <c r="AO234" s="17"/>
      <c r="AP234" s="17"/>
      <c r="AQ234" s="17"/>
    </row>
    <row r="235" spans="1:43" hidden="1">
      <c r="A235">
        <f t="shared" si="171"/>
        <v>232</v>
      </c>
      <c r="B235" s="407">
        <v>1</v>
      </c>
      <c r="C235" s="407" t="s">
        <v>505</v>
      </c>
      <c r="D235" s="407" t="s">
        <v>751</v>
      </c>
      <c r="E235" s="407"/>
      <c r="F235" s="408" t="s">
        <v>1211</v>
      </c>
      <c r="G235" s="409">
        <v>37.770000000000003</v>
      </c>
      <c r="H235" s="410"/>
      <c r="I235" s="409">
        <f t="shared" si="170"/>
        <v>37.770000000000003</v>
      </c>
      <c r="J235" s="58">
        <v>370</v>
      </c>
      <c r="K235" s="417">
        <f t="shared" si="145"/>
        <v>0.10208108108108109</v>
      </c>
      <c r="L235" s="17" t="s">
        <v>966</v>
      </c>
      <c r="M235" s="720">
        <v>43891</v>
      </c>
      <c r="N235" s="721" t="b">
        <f t="shared" si="155"/>
        <v>0</v>
      </c>
      <c r="O235" s="721" t="b">
        <f t="shared" si="157"/>
        <v>0</v>
      </c>
      <c r="P235" s="721" t="b">
        <f t="shared" si="168"/>
        <v>1</v>
      </c>
      <c r="Q235" s="721" t="b">
        <f t="shared" si="161"/>
        <v>0</v>
      </c>
      <c r="R235" s="721" t="b">
        <f t="shared" si="160"/>
        <v>0</v>
      </c>
      <c r="S235" s="721" t="b">
        <f t="shared" si="146"/>
        <v>0</v>
      </c>
      <c r="T235" s="721" t="b">
        <f t="shared" ref="T235:T255" si="172">FALSE()</f>
        <v>0</v>
      </c>
      <c r="U235" s="721" t="b">
        <f t="shared" si="169"/>
        <v>0</v>
      </c>
      <c r="V235" s="721" t="b">
        <f t="shared" si="167"/>
        <v>0</v>
      </c>
      <c r="W235" s="721" t="b">
        <f t="shared" si="164"/>
        <v>0</v>
      </c>
      <c r="X235" s="721" t="b">
        <f t="shared" si="148"/>
        <v>0</v>
      </c>
      <c r="Y235" s="721" t="b">
        <f t="shared" si="154"/>
        <v>0</v>
      </c>
      <c r="Z235" s="721" t="b">
        <f t="shared" si="149"/>
        <v>0</v>
      </c>
      <c r="AA235" s="721" t="b">
        <f t="shared" si="144"/>
        <v>0</v>
      </c>
      <c r="AB235" s="17"/>
      <c r="AC235" s="17"/>
      <c r="AD235" s="17"/>
      <c r="AE235" s="17"/>
      <c r="AF235" s="17"/>
      <c r="AG235" s="17"/>
      <c r="AH235" s="17"/>
      <c r="AI235" s="17"/>
      <c r="AJ235" s="17"/>
      <c r="AK235" s="17"/>
      <c r="AL235" s="17"/>
      <c r="AM235" s="17"/>
      <c r="AN235" s="17"/>
      <c r="AO235" s="17"/>
      <c r="AP235" s="17"/>
      <c r="AQ235" s="17"/>
    </row>
    <row r="236" spans="1:43" hidden="1">
      <c r="A236">
        <f t="shared" si="171"/>
        <v>233</v>
      </c>
      <c r="B236" s="407">
        <v>1</v>
      </c>
      <c r="C236" s="407" t="s">
        <v>505</v>
      </c>
      <c r="D236" s="407" t="s">
        <v>751</v>
      </c>
      <c r="E236" s="407"/>
      <c r="F236" s="408" t="s">
        <v>834</v>
      </c>
      <c r="G236" s="409">
        <v>462.5</v>
      </c>
      <c r="H236" s="410"/>
      <c r="I236" s="409">
        <f t="shared" si="170"/>
        <v>462.5</v>
      </c>
      <c r="J236" s="58">
        <v>36000</v>
      </c>
      <c r="K236" s="417">
        <f t="shared" si="145"/>
        <v>1.2847222222222222E-2</v>
      </c>
      <c r="L236" s="17" t="s">
        <v>966</v>
      </c>
      <c r="M236" s="720">
        <v>43891</v>
      </c>
      <c r="N236" s="721" t="b">
        <f t="shared" si="155"/>
        <v>0</v>
      </c>
      <c r="O236" s="721" t="b">
        <f t="shared" si="157"/>
        <v>0</v>
      </c>
      <c r="P236" s="721" t="b">
        <f t="shared" ref="P236:P250" si="173">FALSE()</f>
        <v>0</v>
      </c>
      <c r="Q236" s="721" t="b">
        <f t="shared" si="161"/>
        <v>0</v>
      </c>
      <c r="R236" s="721" t="b">
        <f t="shared" si="160"/>
        <v>0</v>
      </c>
      <c r="S236" s="721" t="b">
        <f t="shared" si="146"/>
        <v>0</v>
      </c>
      <c r="T236" s="721" t="b">
        <f t="shared" si="172"/>
        <v>0</v>
      </c>
      <c r="U236" s="721" t="b">
        <f t="shared" si="169"/>
        <v>0</v>
      </c>
      <c r="V236" s="721" t="b">
        <f t="shared" si="167"/>
        <v>0</v>
      </c>
      <c r="W236" s="721" t="b">
        <f t="shared" si="164"/>
        <v>0</v>
      </c>
      <c r="X236" s="721" t="b">
        <f t="shared" si="148"/>
        <v>0</v>
      </c>
      <c r="Y236" s="721" t="b">
        <f t="shared" si="154"/>
        <v>0</v>
      </c>
      <c r="Z236" s="721" t="b">
        <f t="shared" si="149"/>
        <v>0</v>
      </c>
      <c r="AA236" s="721" t="b">
        <f t="shared" ref="AA236:AA237" si="174">TRUE()</f>
        <v>1</v>
      </c>
      <c r="AB236" s="17"/>
      <c r="AC236" s="17"/>
      <c r="AD236" s="17"/>
      <c r="AE236" s="17"/>
      <c r="AF236" s="17"/>
      <c r="AG236" s="17"/>
      <c r="AH236" s="17"/>
      <c r="AI236" s="17"/>
      <c r="AJ236" s="17"/>
      <c r="AK236" s="17"/>
      <c r="AL236" s="17"/>
      <c r="AM236" s="17"/>
      <c r="AN236" s="17"/>
      <c r="AO236" s="17"/>
      <c r="AP236" s="17"/>
      <c r="AQ236" s="17"/>
    </row>
    <row r="237" spans="1:43" hidden="1">
      <c r="A237">
        <f t="shared" si="171"/>
        <v>234</v>
      </c>
      <c r="B237" s="407">
        <v>1</v>
      </c>
      <c r="C237" s="407" t="s">
        <v>505</v>
      </c>
      <c r="D237" s="407" t="s">
        <v>751</v>
      </c>
      <c r="E237" s="407"/>
      <c r="F237" s="408" t="s">
        <v>1212</v>
      </c>
      <c r="G237" s="409">
        <v>787.5</v>
      </c>
      <c r="H237" s="410"/>
      <c r="I237" s="409">
        <f t="shared" si="170"/>
        <v>787.5</v>
      </c>
      <c r="J237" s="58">
        <v>100000</v>
      </c>
      <c r="K237" s="417">
        <f t="shared" si="145"/>
        <v>7.8750000000000001E-3</v>
      </c>
      <c r="L237" s="17" t="s">
        <v>966</v>
      </c>
      <c r="M237" s="720">
        <v>43891</v>
      </c>
      <c r="N237" s="721" t="b">
        <f t="shared" si="155"/>
        <v>0</v>
      </c>
      <c r="O237" s="721" t="b">
        <f t="shared" si="157"/>
        <v>0</v>
      </c>
      <c r="P237" s="721" t="b">
        <f t="shared" si="173"/>
        <v>0</v>
      </c>
      <c r="Q237" s="721" t="b">
        <f t="shared" si="161"/>
        <v>0</v>
      </c>
      <c r="R237" s="721" t="b">
        <f t="shared" si="160"/>
        <v>0</v>
      </c>
      <c r="S237" s="721" t="b">
        <f t="shared" si="146"/>
        <v>0</v>
      </c>
      <c r="T237" s="721" t="b">
        <f t="shared" si="172"/>
        <v>0</v>
      </c>
      <c r="U237" s="721" t="b">
        <f t="shared" si="169"/>
        <v>0</v>
      </c>
      <c r="V237" s="721" t="b">
        <f t="shared" si="167"/>
        <v>0</v>
      </c>
      <c r="W237" s="721" t="b">
        <f t="shared" si="164"/>
        <v>0</v>
      </c>
      <c r="X237" s="721" t="b">
        <f t="shared" si="148"/>
        <v>0</v>
      </c>
      <c r="Y237" s="721" t="b">
        <f t="shared" si="154"/>
        <v>0</v>
      </c>
      <c r="Z237" s="721" t="b">
        <f t="shared" si="149"/>
        <v>0</v>
      </c>
      <c r="AA237" s="721" t="b">
        <f t="shared" si="174"/>
        <v>1</v>
      </c>
      <c r="AB237" s="17"/>
      <c r="AC237" s="17"/>
      <c r="AD237" s="17"/>
      <c r="AE237" s="17"/>
      <c r="AF237" s="17"/>
      <c r="AG237" s="17"/>
      <c r="AH237" s="17"/>
      <c r="AI237" s="17"/>
      <c r="AJ237" s="17"/>
      <c r="AK237" s="17"/>
      <c r="AL237" s="17"/>
      <c r="AM237" s="17"/>
      <c r="AN237" s="17"/>
      <c r="AO237" s="17"/>
      <c r="AP237" s="17"/>
      <c r="AQ237" s="17"/>
    </row>
    <row r="238" spans="1:43" hidden="1">
      <c r="A238">
        <f t="shared" si="171"/>
        <v>235</v>
      </c>
      <c r="B238" s="407">
        <v>1</v>
      </c>
      <c r="C238" s="407" t="s">
        <v>505</v>
      </c>
      <c r="D238" s="407" t="s">
        <v>751</v>
      </c>
      <c r="E238" s="407"/>
      <c r="F238" s="408" t="s">
        <v>803</v>
      </c>
      <c r="G238" s="409">
        <v>564.44000000000005</v>
      </c>
      <c r="H238" s="410"/>
      <c r="I238" s="409">
        <f t="shared" si="170"/>
        <v>564.44000000000005</v>
      </c>
      <c r="J238" s="58">
        <v>100000</v>
      </c>
      <c r="K238" s="417">
        <f t="shared" si="145"/>
        <v>5.6444000000000008E-3</v>
      </c>
      <c r="L238" s="17" t="s">
        <v>966</v>
      </c>
      <c r="M238" s="720">
        <v>43891</v>
      </c>
      <c r="N238" s="721" t="b">
        <f t="shared" si="155"/>
        <v>0</v>
      </c>
      <c r="O238" s="721" t="b">
        <f t="shared" si="157"/>
        <v>0</v>
      </c>
      <c r="P238" s="721" t="b">
        <f t="shared" si="173"/>
        <v>0</v>
      </c>
      <c r="Q238" s="721" t="b">
        <f t="shared" si="161"/>
        <v>0</v>
      </c>
      <c r="R238" s="721" t="b">
        <f t="shared" si="160"/>
        <v>0</v>
      </c>
      <c r="S238" s="721" t="b">
        <f>TRUE()</f>
        <v>1</v>
      </c>
      <c r="T238" s="721" t="b">
        <f t="shared" si="172"/>
        <v>0</v>
      </c>
      <c r="U238" s="721" t="b">
        <f t="shared" si="169"/>
        <v>0</v>
      </c>
      <c r="V238" s="721" t="b">
        <f t="shared" si="167"/>
        <v>0</v>
      </c>
      <c r="W238" s="721" t="b">
        <f t="shared" si="164"/>
        <v>0</v>
      </c>
      <c r="X238" s="721" t="b">
        <f t="shared" si="148"/>
        <v>0</v>
      </c>
      <c r="Y238" s="721" t="b">
        <f t="shared" si="154"/>
        <v>0</v>
      </c>
      <c r="Z238" s="721" t="b">
        <f t="shared" si="149"/>
        <v>0</v>
      </c>
      <c r="AA238" s="721" t="b">
        <f t="shared" ref="AA238:AA256" si="175">FALSE()</f>
        <v>0</v>
      </c>
      <c r="AB238" s="17"/>
      <c r="AC238" s="17"/>
      <c r="AD238" s="17"/>
      <c r="AE238" s="17"/>
      <c r="AF238" s="17"/>
      <c r="AG238" s="17"/>
      <c r="AH238" s="17"/>
      <c r="AI238" s="17"/>
      <c r="AJ238" s="17"/>
      <c r="AK238" s="17"/>
      <c r="AL238" s="17"/>
      <c r="AM238" s="17"/>
      <c r="AN238" s="17"/>
      <c r="AO238" s="17"/>
      <c r="AP238" s="17"/>
      <c r="AQ238" s="17"/>
    </row>
    <row r="239" spans="1:43" hidden="1">
      <c r="A239">
        <f t="shared" si="171"/>
        <v>236</v>
      </c>
      <c r="B239" s="487">
        <v>1</v>
      </c>
      <c r="C239" s="487" t="s">
        <v>522</v>
      </c>
      <c r="D239" s="487" t="s">
        <v>531</v>
      </c>
      <c r="E239" s="407"/>
      <c r="F239" s="408" t="s">
        <v>1213</v>
      </c>
      <c r="G239" s="409">
        <v>900</v>
      </c>
      <c r="H239" s="410"/>
      <c r="I239" s="430">
        <f t="shared" si="170"/>
        <v>900</v>
      </c>
      <c r="J239" s="58">
        <v>50000</v>
      </c>
      <c r="K239" s="17"/>
      <c r="L239" s="17" t="s">
        <v>972</v>
      </c>
      <c r="M239" s="17"/>
      <c r="N239" s="721" t="b">
        <f t="shared" si="155"/>
        <v>0</v>
      </c>
      <c r="O239" s="721" t="b">
        <f t="shared" si="157"/>
        <v>0</v>
      </c>
      <c r="P239" s="721" t="b">
        <f t="shared" si="173"/>
        <v>0</v>
      </c>
      <c r="Q239" s="721" t="b">
        <f t="shared" si="161"/>
        <v>0</v>
      </c>
      <c r="R239" s="721" t="b">
        <f>TRUE()</f>
        <v>1</v>
      </c>
      <c r="S239" s="721" t="b">
        <f t="shared" ref="S239:S253" si="176">FALSE()</f>
        <v>0</v>
      </c>
      <c r="T239" s="721" t="b">
        <f t="shared" si="172"/>
        <v>0</v>
      </c>
      <c r="U239" s="721" t="b">
        <f t="shared" si="169"/>
        <v>0</v>
      </c>
      <c r="V239" s="721" t="b">
        <f t="shared" si="167"/>
        <v>0</v>
      </c>
      <c r="W239" s="721" t="b">
        <f t="shared" si="164"/>
        <v>0</v>
      </c>
      <c r="X239" s="721" t="b">
        <f t="shared" si="148"/>
        <v>0</v>
      </c>
      <c r="Y239" s="721" t="b">
        <f t="shared" si="154"/>
        <v>0</v>
      </c>
      <c r="Z239" s="721" t="b">
        <f t="shared" si="149"/>
        <v>0</v>
      </c>
      <c r="AA239" s="721" t="b">
        <f t="shared" si="175"/>
        <v>0</v>
      </c>
      <c r="AB239" s="17"/>
      <c r="AC239" s="17"/>
      <c r="AD239" s="17"/>
      <c r="AE239" s="17"/>
      <c r="AF239" s="17"/>
      <c r="AG239" s="17"/>
      <c r="AH239" s="17"/>
      <c r="AI239" s="17"/>
      <c r="AJ239" s="17"/>
      <c r="AK239" s="17"/>
      <c r="AL239" s="17"/>
      <c r="AM239" s="17"/>
      <c r="AN239" s="17"/>
      <c r="AO239" s="17"/>
      <c r="AP239" s="17"/>
      <c r="AQ239" s="17"/>
    </row>
    <row r="240" spans="1:43" hidden="1">
      <c r="A240">
        <f t="shared" si="171"/>
        <v>237</v>
      </c>
      <c r="B240" s="407">
        <v>277</v>
      </c>
      <c r="C240" s="407" t="s">
        <v>505</v>
      </c>
      <c r="D240" s="407" t="s">
        <v>540</v>
      </c>
      <c r="E240" s="407" t="s">
        <v>556</v>
      </c>
      <c r="F240" s="408" t="s">
        <v>1214</v>
      </c>
      <c r="G240" s="409">
        <v>98.59</v>
      </c>
      <c r="H240" s="410"/>
      <c r="I240" s="409">
        <f t="shared" si="170"/>
        <v>98.59</v>
      </c>
      <c r="J240" s="58">
        <v>360</v>
      </c>
      <c r="K240" s="417">
        <f t="shared" si="145"/>
        <v>0.27386111111111111</v>
      </c>
      <c r="L240" s="17" t="s">
        <v>966</v>
      </c>
      <c r="M240" s="720">
        <v>44053</v>
      </c>
      <c r="N240" s="721" t="b">
        <f>TRUE()</f>
        <v>1</v>
      </c>
      <c r="O240" s="721" t="b">
        <f t="shared" si="157"/>
        <v>0</v>
      </c>
      <c r="P240" s="721" t="b">
        <f t="shared" si="173"/>
        <v>0</v>
      </c>
      <c r="Q240" s="721" t="b">
        <f t="shared" si="161"/>
        <v>0</v>
      </c>
      <c r="R240" s="721" t="b">
        <f t="shared" ref="R240:R241" si="177">FALSE()</f>
        <v>0</v>
      </c>
      <c r="S240" s="721" t="b">
        <f t="shared" si="176"/>
        <v>0</v>
      </c>
      <c r="T240" s="721" t="b">
        <f t="shared" si="172"/>
        <v>0</v>
      </c>
      <c r="U240" s="721" t="b">
        <f t="shared" si="169"/>
        <v>0</v>
      </c>
      <c r="V240" s="721" t="b">
        <f t="shared" si="167"/>
        <v>0</v>
      </c>
      <c r="W240" s="721" t="b">
        <f t="shared" si="164"/>
        <v>0</v>
      </c>
      <c r="X240" s="721" t="b">
        <f t="shared" si="148"/>
        <v>0</v>
      </c>
      <c r="Y240" s="721" t="b">
        <f t="shared" si="154"/>
        <v>0</v>
      </c>
      <c r="Z240" s="721" t="b">
        <f t="shared" si="149"/>
        <v>0</v>
      </c>
      <c r="AA240" s="721" t="b">
        <f t="shared" si="175"/>
        <v>0</v>
      </c>
      <c r="AB240" s="17"/>
      <c r="AC240" s="17"/>
      <c r="AD240" s="17"/>
      <c r="AE240" s="17"/>
      <c r="AF240" s="17"/>
      <c r="AG240" s="17"/>
      <c r="AH240" s="17"/>
      <c r="AI240" s="17"/>
      <c r="AJ240" s="17"/>
      <c r="AK240" s="17"/>
      <c r="AL240" s="17"/>
      <c r="AM240" s="17"/>
      <c r="AN240" s="17"/>
      <c r="AO240" s="17"/>
      <c r="AP240" s="17"/>
      <c r="AQ240" s="17"/>
    </row>
    <row r="241" spans="1:43" hidden="1">
      <c r="A241">
        <f t="shared" si="171"/>
        <v>238</v>
      </c>
      <c r="B241" s="407">
        <v>277</v>
      </c>
      <c r="C241" s="407" t="s">
        <v>505</v>
      </c>
      <c r="D241" s="407" t="s">
        <v>540</v>
      </c>
      <c r="E241" s="407" t="s">
        <v>556</v>
      </c>
      <c r="F241" s="408" t="s">
        <v>739</v>
      </c>
      <c r="G241" s="409">
        <f>3312.96/B241</f>
        <v>11.96014440433213</v>
      </c>
      <c r="H241" s="410"/>
      <c r="I241" s="409">
        <f t="shared" si="170"/>
        <v>11.96014440433213</v>
      </c>
      <c r="J241" s="58">
        <f>360*277/((39+1)*8*2-13-30)</f>
        <v>167.03517587939697</v>
      </c>
      <c r="K241" s="417">
        <f t="shared" si="145"/>
        <v>7.160254923171161E-2</v>
      </c>
      <c r="L241" s="17" t="s">
        <v>966</v>
      </c>
      <c r="M241" s="720">
        <v>44053</v>
      </c>
      <c r="N241" s="721" t="b">
        <f t="shared" ref="N241:N287" si="178">FALSE()</f>
        <v>0</v>
      </c>
      <c r="O241" s="721" t="b">
        <f>TRUE()</f>
        <v>1</v>
      </c>
      <c r="P241" s="721" t="b">
        <f t="shared" si="173"/>
        <v>0</v>
      </c>
      <c r="Q241" s="721" t="b">
        <f t="shared" si="161"/>
        <v>0</v>
      </c>
      <c r="R241" s="721" t="b">
        <f t="shared" si="177"/>
        <v>0</v>
      </c>
      <c r="S241" s="721" t="b">
        <f t="shared" si="176"/>
        <v>0</v>
      </c>
      <c r="T241" s="721" t="b">
        <f t="shared" si="172"/>
        <v>0</v>
      </c>
      <c r="U241" s="721" t="b">
        <f t="shared" si="169"/>
        <v>0</v>
      </c>
      <c r="V241" s="721" t="b">
        <f t="shared" si="167"/>
        <v>0</v>
      </c>
      <c r="W241" s="721" t="b">
        <f t="shared" si="164"/>
        <v>0</v>
      </c>
      <c r="X241" s="721" t="b">
        <f t="shared" si="148"/>
        <v>0</v>
      </c>
      <c r="Y241" s="721" t="b">
        <f t="shared" si="154"/>
        <v>0</v>
      </c>
      <c r="Z241" s="721" t="b">
        <f t="shared" si="149"/>
        <v>0</v>
      </c>
      <c r="AA241" s="721" t="b">
        <f t="shared" si="175"/>
        <v>0</v>
      </c>
      <c r="AB241" s="17"/>
      <c r="AC241" s="17"/>
      <c r="AD241" s="17"/>
      <c r="AE241" s="17"/>
      <c r="AF241" s="17"/>
      <c r="AG241" s="17"/>
      <c r="AH241" s="17"/>
      <c r="AI241" s="17"/>
      <c r="AJ241" s="17"/>
      <c r="AK241" s="17"/>
      <c r="AL241" s="17"/>
      <c r="AM241" s="17"/>
      <c r="AN241" s="17"/>
      <c r="AO241" s="17"/>
      <c r="AP241" s="17"/>
      <c r="AQ241" s="17"/>
    </row>
    <row r="242" spans="1:43" hidden="1">
      <c r="A242">
        <f t="shared" si="171"/>
        <v>239</v>
      </c>
      <c r="B242" s="407">
        <v>1</v>
      </c>
      <c r="C242" s="407" t="s">
        <v>505</v>
      </c>
      <c r="D242" s="407" t="s">
        <v>540</v>
      </c>
      <c r="E242" s="407" t="s">
        <v>556</v>
      </c>
      <c r="F242" s="408" t="s">
        <v>1215</v>
      </c>
      <c r="G242" s="409">
        <v>1453.33</v>
      </c>
      <c r="H242" s="410"/>
      <c r="I242" s="409">
        <f t="shared" si="170"/>
        <v>1453.33</v>
      </c>
      <c r="J242" s="58">
        <v>100000</v>
      </c>
      <c r="K242" s="417">
        <f t="shared" si="145"/>
        <v>1.4533299999999999E-2</v>
      </c>
      <c r="L242" s="17" t="s">
        <v>966</v>
      </c>
      <c r="M242" s="720">
        <v>44053</v>
      </c>
      <c r="N242" s="721" t="b">
        <f t="shared" si="178"/>
        <v>0</v>
      </c>
      <c r="O242" s="721" t="b">
        <f t="shared" ref="O242:O305" si="179">FALSE()</f>
        <v>0</v>
      </c>
      <c r="P242" s="721" t="b">
        <f t="shared" si="173"/>
        <v>0</v>
      </c>
      <c r="Q242" s="721" t="b">
        <f t="shared" si="161"/>
        <v>0</v>
      </c>
      <c r="R242" s="721" t="b">
        <f>TRUE()</f>
        <v>1</v>
      </c>
      <c r="S242" s="721" t="b">
        <f t="shared" si="176"/>
        <v>0</v>
      </c>
      <c r="T242" s="721" t="b">
        <f t="shared" si="172"/>
        <v>0</v>
      </c>
      <c r="U242" s="721" t="b">
        <f t="shared" si="169"/>
        <v>0</v>
      </c>
      <c r="V242" s="721" t="b">
        <f t="shared" si="167"/>
        <v>0</v>
      </c>
      <c r="W242" s="721" t="b">
        <f t="shared" si="164"/>
        <v>0</v>
      </c>
      <c r="X242" s="721" t="b">
        <f t="shared" si="148"/>
        <v>0</v>
      </c>
      <c r="Y242" s="721" t="b">
        <f t="shared" si="154"/>
        <v>0</v>
      </c>
      <c r="Z242" s="721" t="b">
        <f t="shared" si="149"/>
        <v>0</v>
      </c>
      <c r="AA242" s="721" t="b">
        <f t="shared" si="175"/>
        <v>0</v>
      </c>
      <c r="AB242" s="17"/>
      <c r="AC242" s="17"/>
      <c r="AD242" s="17"/>
      <c r="AE242" s="17"/>
      <c r="AF242" s="17"/>
      <c r="AG242" s="17"/>
      <c r="AH242" s="17"/>
      <c r="AI242" s="17"/>
      <c r="AJ242" s="17"/>
      <c r="AK242" s="17"/>
      <c r="AL242" s="17"/>
      <c r="AM242" s="17"/>
      <c r="AN242" s="17"/>
      <c r="AO242" s="17"/>
      <c r="AP242" s="17"/>
      <c r="AQ242" s="17"/>
    </row>
    <row r="243" spans="1:43" ht="55.65" hidden="1">
      <c r="A243">
        <f t="shared" si="171"/>
        <v>240</v>
      </c>
      <c r="B243" s="407">
        <v>1</v>
      </c>
      <c r="C243" s="407" t="s">
        <v>505</v>
      </c>
      <c r="D243" s="407" t="s">
        <v>540</v>
      </c>
      <c r="E243" s="407" t="s">
        <v>1047</v>
      </c>
      <c r="F243" s="408" t="s">
        <v>1216</v>
      </c>
      <c r="G243" s="409">
        <v>115.56</v>
      </c>
      <c r="H243" s="410"/>
      <c r="I243" s="409">
        <f t="shared" si="170"/>
        <v>115.56</v>
      </c>
      <c r="J243" s="58">
        <f>22*360</f>
        <v>7920</v>
      </c>
      <c r="K243" s="417">
        <f t="shared" si="145"/>
        <v>1.4590909090909092E-2</v>
      </c>
      <c r="L243" s="17" t="s">
        <v>966</v>
      </c>
      <c r="M243" s="720">
        <v>44053</v>
      </c>
      <c r="N243" s="721" t="b">
        <f t="shared" si="178"/>
        <v>0</v>
      </c>
      <c r="O243" s="721" t="b">
        <f t="shared" si="179"/>
        <v>0</v>
      </c>
      <c r="P243" s="721" t="b">
        <f t="shared" si="173"/>
        <v>0</v>
      </c>
      <c r="Q243" s="721" t="b">
        <f t="shared" ref="Q243:Q244" si="180">TRUE()</f>
        <v>1</v>
      </c>
      <c r="R243" s="721" t="b">
        <f t="shared" ref="R243:R279" si="181">FALSE()</f>
        <v>0</v>
      </c>
      <c r="S243" s="721" t="b">
        <f t="shared" si="176"/>
        <v>0</v>
      </c>
      <c r="T243" s="721" t="b">
        <f t="shared" si="172"/>
        <v>0</v>
      </c>
      <c r="U243" s="721" t="b">
        <f t="shared" si="169"/>
        <v>0</v>
      </c>
      <c r="V243" s="721" t="b">
        <f t="shared" si="167"/>
        <v>0</v>
      </c>
      <c r="W243" s="721" t="b">
        <f t="shared" si="164"/>
        <v>0</v>
      </c>
      <c r="X243" s="721" t="b">
        <f t="shared" si="148"/>
        <v>0</v>
      </c>
      <c r="Y243" s="721" t="b">
        <f t="shared" si="154"/>
        <v>0</v>
      </c>
      <c r="Z243" s="721" t="b">
        <f t="shared" si="149"/>
        <v>0</v>
      </c>
      <c r="AA243" s="721" t="b">
        <f t="shared" si="175"/>
        <v>0</v>
      </c>
      <c r="AB243" s="17"/>
      <c r="AC243" s="17"/>
      <c r="AD243" s="17"/>
      <c r="AE243" s="17"/>
      <c r="AF243" s="17"/>
      <c r="AG243" s="17"/>
      <c r="AH243" s="17"/>
      <c r="AI243" s="17"/>
      <c r="AJ243" s="17"/>
      <c r="AK243" s="17"/>
      <c r="AL243" s="17"/>
      <c r="AM243" s="17"/>
      <c r="AN243" s="17"/>
      <c r="AO243" s="17"/>
      <c r="AP243" s="17"/>
      <c r="AQ243" s="17"/>
    </row>
    <row r="244" spans="1:43" ht="55.65" hidden="1">
      <c r="A244">
        <f t="shared" si="171"/>
        <v>241</v>
      </c>
      <c r="B244" s="407">
        <v>3</v>
      </c>
      <c r="C244" s="407" t="s">
        <v>505</v>
      </c>
      <c r="D244" s="407" t="s">
        <v>540</v>
      </c>
      <c r="E244" s="407" t="s">
        <v>1217</v>
      </c>
      <c r="F244" s="408" t="s">
        <v>1218</v>
      </c>
      <c r="G244" s="409">
        <v>316.67</v>
      </c>
      <c r="H244" s="410"/>
      <c r="I244" s="409">
        <f t="shared" si="170"/>
        <v>316.67</v>
      </c>
      <c r="J244" s="58">
        <v>360</v>
      </c>
      <c r="K244" s="417">
        <f t="shared" si="145"/>
        <v>0.87963888888888897</v>
      </c>
      <c r="L244" s="17" t="s">
        <v>966</v>
      </c>
      <c r="M244" s="720">
        <v>44053</v>
      </c>
      <c r="N244" s="721" t="b">
        <f t="shared" si="178"/>
        <v>0</v>
      </c>
      <c r="O244" s="721" t="b">
        <f t="shared" si="179"/>
        <v>0</v>
      </c>
      <c r="P244" s="721" t="b">
        <f t="shared" si="173"/>
        <v>0</v>
      </c>
      <c r="Q244" s="721" t="b">
        <f t="shared" si="180"/>
        <v>1</v>
      </c>
      <c r="R244" s="721" t="b">
        <f t="shared" si="181"/>
        <v>0</v>
      </c>
      <c r="S244" s="721" t="b">
        <f t="shared" si="176"/>
        <v>0</v>
      </c>
      <c r="T244" s="721" t="b">
        <f t="shared" si="172"/>
        <v>0</v>
      </c>
      <c r="U244" s="721" t="b">
        <f t="shared" si="169"/>
        <v>0</v>
      </c>
      <c r="V244" s="721" t="b">
        <f t="shared" si="167"/>
        <v>0</v>
      </c>
      <c r="W244" s="721" t="b">
        <f t="shared" si="164"/>
        <v>0</v>
      </c>
      <c r="X244" s="721" t="b">
        <f t="shared" si="148"/>
        <v>0</v>
      </c>
      <c r="Y244" s="721" t="b">
        <f t="shared" si="154"/>
        <v>0</v>
      </c>
      <c r="Z244" s="721" t="b">
        <f t="shared" si="149"/>
        <v>0</v>
      </c>
      <c r="AA244" s="721" t="b">
        <f t="shared" si="175"/>
        <v>0</v>
      </c>
      <c r="AB244" s="17"/>
      <c r="AC244" s="17"/>
      <c r="AD244" s="17"/>
      <c r="AE244" s="17"/>
      <c r="AF244" s="17"/>
      <c r="AG244" s="17"/>
      <c r="AH244" s="17"/>
      <c r="AI244" s="17"/>
      <c r="AJ244" s="17"/>
      <c r="AK244" s="17"/>
      <c r="AL244" s="17"/>
      <c r="AM244" s="17"/>
      <c r="AN244" s="17"/>
      <c r="AO244" s="17"/>
      <c r="AP244" s="17"/>
      <c r="AQ244" s="17"/>
    </row>
    <row r="245" spans="1:43" ht="33.4" hidden="1">
      <c r="A245">
        <f t="shared" si="171"/>
        <v>242</v>
      </c>
      <c r="B245" s="407">
        <v>20</v>
      </c>
      <c r="C245" s="407" t="s">
        <v>539</v>
      </c>
      <c r="D245" s="407" t="s">
        <v>540</v>
      </c>
      <c r="E245" s="407" t="s">
        <v>1219</v>
      </c>
      <c r="F245" s="408" t="s">
        <v>1220</v>
      </c>
      <c r="G245" s="409">
        <v>5.53</v>
      </c>
      <c r="H245" s="410"/>
      <c r="I245" s="409">
        <f t="shared" si="170"/>
        <v>5.53</v>
      </c>
      <c r="J245" s="58">
        <v>100000</v>
      </c>
      <c r="K245" s="417">
        <f t="shared" si="145"/>
        <v>5.5300000000000002E-5</v>
      </c>
      <c r="L245" s="17" t="s">
        <v>966</v>
      </c>
      <c r="M245" s="720">
        <v>44053</v>
      </c>
      <c r="N245" s="721" t="b">
        <f t="shared" si="178"/>
        <v>0</v>
      </c>
      <c r="O245" s="721" t="b">
        <f t="shared" si="179"/>
        <v>0</v>
      </c>
      <c r="P245" s="721" t="b">
        <f t="shared" si="173"/>
        <v>0</v>
      </c>
      <c r="Q245" s="721" t="b">
        <f t="shared" ref="Q245:Q270" si="182">FALSE()</f>
        <v>0</v>
      </c>
      <c r="R245" s="721" t="b">
        <f t="shared" si="181"/>
        <v>0</v>
      </c>
      <c r="S245" s="721" t="b">
        <f t="shared" si="176"/>
        <v>0</v>
      </c>
      <c r="T245" s="721" t="b">
        <f t="shared" si="172"/>
        <v>0</v>
      </c>
      <c r="U245" s="721" t="b">
        <f t="shared" si="169"/>
        <v>0</v>
      </c>
      <c r="V245" s="721" t="b">
        <f t="shared" si="167"/>
        <v>0</v>
      </c>
      <c r="W245" s="721" t="b">
        <f>TRUE()</f>
        <v>1</v>
      </c>
      <c r="X245" s="721" t="b">
        <f t="shared" si="148"/>
        <v>0</v>
      </c>
      <c r="Y245" s="721" t="b">
        <f t="shared" si="154"/>
        <v>0</v>
      </c>
      <c r="Z245" s="721" t="b">
        <f t="shared" si="149"/>
        <v>0</v>
      </c>
      <c r="AA245" s="721" t="b">
        <f t="shared" si="175"/>
        <v>0</v>
      </c>
      <c r="AB245" s="17"/>
      <c r="AC245" s="17"/>
      <c r="AD245" s="17"/>
      <c r="AE245" s="17"/>
      <c r="AF245" s="17"/>
      <c r="AG245" s="17"/>
      <c r="AH245" s="17"/>
      <c r="AI245" s="17"/>
      <c r="AJ245" s="17"/>
      <c r="AK245" s="17"/>
      <c r="AL245" s="17"/>
      <c r="AM245" s="17"/>
      <c r="AN245" s="17"/>
      <c r="AO245" s="17"/>
      <c r="AP245" s="17"/>
      <c r="AQ245" s="17"/>
    </row>
    <row r="246" spans="1:43" ht="33.4" hidden="1">
      <c r="A246">
        <f t="shared" si="171"/>
        <v>243</v>
      </c>
      <c r="B246" s="407">
        <v>1000</v>
      </c>
      <c r="C246" s="407" t="s">
        <v>539</v>
      </c>
      <c r="D246" s="407" t="s">
        <v>540</v>
      </c>
      <c r="E246" s="407" t="s">
        <v>541</v>
      </c>
      <c r="F246" s="408" t="s">
        <v>542</v>
      </c>
      <c r="G246" s="409">
        <f t="shared" ref="G246:G247" si="183">2*278.24/B246</f>
        <v>0.55647999999999997</v>
      </c>
      <c r="H246" s="410"/>
      <c r="I246" s="409">
        <f t="shared" si="170"/>
        <v>0.55647999999999997</v>
      </c>
      <c r="K246" s="417"/>
      <c r="L246" s="17" t="s">
        <v>966</v>
      </c>
      <c r="M246" s="720">
        <v>44053</v>
      </c>
      <c r="N246" s="721" t="b">
        <f t="shared" si="178"/>
        <v>0</v>
      </c>
      <c r="O246" s="721" t="b">
        <f t="shared" si="179"/>
        <v>0</v>
      </c>
      <c r="P246" s="721" t="b">
        <f t="shared" si="173"/>
        <v>0</v>
      </c>
      <c r="Q246" s="721" t="b">
        <f t="shared" si="182"/>
        <v>0</v>
      </c>
      <c r="R246" s="721" t="b">
        <f t="shared" si="181"/>
        <v>0</v>
      </c>
      <c r="S246" s="721" t="b">
        <f t="shared" si="176"/>
        <v>0</v>
      </c>
      <c r="T246" s="721" t="b">
        <f t="shared" si="172"/>
        <v>0</v>
      </c>
      <c r="U246" s="721" t="b">
        <f t="shared" si="169"/>
        <v>0</v>
      </c>
      <c r="V246" s="721" t="b">
        <f t="shared" ref="V246:V247" si="184">TRUE()</f>
        <v>1</v>
      </c>
      <c r="W246" s="721" t="b">
        <f t="shared" ref="W246:W280" si="185">FALSE()</f>
        <v>0</v>
      </c>
      <c r="X246" s="721" t="b">
        <f t="shared" si="148"/>
        <v>0</v>
      </c>
      <c r="Y246" s="721" t="b">
        <f t="shared" si="154"/>
        <v>0</v>
      </c>
      <c r="Z246" s="721" t="b">
        <f t="shared" si="149"/>
        <v>0</v>
      </c>
      <c r="AA246" s="721" t="b">
        <f t="shared" si="175"/>
        <v>0</v>
      </c>
      <c r="AB246" s="17"/>
      <c r="AC246" s="17"/>
      <c r="AD246" s="17"/>
      <c r="AE246" s="17"/>
      <c r="AF246" s="17"/>
      <c r="AG246" s="17"/>
      <c r="AH246" s="17"/>
      <c r="AI246" s="17"/>
      <c r="AJ246" s="17"/>
      <c r="AK246" s="17"/>
      <c r="AL246" s="17"/>
      <c r="AM246" s="17"/>
      <c r="AN246" s="17"/>
      <c r="AO246" s="17"/>
      <c r="AP246" s="17"/>
      <c r="AQ246" s="17"/>
    </row>
    <row r="247" spans="1:43" ht="33.4" hidden="1">
      <c r="A247">
        <f t="shared" si="171"/>
        <v>244</v>
      </c>
      <c r="B247" s="407">
        <v>1000</v>
      </c>
      <c r="C247" s="407" t="s">
        <v>539</v>
      </c>
      <c r="D247" s="407" t="s">
        <v>540</v>
      </c>
      <c r="E247" s="407" t="s">
        <v>543</v>
      </c>
      <c r="F247" s="408" t="s">
        <v>544</v>
      </c>
      <c r="G247" s="409">
        <f t="shared" si="183"/>
        <v>0.55647999999999997</v>
      </c>
      <c r="H247" s="410"/>
      <c r="I247" s="409">
        <f t="shared" si="170"/>
        <v>0.55647999999999997</v>
      </c>
      <c r="K247" s="417"/>
      <c r="L247" s="17" t="s">
        <v>966</v>
      </c>
      <c r="M247" s="720">
        <v>44053</v>
      </c>
      <c r="N247" s="721" t="b">
        <f t="shared" si="178"/>
        <v>0</v>
      </c>
      <c r="O247" s="721" t="b">
        <f t="shared" si="179"/>
        <v>0</v>
      </c>
      <c r="P247" s="721" t="b">
        <f t="shared" si="173"/>
        <v>0</v>
      </c>
      <c r="Q247" s="721" t="b">
        <f t="shared" si="182"/>
        <v>0</v>
      </c>
      <c r="R247" s="721" t="b">
        <f t="shared" si="181"/>
        <v>0</v>
      </c>
      <c r="S247" s="721" t="b">
        <f t="shared" si="176"/>
        <v>0</v>
      </c>
      <c r="T247" s="721" t="b">
        <f t="shared" si="172"/>
        <v>0</v>
      </c>
      <c r="U247" s="721" t="b">
        <f t="shared" si="169"/>
        <v>0</v>
      </c>
      <c r="V247" s="721" t="b">
        <f t="shared" si="184"/>
        <v>1</v>
      </c>
      <c r="W247" s="721" t="b">
        <f t="shared" si="185"/>
        <v>0</v>
      </c>
      <c r="X247" s="721" t="b">
        <f t="shared" si="148"/>
        <v>0</v>
      </c>
      <c r="Y247" s="721" t="b">
        <f t="shared" si="154"/>
        <v>0</v>
      </c>
      <c r="Z247" s="721" t="b">
        <f t="shared" si="149"/>
        <v>0</v>
      </c>
      <c r="AA247" s="721" t="b">
        <f t="shared" si="175"/>
        <v>0</v>
      </c>
      <c r="AB247" s="17"/>
      <c r="AC247" s="17"/>
      <c r="AD247" s="17"/>
      <c r="AE247" s="17"/>
      <c r="AF247" s="17"/>
      <c r="AG247" s="17"/>
      <c r="AH247" s="17"/>
      <c r="AI247" s="17"/>
      <c r="AJ247" s="17"/>
      <c r="AK247" s="17"/>
      <c r="AL247" s="17"/>
      <c r="AM247" s="17"/>
      <c r="AN247" s="17"/>
      <c r="AO247" s="17"/>
      <c r="AP247" s="17"/>
      <c r="AQ247" s="17"/>
    </row>
    <row r="248" spans="1:43" ht="33.4" hidden="1">
      <c r="A248">
        <f t="shared" si="171"/>
        <v>245</v>
      </c>
      <c r="B248" s="407">
        <v>80</v>
      </c>
      <c r="C248" s="407" t="s">
        <v>517</v>
      </c>
      <c r="D248" s="407" t="s">
        <v>540</v>
      </c>
      <c r="E248" s="407" t="s">
        <v>797</v>
      </c>
      <c r="F248" s="408" t="s">
        <v>798</v>
      </c>
      <c r="G248" s="409">
        <v>0.88</v>
      </c>
      <c r="H248" s="410"/>
      <c r="I248" s="409">
        <f t="shared" si="170"/>
        <v>0.88</v>
      </c>
      <c r="K248" s="417"/>
      <c r="L248" s="17" t="s">
        <v>966</v>
      </c>
      <c r="M248" s="720">
        <v>44053</v>
      </c>
      <c r="N248" s="721" t="b">
        <f t="shared" si="178"/>
        <v>0</v>
      </c>
      <c r="O248" s="721" t="b">
        <f t="shared" si="179"/>
        <v>0</v>
      </c>
      <c r="P248" s="721" t="b">
        <f t="shared" si="173"/>
        <v>0</v>
      </c>
      <c r="Q248" s="721" t="b">
        <f t="shared" si="182"/>
        <v>0</v>
      </c>
      <c r="R248" s="721" t="b">
        <f t="shared" si="181"/>
        <v>0</v>
      </c>
      <c r="S248" s="721" t="b">
        <f t="shared" si="176"/>
        <v>0</v>
      </c>
      <c r="T248" s="721" t="b">
        <f t="shared" si="172"/>
        <v>0</v>
      </c>
      <c r="U248" s="721" t="b">
        <f t="shared" ref="U248:U250" si="186">TRUE()</f>
        <v>1</v>
      </c>
      <c r="V248" s="721" t="b">
        <f t="shared" ref="V248:V311" si="187">FALSE()</f>
        <v>0</v>
      </c>
      <c r="W248" s="721" t="b">
        <f t="shared" si="185"/>
        <v>0</v>
      </c>
      <c r="X248" s="721" t="b">
        <f t="shared" si="148"/>
        <v>0</v>
      </c>
      <c r="Y248" s="721" t="b">
        <f t="shared" si="154"/>
        <v>0</v>
      </c>
      <c r="Z248" s="721" t="b">
        <f t="shared" si="149"/>
        <v>0</v>
      </c>
      <c r="AA248" s="721" t="b">
        <f t="shared" si="175"/>
        <v>0</v>
      </c>
      <c r="AB248" s="17"/>
      <c r="AC248" s="17"/>
      <c r="AD248" s="17"/>
      <c r="AE248" s="17"/>
      <c r="AF248" s="17"/>
      <c r="AG248" s="17"/>
      <c r="AH248" s="17"/>
      <c r="AI248" s="17"/>
      <c r="AJ248" s="17"/>
      <c r="AK248" s="17"/>
      <c r="AL248" s="17"/>
      <c r="AM248" s="17"/>
      <c r="AN248" s="17"/>
      <c r="AO248" s="17"/>
      <c r="AP248" s="17"/>
      <c r="AQ248" s="17"/>
    </row>
    <row r="249" spans="1:43" ht="33.4" hidden="1">
      <c r="A249">
        <f t="shared" si="171"/>
        <v>246</v>
      </c>
      <c r="B249" s="407">
        <v>80</v>
      </c>
      <c r="C249" s="407" t="s">
        <v>517</v>
      </c>
      <c r="D249" s="407" t="s">
        <v>540</v>
      </c>
      <c r="E249" s="407" t="s">
        <v>800</v>
      </c>
      <c r="F249" s="408" t="s">
        <v>801</v>
      </c>
      <c r="G249" s="409">
        <v>0.67</v>
      </c>
      <c r="H249" s="410"/>
      <c r="I249" s="409">
        <f t="shared" si="170"/>
        <v>0.67</v>
      </c>
      <c r="K249" s="417"/>
      <c r="L249" s="17" t="s">
        <v>966</v>
      </c>
      <c r="M249" s="720">
        <v>44053</v>
      </c>
      <c r="N249" s="721" t="b">
        <f t="shared" si="178"/>
        <v>0</v>
      </c>
      <c r="O249" s="721" t="b">
        <f t="shared" si="179"/>
        <v>0</v>
      </c>
      <c r="P249" s="721" t="b">
        <f t="shared" si="173"/>
        <v>0</v>
      </c>
      <c r="Q249" s="721" t="b">
        <f t="shared" si="182"/>
        <v>0</v>
      </c>
      <c r="R249" s="721" t="b">
        <f t="shared" si="181"/>
        <v>0</v>
      </c>
      <c r="S249" s="721" t="b">
        <f t="shared" si="176"/>
        <v>0</v>
      </c>
      <c r="T249" s="721" t="b">
        <f t="shared" si="172"/>
        <v>0</v>
      </c>
      <c r="U249" s="721" t="b">
        <f t="shared" si="186"/>
        <v>1</v>
      </c>
      <c r="V249" s="721" t="b">
        <f t="shared" si="187"/>
        <v>0</v>
      </c>
      <c r="W249" s="721" t="b">
        <f t="shared" si="185"/>
        <v>0</v>
      </c>
      <c r="X249" s="721" t="b">
        <f t="shared" si="148"/>
        <v>0</v>
      </c>
      <c r="Y249" s="721" t="b">
        <f t="shared" si="154"/>
        <v>0</v>
      </c>
      <c r="Z249" s="721" t="b">
        <f t="shared" si="149"/>
        <v>0</v>
      </c>
      <c r="AA249" s="721" t="b">
        <f t="shared" si="175"/>
        <v>0</v>
      </c>
      <c r="AB249" s="17"/>
      <c r="AC249" s="17"/>
      <c r="AD249" s="17"/>
      <c r="AE249" s="17"/>
      <c r="AF249" s="17"/>
      <c r="AG249" s="17"/>
      <c r="AH249" s="17"/>
      <c r="AI249" s="17"/>
      <c r="AJ249" s="17"/>
      <c r="AK249" s="17"/>
      <c r="AL249" s="17"/>
      <c r="AM249" s="17"/>
      <c r="AN249" s="17"/>
      <c r="AO249" s="17"/>
      <c r="AP249" s="17"/>
      <c r="AQ249" s="17"/>
    </row>
    <row r="250" spans="1:43" hidden="1">
      <c r="A250">
        <f t="shared" si="171"/>
        <v>247</v>
      </c>
      <c r="B250" s="407">
        <v>15</v>
      </c>
      <c r="C250" s="407" t="s">
        <v>517</v>
      </c>
      <c r="D250" s="407" t="s">
        <v>540</v>
      </c>
      <c r="E250" s="407" t="s">
        <v>556</v>
      </c>
      <c r="F250" s="408" t="s">
        <v>557</v>
      </c>
      <c r="G250" s="409">
        <v>6.58</v>
      </c>
      <c r="H250" s="410"/>
      <c r="I250" s="409">
        <f t="shared" si="170"/>
        <v>6.58</v>
      </c>
      <c r="J250" s="58">
        <v>100000</v>
      </c>
      <c r="K250" s="417">
        <f t="shared" ref="K250:K311" si="188">G250/J250</f>
        <v>6.58E-5</v>
      </c>
      <c r="L250" s="17" t="s">
        <v>966</v>
      </c>
      <c r="M250" s="720">
        <v>44053</v>
      </c>
      <c r="N250" s="721" t="b">
        <f t="shared" si="178"/>
        <v>0</v>
      </c>
      <c r="O250" s="721" t="b">
        <f t="shared" si="179"/>
        <v>0</v>
      </c>
      <c r="P250" s="721" t="b">
        <f t="shared" si="173"/>
        <v>0</v>
      </c>
      <c r="Q250" s="721" t="b">
        <f t="shared" si="182"/>
        <v>0</v>
      </c>
      <c r="R250" s="721" t="b">
        <f t="shared" si="181"/>
        <v>0</v>
      </c>
      <c r="S250" s="721" t="b">
        <f t="shared" si="176"/>
        <v>0</v>
      </c>
      <c r="T250" s="721" t="b">
        <f t="shared" si="172"/>
        <v>0</v>
      </c>
      <c r="U250" s="721" t="b">
        <f t="shared" si="186"/>
        <v>1</v>
      </c>
      <c r="V250" s="721" t="b">
        <f t="shared" si="187"/>
        <v>0</v>
      </c>
      <c r="W250" s="721" t="b">
        <f t="shared" si="185"/>
        <v>0</v>
      </c>
      <c r="X250" s="721" t="b">
        <f t="shared" si="148"/>
        <v>0</v>
      </c>
      <c r="Y250" s="721" t="b">
        <f t="shared" si="154"/>
        <v>0</v>
      </c>
      <c r="Z250" s="721" t="b">
        <f t="shared" si="149"/>
        <v>0</v>
      </c>
      <c r="AA250" s="721" t="b">
        <f t="shared" si="175"/>
        <v>0</v>
      </c>
      <c r="AB250" s="17"/>
      <c r="AC250" s="17"/>
      <c r="AD250" s="17"/>
      <c r="AE250" s="17"/>
      <c r="AF250" s="17"/>
      <c r="AG250" s="17"/>
      <c r="AH250" s="17"/>
      <c r="AI250" s="17"/>
      <c r="AJ250" s="17"/>
      <c r="AK250" s="17"/>
      <c r="AL250" s="17"/>
      <c r="AM250" s="17"/>
      <c r="AN250" s="17"/>
      <c r="AO250" s="17"/>
      <c r="AP250" s="17"/>
      <c r="AQ250" s="17"/>
    </row>
    <row r="251" spans="1:43" ht="44.55" hidden="1">
      <c r="A251">
        <f t="shared" si="171"/>
        <v>248</v>
      </c>
      <c r="B251" s="407">
        <v>3</v>
      </c>
      <c r="C251" s="407" t="s">
        <v>517</v>
      </c>
      <c r="D251" s="407" t="s">
        <v>540</v>
      </c>
      <c r="E251" s="407" t="s">
        <v>821</v>
      </c>
      <c r="F251" s="408" t="s">
        <v>822</v>
      </c>
      <c r="G251" s="409">
        <v>1810</v>
      </c>
      <c r="H251" s="410"/>
      <c r="I251" s="409">
        <f t="shared" si="170"/>
        <v>1810</v>
      </c>
      <c r="J251" s="58">
        <v>27000</v>
      </c>
      <c r="K251" s="417">
        <f t="shared" si="188"/>
        <v>6.7037037037037034E-2</v>
      </c>
      <c r="L251" s="17" t="s">
        <v>966</v>
      </c>
      <c r="M251" s="720">
        <v>44053</v>
      </c>
      <c r="N251" s="721" t="b">
        <f t="shared" si="178"/>
        <v>0</v>
      </c>
      <c r="O251" s="721" t="b">
        <f t="shared" si="179"/>
        <v>0</v>
      </c>
      <c r="P251" s="721" t="b">
        <f t="shared" ref="P251:P253" si="189">TRUE()</f>
        <v>1</v>
      </c>
      <c r="Q251" s="721" t="b">
        <f t="shared" si="182"/>
        <v>0</v>
      </c>
      <c r="R251" s="721" t="b">
        <f t="shared" si="181"/>
        <v>0</v>
      </c>
      <c r="S251" s="721" t="b">
        <f t="shared" si="176"/>
        <v>0</v>
      </c>
      <c r="T251" s="721" t="b">
        <f t="shared" si="172"/>
        <v>0</v>
      </c>
      <c r="U251" s="721" t="b">
        <f t="shared" ref="U251:U314" si="190">FALSE()</f>
        <v>0</v>
      </c>
      <c r="V251" s="721" t="b">
        <f t="shared" si="187"/>
        <v>0</v>
      </c>
      <c r="W251" s="721" t="b">
        <f t="shared" si="185"/>
        <v>0</v>
      </c>
      <c r="X251" s="721" t="b">
        <f t="shared" si="148"/>
        <v>0</v>
      </c>
      <c r="Y251" s="721" t="b">
        <f t="shared" si="154"/>
        <v>0</v>
      </c>
      <c r="Z251" s="721" t="b">
        <f t="shared" si="149"/>
        <v>0</v>
      </c>
      <c r="AA251" s="721" t="b">
        <f t="shared" si="175"/>
        <v>0</v>
      </c>
      <c r="AB251" s="17"/>
      <c r="AC251" s="17"/>
      <c r="AD251" s="17"/>
      <c r="AE251" s="17"/>
      <c r="AF251" s="17"/>
      <c r="AG251" s="17"/>
      <c r="AH251" s="17"/>
      <c r="AI251" s="17"/>
      <c r="AJ251" s="17"/>
      <c r="AK251" s="17"/>
      <c r="AL251" s="17"/>
      <c r="AM251" s="17"/>
      <c r="AN251" s="17"/>
      <c r="AO251" s="17"/>
      <c r="AP251" s="17"/>
      <c r="AQ251" s="17"/>
    </row>
    <row r="252" spans="1:43" ht="55.65" hidden="1">
      <c r="A252">
        <f t="shared" si="171"/>
        <v>249</v>
      </c>
      <c r="B252" s="407">
        <v>1</v>
      </c>
      <c r="C252" s="407" t="s">
        <v>517</v>
      </c>
      <c r="D252" s="407" t="s">
        <v>540</v>
      </c>
      <c r="E252" s="407" t="s">
        <v>1221</v>
      </c>
      <c r="F252" s="408" t="s">
        <v>1222</v>
      </c>
      <c r="G252" s="409">
        <v>1031.97</v>
      </c>
      <c r="H252" s="410"/>
      <c r="I252" s="409">
        <f t="shared" si="170"/>
        <v>1031.97</v>
      </c>
      <c r="J252" s="58">
        <v>4500</v>
      </c>
      <c r="K252" s="417">
        <f t="shared" si="188"/>
        <v>0.22932666666666668</v>
      </c>
      <c r="L252" s="17" t="s">
        <v>966</v>
      </c>
      <c r="M252" s="720">
        <v>44053</v>
      </c>
      <c r="N252" s="721" t="b">
        <f t="shared" si="178"/>
        <v>0</v>
      </c>
      <c r="O252" s="721" t="b">
        <f t="shared" si="179"/>
        <v>0</v>
      </c>
      <c r="P252" s="721" t="b">
        <f t="shared" si="189"/>
        <v>1</v>
      </c>
      <c r="Q252" s="721" t="b">
        <f t="shared" si="182"/>
        <v>0</v>
      </c>
      <c r="R252" s="721" t="b">
        <f t="shared" si="181"/>
        <v>0</v>
      </c>
      <c r="S252" s="721" t="b">
        <f t="shared" si="176"/>
        <v>0</v>
      </c>
      <c r="T252" s="721" t="b">
        <f t="shared" si="172"/>
        <v>0</v>
      </c>
      <c r="U252" s="721" t="b">
        <f t="shared" si="190"/>
        <v>0</v>
      </c>
      <c r="V252" s="721" t="b">
        <f t="shared" si="187"/>
        <v>0</v>
      </c>
      <c r="W252" s="721" t="b">
        <f t="shared" si="185"/>
        <v>0</v>
      </c>
      <c r="X252" s="721" t="b">
        <f t="shared" si="148"/>
        <v>0</v>
      </c>
      <c r="Y252" s="721" t="b">
        <f t="shared" si="154"/>
        <v>0</v>
      </c>
      <c r="Z252" s="721" t="b">
        <f t="shared" si="149"/>
        <v>0</v>
      </c>
      <c r="AA252" s="721" t="b">
        <f t="shared" si="175"/>
        <v>0</v>
      </c>
      <c r="AB252" s="17"/>
      <c r="AC252" s="17"/>
      <c r="AD252" s="17"/>
      <c r="AE252" s="17"/>
      <c r="AF252" s="17"/>
      <c r="AG252" s="17"/>
      <c r="AH252" s="17"/>
      <c r="AI252" s="17"/>
      <c r="AJ252" s="17"/>
      <c r="AK252" s="17"/>
      <c r="AL252" s="17"/>
      <c r="AM252" s="17"/>
      <c r="AN252" s="17"/>
      <c r="AO252" s="17"/>
      <c r="AP252" s="17"/>
      <c r="AQ252" s="17"/>
    </row>
    <row r="253" spans="1:43" ht="33.4">
      <c r="A253">
        <f t="shared" si="171"/>
        <v>250</v>
      </c>
      <c r="B253" s="407">
        <v>3</v>
      </c>
      <c r="C253" s="407" t="s">
        <v>517</v>
      </c>
      <c r="D253" s="407" t="s">
        <v>540</v>
      </c>
      <c r="E253" s="407" t="s">
        <v>990</v>
      </c>
      <c r="F253" s="408" t="s">
        <v>991</v>
      </c>
      <c r="G253" s="409">
        <v>33.21</v>
      </c>
      <c r="H253" s="410"/>
      <c r="I253" s="409">
        <f t="shared" si="170"/>
        <v>33.21</v>
      </c>
      <c r="J253" s="58">
        <v>100000</v>
      </c>
      <c r="K253" s="417">
        <f t="shared" si="188"/>
        <v>3.321E-4</v>
      </c>
      <c r="L253" s="17" t="s">
        <v>966</v>
      </c>
      <c r="M253" s="720">
        <v>44053</v>
      </c>
      <c r="N253" s="721" t="b">
        <f t="shared" si="178"/>
        <v>0</v>
      </c>
      <c r="O253" s="721" t="b">
        <f t="shared" si="179"/>
        <v>0</v>
      </c>
      <c r="P253" s="721" t="b">
        <f t="shared" si="189"/>
        <v>1</v>
      </c>
      <c r="Q253" s="721" t="b">
        <f t="shared" si="182"/>
        <v>0</v>
      </c>
      <c r="R253" s="721" t="b">
        <f t="shared" si="181"/>
        <v>0</v>
      </c>
      <c r="S253" s="721" t="b">
        <f t="shared" si="176"/>
        <v>0</v>
      </c>
      <c r="T253" s="721" t="b">
        <f t="shared" si="172"/>
        <v>0</v>
      </c>
      <c r="U253" s="721" t="b">
        <f t="shared" si="190"/>
        <v>0</v>
      </c>
      <c r="V253" s="721" t="b">
        <f t="shared" si="187"/>
        <v>0</v>
      </c>
      <c r="W253" s="721" t="b">
        <f t="shared" si="185"/>
        <v>0</v>
      </c>
      <c r="X253" s="721" t="b">
        <f t="shared" si="148"/>
        <v>0</v>
      </c>
      <c r="Y253" s="721" t="b">
        <f t="shared" si="154"/>
        <v>0</v>
      </c>
      <c r="Z253" s="721" t="b">
        <f t="shared" si="149"/>
        <v>0</v>
      </c>
      <c r="AA253" s="721" t="b">
        <f t="shared" si="175"/>
        <v>0</v>
      </c>
      <c r="AB253" s="17"/>
      <c r="AC253" s="17"/>
      <c r="AD253" s="17"/>
      <c r="AE253" s="17"/>
      <c r="AF253" s="17"/>
      <c r="AG253" s="17"/>
      <c r="AH253" s="17"/>
      <c r="AI253" s="17"/>
      <c r="AJ253" s="17"/>
      <c r="AK253" s="17"/>
      <c r="AL253" s="17"/>
      <c r="AM253" s="17"/>
      <c r="AN253" s="17"/>
      <c r="AO253" s="17"/>
      <c r="AP253" s="17"/>
      <c r="AQ253" s="17"/>
    </row>
    <row r="254" spans="1:43" ht="22.25" hidden="1">
      <c r="A254">
        <f t="shared" si="171"/>
        <v>251</v>
      </c>
      <c r="B254" s="407">
        <v>1</v>
      </c>
      <c r="C254" s="407" t="s">
        <v>517</v>
      </c>
      <c r="D254" s="407" t="s">
        <v>540</v>
      </c>
      <c r="E254" s="407" t="s">
        <v>978</v>
      </c>
      <c r="F254" s="408" t="s">
        <v>979</v>
      </c>
      <c r="G254" s="409">
        <v>564.44000000000005</v>
      </c>
      <c r="H254" s="410"/>
      <c r="I254" s="409">
        <f t="shared" si="170"/>
        <v>564.44000000000005</v>
      </c>
      <c r="J254" s="58">
        <v>100000</v>
      </c>
      <c r="K254" s="417">
        <f t="shared" si="188"/>
        <v>5.6444000000000008E-3</v>
      </c>
      <c r="L254" s="17" t="s">
        <v>966</v>
      </c>
      <c r="M254" s="720">
        <v>44053</v>
      </c>
      <c r="N254" s="721" t="b">
        <f t="shared" si="178"/>
        <v>0</v>
      </c>
      <c r="O254" s="721" t="b">
        <f t="shared" si="179"/>
        <v>0</v>
      </c>
      <c r="P254" s="721" t="b">
        <f>FALSE()</f>
        <v>0</v>
      </c>
      <c r="Q254" s="721" t="b">
        <f t="shared" si="182"/>
        <v>0</v>
      </c>
      <c r="R254" s="721" t="b">
        <f t="shared" si="181"/>
        <v>0</v>
      </c>
      <c r="S254" s="721" t="b">
        <f>TRUE()</f>
        <v>1</v>
      </c>
      <c r="T254" s="721" t="b">
        <f t="shared" si="172"/>
        <v>0</v>
      </c>
      <c r="U254" s="721" t="b">
        <f t="shared" si="190"/>
        <v>0</v>
      </c>
      <c r="V254" s="721" t="b">
        <f t="shared" si="187"/>
        <v>0</v>
      </c>
      <c r="W254" s="721" t="b">
        <f t="shared" si="185"/>
        <v>0</v>
      </c>
      <c r="X254" s="721" t="b">
        <f t="shared" si="148"/>
        <v>0</v>
      </c>
      <c r="Y254" s="721" t="b">
        <f t="shared" si="154"/>
        <v>0</v>
      </c>
      <c r="Z254" s="721" t="b">
        <f t="shared" si="149"/>
        <v>0</v>
      </c>
      <c r="AA254" s="721" t="b">
        <f t="shared" si="175"/>
        <v>0</v>
      </c>
      <c r="AB254" s="17"/>
      <c r="AC254" s="17"/>
      <c r="AD254" s="17"/>
      <c r="AE254" s="17"/>
      <c r="AF254" s="17"/>
      <c r="AG254" s="17"/>
      <c r="AH254" s="17"/>
      <c r="AI254" s="17"/>
      <c r="AJ254" s="17"/>
      <c r="AK254" s="17"/>
      <c r="AL254" s="17"/>
      <c r="AM254" s="17"/>
      <c r="AN254" s="17"/>
      <c r="AO254" s="17"/>
      <c r="AP254" s="17"/>
      <c r="AQ254" s="17"/>
    </row>
    <row r="255" spans="1:43" ht="22.25">
      <c r="A255">
        <f t="shared" si="171"/>
        <v>252</v>
      </c>
      <c r="B255" s="407">
        <v>1</v>
      </c>
      <c r="C255" s="407" t="s">
        <v>517</v>
      </c>
      <c r="D255" s="407" t="s">
        <v>540</v>
      </c>
      <c r="E255" s="407" t="s">
        <v>998</v>
      </c>
      <c r="F255" s="408" t="s">
        <v>999</v>
      </c>
      <c r="G255" s="409">
        <v>116.67</v>
      </c>
      <c r="H255" s="410"/>
      <c r="I255" s="409">
        <f t="shared" si="170"/>
        <v>116.67</v>
      </c>
      <c r="J255" s="58">
        <v>100000</v>
      </c>
      <c r="K255" s="417">
        <f t="shared" si="188"/>
        <v>1.1667000000000001E-3</v>
      </c>
      <c r="L255" s="17" t="s">
        <v>966</v>
      </c>
      <c r="M255" s="720">
        <v>44053</v>
      </c>
      <c r="N255" s="721" t="b">
        <f t="shared" si="178"/>
        <v>0</v>
      </c>
      <c r="O255" s="721" t="b">
        <f t="shared" si="179"/>
        <v>0</v>
      </c>
      <c r="P255" s="721" t="b">
        <f>TRUE()</f>
        <v>1</v>
      </c>
      <c r="Q255" s="721" t="b">
        <f t="shared" si="182"/>
        <v>0</v>
      </c>
      <c r="R255" s="721" t="b">
        <f t="shared" si="181"/>
        <v>0</v>
      </c>
      <c r="S255" s="721" t="b">
        <f t="shared" ref="S255:S318" si="191">FALSE()</f>
        <v>0</v>
      </c>
      <c r="T255" s="721" t="b">
        <f t="shared" si="172"/>
        <v>0</v>
      </c>
      <c r="U255" s="721" t="b">
        <f t="shared" si="190"/>
        <v>0</v>
      </c>
      <c r="V255" s="721" t="b">
        <f t="shared" si="187"/>
        <v>0</v>
      </c>
      <c r="W255" s="721" t="b">
        <f t="shared" si="185"/>
        <v>0</v>
      </c>
      <c r="X255" s="721" t="b">
        <f t="shared" si="148"/>
        <v>0</v>
      </c>
      <c r="Y255" s="721" t="b">
        <f t="shared" si="154"/>
        <v>0</v>
      </c>
      <c r="Z255" s="721" t="b">
        <f t="shared" si="149"/>
        <v>0</v>
      </c>
      <c r="AA255" s="721" t="b">
        <f t="shared" si="175"/>
        <v>0</v>
      </c>
      <c r="AB255" s="17"/>
      <c r="AC255" s="17"/>
      <c r="AD255" s="17"/>
      <c r="AE255" s="17"/>
      <c r="AF255" s="17"/>
      <c r="AG255" s="17"/>
      <c r="AH255" s="17"/>
      <c r="AI255" s="17"/>
      <c r="AJ255" s="17"/>
      <c r="AK255" s="17"/>
      <c r="AL255" s="17"/>
      <c r="AM255" s="17"/>
      <c r="AN255" s="17"/>
      <c r="AO255" s="17"/>
      <c r="AP255" s="17"/>
      <c r="AQ255" s="17"/>
    </row>
    <row r="256" spans="1:43" ht="33.4" hidden="1">
      <c r="A256">
        <f t="shared" si="171"/>
        <v>253</v>
      </c>
      <c r="B256" s="407">
        <v>32</v>
      </c>
      <c r="C256" s="407" t="s">
        <v>517</v>
      </c>
      <c r="D256" s="407" t="s">
        <v>540</v>
      </c>
      <c r="E256" s="407" t="s">
        <v>761</v>
      </c>
      <c r="F256" s="408" t="s">
        <v>762</v>
      </c>
      <c r="G256" s="409">
        <v>2.5</v>
      </c>
      <c r="H256" s="410"/>
      <c r="I256" s="409">
        <f t="shared" si="170"/>
        <v>2.5</v>
      </c>
      <c r="K256" s="417"/>
      <c r="L256" s="17" t="s">
        <v>966</v>
      </c>
      <c r="M256" s="720">
        <v>44053</v>
      </c>
      <c r="N256" s="721" t="b">
        <f t="shared" si="178"/>
        <v>0</v>
      </c>
      <c r="O256" s="721" t="b">
        <f t="shared" si="179"/>
        <v>0</v>
      </c>
      <c r="P256" s="721" t="b">
        <f t="shared" ref="P256:P263" si="192">FALSE()</f>
        <v>0</v>
      </c>
      <c r="Q256" s="721" t="b">
        <f t="shared" si="182"/>
        <v>0</v>
      </c>
      <c r="R256" s="721" t="b">
        <f t="shared" si="181"/>
        <v>0</v>
      </c>
      <c r="S256" s="721" t="b">
        <f t="shared" si="191"/>
        <v>0</v>
      </c>
      <c r="T256" s="721" t="b">
        <f>TRUE()</f>
        <v>1</v>
      </c>
      <c r="U256" s="721" t="b">
        <f t="shared" si="190"/>
        <v>0</v>
      </c>
      <c r="V256" s="721" t="b">
        <f t="shared" si="187"/>
        <v>0</v>
      </c>
      <c r="W256" s="721" t="b">
        <f t="shared" si="185"/>
        <v>0</v>
      </c>
      <c r="X256" s="721" t="b">
        <f t="shared" si="148"/>
        <v>0</v>
      </c>
      <c r="Y256" s="721" t="b">
        <f t="shared" si="154"/>
        <v>0</v>
      </c>
      <c r="Z256" s="721" t="b">
        <f t="shared" si="149"/>
        <v>0</v>
      </c>
      <c r="AA256" s="721" t="b">
        <f t="shared" si="175"/>
        <v>0</v>
      </c>
      <c r="AB256" s="17"/>
      <c r="AC256" s="17"/>
      <c r="AD256" s="17"/>
      <c r="AE256" s="17"/>
      <c r="AF256" s="17"/>
      <c r="AG256" s="17"/>
      <c r="AH256" s="17"/>
      <c r="AI256" s="17"/>
      <c r="AJ256" s="17"/>
      <c r="AK256" s="17"/>
      <c r="AL256" s="17"/>
      <c r="AM256" s="17"/>
      <c r="AN256" s="17"/>
      <c r="AO256" s="17"/>
      <c r="AP256" s="17"/>
      <c r="AQ256" s="17"/>
    </row>
    <row r="257" spans="1:43" hidden="1">
      <c r="A257">
        <f t="shared" si="171"/>
        <v>254</v>
      </c>
      <c r="B257" s="407">
        <v>1</v>
      </c>
      <c r="C257" s="407" t="s">
        <v>517</v>
      </c>
      <c r="D257" s="407" t="s">
        <v>540</v>
      </c>
      <c r="E257" s="407" t="s">
        <v>769</v>
      </c>
      <c r="F257" s="408" t="s">
        <v>567</v>
      </c>
      <c r="G257" s="409">
        <v>750</v>
      </c>
      <c r="H257" s="410"/>
      <c r="I257" s="409">
        <f t="shared" si="170"/>
        <v>750</v>
      </c>
      <c r="J257" s="58">
        <v>100000</v>
      </c>
      <c r="K257" s="417">
        <f t="shared" si="188"/>
        <v>7.4999999999999997E-3</v>
      </c>
      <c r="L257" s="17" t="s">
        <v>966</v>
      </c>
      <c r="M257" s="720">
        <v>44053</v>
      </c>
      <c r="N257" s="721" t="b">
        <f t="shared" si="178"/>
        <v>0</v>
      </c>
      <c r="O257" s="721" t="b">
        <f t="shared" si="179"/>
        <v>0</v>
      </c>
      <c r="P257" s="721" t="b">
        <f t="shared" si="192"/>
        <v>0</v>
      </c>
      <c r="Q257" s="721" t="b">
        <f t="shared" si="182"/>
        <v>0</v>
      </c>
      <c r="R257" s="721" t="b">
        <f t="shared" si="181"/>
        <v>0</v>
      </c>
      <c r="S257" s="721" t="b">
        <f t="shared" si="191"/>
        <v>0</v>
      </c>
      <c r="T257" s="721" t="b">
        <f t="shared" ref="T257:T320" si="193">FALSE()</f>
        <v>0</v>
      </c>
      <c r="U257" s="721" t="b">
        <f t="shared" si="190"/>
        <v>0</v>
      </c>
      <c r="V257" s="721" t="b">
        <f t="shared" si="187"/>
        <v>0</v>
      </c>
      <c r="W257" s="721" t="b">
        <f t="shared" si="185"/>
        <v>0</v>
      </c>
      <c r="X257" s="721" t="b">
        <f t="shared" si="148"/>
        <v>0</v>
      </c>
      <c r="Y257" s="721" t="b">
        <f t="shared" si="154"/>
        <v>0</v>
      </c>
      <c r="Z257" s="721" t="b">
        <f t="shared" si="149"/>
        <v>0</v>
      </c>
      <c r="AA257" s="721" t="b">
        <f>TRUE()</f>
        <v>1</v>
      </c>
      <c r="AB257" s="17"/>
      <c r="AC257" s="17"/>
      <c r="AD257" s="17"/>
      <c r="AE257" s="17"/>
      <c r="AF257" s="17"/>
      <c r="AG257" s="17"/>
      <c r="AH257" s="17"/>
      <c r="AI257" s="17"/>
      <c r="AJ257" s="17"/>
      <c r="AK257" s="17"/>
      <c r="AL257" s="17"/>
      <c r="AM257" s="17"/>
      <c r="AN257" s="17"/>
      <c r="AO257" s="17"/>
      <c r="AP257" s="17"/>
      <c r="AQ257" s="17"/>
    </row>
    <row r="258" spans="1:43" hidden="1">
      <c r="A258">
        <f t="shared" si="171"/>
        <v>255</v>
      </c>
      <c r="B258" s="407">
        <v>1</v>
      </c>
      <c r="C258" s="407" t="s">
        <v>517</v>
      </c>
      <c r="D258" s="407" t="s">
        <v>721</v>
      </c>
      <c r="E258" s="407"/>
      <c r="F258" s="408" t="s">
        <v>722</v>
      </c>
      <c r="G258" s="409">
        <v>0.69</v>
      </c>
      <c r="H258" s="410"/>
      <c r="I258" s="409">
        <f t="shared" si="170"/>
        <v>0.69</v>
      </c>
      <c r="J258" s="58">
        <v>100000</v>
      </c>
      <c r="K258" s="417">
        <f t="shared" si="188"/>
        <v>6.8999999999999992E-6</v>
      </c>
      <c r="L258" s="17" t="s">
        <v>966</v>
      </c>
      <c r="M258" s="720">
        <v>44053</v>
      </c>
      <c r="N258" s="721" t="b">
        <f t="shared" si="178"/>
        <v>0</v>
      </c>
      <c r="O258" s="721" t="b">
        <f t="shared" si="179"/>
        <v>0</v>
      </c>
      <c r="P258" s="721" t="b">
        <f t="shared" si="192"/>
        <v>0</v>
      </c>
      <c r="Q258" s="721" t="b">
        <f t="shared" si="182"/>
        <v>0</v>
      </c>
      <c r="R258" s="721" t="b">
        <f t="shared" si="181"/>
        <v>0</v>
      </c>
      <c r="S258" s="721" t="b">
        <f t="shared" si="191"/>
        <v>0</v>
      </c>
      <c r="T258" s="721" t="b">
        <f t="shared" si="193"/>
        <v>0</v>
      </c>
      <c r="U258" s="721" t="b">
        <f t="shared" si="190"/>
        <v>0</v>
      </c>
      <c r="V258" s="721" t="b">
        <f t="shared" si="187"/>
        <v>0</v>
      </c>
      <c r="W258" s="721" t="b">
        <f t="shared" si="185"/>
        <v>0</v>
      </c>
      <c r="X258" s="721" t="b">
        <f t="shared" si="148"/>
        <v>0</v>
      </c>
      <c r="Y258" s="721" t="b">
        <f t="shared" si="154"/>
        <v>0</v>
      </c>
      <c r="Z258" s="721" t="b">
        <f t="shared" ref="Z258:Z263" si="194">TRUE()</f>
        <v>1</v>
      </c>
      <c r="AA258" s="721" t="b">
        <f t="shared" ref="AA258:AA321" si="195">FALSE()</f>
        <v>0</v>
      </c>
      <c r="AB258" s="17"/>
      <c r="AC258" s="17"/>
      <c r="AD258" s="17"/>
      <c r="AE258" s="17"/>
      <c r="AF258" s="17"/>
      <c r="AG258" s="17"/>
      <c r="AH258" s="17"/>
      <c r="AI258" s="17"/>
      <c r="AJ258" s="17"/>
      <c r="AK258" s="17"/>
      <c r="AL258" s="17"/>
      <c r="AM258" s="17"/>
      <c r="AN258" s="17"/>
      <c r="AO258" s="17"/>
      <c r="AP258" s="17"/>
      <c r="AQ258" s="17"/>
    </row>
    <row r="259" spans="1:43" hidden="1">
      <c r="A259">
        <f t="shared" si="171"/>
        <v>256</v>
      </c>
      <c r="B259" s="407">
        <v>1</v>
      </c>
      <c r="C259" s="407" t="s">
        <v>517</v>
      </c>
      <c r="D259" s="407" t="s">
        <v>721</v>
      </c>
      <c r="E259" s="407"/>
      <c r="F259" s="408" t="s">
        <v>723</v>
      </c>
      <c r="G259" s="409">
        <v>0.1</v>
      </c>
      <c r="H259" s="410"/>
      <c r="I259" s="409">
        <f t="shared" si="170"/>
        <v>0.1</v>
      </c>
      <c r="K259" s="17"/>
      <c r="L259" s="17" t="s">
        <v>721</v>
      </c>
      <c r="M259" s="720">
        <v>44061</v>
      </c>
      <c r="N259" s="721" t="b">
        <f t="shared" si="178"/>
        <v>0</v>
      </c>
      <c r="O259" s="721" t="b">
        <f t="shared" si="179"/>
        <v>0</v>
      </c>
      <c r="P259" s="721" t="b">
        <f t="shared" si="192"/>
        <v>0</v>
      </c>
      <c r="Q259" s="721" t="b">
        <f t="shared" si="182"/>
        <v>0</v>
      </c>
      <c r="R259" s="721" t="b">
        <f t="shared" si="181"/>
        <v>0</v>
      </c>
      <c r="S259" s="721" t="b">
        <f t="shared" si="191"/>
        <v>0</v>
      </c>
      <c r="T259" s="721" t="b">
        <f t="shared" si="193"/>
        <v>0</v>
      </c>
      <c r="U259" s="721" t="b">
        <f t="shared" si="190"/>
        <v>0</v>
      </c>
      <c r="V259" s="721" t="b">
        <f t="shared" si="187"/>
        <v>0</v>
      </c>
      <c r="W259" s="721" t="b">
        <f t="shared" si="185"/>
        <v>0</v>
      </c>
      <c r="X259" s="721" t="b">
        <f t="shared" si="148"/>
        <v>0</v>
      </c>
      <c r="Y259" s="721" t="b">
        <f t="shared" si="154"/>
        <v>0</v>
      </c>
      <c r="Z259" s="721" t="b">
        <f t="shared" si="194"/>
        <v>1</v>
      </c>
      <c r="AA259" s="721" t="b">
        <f t="shared" si="195"/>
        <v>0</v>
      </c>
      <c r="AB259" s="17"/>
      <c r="AC259" s="17"/>
      <c r="AD259" s="17"/>
      <c r="AE259" s="17"/>
      <c r="AF259" s="17"/>
      <c r="AG259" s="17"/>
      <c r="AH259" s="17"/>
      <c r="AI259" s="17"/>
      <c r="AJ259" s="17"/>
      <c r="AK259" s="17"/>
      <c r="AL259" s="17"/>
      <c r="AM259" s="17"/>
      <c r="AN259" s="17"/>
      <c r="AO259" s="17"/>
      <c r="AP259" s="17"/>
      <c r="AQ259" s="17"/>
    </row>
    <row r="260" spans="1:43" hidden="1">
      <c r="A260">
        <f t="shared" si="171"/>
        <v>257</v>
      </c>
      <c r="B260" s="407">
        <v>1</v>
      </c>
      <c r="C260" s="407" t="s">
        <v>517</v>
      </c>
      <c r="D260" s="407" t="s">
        <v>721</v>
      </c>
      <c r="E260" s="407"/>
      <c r="F260" s="408" t="s">
        <v>724</v>
      </c>
      <c r="G260" s="409">
        <v>0.11</v>
      </c>
      <c r="H260" s="410"/>
      <c r="I260" s="409">
        <f t="shared" si="170"/>
        <v>0.11</v>
      </c>
      <c r="K260" s="17"/>
      <c r="L260" s="17" t="s">
        <v>721</v>
      </c>
      <c r="M260" s="720">
        <v>44061</v>
      </c>
      <c r="N260" s="721" t="b">
        <f t="shared" si="178"/>
        <v>0</v>
      </c>
      <c r="O260" s="721" t="b">
        <f t="shared" si="179"/>
        <v>0</v>
      </c>
      <c r="P260" s="721" t="b">
        <f t="shared" si="192"/>
        <v>0</v>
      </c>
      <c r="Q260" s="721" t="b">
        <f t="shared" si="182"/>
        <v>0</v>
      </c>
      <c r="R260" s="721" t="b">
        <f t="shared" si="181"/>
        <v>0</v>
      </c>
      <c r="S260" s="721" t="b">
        <f t="shared" si="191"/>
        <v>0</v>
      </c>
      <c r="T260" s="721" t="b">
        <f t="shared" si="193"/>
        <v>0</v>
      </c>
      <c r="U260" s="721" t="b">
        <f t="shared" si="190"/>
        <v>0</v>
      </c>
      <c r="V260" s="721" t="b">
        <f t="shared" si="187"/>
        <v>0</v>
      </c>
      <c r="W260" s="721" t="b">
        <f t="shared" si="185"/>
        <v>0</v>
      </c>
      <c r="X260" s="721" t="b">
        <f t="shared" ref="X260:X323" si="196">FALSE()</f>
        <v>0</v>
      </c>
      <c r="Y260" s="721" t="b">
        <f t="shared" si="154"/>
        <v>0</v>
      </c>
      <c r="Z260" s="721" t="b">
        <f t="shared" si="194"/>
        <v>1</v>
      </c>
      <c r="AA260" s="721" t="b">
        <f t="shared" si="195"/>
        <v>0</v>
      </c>
      <c r="AB260" s="17"/>
      <c r="AC260" s="17"/>
      <c r="AD260" s="17"/>
      <c r="AE260" s="17"/>
      <c r="AF260" s="17"/>
      <c r="AG260" s="17"/>
      <c r="AH260" s="17"/>
      <c r="AI260" s="17"/>
      <c r="AJ260" s="17"/>
      <c r="AK260" s="17"/>
      <c r="AL260" s="17"/>
      <c r="AM260" s="17"/>
      <c r="AN260" s="17"/>
      <c r="AO260" s="17"/>
      <c r="AP260" s="17"/>
      <c r="AQ260" s="17"/>
    </row>
    <row r="261" spans="1:43" hidden="1">
      <c r="A261">
        <f t="shared" si="171"/>
        <v>258</v>
      </c>
      <c r="B261" s="407">
        <v>1</v>
      </c>
      <c r="C261" s="407" t="s">
        <v>539</v>
      </c>
      <c r="D261" s="407" t="s">
        <v>725</v>
      </c>
      <c r="E261" s="407"/>
      <c r="F261" s="408" t="s">
        <v>726</v>
      </c>
      <c r="G261" s="409">
        <v>13.1</v>
      </c>
      <c r="H261" s="410"/>
      <c r="I261" s="409">
        <f t="shared" si="170"/>
        <v>13.1</v>
      </c>
      <c r="K261" s="17"/>
      <c r="L261" s="17" t="s">
        <v>725</v>
      </c>
      <c r="M261" s="720">
        <v>44061</v>
      </c>
      <c r="N261" s="721" t="b">
        <f t="shared" si="178"/>
        <v>0</v>
      </c>
      <c r="O261" s="721" t="b">
        <f t="shared" si="179"/>
        <v>0</v>
      </c>
      <c r="P261" s="721" t="b">
        <f t="shared" si="192"/>
        <v>0</v>
      </c>
      <c r="Q261" s="721" t="b">
        <f t="shared" si="182"/>
        <v>0</v>
      </c>
      <c r="R261" s="721" t="b">
        <f t="shared" si="181"/>
        <v>0</v>
      </c>
      <c r="S261" s="721" t="b">
        <f t="shared" si="191"/>
        <v>0</v>
      </c>
      <c r="T261" s="721" t="b">
        <f t="shared" si="193"/>
        <v>0</v>
      </c>
      <c r="U261" s="721" t="b">
        <f t="shared" si="190"/>
        <v>0</v>
      </c>
      <c r="V261" s="721" t="b">
        <f t="shared" si="187"/>
        <v>0</v>
      </c>
      <c r="W261" s="721" t="b">
        <f t="shared" si="185"/>
        <v>0</v>
      </c>
      <c r="X261" s="721" t="b">
        <f t="shared" si="196"/>
        <v>0</v>
      </c>
      <c r="Y261" s="721" t="b">
        <f t="shared" si="154"/>
        <v>0</v>
      </c>
      <c r="Z261" s="721" t="b">
        <f t="shared" si="194"/>
        <v>1</v>
      </c>
      <c r="AA261" s="721" t="b">
        <f t="shared" si="195"/>
        <v>0</v>
      </c>
      <c r="AB261" s="17"/>
      <c r="AC261" s="17"/>
      <c r="AD261" s="17"/>
      <c r="AE261" s="17"/>
      <c r="AF261" s="17"/>
      <c r="AG261" s="17"/>
      <c r="AH261" s="17"/>
      <c r="AI261" s="17"/>
      <c r="AJ261" s="17"/>
      <c r="AK261" s="17"/>
      <c r="AL261" s="17"/>
      <c r="AM261" s="17"/>
      <c r="AN261" s="17"/>
      <c r="AO261" s="17"/>
      <c r="AP261" s="17"/>
      <c r="AQ261" s="17"/>
    </row>
    <row r="262" spans="1:43" hidden="1">
      <c r="A262">
        <f t="shared" si="171"/>
        <v>259</v>
      </c>
      <c r="B262" s="407">
        <v>1</v>
      </c>
      <c r="C262" s="407" t="s">
        <v>539</v>
      </c>
      <c r="D262" s="407" t="s">
        <v>531</v>
      </c>
      <c r="E262" s="407"/>
      <c r="F262" s="408" t="s">
        <v>727</v>
      </c>
      <c r="G262" s="409">
        <v>25</v>
      </c>
      <c r="H262" s="410"/>
      <c r="I262" s="409">
        <f t="shared" si="170"/>
        <v>25</v>
      </c>
      <c r="K262" s="17"/>
      <c r="L262" s="17" t="s">
        <v>972</v>
      </c>
      <c r="M262" s="720">
        <v>44061</v>
      </c>
      <c r="N262" s="721" t="b">
        <f t="shared" si="178"/>
        <v>0</v>
      </c>
      <c r="O262" s="721" t="b">
        <f t="shared" si="179"/>
        <v>0</v>
      </c>
      <c r="P262" s="721" t="b">
        <f t="shared" si="192"/>
        <v>0</v>
      </c>
      <c r="Q262" s="721" t="b">
        <f t="shared" si="182"/>
        <v>0</v>
      </c>
      <c r="R262" s="721" t="b">
        <f t="shared" si="181"/>
        <v>0</v>
      </c>
      <c r="S262" s="721" t="b">
        <f t="shared" si="191"/>
        <v>0</v>
      </c>
      <c r="T262" s="721" t="b">
        <f t="shared" si="193"/>
        <v>0</v>
      </c>
      <c r="U262" s="721" t="b">
        <f t="shared" si="190"/>
        <v>0</v>
      </c>
      <c r="V262" s="721" t="b">
        <f t="shared" si="187"/>
        <v>0</v>
      </c>
      <c r="W262" s="721" t="b">
        <f t="shared" si="185"/>
        <v>0</v>
      </c>
      <c r="X262" s="721" t="b">
        <f t="shared" si="196"/>
        <v>0</v>
      </c>
      <c r="Y262" s="721" t="b">
        <f t="shared" si="154"/>
        <v>0</v>
      </c>
      <c r="Z262" s="721" t="b">
        <f t="shared" si="194"/>
        <v>1</v>
      </c>
      <c r="AA262" s="721" t="b">
        <f t="shared" si="195"/>
        <v>0</v>
      </c>
      <c r="AB262" s="17"/>
      <c r="AC262" s="17"/>
      <c r="AD262" s="17"/>
      <c r="AE262" s="17"/>
      <c r="AF262" s="17"/>
      <c r="AG262" s="17"/>
      <c r="AH262" s="17"/>
      <c r="AI262" s="17"/>
      <c r="AJ262" s="17"/>
      <c r="AK262" s="17"/>
      <c r="AL262" s="17"/>
      <c r="AM262" s="17"/>
      <c r="AN262" s="17"/>
      <c r="AO262" s="17"/>
      <c r="AP262" s="17"/>
      <c r="AQ262" s="17"/>
    </row>
    <row r="263" spans="1:43" hidden="1">
      <c r="A263">
        <f t="shared" si="171"/>
        <v>260</v>
      </c>
      <c r="B263" s="407">
        <v>1</v>
      </c>
      <c r="C263" s="407" t="s">
        <v>517</v>
      </c>
      <c r="D263" s="407" t="s">
        <v>531</v>
      </c>
      <c r="E263" s="407"/>
      <c r="F263" s="408" t="s">
        <v>728</v>
      </c>
      <c r="G263" s="409">
        <v>0.1</v>
      </c>
      <c r="H263" s="410"/>
      <c r="I263" s="409">
        <f t="shared" si="170"/>
        <v>0.1</v>
      </c>
      <c r="K263" s="17"/>
      <c r="L263" s="17" t="s">
        <v>972</v>
      </c>
      <c r="M263" s="720">
        <v>44061</v>
      </c>
      <c r="N263" s="721" t="b">
        <f t="shared" si="178"/>
        <v>0</v>
      </c>
      <c r="O263" s="721" t="b">
        <f t="shared" si="179"/>
        <v>0</v>
      </c>
      <c r="P263" s="721" t="b">
        <f t="shared" si="192"/>
        <v>0</v>
      </c>
      <c r="Q263" s="721" t="b">
        <f t="shared" si="182"/>
        <v>0</v>
      </c>
      <c r="R263" s="721" t="b">
        <f t="shared" si="181"/>
        <v>0</v>
      </c>
      <c r="S263" s="721" t="b">
        <f t="shared" si="191"/>
        <v>0</v>
      </c>
      <c r="T263" s="721" t="b">
        <f t="shared" si="193"/>
        <v>0</v>
      </c>
      <c r="U263" s="721" t="b">
        <f t="shared" si="190"/>
        <v>0</v>
      </c>
      <c r="V263" s="721" t="b">
        <f t="shared" si="187"/>
        <v>0</v>
      </c>
      <c r="W263" s="721" t="b">
        <f t="shared" si="185"/>
        <v>0</v>
      </c>
      <c r="X263" s="721" t="b">
        <f t="shared" si="196"/>
        <v>0</v>
      </c>
      <c r="Y263" s="721" t="b">
        <f t="shared" si="154"/>
        <v>0</v>
      </c>
      <c r="Z263" s="721" t="b">
        <f t="shared" si="194"/>
        <v>1</v>
      </c>
      <c r="AA263" s="721" t="b">
        <f t="shared" si="195"/>
        <v>0</v>
      </c>
      <c r="AB263" s="17"/>
      <c r="AC263" s="17"/>
      <c r="AD263" s="17"/>
      <c r="AE263" s="17"/>
      <c r="AF263" s="17"/>
      <c r="AG263" s="17"/>
      <c r="AH263" s="17"/>
      <c r="AI263" s="17"/>
      <c r="AJ263" s="17"/>
      <c r="AK263" s="17"/>
      <c r="AL263" s="17"/>
      <c r="AM263" s="17"/>
      <c r="AN263" s="17"/>
      <c r="AO263" s="17"/>
      <c r="AP263" s="17"/>
      <c r="AQ263" s="17"/>
    </row>
    <row r="264" spans="1:43">
      <c r="A264">
        <f t="shared" si="171"/>
        <v>261</v>
      </c>
      <c r="B264" s="487">
        <v>1</v>
      </c>
      <c r="C264" s="487" t="s">
        <v>522</v>
      </c>
      <c r="D264" s="407" t="s">
        <v>1223</v>
      </c>
      <c r="E264" s="487"/>
      <c r="F264" s="408" t="s">
        <v>1224</v>
      </c>
      <c r="G264" s="409">
        <f>7479/1.2</f>
        <v>6232.5</v>
      </c>
      <c r="H264" s="410"/>
      <c r="I264" s="409">
        <f t="shared" si="170"/>
        <v>6232.5</v>
      </c>
      <c r="J264" s="58">
        <v>100000</v>
      </c>
      <c r="K264" s="417">
        <f t="shared" si="188"/>
        <v>6.2324999999999998E-2</v>
      </c>
      <c r="L264" s="17" t="s">
        <v>1115</v>
      </c>
      <c r="M264" s="720">
        <v>44109</v>
      </c>
      <c r="N264" s="721" t="b">
        <f t="shared" si="178"/>
        <v>0</v>
      </c>
      <c r="O264" s="721" t="b">
        <f t="shared" si="179"/>
        <v>0</v>
      </c>
      <c r="P264" s="721" t="b">
        <f t="shared" ref="P264:P270" si="197">TRUE()</f>
        <v>1</v>
      </c>
      <c r="Q264" s="721" t="b">
        <f t="shared" si="182"/>
        <v>0</v>
      </c>
      <c r="R264" s="721" t="b">
        <f t="shared" si="181"/>
        <v>0</v>
      </c>
      <c r="S264" s="721" t="b">
        <f t="shared" si="191"/>
        <v>0</v>
      </c>
      <c r="T264" s="721" t="b">
        <f t="shared" si="193"/>
        <v>0</v>
      </c>
      <c r="U264" s="721" t="b">
        <f t="shared" si="190"/>
        <v>0</v>
      </c>
      <c r="V264" s="721" t="b">
        <f t="shared" si="187"/>
        <v>0</v>
      </c>
      <c r="W264" s="721" t="b">
        <f t="shared" si="185"/>
        <v>0</v>
      </c>
      <c r="X264" s="721" t="b">
        <f t="shared" si="196"/>
        <v>0</v>
      </c>
      <c r="Y264" s="721" t="b">
        <f t="shared" si="154"/>
        <v>0</v>
      </c>
      <c r="Z264" s="721" t="b">
        <f t="shared" ref="Z264:Z285" si="198">FALSE()</f>
        <v>0</v>
      </c>
      <c r="AA264" s="721" t="b">
        <f t="shared" si="195"/>
        <v>0</v>
      </c>
      <c r="AB264" s="17"/>
      <c r="AC264" s="17"/>
      <c r="AD264" s="17"/>
      <c r="AE264" s="17"/>
      <c r="AF264" s="17"/>
      <c r="AG264" s="17"/>
      <c r="AH264" s="17"/>
      <c r="AI264" s="17"/>
      <c r="AJ264" s="17"/>
      <c r="AK264" s="17"/>
      <c r="AL264" s="17"/>
      <c r="AM264" s="17"/>
      <c r="AN264" s="17"/>
      <c r="AO264" s="17"/>
      <c r="AP264" s="17"/>
      <c r="AQ264" s="17"/>
    </row>
    <row r="265" spans="1:43" hidden="1">
      <c r="A265">
        <f t="shared" si="171"/>
        <v>262</v>
      </c>
      <c r="B265" s="487">
        <v>1</v>
      </c>
      <c r="C265" s="487" t="s">
        <v>522</v>
      </c>
      <c r="D265" s="407" t="s">
        <v>1223</v>
      </c>
      <c r="E265" s="487"/>
      <c r="F265" s="408" t="s">
        <v>1225</v>
      </c>
      <c r="G265" s="409">
        <f>5199/1.2</f>
        <v>4332.5</v>
      </c>
      <c r="H265" s="410"/>
      <c r="I265" s="409">
        <f t="shared" si="170"/>
        <v>4332.5</v>
      </c>
      <c r="J265" s="58">
        <v>50000</v>
      </c>
      <c r="K265" s="417">
        <f t="shared" si="188"/>
        <v>8.6650000000000005E-2</v>
      </c>
      <c r="L265" s="17" t="s">
        <v>1115</v>
      </c>
      <c r="M265" s="720">
        <v>44109</v>
      </c>
      <c r="N265" s="721" t="b">
        <f t="shared" si="178"/>
        <v>0</v>
      </c>
      <c r="O265" s="721" t="b">
        <f t="shared" si="179"/>
        <v>0</v>
      </c>
      <c r="P265" s="721" t="b">
        <f t="shared" si="197"/>
        <v>1</v>
      </c>
      <c r="Q265" s="721" t="b">
        <f t="shared" si="182"/>
        <v>0</v>
      </c>
      <c r="R265" s="721" t="b">
        <f t="shared" si="181"/>
        <v>0</v>
      </c>
      <c r="S265" s="721" t="b">
        <f t="shared" si="191"/>
        <v>0</v>
      </c>
      <c r="T265" s="721" t="b">
        <f t="shared" si="193"/>
        <v>0</v>
      </c>
      <c r="U265" s="721" t="b">
        <f t="shared" si="190"/>
        <v>0</v>
      </c>
      <c r="V265" s="721" t="b">
        <f t="shared" si="187"/>
        <v>0</v>
      </c>
      <c r="W265" s="721" t="b">
        <f t="shared" si="185"/>
        <v>0</v>
      </c>
      <c r="X265" s="721" t="b">
        <f t="shared" si="196"/>
        <v>0</v>
      </c>
      <c r="Y265" s="721" t="b">
        <f t="shared" si="154"/>
        <v>0</v>
      </c>
      <c r="Z265" s="721" t="b">
        <f t="shared" si="198"/>
        <v>0</v>
      </c>
      <c r="AA265" s="721" t="b">
        <f t="shared" si="195"/>
        <v>0</v>
      </c>
      <c r="AB265" s="17"/>
      <c r="AC265" s="17"/>
      <c r="AD265" s="17"/>
      <c r="AE265" s="17"/>
      <c r="AF265" s="17"/>
      <c r="AG265" s="17"/>
      <c r="AH265" s="17"/>
      <c r="AI265" s="17"/>
      <c r="AJ265" s="17"/>
      <c r="AK265" s="17"/>
      <c r="AL265" s="17"/>
      <c r="AM265" s="17"/>
      <c r="AN265" s="17"/>
      <c r="AO265" s="17"/>
      <c r="AP265" s="17"/>
      <c r="AQ265" s="17"/>
    </row>
    <row r="266" spans="1:43" hidden="1">
      <c r="A266">
        <f t="shared" si="171"/>
        <v>263</v>
      </c>
      <c r="B266" s="487">
        <v>1</v>
      </c>
      <c r="C266" s="487" t="s">
        <v>522</v>
      </c>
      <c r="D266" s="407" t="s">
        <v>1223</v>
      </c>
      <c r="E266" s="487"/>
      <c r="F266" s="408" t="s">
        <v>1226</v>
      </c>
      <c r="G266" s="409">
        <f>4590/1.2</f>
        <v>3825</v>
      </c>
      <c r="H266" s="410"/>
      <c r="I266" s="409">
        <f t="shared" si="170"/>
        <v>3825</v>
      </c>
      <c r="J266" s="58">
        <v>40000</v>
      </c>
      <c r="K266" s="417">
        <f t="shared" si="188"/>
        <v>9.5625000000000002E-2</v>
      </c>
      <c r="L266" s="17" t="s">
        <v>1115</v>
      </c>
      <c r="M266" s="720">
        <v>44109</v>
      </c>
      <c r="N266" s="721" t="b">
        <f t="shared" si="178"/>
        <v>0</v>
      </c>
      <c r="O266" s="721" t="b">
        <f t="shared" si="179"/>
        <v>0</v>
      </c>
      <c r="P266" s="721" t="b">
        <f t="shared" si="197"/>
        <v>1</v>
      </c>
      <c r="Q266" s="721" t="b">
        <f t="shared" si="182"/>
        <v>0</v>
      </c>
      <c r="R266" s="721" t="b">
        <f t="shared" si="181"/>
        <v>0</v>
      </c>
      <c r="S266" s="721" t="b">
        <f t="shared" si="191"/>
        <v>0</v>
      </c>
      <c r="T266" s="721" t="b">
        <f t="shared" si="193"/>
        <v>0</v>
      </c>
      <c r="U266" s="721" t="b">
        <f t="shared" si="190"/>
        <v>0</v>
      </c>
      <c r="V266" s="721" t="b">
        <f t="shared" si="187"/>
        <v>0</v>
      </c>
      <c r="W266" s="721" t="b">
        <f t="shared" si="185"/>
        <v>0</v>
      </c>
      <c r="X266" s="721" t="b">
        <f t="shared" si="196"/>
        <v>0</v>
      </c>
      <c r="Y266" s="721" t="b">
        <f t="shared" si="154"/>
        <v>0</v>
      </c>
      <c r="Z266" s="721" t="b">
        <f t="shared" si="198"/>
        <v>0</v>
      </c>
      <c r="AA266" s="721" t="b">
        <f t="shared" si="195"/>
        <v>0</v>
      </c>
      <c r="AB266" s="17"/>
      <c r="AC266" s="17"/>
      <c r="AD266" s="17"/>
      <c r="AE266" s="17"/>
      <c r="AF266" s="17"/>
      <c r="AG266" s="17"/>
      <c r="AH266" s="17"/>
      <c r="AI266" s="17"/>
      <c r="AJ266" s="17"/>
      <c r="AK266" s="17"/>
      <c r="AL266" s="17"/>
      <c r="AM266" s="17"/>
      <c r="AN266" s="17"/>
      <c r="AO266" s="17"/>
      <c r="AP266" s="17"/>
      <c r="AQ266" s="17"/>
    </row>
    <row r="267" spans="1:43" hidden="1">
      <c r="A267">
        <f t="shared" si="171"/>
        <v>264</v>
      </c>
      <c r="B267" s="487">
        <v>1</v>
      </c>
      <c r="C267" s="487" t="s">
        <v>522</v>
      </c>
      <c r="D267" s="407" t="s">
        <v>1223</v>
      </c>
      <c r="E267" s="487"/>
      <c r="F267" s="408" t="s">
        <v>1227</v>
      </c>
      <c r="G267" s="409">
        <f>2860/1.2</f>
        <v>2383.3333333333335</v>
      </c>
      <c r="H267" s="410"/>
      <c r="I267" s="409">
        <f t="shared" si="170"/>
        <v>2383.3333333333335</v>
      </c>
      <c r="J267" s="58">
        <v>20000</v>
      </c>
      <c r="K267" s="417">
        <f t="shared" si="188"/>
        <v>0.11916666666666667</v>
      </c>
      <c r="L267" s="17" t="s">
        <v>1115</v>
      </c>
      <c r="M267" s="720">
        <v>44109</v>
      </c>
      <c r="N267" s="721" t="b">
        <f t="shared" si="178"/>
        <v>0</v>
      </c>
      <c r="O267" s="721" t="b">
        <f t="shared" si="179"/>
        <v>0</v>
      </c>
      <c r="P267" s="721" t="b">
        <f t="shared" si="197"/>
        <v>1</v>
      </c>
      <c r="Q267" s="721" t="b">
        <f t="shared" si="182"/>
        <v>0</v>
      </c>
      <c r="R267" s="721" t="b">
        <f t="shared" si="181"/>
        <v>0</v>
      </c>
      <c r="S267" s="721" t="b">
        <f t="shared" si="191"/>
        <v>0</v>
      </c>
      <c r="T267" s="721" t="b">
        <f t="shared" si="193"/>
        <v>0</v>
      </c>
      <c r="U267" s="721" t="b">
        <f t="shared" si="190"/>
        <v>0</v>
      </c>
      <c r="V267" s="721" t="b">
        <f t="shared" si="187"/>
        <v>0</v>
      </c>
      <c r="W267" s="721" t="b">
        <f t="shared" si="185"/>
        <v>0</v>
      </c>
      <c r="X267" s="721" t="b">
        <f t="shared" si="196"/>
        <v>0</v>
      </c>
      <c r="Y267" s="721" t="b">
        <f t="shared" si="154"/>
        <v>0</v>
      </c>
      <c r="Z267" s="721" t="b">
        <f t="shared" si="198"/>
        <v>0</v>
      </c>
      <c r="AA267" s="721" t="b">
        <f t="shared" si="195"/>
        <v>0</v>
      </c>
      <c r="AB267" s="17"/>
      <c r="AC267" s="17"/>
      <c r="AD267" s="17"/>
      <c r="AE267" s="17"/>
      <c r="AF267" s="17"/>
      <c r="AG267" s="17"/>
      <c r="AH267" s="17"/>
      <c r="AI267" s="17"/>
      <c r="AJ267" s="17"/>
      <c r="AK267" s="17"/>
      <c r="AL267" s="17"/>
      <c r="AM267" s="17"/>
      <c r="AN267" s="17"/>
      <c r="AO267" s="17"/>
      <c r="AP267" s="17"/>
      <c r="AQ267" s="17"/>
    </row>
    <row r="268" spans="1:43" hidden="1">
      <c r="A268">
        <f t="shared" si="171"/>
        <v>265</v>
      </c>
      <c r="B268" s="487">
        <v>1</v>
      </c>
      <c r="C268" s="487" t="s">
        <v>522</v>
      </c>
      <c r="D268" s="407" t="s">
        <v>1223</v>
      </c>
      <c r="E268" s="487"/>
      <c r="F268" s="408" t="s">
        <v>1228</v>
      </c>
      <c r="G268" s="409">
        <f>2655/1.2</f>
        <v>2212.5</v>
      </c>
      <c r="H268" s="410"/>
      <c r="I268" s="409">
        <f t="shared" si="170"/>
        <v>2212.5</v>
      </c>
      <c r="J268" s="58">
        <v>15000</v>
      </c>
      <c r="K268" s="417">
        <f t="shared" si="188"/>
        <v>0.14749999999999999</v>
      </c>
      <c r="L268" s="17" t="s">
        <v>1115</v>
      </c>
      <c r="M268" s="720">
        <v>44109</v>
      </c>
      <c r="N268" s="721" t="b">
        <f t="shared" si="178"/>
        <v>0</v>
      </c>
      <c r="O268" s="721" t="b">
        <f t="shared" si="179"/>
        <v>0</v>
      </c>
      <c r="P268" s="721" t="b">
        <f t="shared" si="197"/>
        <v>1</v>
      </c>
      <c r="Q268" s="721" t="b">
        <f t="shared" si="182"/>
        <v>0</v>
      </c>
      <c r="R268" s="721" t="b">
        <f t="shared" si="181"/>
        <v>0</v>
      </c>
      <c r="S268" s="721" t="b">
        <f t="shared" si="191"/>
        <v>0</v>
      </c>
      <c r="T268" s="721" t="b">
        <f t="shared" si="193"/>
        <v>0</v>
      </c>
      <c r="U268" s="721" t="b">
        <f t="shared" si="190"/>
        <v>0</v>
      </c>
      <c r="V268" s="721" t="b">
        <f t="shared" si="187"/>
        <v>0</v>
      </c>
      <c r="W268" s="721" t="b">
        <f t="shared" si="185"/>
        <v>0</v>
      </c>
      <c r="X268" s="721" t="b">
        <f t="shared" si="196"/>
        <v>0</v>
      </c>
      <c r="Y268" s="721" t="b">
        <f t="shared" ref="Y268:Y331" si="199">FALSE()</f>
        <v>0</v>
      </c>
      <c r="Z268" s="721" t="b">
        <f t="shared" si="198"/>
        <v>0</v>
      </c>
      <c r="AA268" s="721" t="b">
        <f t="shared" si="195"/>
        <v>0</v>
      </c>
      <c r="AB268" s="17"/>
      <c r="AC268" s="17"/>
      <c r="AD268" s="17"/>
      <c r="AE268" s="17"/>
      <c r="AF268" s="17"/>
      <c r="AG268" s="17"/>
      <c r="AH268" s="17"/>
      <c r="AI268" s="17"/>
      <c r="AJ268" s="17"/>
      <c r="AK268" s="17"/>
      <c r="AL268" s="17"/>
      <c r="AM268" s="17"/>
      <c r="AN268" s="17"/>
      <c r="AO268" s="17"/>
      <c r="AP268" s="17"/>
      <c r="AQ268" s="17"/>
    </row>
    <row r="269" spans="1:43" hidden="1">
      <c r="A269">
        <f t="shared" si="171"/>
        <v>266</v>
      </c>
      <c r="B269" s="487">
        <v>1</v>
      </c>
      <c r="C269" s="487" t="s">
        <v>522</v>
      </c>
      <c r="D269" s="407" t="s">
        <v>1223</v>
      </c>
      <c r="E269" s="487"/>
      <c r="F269" s="408" t="s">
        <v>1229</v>
      </c>
      <c r="G269" s="409">
        <f>2390/1.2</f>
        <v>1991.6666666666667</v>
      </c>
      <c r="H269" s="410"/>
      <c r="I269" s="409">
        <f t="shared" si="170"/>
        <v>1991.6666666666667</v>
      </c>
      <c r="J269" s="58">
        <v>20000</v>
      </c>
      <c r="K269" s="417">
        <f t="shared" si="188"/>
        <v>9.9583333333333343E-2</v>
      </c>
      <c r="L269" s="17" t="s">
        <v>1115</v>
      </c>
      <c r="M269" s="720">
        <v>44109</v>
      </c>
      <c r="N269" s="721" t="b">
        <f t="shared" si="178"/>
        <v>0</v>
      </c>
      <c r="O269" s="721" t="b">
        <f t="shared" si="179"/>
        <v>0</v>
      </c>
      <c r="P269" s="721" t="b">
        <f t="shared" si="197"/>
        <v>1</v>
      </c>
      <c r="Q269" s="721" t="b">
        <f t="shared" si="182"/>
        <v>0</v>
      </c>
      <c r="R269" s="721" t="b">
        <f t="shared" si="181"/>
        <v>0</v>
      </c>
      <c r="S269" s="721" t="b">
        <f t="shared" si="191"/>
        <v>0</v>
      </c>
      <c r="T269" s="721" t="b">
        <f t="shared" si="193"/>
        <v>0</v>
      </c>
      <c r="U269" s="721" t="b">
        <f t="shared" si="190"/>
        <v>0</v>
      </c>
      <c r="V269" s="721" t="b">
        <f t="shared" si="187"/>
        <v>0</v>
      </c>
      <c r="W269" s="721" t="b">
        <f t="shared" si="185"/>
        <v>0</v>
      </c>
      <c r="X269" s="721" t="b">
        <f t="shared" si="196"/>
        <v>0</v>
      </c>
      <c r="Y269" s="721" t="b">
        <f t="shared" si="199"/>
        <v>0</v>
      </c>
      <c r="Z269" s="721" t="b">
        <f t="shared" si="198"/>
        <v>0</v>
      </c>
      <c r="AA269" s="721" t="b">
        <f t="shared" si="195"/>
        <v>0</v>
      </c>
      <c r="AB269" s="17"/>
      <c r="AC269" s="17"/>
      <c r="AD269" s="17"/>
      <c r="AE269" s="17"/>
      <c r="AF269" s="17"/>
      <c r="AG269" s="17"/>
      <c r="AH269" s="17"/>
      <c r="AI269" s="17"/>
      <c r="AJ269" s="17"/>
      <c r="AK269" s="17"/>
      <c r="AL269" s="17"/>
      <c r="AM269" s="17"/>
      <c r="AN269" s="17"/>
      <c r="AO269" s="17"/>
      <c r="AP269" s="17"/>
      <c r="AQ269" s="17"/>
    </row>
    <row r="270" spans="1:43" hidden="1">
      <c r="A270">
        <f t="shared" si="171"/>
        <v>267</v>
      </c>
      <c r="B270" s="487">
        <v>1</v>
      </c>
      <c r="C270" s="487" t="s">
        <v>530</v>
      </c>
      <c r="D270" s="407" t="s">
        <v>531</v>
      </c>
      <c r="E270" s="487"/>
      <c r="F270" s="408" t="s">
        <v>1230</v>
      </c>
      <c r="G270" s="409">
        <f>G22+10*(G21-G22)/50</f>
        <v>1035.04</v>
      </c>
      <c r="H270" s="410"/>
      <c r="I270" s="409">
        <f t="shared" si="170"/>
        <v>1035.04</v>
      </c>
      <c r="J270" s="58">
        <v>60000</v>
      </c>
      <c r="K270" s="417">
        <f t="shared" si="188"/>
        <v>1.7250666666666668E-2</v>
      </c>
      <c r="L270" s="17" t="s">
        <v>972</v>
      </c>
      <c r="M270" s="720">
        <v>44109</v>
      </c>
      <c r="N270" s="721" t="b">
        <f t="shared" si="178"/>
        <v>0</v>
      </c>
      <c r="O270" s="721" t="b">
        <f t="shared" si="179"/>
        <v>0</v>
      </c>
      <c r="P270" s="721" t="b">
        <f t="shared" si="197"/>
        <v>1</v>
      </c>
      <c r="Q270" s="721" t="b">
        <f t="shared" si="182"/>
        <v>0</v>
      </c>
      <c r="R270" s="721" t="b">
        <f t="shared" si="181"/>
        <v>0</v>
      </c>
      <c r="S270" s="721" t="b">
        <f t="shared" si="191"/>
        <v>0</v>
      </c>
      <c r="T270" s="721" t="b">
        <f t="shared" si="193"/>
        <v>0</v>
      </c>
      <c r="U270" s="721" t="b">
        <f t="shared" si="190"/>
        <v>0</v>
      </c>
      <c r="V270" s="721" t="b">
        <f t="shared" si="187"/>
        <v>0</v>
      </c>
      <c r="W270" s="721" t="b">
        <f t="shared" si="185"/>
        <v>0</v>
      </c>
      <c r="X270" s="721" t="b">
        <f t="shared" si="196"/>
        <v>0</v>
      </c>
      <c r="Y270" s="721" t="b">
        <f t="shared" si="199"/>
        <v>0</v>
      </c>
      <c r="Z270" s="721" t="b">
        <f t="shared" si="198"/>
        <v>0</v>
      </c>
      <c r="AA270" s="721" t="b">
        <f t="shared" si="195"/>
        <v>0</v>
      </c>
      <c r="AB270" s="17"/>
      <c r="AC270" s="17"/>
      <c r="AD270" s="17"/>
      <c r="AE270" s="17"/>
      <c r="AF270" s="17"/>
      <c r="AG270" s="17"/>
      <c r="AH270" s="17"/>
      <c r="AI270" s="17"/>
      <c r="AJ270" s="17"/>
      <c r="AK270" s="17"/>
      <c r="AL270" s="17"/>
      <c r="AM270" s="17"/>
      <c r="AN270" s="17"/>
      <c r="AO270" s="17"/>
      <c r="AP270" s="17"/>
      <c r="AQ270" s="17"/>
    </row>
    <row r="271" spans="1:43" hidden="1">
      <c r="A271">
        <f t="shared" si="171"/>
        <v>268</v>
      </c>
      <c r="B271" s="487">
        <v>1</v>
      </c>
      <c r="C271" s="487" t="s">
        <v>530</v>
      </c>
      <c r="D271" s="407" t="s">
        <v>749</v>
      </c>
      <c r="E271" s="487"/>
      <c r="F271" s="408" t="s">
        <v>1231</v>
      </c>
      <c r="G271" s="409">
        <v>866.81</v>
      </c>
      <c r="H271" s="410"/>
      <c r="I271" s="409">
        <f t="shared" si="170"/>
        <v>866.81</v>
      </c>
      <c r="K271" s="17"/>
      <c r="L271" s="17" t="s">
        <v>1232</v>
      </c>
      <c r="M271" s="720">
        <v>44109</v>
      </c>
      <c r="N271" s="721" t="b">
        <f t="shared" si="178"/>
        <v>0</v>
      </c>
      <c r="O271" s="721" t="b">
        <f t="shared" si="179"/>
        <v>0</v>
      </c>
      <c r="P271" s="721" t="b">
        <f t="shared" ref="P271:P284" si="200">FALSE()</f>
        <v>0</v>
      </c>
      <c r="Q271" s="721" t="b">
        <f t="shared" ref="Q271:Q279" si="201">TRUE()</f>
        <v>1</v>
      </c>
      <c r="R271" s="721" t="b">
        <f t="shared" si="181"/>
        <v>0</v>
      </c>
      <c r="S271" s="721" t="b">
        <f t="shared" si="191"/>
        <v>0</v>
      </c>
      <c r="T271" s="721" t="b">
        <f t="shared" si="193"/>
        <v>0</v>
      </c>
      <c r="U271" s="721" t="b">
        <f t="shared" si="190"/>
        <v>0</v>
      </c>
      <c r="V271" s="721" t="b">
        <f t="shared" si="187"/>
        <v>0</v>
      </c>
      <c r="W271" s="721" t="b">
        <f t="shared" si="185"/>
        <v>0</v>
      </c>
      <c r="X271" s="721" t="b">
        <f t="shared" si="196"/>
        <v>0</v>
      </c>
      <c r="Y271" s="721" t="b">
        <f t="shared" si="199"/>
        <v>0</v>
      </c>
      <c r="Z271" s="721" t="b">
        <f t="shared" si="198"/>
        <v>0</v>
      </c>
      <c r="AA271" s="721" t="b">
        <f t="shared" si="195"/>
        <v>0</v>
      </c>
      <c r="AB271" s="17"/>
      <c r="AC271" s="17"/>
      <c r="AD271" s="17"/>
      <c r="AE271" s="17"/>
      <c r="AF271" s="17"/>
      <c r="AG271" s="17"/>
      <c r="AH271" s="17"/>
      <c r="AI271" s="17"/>
      <c r="AJ271" s="17"/>
      <c r="AK271" s="17"/>
      <c r="AL271" s="17"/>
      <c r="AM271" s="17"/>
      <c r="AN271" s="17"/>
      <c r="AO271" s="17"/>
      <c r="AP271" s="17"/>
      <c r="AQ271" s="17"/>
    </row>
    <row r="272" spans="1:43" hidden="1">
      <c r="A272">
        <f t="shared" si="171"/>
        <v>269</v>
      </c>
      <c r="B272" s="487">
        <v>1</v>
      </c>
      <c r="C272" s="487" t="s">
        <v>530</v>
      </c>
      <c r="D272" s="407" t="s">
        <v>749</v>
      </c>
      <c r="E272" s="487"/>
      <c r="F272" s="408" t="s">
        <v>1233</v>
      </c>
      <c r="G272" s="409">
        <v>473.36</v>
      </c>
      <c r="H272" s="410"/>
      <c r="I272" s="409">
        <f t="shared" si="170"/>
        <v>473.36</v>
      </c>
      <c r="K272" s="17"/>
      <c r="L272" s="17" t="s">
        <v>1232</v>
      </c>
      <c r="M272" s="720">
        <v>44109</v>
      </c>
      <c r="N272" s="721" t="b">
        <f t="shared" si="178"/>
        <v>0</v>
      </c>
      <c r="O272" s="721" t="b">
        <f t="shared" si="179"/>
        <v>0</v>
      </c>
      <c r="P272" s="721" t="b">
        <f t="shared" si="200"/>
        <v>0</v>
      </c>
      <c r="Q272" s="721" t="b">
        <f t="shared" si="201"/>
        <v>1</v>
      </c>
      <c r="R272" s="721" t="b">
        <f t="shared" si="181"/>
        <v>0</v>
      </c>
      <c r="S272" s="721" t="b">
        <f t="shared" si="191"/>
        <v>0</v>
      </c>
      <c r="T272" s="721" t="b">
        <f t="shared" si="193"/>
        <v>0</v>
      </c>
      <c r="U272" s="721" t="b">
        <f t="shared" si="190"/>
        <v>0</v>
      </c>
      <c r="V272" s="721" t="b">
        <f t="shared" si="187"/>
        <v>0</v>
      </c>
      <c r="W272" s="721" t="b">
        <f t="shared" si="185"/>
        <v>0</v>
      </c>
      <c r="X272" s="721" t="b">
        <f t="shared" si="196"/>
        <v>0</v>
      </c>
      <c r="Y272" s="721" t="b">
        <f t="shared" si="199"/>
        <v>0</v>
      </c>
      <c r="Z272" s="721" t="b">
        <f t="shared" si="198"/>
        <v>0</v>
      </c>
      <c r="AA272" s="721" t="b">
        <f t="shared" si="195"/>
        <v>0</v>
      </c>
      <c r="AB272" s="17"/>
      <c r="AC272" s="17"/>
      <c r="AD272" s="17"/>
      <c r="AE272" s="17"/>
      <c r="AF272" s="17"/>
      <c r="AG272" s="17"/>
      <c r="AH272" s="17"/>
      <c r="AI272" s="17"/>
      <c r="AJ272" s="17"/>
      <c r="AK272" s="17"/>
      <c r="AL272" s="17"/>
      <c r="AM272" s="17"/>
      <c r="AN272" s="17"/>
      <c r="AO272" s="17"/>
      <c r="AP272" s="17"/>
      <c r="AQ272" s="17"/>
    </row>
    <row r="273" spans="1:43" hidden="1">
      <c r="A273">
        <f t="shared" si="171"/>
        <v>270</v>
      </c>
      <c r="B273" s="487">
        <v>1</v>
      </c>
      <c r="C273" s="487" t="s">
        <v>530</v>
      </c>
      <c r="D273" s="407" t="s">
        <v>749</v>
      </c>
      <c r="E273" s="487"/>
      <c r="F273" s="408" t="s">
        <v>1234</v>
      </c>
      <c r="G273" s="409">
        <v>887.31</v>
      </c>
      <c r="H273" s="410"/>
      <c r="I273" s="409">
        <f t="shared" si="170"/>
        <v>887.31</v>
      </c>
      <c r="K273" s="17"/>
      <c r="L273" s="17" t="s">
        <v>1232</v>
      </c>
      <c r="M273" s="720">
        <v>44109</v>
      </c>
      <c r="N273" s="721" t="b">
        <f t="shared" si="178"/>
        <v>0</v>
      </c>
      <c r="O273" s="721" t="b">
        <f t="shared" si="179"/>
        <v>0</v>
      </c>
      <c r="P273" s="721" t="b">
        <f t="shared" si="200"/>
        <v>0</v>
      </c>
      <c r="Q273" s="721" t="b">
        <f t="shared" si="201"/>
        <v>1</v>
      </c>
      <c r="R273" s="721" t="b">
        <f t="shared" si="181"/>
        <v>0</v>
      </c>
      <c r="S273" s="721" t="b">
        <f t="shared" si="191"/>
        <v>0</v>
      </c>
      <c r="T273" s="721" t="b">
        <f t="shared" si="193"/>
        <v>0</v>
      </c>
      <c r="U273" s="721" t="b">
        <f t="shared" si="190"/>
        <v>0</v>
      </c>
      <c r="V273" s="721" t="b">
        <f t="shared" si="187"/>
        <v>0</v>
      </c>
      <c r="W273" s="721" t="b">
        <f t="shared" si="185"/>
        <v>0</v>
      </c>
      <c r="X273" s="721" t="b">
        <f t="shared" si="196"/>
        <v>0</v>
      </c>
      <c r="Y273" s="721" t="b">
        <f t="shared" si="199"/>
        <v>0</v>
      </c>
      <c r="Z273" s="721" t="b">
        <f t="shared" si="198"/>
        <v>0</v>
      </c>
      <c r="AA273" s="721" t="b">
        <f t="shared" si="195"/>
        <v>0</v>
      </c>
      <c r="AB273" s="17"/>
      <c r="AC273" s="17"/>
      <c r="AD273" s="17"/>
      <c r="AE273" s="17"/>
      <c r="AF273" s="17"/>
      <c r="AG273" s="17"/>
      <c r="AH273" s="17"/>
      <c r="AI273" s="17"/>
      <c r="AJ273" s="17"/>
      <c r="AK273" s="17"/>
      <c r="AL273" s="17"/>
      <c r="AM273" s="17"/>
      <c r="AN273" s="17"/>
      <c r="AO273" s="17"/>
      <c r="AP273" s="17"/>
      <c r="AQ273" s="17"/>
    </row>
    <row r="274" spans="1:43" hidden="1">
      <c r="A274">
        <f t="shared" si="171"/>
        <v>271</v>
      </c>
      <c r="B274" s="487">
        <v>1</v>
      </c>
      <c r="C274" s="487" t="s">
        <v>530</v>
      </c>
      <c r="D274" s="407" t="s">
        <v>749</v>
      </c>
      <c r="E274" s="487"/>
      <c r="F274" s="408" t="s">
        <v>1235</v>
      </c>
      <c r="G274" s="409">
        <v>514.35</v>
      </c>
      <c r="H274" s="410"/>
      <c r="I274" s="409">
        <f t="shared" si="170"/>
        <v>514.35</v>
      </c>
      <c r="K274" s="17"/>
      <c r="L274" s="17" t="s">
        <v>1232</v>
      </c>
      <c r="M274" s="720">
        <v>44109</v>
      </c>
      <c r="N274" s="721" t="b">
        <f t="shared" si="178"/>
        <v>0</v>
      </c>
      <c r="O274" s="721" t="b">
        <f t="shared" si="179"/>
        <v>0</v>
      </c>
      <c r="P274" s="721" t="b">
        <f t="shared" si="200"/>
        <v>0</v>
      </c>
      <c r="Q274" s="721" t="b">
        <f t="shared" si="201"/>
        <v>1</v>
      </c>
      <c r="R274" s="721" t="b">
        <f t="shared" si="181"/>
        <v>0</v>
      </c>
      <c r="S274" s="721" t="b">
        <f t="shared" si="191"/>
        <v>0</v>
      </c>
      <c r="T274" s="721" t="b">
        <f t="shared" si="193"/>
        <v>0</v>
      </c>
      <c r="U274" s="721" t="b">
        <f t="shared" si="190"/>
        <v>0</v>
      </c>
      <c r="V274" s="721" t="b">
        <f t="shared" si="187"/>
        <v>0</v>
      </c>
      <c r="W274" s="721" t="b">
        <f t="shared" si="185"/>
        <v>0</v>
      </c>
      <c r="X274" s="721" t="b">
        <f t="shared" si="196"/>
        <v>0</v>
      </c>
      <c r="Y274" s="721" t="b">
        <f t="shared" si="199"/>
        <v>0</v>
      </c>
      <c r="Z274" s="721" t="b">
        <f t="shared" si="198"/>
        <v>0</v>
      </c>
      <c r="AA274" s="721" t="b">
        <f t="shared" si="195"/>
        <v>0</v>
      </c>
      <c r="AB274" s="17"/>
      <c r="AC274" s="17"/>
      <c r="AD274" s="17"/>
      <c r="AE274" s="17"/>
      <c r="AF274" s="17"/>
      <c r="AG274" s="17"/>
      <c r="AH274" s="17"/>
      <c r="AI274" s="17"/>
      <c r="AJ274" s="17"/>
      <c r="AK274" s="17"/>
      <c r="AL274" s="17"/>
      <c r="AM274" s="17"/>
      <c r="AN274" s="17"/>
      <c r="AO274" s="17"/>
      <c r="AP274" s="17"/>
      <c r="AQ274" s="17"/>
    </row>
    <row r="275" spans="1:43" ht="44.55" hidden="1">
      <c r="A275">
        <f t="shared" si="171"/>
        <v>272</v>
      </c>
      <c r="B275" s="487">
        <v>1</v>
      </c>
      <c r="C275" s="487" t="s">
        <v>530</v>
      </c>
      <c r="D275" s="407" t="s">
        <v>749</v>
      </c>
      <c r="E275" s="487"/>
      <c r="F275" s="408" t="s">
        <v>1236</v>
      </c>
      <c r="G275" s="409">
        <v>630.32000000000005</v>
      </c>
      <c r="H275" s="410"/>
      <c r="I275" s="409">
        <f t="shared" si="170"/>
        <v>630.32000000000005</v>
      </c>
      <c r="K275" s="17"/>
      <c r="L275" s="17" t="s">
        <v>1232</v>
      </c>
      <c r="M275" s="720">
        <v>44109</v>
      </c>
      <c r="N275" s="721" t="b">
        <f t="shared" si="178"/>
        <v>0</v>
      </c>
      <c r="O275" s="721" t="b">
        <f t="shared" si="179"/>
        <v>0</v>
      </c>
      <c r="P275" s="721" t="b">
        <f t="shared" si="200"/>
        <v>0</v>
      </c>
      <c r="Q275" s="721" t="b">
        <f t="shared" si="201"/>
        <v>1</v>
      </c>
      <c r="R275" s="721" t="b">
        <f t="shared" si="181"/>
        <v>0</v>
      </c>
      <c r="S275" s="721" t="b">
        <f t="shared" si="191"/>
        <v>0</v>
      </c>
      <c r="T275" s="721" t="b">
        <f t="shared" si="193"/>
        <v>0</v>
      </c>
      <c r="U275" s="721" t="b">
        <f t="shared" si="190"/>
        <v>0</v>
      </c>
      <c r="V275" s="721" t="b">
        <f t="shared" si="187"/>
        <v>0</v>
      </c>
      <c r="W275" s="721" t="b">
        <f t="shared" si="185"/>
        <v>0</v>
      </c>
      <c r="X275" s="721" t="b">
        <f t="shared" si="196"/>
        <v>0</v>
      </c>
      <c r="Y275" s="721" t="b">
        <f t="shared" si="199"/>
        <v>0</v>
      </c>
      <c r="Z275" s="721" t="b">
        <f t="shared" si="198"/>
        <v>0</v>
      </c>
      <c r="AA275" s="721" t="b">
        <f t="shared" si="195"/>
        <v>0</v>
      </c>
      <c r="AB275" s="17"/>
      <c r="AC275" s="17"/>
      <c r="AD275" s="17"/>
      <c r="AE275" s="17"/>
      <c r="AF275" s="17"/>
      <c r="AG275" s="17"/>
      <c r="AH275" s="17"/>
      <c r="AI275" s="17"/>
      <c r="AJ275" s="17"/>
      <c r="AK275" s="17"/>
      <c r="AL275" s="17"/>
      <c r="AM275" s="17"/>
      <c r="AN275" s="17"/>
      <c r="AO275" s="17"/>
      <c r="AP275" s="17"/>
      <c r="AQ275" s="17"/>
    </row>
    <row r="276" spans="1:43" hidden="1">
      <c r="A276">
        <f t="shared" si="171"/>
        <v>273</v>
      </c>
      <c r="B276" s="487">
        <v>1</v>
      </c>
      <c r="C276" s="487" t="s">
        <v>530</v>
      </c>
      <c r="D276" s="407" t="s">
        <v>749</v>
      </c>
      <c r="E276" s="487"/>
      <c r="F276" s="408" t="s">
        <v>1237</v>
      </c>
      <c r="G276" s="409">
        <v>571.30999999999995</v>
      </c>
      <c r="H276" s="410"/>
      <c r="I276" s="409">
        <f t="shared" si="170"/>
        <v>571.30999999999995</v>
      </c>
      <c r="K276" s="17"/>
      <c r="L276" s="17" t="s">
        <v>1232</v>
      </c>
      <c r="M276" s="720">
        <v>44109</v>
      </c>
      <c r="N276" s="721" t="b">
        <f t="shared" si="178"/>
        <v>0</v>
      </c>
      <c r="O276" s="721" t="b">
        <f t="shared" si="179"/>
        <v>0</v>
      </c>
      <c r="P276" s="721" t="b">
        <f t="shared" si="200"/>
        <v>0</v>
      </c>
      <c r="Q276" s="721" t="b">
        <f t="shared" si="201"/>
        <v>1</v>
      </c>
      <c r="R276" s="721" t="b">
        <f t="shared" si="181"/>
        <v>0</v>
      </c>
      <c r="S276" s="721" t="b">
        <f t="shared" si="191"/>
        <v>0</v>
      </c>
      <c r="T276" s="721" t="b">
        <f t="shared" si="193"/>
        <v>0</v>
      </c>
      <c r="U276" s="721" t="b">
        <f t="shared" si="190"/>
        <v>0</v>
      </c>
      <c r="V276" s="721" t="b">
        <f t="shared" si="187"/>
        <v>0</v>
      </c>
      <c r="W276" s="721" t="b">
        <f t="shared" si="185"/>
        <v>0</v>
      </c>
      <c r="X276" s="721" t="b">
        <f t="shared" si="196"/>
        <v>0</v>
      </c>
      <c r="Y276" s="721" t="b">
        <f t="shared" si="199"/>
        <v>0</v>
      </c>
      <c r="Z276" s="721" t="b">
        <f t="shared" si="198"/>
        <v>0</v>
      </c>
      <c r="AA276" s="721" t="b">
        <f t="shared" si="195"/>
        <v>0</v>
      </c>
      <c r="AB276" s="17"/>
      <c r="AC276" s="17"/>
      <c r="AD276" s="17"/>
      <c r="AE276" s="17"/>
      <c r="AF276" s="17"/>
      <c r="AG276" s="17"/>
      <c r="AH276" s="17"/>
      <c r="AI276" s="17"/>
      <c r="AJ276" s="17"/>
      <c r="AK276" s="17"/>
      <c r="AL276" s="17"/>
      <c r="AM276" s="17"/>
      <c r="AN276" s="17"/>
      <c r="AO276" s="17"/>
      <c r="AP276" s="17"/>
      <c r="AQ276" s="17"/>
    </row>
    <row r="277" spans="1:43" ht="44.55" hidden="1">
      <c r="A277">
        <f t="shared" si="171"/>
        <v>274</v>
      </c>
      <c r="B277" s="487">
        <v>1</v>
      </c>
      <c r="C277" s="487" t="s">
        <v>530</v>
      </c>
      <c r="D277" s="407" t="s">
        <v>749</v>
      </c>
      <c r="E277" s="487"/>
      <c r="F277" s="408" t="s">
        <v>1238</v>
      </c>
      <c r="G277" s="409">
        <v>747.53</v>
      </c>
      <c r="H277" s="410"/>
      <c r="I277" s="409">
        <f t="shared" si="170"/>
        <v>747.53</v>
      </c>
      <c r="K277" s="17"/>
      <c r="L277" s="17" t="s">
        <v>1232</v>
      </c>
      <c r="M277" s="720">
        <v>44109</v>
      </c>
      <c r="N277" s="721" t="b">
        <f t="shared" si="178"/>
        <v>0</v>
      </c>
      <c r="O277" s="721" t="b">
        <f t="shared" si="179"/>
        <v>0</v>
      </c>
      <c r="P277" s="721" t="b">
        <f t="shared" si="200"/>
        <v>0</v>
      </c>
      <c r="Q277" s="721" t="b">
        <f t="shared" si="201"/>
        <v>1</v>
      </c>
      <c r="R277" s="721" t="b">
        <f t="shared" si="181"/>
        <v>0</v>
      </c>
      <c r="S277" s="721" t="b">
        <f t="shared" si="191"/>
        <v>0</v>
      </c>
      <c r="T277" s="721" t="b">
        <f t="shared" si="193"/>
        <v>0</v>
      </c>
      <c r="U277" s="721" t="b">
        <f t="shared" si="190"/>
        <v>0</v>
      </c>
      <c r="V277" s="721" t="b">
        <f t="shared" si="187"/>
        <v>0</v>
      </c>
      <c r="W277" s="721" t="b">
        <f t="shared" si="185"/>
        <v>0</v>
      </c>
      <c r="X277" s="721" t="b">
        <f t="shared" si="196"/>
        <v>0</v>
      </c>
      <c r="Y277" s="721" t="b">
        <f t="shared" si="199"/>
        <v>0</v>
      </c>
      <c r="Z277" s="721" t="b">
        <f t="shared" si="198"/>
        <v>0</v>
      </c>
      <c r="AA277" s="721" t="b">
        <f t="shared" si="195"/>
        <v>0</v>
      </c>
      <c r="AB277" s="17"/>
      <c r="AC277" s="17"/>
      <c r="AD277" s="17"/>
      <c r="AE277" s="17"/>
      <c r="AF277" s="17"/>
      <c r="AG277" s="17"/>
      <c r="AH277" s="17"/>
      <c r="AI277" s="17"/>
      <c r="AJ277" s="17"/>
      <c r="AK277" s="17"/>
      <c r="AL277" s="17"/>
      <c r="AM277" s="17"/>
      <c r="AN277" s="17"/>
      <c r="AO277" s="17"/>
      <c r="AP277" s="17"/>
      <c r="AQ277" s="17"/>
    </row>
    <row r="278" spans="1:43" ht="44.55" hidden="1">
      <c r="A278">
        <f t="shared" si="171"/>
        <v>275</v>
      </c>
      <c r="B278" s="487">
        <v>1</v>
      </c>
      <c r="C278" s="487" t="s">
        <v>530</v>
      </c>
      <c r="D278" s="407" t="s">
        <v>749</v>
      </c>
      <c r="E278" s="487"/>
      <c r="F278" s="408" t="s">
        <v>1239</v>
      </c>
      <c r="G278" s="409">
        <v>815.85</v>
      </c>
      <c r="H278" s="410"/>
      <c r="I278" s="409">
        <f t="shared" si="170"/>
        <v>815.85</v>
      </c>
      <c r="K278" s="17"/>
      <c r="L278" s="17" t="s">
        <v>1232</v>
      </c>
      <c r="M278" s="720">
        <v>44109</v>
      </c>
      <c r="N278" s="721" t="b">
        <f t="shared" si="178"/>
        <v>0</v>
      </c>
      <c r="O278" s="721" t="b">
        <f t="shared" si="179"/>
        <v>0</v>
      </c>
      <c r="P278" s="721" t="b">
        <f t="shared" si="200"/>
        <v>0</v>
      </c>
      <c r="Q278" s="721" t="b">
        <f t="shared" si="201"/>
        <v>1</v>
      </c>
      <c r="R278" s="721" t="b">
        <f t="shared" si="181"/>
        <v>0</v>
      </c>
      <c r="S278" s="721" t="b">
        <f t="shared" si="191"/>
        <v>0</v>
      </c>
      <c r="T278" s="721" t="b">
        <f t="shared" si="193"/>
        <v>0</v>
      </c>
      <c r="U278" s="721" t="b">
        <f t="shared" si="190"/>
        <v>0</v>
      </c>
      <c r="V278" s="721" t="b">
        <f t="shared" si="187"/>
        <v>0</v>
      </c>
      <c r="W278" s="721" t="b">
        <f t="shared" si="185"/>
        <v>0</v>
      </c>
      <c r="X278" s="721" t="b">
        <f t="shared" si="196"/>
        <v>0</v>
      </c>
      <c r="Y278" s="721" t="b">
        <f t="shared" si="199"/>
        <v>0</v>
      </c>
      <c r="Z278" s="721" t="b">
        <f t="shared" si="198"/>
        <v>0</v>
      </c>
      <c r="AA278" s="721" t="b">
        <f t="shared" si="195"/>
        <v>0</v>
      </c>
      <c r="AB278" s="17"/>
      <c r="AC278" s="17"/>
      <c r="AD278" s="17"/>
      <c r="AE278" s="17"/>
      <c r="AF278" s="17"/>
      <c r="AG278" s="17"/>
      <c r="AH278" s="17"/>
      <c r="AI278" s="17"/>
      <c r="AJ278" s="17"/>
      <c r="AK278" s="17"/>
      <c r="AL278" s="17"/>
      <c r="AM278" s="17"/>
      <c r="AN278" s="17"/>
      <c r="AO278" s="17"/>
      <c r="AP278" s="17"/>
      <c r="AQ278" s="17"/>
    </row>
    <row r="279" spans="1:43" ht="22.25" hidden="1">
      <c r="A279">
        <f t="shared" si="171"/>
        <v>276</v>
      </c>
      <c r="B279" s="487">
        <v>1</v>
      </c>
      <c r="C279" s="487" t="s">
        <v>530</v>
      </c>
      <c r="D279" s="487" t="s">
        <v>749</v>
      </c>
      <c r="E279" s="407"/>
      <c r="F279" s="408" t="s">
        <v>1240</v>
      </c>
      <c r="G279" s="409">
        <v>708.72</v>
      </c>
      <c r="H279" s="410"/>
      <c r="I279" s="430">
        <f t="shared" si="170"/>
        <v>708.72</v>
      </c>
      <c r="K279" s="17"/>
      <c r="L279" s="17" t="s">
        <v>1232</v>
      </c>
      <c r="M279" s="720">
        <v>44109</v>
      </c>
      <c r="N279" s="721" t="b">
        <f t="shared" si="178"/>
        <v>0</v>
      </c>
      <c r="O279" s="721" t="b">
        <f t="shared" si="179"/>
        <v>0</v>
      </c>
      <c r="P279" s="721" t="b">
        <f t="shared" si="200"/>
        <v>0</v>
      </c>
      <c r="Q279" s="721" t="b">
        <f t="shared" si="201"/>
        <v>1</v>
      </c>
      <c r="R279" s="721" t="b">
        <f t="shared" si="181"/>
        <v>0</v>
      </c>
      <c r="S279" s="721" t="b">
        <f t="shared" si="191"/>
        <v>0</v>
      </c>
      <c r="T279" s="721" t="b">
        <f t="shared" si="193"/>
        <v>0</v>
      </c>
      <c r="U279" s="721" t="b">
        <f t="shared" si="190"/>
        <v>0</v>
      </c>
      <c r="V279" s="721" t="b">
        <f t="shared" si="187"/>
        <v>0</v>
      </c>
      <c r="W279" s="721" t="b">
        <f t="shared" si="185"/>
        <v>0</v>
      </c>
      <c r="X279" s="721" t="b">
        <f t="shared" si="196"/>
        <v>0</v>
      </c>
      <c r="Y279" s="721" t="b">
        <f t="shared" si="199"/>
        <v>0</v>
      </c>
      <c r="Z279" s="721" t="b">
        <f t="shared" si="198"/>
        <v>0</v>
      </c>
      <c r="AA279" s="721" t="b">
        <f t="shared" si="195"/>
        <v>0</v>
      </c>
      <c r="AB279" s="17"/>
      <c r="AC279" s="17"/>
      <c r="AD279" s="17"/>
      <c r="AE279" s="17"/>
      <c r="AF279" s="17"/>
      <c r="AG279" s="17"/>
      <c r="AH279" s="17"/>
      <c r="AI279" s="17"/>
      <c r="AJ279" s="17"/>
      <c r="AK279" s="17"/>
      <c r="AL279" s="17"/>
      <c r="AM279" s="17"/>
      <c r="AN279" s="17"/>
      <c r="AO279" s="17"/>
      <c r="AP279" s="17"/>
      <c r="AQ279" s="17"/>
    </row>
    <row r="280" spans="1:43" hidden="1">
      <c r="A280">
        <f t="shared" si="171"/>
        <v>277</v>
      </c>
      <c r="B280" s="487">
        <v>1</v>
      </c>
      <c r="C280" s="487" t="s">
        <v>522</v>
      </c>
      <c r="D280" s="487" t="s">
        <v>531</v>
      </c>
      <c r="E280" s="407"/>
      <c r="F280" s="408" t="s">
        <v>1241</v>
      </c>
      <c r="G280" s="409">
        <v>2000</v>
      </c>
      <c r="H280" s="410"/>
      <c r="I280" s="430">
        <f t="shared" si="170"/>
        <v>2000</v>
      </c>
      <c r="J280" s="58">
        <f>4*27000+15000</f>
        <v>123000</v>
      </c>
      <c r="K280" s="17"/>
      <c r="L280" s="17" t="s">
        <v>972</v>
      </c>
      <c r="M280" s="720">
        <v>44110</v>
      </c>
      <c r="N280" s="721" t="b">
        <f t="shared" si="178"/>
        <v>0</v>
      </c>
      <c r="O280" s="721" t="b">
        <f t="shared" si="179"/>
        <v>0</v>
      </c>
      <c r="P280" s="721" t="b">
        <f t="shared" si="200"/>
        <v>0</v>
      </c>
      <c r="Q280" s="721" t="b">
        <f t="shared" ref="Q280:Q320" si="202">FALSE()</f>
        <v>0</v>
      </c>
      <c r="R280" s="721" t="b">
        <f>TRUE()</f>
        <v>1</v>
      </c>
      <c r="S280" s="721" t="b">
        <f t="shared" si="191"/>
        <v>0</v>
      </c>
      <c r="T280" s="721" t="b">
        <f t="shared" si="193"/>
        <v>0</v>
      </c>
      <c r="U280" s="721" t="b">
        <f t="shared" si="190"/>
        <v>0</v>
      </c>
      <c r="V280" s="721" t="b">
        <f t="shared" si="187"/>
        <v>0</v>
      </c>
      <c r="W280" s="721" t="b">
        <f t="shared" si="185"/>
        <v>0</v>
      </c>
      <c r="X280" s="721" t="b">
        <f t="shared" si="196"/>
        <v>0</v>
      </c>
      <c r="Y280" s="721" t="b">
        <f t="shared" si="199"/>
        <v>0</v>
      </c>
      <c r="Z280" s="721" t="b">
        <f t="shared" si="198"/>
        <v>0</v>
      </c>
      <c r="AA280" s="721" t="b">
        <f t="shared" si="195"/>
        <v>0</v>
      </c>
      <c r="AB280" s="17"/>
      <c r="AC280" s="17"/>
      <c r="AD280" s="17"/>
      <c r="AE280" s="17"/>
      <c r="AF280" s="17"/>
      <c r="AG280" s="17"/>
      <c r="AH280" s="17"/>
      <c r="AI280" s="17"/>
      <c r="AJ280" s="17"/>
      <c r="AK280" s="17"/>
      <c r="AL280" s="17"/>
      <c r="AM280" s="17"/>
      <c r="AN280" s="17"/>
      <c r="AO280" s="17"/>
      <c r="AP280" s="17"/>
      <c r="AQ280" s="17"/>
    </row>
    <row r="281" spans="1:43" hidden="1">
      <c r="A281">
        <f t="shared" si="171"/>
        <v>278</v>
      </c>
      <c r="B281" s="487">
        <v>1</v>
      </c>
      <c r="C281" s="487" t="s">
        <v>539</v>
      </c>
      <c r="D281" s="487"/>
      <c r="E281" s="407"/>
      <c r="F281" s="408" t="s">
        <v>1242</v>
      </c>
      <c r="G281" s="409"/>
      <c r="H281" s="410"/>
      <c r="I281" s="430"/>
      <c r="K281" s="17"/>
      <c r="L281" s="17" t="s">
        <v>1243</v>
      </c>
      <c r="M281" s="17"/>
      <c r="N281" s="721" t="b">
        <f t="shared" si="178"/>
        <v>0</v>
      </c>
      <c r="O281" s="721" t="b">
        <f t="shared" si="179"/>
        <v>0</v>
      </c>
      <c r="P281" s="721" t="b">
        <f t="shared" si="200"/>
        <v>0</v>
      </c>
      <c r="Q281" s="721" t="b">
        <f t="shared" si="202"/>
        <v>0</v>
      </c>
      <c r="R281" s="721" t="b">
        <f t="shared" ref="R281:R288" si="203">FALSE()</f>
        <v>0</v>
      </c>
      <c r="S281" s="721" t="b">
        <f t="shared" si="191"/>
        <v>0</v>
      </c>
      <c r="T281" s="721" t="b">
        <f t="shared" si="193"/>
        <v>0</v>
      </c>
      <c r="U281" s="721" t="b">
        <f t="shared" si="190"/>
        <v>0</v>
      </c>
      <c r="V281" s="721" t="b">
        <f t="shared" si="187"/>
        <v>0</v>
      </c>
      <c r="W281" s="721" t="b">
        <f t="shared" ref="W281:W284" si="204">TRUE()</f>
        <v>1</v>
      </c>
      <c r="X281" s="721" t="b">
        <f t="shared" si="196"/>
        <v>0</v>
      </c>
      <c r="Y281" s="721" t="b">
        <f t="shared" si="199"/>
        <v>0</v>
      </c>
      <c r="Z281" s="721" t="b">
        <f t="shared" si="198"/>
        <v>0</v>
      </c>
      <c r="AA281" s="721" t="b">
        <f t="shared" si="195"/>
        <v>0</v>
      </c>
      <c r="AB281" s="17"/>
      <c r="AC281" s="17"/>
      <c r="AD281" s="17"/>
      <c r="AE281" s="17"/>
      <c r="AF281" s="17"/>
      <c r="AG281" s="17"/>
      <c r="AH281" s="17"/>
      <c r="AI281" s="17"/>
      <c r="AJ281" s="17"/>
      <c r="AK281" s="17"/>
      <c r="AL281" s="17"/>
      <c r="AM281" s="17"/>
      <c r="AN281" s="17"/>
      <c r="AO281" s="17"/>
      <c r="AP281" s="17"/>
      <c r="AQ281" s="17"/>
    </row>
    <row r="282" spans="1:43" ht="100.15" hidden="1">
      <c r="A282">
        <f t="shared" si="171"/>
        <v>279</v>
      </c>
      <c r="B282" s="487">
        <v>1</v>
      </c>
      <c r="C282" s="487" t="s">
        <v>539</v>
      </c>
      <c r="D282" s="487"/>
      <c r="E282" s="407"/>
      <c r="F282" s="408" t="s">
        <v>1244</v>
      </c>
      <c r="G282" s="409"/>
      <c r="H282" s="410"/>
      <c r="I282" s="430"/>
      <c r="K282" s="17"/>
      <c r="L282" s="17" t="s">
        <v>1243</v>
      </c>
      <c r="M282" s="17"/>
      <c r="N282" s="721" t="b">
        <f t="shared" si="178"/>
        <v>0</v>
      </c>
      <c r="O282" s="721" t="b">
        <f t="shared" si="179"/>
        <v>0</v>
      </c>
      <c r="P282" s="721" t="b">
        <f t="shared" si="200"/>
        <v>0</v>
      </c>
      <c r="Q282" s="721" t="b">
        <f t="shared" si="202"/>
        <v>0</v>
      </c>
      <c r="R282" s="721" t="b">
        <f t="shared" si="203"/>
        <v>0</v>
      </c>
      <c r="S282" s="721" t="b">
        <f t="shared" si="191"/>
        <v>0</v>
      </c>
      <c r="T282" s="721" t="b">
        <f t="shared" si="193"/>
        <v>0</v>
      </c>
      <c r="U282" s="721" t="b">
        <f t="shared" si="190"/>
        <v>0</v>
      </c>
      <c r="V282" s="721" t="b">
        <f t="shared" si="187"/>
        <v>0</v>
      </c>
      <c r="W282" s="721" t="b">
        <f t="shared" si="204"/>
        <v>1</v>
      </c>
      <c r="X282" s="721" t="b">
        <f t="shared" si="196"/>
        <v>0</v>
      </c>
      <c r="Y282" s="721" t="b">
        <f t="shared" si="199"/>
        <v>0</v>
      </c>
      <c r="Z282" s="721" t="b">
        <f t="shared" si="198"/>
        <v>0</v>
      </c>
      <c r="AA282" s="721" t="b">
        <f t="shared" si="195"/>
        <v>0</v>
      </c>
      <c r="AB282" s="17"/>
      <c r="AC282" s="17"/>
      <c r="AD282" s="17"/>
      <c r="AE282" s="17"/>
      <c r="AF282" s="17"/>
      <c r="AG282" s="17"/>
      <c r="AH282" s="17"/>
      <c r="AI282" s="17"/>
      <c r="AJ282" s="17"/>
      <c r="AK282" s="17"/>
      <c r="AL282" s="17"/>
      <c r="AM282" s="17"/>
      <c r="AN282" s="17"/>
      <c r="AO282" s="17"/>
      <c r="AP282" s="17"/>
      <c r="AQ282" s="17"/>
    </row>
    <row r="283" spans="1:43" hidden="1">
      <c r="A283">
        <f t="shared" si="171"/>
        <v>280</v>
      </c>
      <c r="B283" s="487">
        <v>1</v>
      </c>
      <c r="C283" s="487" t="s">
        <v>539</v>
      </c>
      <c r="D283" s="487"/>
      <c r="E283" s="407"/>
      <c r="F283" s="408" t="s">
        <v>1245</v>
      </c>
      <c r="G283" s="409"/>
      <c r="H283" s="410"/>
      <c r="I283" s="430"/>
      <c r="K283" s="17"/>
      <c r="L283" s="17" t="s">
        <v>1243</v>
      </c>
      <c r="M283" s="17"/>
      <c r="N283" s="721" t="b">
        <f t="shared" si="178"/>
        <v>0</v>
      </c>
      <c r="O283" s="721" t="b">
        <f t="shared" si="179"/>
        <v>0</v>
      </c>
      <c r="P283" s="721" t="b">
        <f t="shared" si="200"/>
        <v>0</v>
      </c>
      <c r="Q283" s="721" t="b">
        <f t="shared" si="202"/>
        <v>0</v>
      </c>
      <c r="R283" s="721" t="b">
        <f t="shared" si="203"/>
        <v>0</v>
      </c>
      <c r="S283" s="721" t="b">
        <f t="shared" si="191"/>
        <v>0</v>
      </c>
      <c r="T283" s="721" t="b">
        <f t="shared" si="193"/>
        <v>0</v>
      </c>
      <c r="U283" s="721" t="b">
        <f t="shared" si="190"/>
        <v>0</v>
      </c>
      <c r="V283" s="721" t="b">
        <f t="shared" si="187"/>
        <v>0</v>
      </c>
      <c r="W283" s="721" t="b">
        <f t="shared" si="204"/>
        <v>1</v>
      </c>
      <c r="X283" s="721" t="b">
        <f t="shared" si="196"/>
        <v>0</v>
      </c>
      <c r="Y283" s="721" t="b">
        <f t="shared" si="199"/>
        <v>0</v>
      </c>
      <c r="Z283" s="721" t="b">
        <f t="shared" si="198"/>
        <v>0</v>
      </c>
      <c r="AA283" s="721" t="b">
        <f t="shared" si="195"/>
        <v>0</v>
      </c>
      <c r="AB283" s="17"/>
      <c r="AC283" s="17"/>
      <c r="AD283" s="17"/>
      <c r="AE283" s="17"/>
      <c r="AF283" s="17"/>
      <c r="AG283" s="17"/>
      <c r="AH283" s="17"/>
      <c r="AI283" s="17"/>
      <c r="AJ283" s="17"/>
      <c r="AK283" s="17"/>
      <c r="AL283" s="17"/>
      <c r="AM283" s="17"/>
      <c r="AN283" s="17"/>
      <c r="AO283" s="17"/>
      <c r="AP283" s="17"/>
      <c r="AQ283" s="17"/>
    </row>
    <row r="284" spans="1:43" hidden="1">
      <c r="A284">
        <f t="shared" si="171"/>
        <v>281</v>
      </c>
      <c r="B284" s="487">
        <v>1</v>
      </c>
      <c r="C284" s="487" t="s">
        <v>539</v>
      </c>
      <c r="D284" s="487" t="s">
        <v>552</v>
      </c>
      <c r="E284" s="407"/>
      <c r="F284" s="408" t="s">
        <v>568</v>
      </c>
      <c r="G284" s="409">
        <v>13.69</v>
      </c>
      <c r="H284" s="410"/>
      <c r="I284" s="430"/>
      <c r="K284" s="17"/>
      <c r="L284" s="17" t="s">
        <v>1061</v>
      </c>
      <c r="M284" s="720">
        <v>44110</v>
      </c>
      <c r="N284" s="721" t="b">
        <f t="shared" si="178"/>
        <v>0</v>
      </c>
      <c r="O284" s="721" t="b">
        <f t="shared" si="179"/>
        <v>0</v>
      </c>
      <c r="P284" s="721" t="b">
        <f t="shared" si="200"/>
        <v>0</v>
      </c>
      <c r="Q284" s="721" t="b">
        <f t="shared" si="202"/>
        <v>0</v>
      </c>
      <c r="R284" s="721" t="b">
        <f t="shared" si="203"/>
        <v>0</v>
      </c>
      <c r="S284" s="721" t="b">
        <f t="shared" si="191"/>
        <v>0</v>
      </c>
      <c r="T284" s="721" t="b">
        <f t="shared" si="193"/>
        <v>0</v>
      </c>
      <c r="U284" s="721" t="b">
        <f t="shared" si="190"/>
        <v>0</v>
      </c>
      <c r="V284" s="721" t="b">
        <f t="shared" si="187"/>
        <v>0</v>
      </c>
      <c r="W284" s="721" t="b">
        <f t="shared" si="204"/>
        <v>1</v>
      </c>
      <c r="X284" s="721" t="b">
        <f t="shared" si="196"/>
        <v>0</v>
      </c>
      <c r="Y284" s="721" t="b">
        <f t="shared" si="199"/>
        <v>0</v>
      </c>
      <c r="Z284" s="721" t="b">
        <f t="shared" si="198"/>
        <v>0</v>
      </c>
      <c r="AA284" s="721" t="b">
        <f t="shared" si="195"/>
        <v>0</v>
      </c>
      <c r="AB284" s="17"/>
      <c r="AC284" s="17"/>
      <c r="AD284" s="17"/>
      <c r="AE284" s="17"/>
      <c r="AF284" s="17"/>
      <c r="AG284" s="17"/>
      <c r="AH284" s="17"/>
      <c r="AI284" s="17"/>
      <c r="AJ284" s="17"/>
      <c r="AK284" s="17"/>
      <c r="AL284" s="17"/>
      <c r="AM284" s="17"/>
      <c r="AN284" s="17"/>
      <c r="AO284" s="17"/>
      <c r="AP284" s="17"/>
      <c r="AQ284" s="17"/>
    </row>
    <row r="285" spans="1:43" hidden="1">
      <c r="A285">
        <f t="shared" si="171"/>
        <v>282</v>
      </c>
      <c r="B285" s="407">
        <v>1</v>
      </c>
      <c r="C285" s="407" t="s">
        <v>505</v>
      </c>
      <c r="D285" s="407" t="s">
        <v>531</v>
      </c>
      <c r="E285" s="407"/>
      <c r="F285" s="408" t="s">
        <v>1246</v>
      </c>
      <c r="G285" s="409">
        <v>1650</v>
      </c>
      <c r="H285" s="410"/>
      <c r="I285" s="409">
        <f t="shared" si="170"/>
        <v>1650</v>
      </c>
      <c r="J285" s="58">
        <v>12500</v>
      </c>
      <c r="K285" s="417">
        <f t="shared" si="188"/>
        <v>0.13200000000000001</v>
      </c>
      <c r="L285" s="17" t="s">
        <v>972</v>
      </c>
      <c r="M285" s="720">
        <v>44168</v>
      </c>
      <c r="N285" s="721" t="b">
        <f t="shared" si="178"/>
        <v>0</v>
      </c>
      <c r="O285" s="721" t="b">
        <f t="shared" si="179"/>
        <v>0</v>
      </c>
      <c r="P285" s="721" t="b">
        <f>TRUE()</f>
        <v>1</v>
      </c>
      <c r="Q285" s="721" t="b">
        <f t="shared" si="202"/>
        <v>0</v>
      </c>
      <c r="R285" s="721" t="b">
        <f t="shared" si="203"/>
        <v>0</v>
      </c>
      <c r="S285" s="721" t="b">
        <f t="shared" si="191"/>
        <v>0</v>
      </c>
      <c r="T285" s="721" t="b">
        <f t="shared" si="193"/>
        <v>0</v>
      </c>
      <c r="U285" s="721" t="b">
        <f t="shared" si="190"/>
        <v>0</v>
      </c>
      <c r="V285" s="721" t="b">
        <f t="shared" si="187"/>
        <v>0</v>
      </c>
      <c r="W285" s="721" t="b">
        <f t="shared" ref="W285:W289" si="205">FALSE()</f>
        <v>0</v>
      </c>
      <c r="X285" s="721" t="b">
        <f t="shared" si="196"/>
        <v>0</v>
      </c>
      <c r="Y285" s="721" t="b">
        <f t="shared" si="199"/>
        <v>0</v>
      </c>
      <c r="Z285" s="721" t="b">
        <f t="shared" si="198"/>
        <v>0</v>
      </c>
      <c r="AA285" s="721" t="b">
        <f t="shared" si="195"/>
        <v>0</v>
      </c>
      <c r="AB285" s="17"/>
      <c r="AC285" s="17"/>
      <c r="AD285" s="17"/>
      <c r="AE285" s="17"/>
      <c r="AF285" s="17"/>
      <c r="AG285" s="17"/>
      <c r="AH285" s="17"/>
      <c r="AI285" s="17"/>
      <c r="AJ285" s="17"/>
      <c r="AK285" s="17"/>
      <c r="AL285" s="17"/>
      <c r="AM285" s="17"/>
      <c r="AN285" s="17"/>
      <c r="AO285" s="17"/>
      <c r="AP285" s="17"/>
      <c r="AQ285" s="17"/>
    </row>
    <row r="286" spans="1:43" hidden="1">
      <c r="A286">
        <f t="shared" si="171"/>
        <v>283</v>
      </c>
      <c r="B286" s="407">
        <v>1</v>
      </c>
      <c r="C286" s="407" t="s">
        <v>505</v>
      </c>
      <c r="D286" s="407" t="s">
        <v>792</v>
      </c>
      <c r="E286" s="407" t="s">
        <v>793</v>
      </c>
      <c r="F286" s="408" t="s">
        <v>794</v>
      </c>
      <c r="G286" s="409">
        <v>2000</v>
      </c>
      <c r="H286" s="410"/>
      <c r="I286" s="409">
        <f t="shared" si="170"/>
        <v>2000</v>
      </c>
      <c r="K286" s="417"/>
      <c r="L286" s="17" t="s">
        <v>1247</v>
      </c>
      <c r="M286" s="720">
        <v>44159</v>
      </c>
      <c r="N286" s="721" t="b">
        <f t="shared" si="178"/>
        <v>0</v>
      </c>
      <c r="O286" s="721" t="b">
        <f t="shared" si="179"/>
        <v>0</v>
      </c>
      <c r="P286" s="721" t="b">
        <f t="shared" ref="P286:P292" si="206">FALSE()</f>
        <v>0</v>
      </c>
      <c r="Q286" s="721" t="b">
        <f t="shared" si="202"/>
        <v>0</v>
      </c>
      <c r="R286" s="721" t="b">
        <f t="shared" si="203"/>
        <v>0</v>
      </c>
      <c r="S286" s="721" t="b">
        <f t="shared" si="191"/>
        <v>0</v>
      </c>
      <c r="T286" s="721" t="b">
        <f t="shared" si="193"/>
        <v>0</v>
      </c>
      <c r="U286" s="721" t="b">
        <f t="shared" si="190"/>
        <v>0</v>
      </c>
      <c r="V286" s="721" t="b">
        <f t="shared" si="187"/>
        <v>0</v>
      </c>
      <c r="W286" s="721" t="b">
        <f t="shared" si="205"/>
        <v>0</v>
      </c>
      <c r="X286" s="721" t="b">
        <f t="shared" si="196"/>
        <v>0</v>
      </c>
      <c r="Y286" s="721" t="b">
        <f t="shared" si="199"/>
        <v>0</v>
      </c>
      <c r="Z286" s="721" t="b">
        <f t="shared" ref="Z286:Z287" si="207">TRUE()</f>
        <v>1</v>
      </c>
      <c r="AA286" s="721" t="b">
        <f t="shared" si="195"/>
        <v>0</v>
      </c>
      <c r="AB286" s="17"/>
      <c r="AC286" s="17"/>
      <c r="AD286" s="17"/>
      <c r="AE286" s="17"/>
      <c r="AF286" s="17"/>
      <c r="AG286" s="17"/>
      <c r="AH286" s="17"/>
      <c r="AI286" s="17"/>
      <c r="AJ286" s="17"/>
      <c r="AK286" s="17"/>
      <c r="AL286" s="17"/>
      <c r="AM286" s="17"/>
      <c r="AN286" s="17"/>
      <c r="AO286" s="17"/>
      <c r="AP286" s="17"/>
      <c r="AQ286" s="17"/>
    </row>
    <row r="287" spans="1:43" hidden="1">
      <c r="A287">
        <f t="shared" si="171"/>
        <v>284</v>
      </c>
      <c r="B287" s="407">
        <v>1</v>
      </c>
      <c r="C287" s="407" t="s">
        <v>505</v>
      </c>
      <c r="D287" s="407" t="s">
        <v>792</v>
      </c>
      <c r="E287" s="407" t="s">
        <v>1248</v>
      </c>
      <c r="F287" s="408" t="s">
        <v>1249</v>
      </c>
      <c r="G287" s="409">
        <v>2600</v>
      </c>
      <c r="H287" s="410"/>
      <c r="I287" s="409">
        <f t="shared" si="170"/>
        <v>2600</v>
      </c>
      <c r="K287" s="417"/>
      <c r="L287" s="17" t="s">
        <v>1247</v>
      </c>
      <c r="M287" s="720">
        <v>44159</v>
      </c>
      <c r="N287" s="721" t="b">
        <f t="shared" si="178"/>
        <v>0</v>
      </c>
      <c r="O287" s="721" t="b">
        <f t="shared" si="179"/>
        <v>0</v>
      </c>
      <c r="P287" s="721" t="b">
        <f t="shared" si="206"/>
        <v>0</v>
      </c>
      <c r="Q287" s="721" t="b">
        <f t="shared" si="202"/>
        <v>0</v>
      </c>
      <c r="R287" s="721" t="b">
        <f t="shared" si="203"/>
        <v>0</v>
      </c>
      <c r="S287" s="721" t="b">
        <f t="shared" si="191"/>
        <v>0</v>
      </c>
      <c r="T287" s="721" t="b">
        <f t="shared" si="193"/>
        <v>0</v>
      </c>
      <c r="U287" s="721" t="b">
        <f t="shared" si="190"/>
        <v>0</v>
      </c>
      <c r="V287" s="721" t="b">
        <f t="shared" si="187"/>
        <v>0</v>
      </c>
      <c r="W287" s="721" t="b">
        <f t="shared" si="205"/>
        <v>0</v>
      </c>
      <c r="X287" s="721" t="b">
        <f t="shared" si="196"/>
        <v>0</v>
      </c>
      <c r="Y287" s="721" t="b">
        <f t="shared" si="199"/>
        <v>0</v>
      </c>
      <c r="Z287" s="721" t="b">
        <f t="shared" si="207"/>
        <v>1</v>
      </c>
      <c r="AA287" s="721" t="b">
        <f t="shared" si="195"/>
        <v>0</v>
      </c>
      <c r="AB287" s="17"/>
      <c r="AC287" s="17"/>
      <c r="AD287" s="17"/>
      <c r="AE287" s="17"/>
      <c r="AF287" s="17"/>
      <c r="AG287" s="17"/>
      <c r="AH287" s="17"/>
      <c r="AI287" s="17"/>
      <c r="AJ287" s="17"/>
      <c r="AK287" s="17"/>
      <c r="AL287" s="17"/>
      <c r="AM287" s="17"/>
      <c r="AN287" s="17"/>
      <c r="AO287" s="17"/>
      <c r="AP287" s="17"/>
      <c r="AQ287" s="17"/>
    </row>
    <row r="288" spans="1:43" hidden="1">
      <c r="A288">
        <f t="shared" si="171"/>
        <v>285</v>
      </c>
      <c r="B288" s="407">
        <v>1</v>
      </c>
      <c r="C288" s="407" t="s">
        <v>505</v>
      </c>
      <c r="D288" s="407" t="s">
        <v>1250</v>
      </c>
      <c r="E288" s="407"/>
      <c r="F288" s="408" t="s">
        <v>1251</v>
      </c>
      <c r="G288" s="409">
        <v>110</v>
      </c>
      <c r="H288" s="410"/>
      <c r="I288" s="409">
        <f t="shared" si="170"/>
        <v>110</v>
      </c>
      <c r="J288" s="58">
        <v>375</v>
      </c>
      <c r="K288" s="417">
        <f t="shared" si="188"/>
        <v>0.29333333333333333</v>
      </c>
      <c r="L288" s="17" t="s">
        <v>966</v>
      </c>
      <c r="M288" s="720">
        <v>44228</v>
      </c>
      <c r="N288" s="721" t="b">
        <f>TRUE()</f>
        <v>1</v>
      </c>
      <c r="O288" s="721" t="b">
        <f t="shared" si="179"/>
        <v>0</v>
      </c>
      <c r="P288" s="721" t="b">
        <f t="shared" si="206"/>
        <v>0</v>
      </c>
      <c r="Q288" s="721" t="b">
        <f t="shared" si="202"/>
        <v>0</v>
      </c>
      <c r="R288" s="721" t="b">
        <f t="shared" si="203"/>
        <v>0</v>
      </c>
      <c r="S288" s="721" t="b">
        <f t="shared" si="191"/>
        <v>0</v>
      </c>
      <c r="T288" s="721" t="b">
        <f t="shared" si="193"/>
        <v>0</v>
      </c>
      <c r="U288" s="721" t="b">
        <f t="shared" si="190"/>
        <v>0</v>
      </c>
      <c r="V288" s="721" t="b">
        <f t="shared" si="187"/>
        <v>0</v>
      </c>
      <c r="W288" s="721" t="b">
        <f t="shared" si="205"/>
        <v>0</v>
      </c>
      <c r="X288" s="721" t="b">
        <f t="shared" si="196"/>
        <v>0</v>
      </c>
      <c r="Y288" s="721" t="b">
        <f t="shared" si="199"/>
        <v>0</v>
      </c>
      <c r="Z288" s="721" t="b">
        <f t="shared" ref="Z288:Z290" si="208">FALSE()</f>
        <v>0</v>
      </c>
      <c r="AA288" s="721" t="b">
        <f t="shared" si="195"/>
        <v>0</v>
      </c>
      <c r="AB288" s="17"/>
      <c r="AC288" s="17"/>
      <c r="AD288" s="17"/>
      <c r="AE288" s="17"/>
      <c r="AF288" s="17"/>
      <c r="AG288" s="17"/>
      <c r="AH288" s="17"/>
      <c r="AI288" s="17"/>
      <c r="AJ288" s="17"/>
      <c r="AK288" s="17"/>
      <c r="AL288" s="17"/>
      <c r="AM288" s="17"/>
      <c r="AN288" s="17"/>
      <c r="AO288" s="17"/>
      <c r="AP288" s="17"/>
      <c r="AQ288" s="17"/>
    </row>
    <row r="289" spans="1:43" ht="66.8" hidden="1">
      <c r="A289">
        <f t="shared" si="171"/>
        <v>286</v>
      </c>
      <c r="B289" s="487">
        <v>1</v>
      </c>
      <c r="C289" s="487" t="s">
        <v>522</v>
      </c>
      <c r="D289" s="487" t="s">
        <v>531</v>
      </c>
      <c r="E289" s="487" t="s">
        <v>829</v>
      </c>
      <c r="F289" s="492" t="s">
        <v>1252</v>
      </c>
      <c r="G289" s="430">
        <f>635.23+100+100</f>
        <v>835.23</v>
      </c>
      <c r="H289" s="428"/>
      <c r="I289" s="430">
        <f t="shared" si="170"/>
        <v>835.23</v>
      </c>
      <c r="J289" s="58">
        <v>54000</v>
      </c>
      <c r="K289" s="417">
        <f t="shared" si="188"/>
        <v>1.5467222222222222E-2</v>
      </c>
      <c r="L289" s="17" t="s">
        <v>966</v>
      </c>
      <c r="M289" s="720">
        <v>43363</v>
      </c>
      <c r="N289" s="721" t="b">
        <f t="shared" ref="N289:N336" si="209">FALSE()</f>
        <v>0</v>
      </c>
      <c r="O289" s="721" t="b">
        <f t="shared" si="179"/>
        <v>0</v>
      </c>
      <c r="P289" s="721" t="b">
        <f t="shared" si="206"/>
        <v>0</v>
      </c>
      <c r="Q289" s="721" t="b">
        <f t="shared" si="202"/>
        <v>0</v>
      </c>
      <c r="R289" s="721" t="b">
        <f>TRUE()</f>
        <v>1</v>
      </c>
      <c r="S289" s="721" t="b">
        <f t="shared" si="191"/>
        <v>0</v>
      </c>
      <c r="T289" s="721" t="b">
        <f t="shared" si="193"/>
        <v>0</v>
      </c>
      <c r="U289" s="721" t="b">
        <f t="shared" si="190"/>
        <v>0</v>
      </c>
      <c r="V289" s="721" t="b">
        <f t="shared" si="187"/>
        <v>0</v>
      </c>
      <c r="W289" s="721" t="b">
        <f t="shared" si="205"/>
        <v>0</v>
      </c>
      <c r="X289" s="721" t="b">
        <f t="shared" si="196"/>
        <v>0</v>
      </c>
      <c r="Y289" s="721" t="b">
        <f t="shared" si="199"/>
        <v>0</v>
      </c>
      <c r="Z289" s="721" t="b">
        <f t="shared" si="208"/>
        <v>0</v>
      </c>
      <c r="AA289" s="721" t="b">
        <f t="shared" si="195"/>
        <v>0</v>
      </c>
      <c r="AB289" s="17"/>
      <c r="AC289" s="17"/>
      <c r="AD289" s="17"/>
      <c r="AE289" s="17"/>
      <c r="AF289" s="17"/>
      <c r="AG289" s="17"/>
      <c r="AH289" s="17"/>
      <c r="AI289" s="17"/>
      <c r="AJ289" s="17"/>
      <c r="AK289" s="17"/>
      <c r="AL289" s="17"/>
      <c r="AM289" s="17"/>
      <c r="AN289" s="17"/>
      <c r="AO289" s="17"/>
      <c r="AP289" s="17"/>
      <c r="AQ289" s="17"/>
    </row>
    <row r="290" spans="1:43" hidden="1">
      <c r="A290">
        <f t="shared" si="171"/>
        <v>287</v>
      </c>
      <c r="B290" s="487">
        <v>1</v>
      </c>
      <c r="C290" s="487" t="s">
        <v>539</v>
      </c>
      <c r="D290" s="487" t="s">
        <v>531</v>
      </c>
      <c r="E290" s="407"/>
      <c r="F290" s="408" t="s">
        <v>1253</v>
      </c>
      <c r="G290" s="409">
        <f>(G330+(150-120)/(185-120)*(G331-G330))</f>
        <v>18.073076923076922</v>
      </c>
      <c r="H290" s="410"/>
      <c r="I290" s="430">
        <f t="shared" si="170"/>
        <v>18.073076923076922</v>
      </c>
      <c r="K290" s="17"/>
      <c r="L290" s="17"/>
      <c r="M290" s="720">
        <v>44245</v>
      </c>
      <c r="N290" s="721" t="b">
        <f t="shared" si="209"/>
        <v>0</v>
      </c>
      <c r="O290" s="721" t="b">
        <f t="shared" si="179"/>
        <v>0</v>
      </c>
      <c r="P290" s="721" t="b">
        <f t="shared" si="206"/>
        <v>0</v>
      </c>
      <c r="Q290" s="721" t="b">
        <f t="shared" si="202"/>
        <v>0</v>
      </c>
      <c r="R290" s="721" t="b">
        <f t="shared" ref="R290:R324" si="210">FALSE()</f>
        <v>0</v>
      </c>
      <c r="S290" s="721" t="b">
        <f t="shared" si="191"/>
        <v>0</v>
      </c>
      <c r="T290" s="721" t="b">
        <f t="shared" si="193"/>
        <v>0</v>
      </c>
      <c r="U290" s="721" t="b">
        <f t="shared" si="190"/>
        <v>0</v>
      </c>
      <c r="V290" s="721" t="b">
        <f t="shared" si="187"/>
        <v>0</v>
      </c>
      <c r="W290" s="721" t="b">
        <f>TRUE()</f>
        <v>1</v>
      </c>
      <c r="X290" s="721" t="b">
        <f t="shared" si="196"/>
        <v>0</v>
      </c>
      <c r="Y290" s="721" t="b">
        <f t="shared" si="199"/>
        <v>0</v>
      </c>
      <c r="Z290" s="721" t="b">
        <f t="shared" si="208"/>
        <v>0</v>
      </c>
      <c r="AA290" s="721" t="b">
        <f t="shared" si="195"/>
        <v>0</v>
      </c>
      <c r="AB290" s="17"/>
      <c r="AC290" s="17"/>
      <c r="AD290" s="17"/>
      <c r="AE290" s="17"/>
      <c r="AF290" s="17"/>
      <c r="AG290" s="17"/>
      <c r="AH290" s="17"/>
      <c r="AI290" s="17"/>
      <c r="AJ290" s="17"/>
      <c r="AK290" s="17"/>
      <c r="AL290" s="17"/>
      <c r="AM290" s="17"/>
      <c r="AN290" s="17"/>
      <c r="AO290" s="17"/>
      <c r="AP290" s="17"/>
      <c r="AQ290" s="17"/>
    </row>
    <row r="291" spans="1:43" ht="22.25" hidden="1">
      <c r="A291">
        <f t="shared" si="171"/>
        <v>288</v>
      </c>
      <c r="B291" s="407">
        <v>1</v>
      </c>
      <c r="C291" s="407" t="s">
        <v>522</v>
      </c>
      <c r="D291" s="407" t="s">
        <v>1254</v>
      </c>
      <c r="E291" s="407" t="s">
        <v>1255</v>
      </c>
      <c r="F291" s="408" t="s">
        <v>1256</v>
      </c>
      <c r="G291" s="409">
        <v>1980</v>
      </c>
      <c r="H291" s="410"/>
      <c r="I291" s="430">
        <f t="shared" si="170"/>
        <v>1980</v>
      </c>
      <c r="K291" s="17"/>
      <c r="L291" s="17" t="s">
        <v>1257</v>
      </c>
      <c r="M291" s="720">
        <v>44278</v>
      </c>
      <c r="N291" s="721" t="b">
        <f t="shared" si="209"/>
        <v>0</v>
      </c>
      <c r="O291" s="721" t="b">
        <f t="shared" si="179"/>
        <v>0</v>
      </c>
      <c r="P291" s="721" t="b">
        <f t="shared" si="206"/>
        <v>0</v>
      </c>
      <c r="Q291" s="721" t="b">
        <f t="shared" si="202"/>
        <v>0</v>
      </c>
      <c r="R291" s="721" t="b">
        <f t="shared" si="210"/>
        <v>0</v>
      </c>
      <c r="S291" s="721" t="b">
        <f t="shared" si="191"/>
        <v>0</v>
      </c>
      <c r="T291" s="721" t="b">
        <f t="shared" si="193"/>
        <v>0</v>
      </c>
      <c r="U291" s="721" t="b">
        <f t="shared" si="190"/>
        <v>0</v>
      </c>
      <c r="V291" s="721" t="b">
        <f t="shared" si="187"/>
        <v>0</v>
      </c>
      <c r="W291" s="721" t="b">
        <f t="shared" ref="W291:W326" si="211">FALSE()</f>
        <v>0</v>
      </c>
      <c r="X291" s="721" t="b">
        <f t="shared" si="196"/>
        <v>0</v>
      </c>
      <c r="Y291" s="721" t="b">
        <f t="shared" si="199"/>
        <v>0</v>
      </c>
      <c r="Z291" s="721" t="b">
        <f t="shared" ref="Z291:Z292" si="212">TRUE()</f>
        <v>1</v>
      </c>
      <c r="AA291" s="721" t="b">
        <f t="shared" si="195"/>
        <v>0</v>
      </c>
      <c r="AB291" s="17"/>
      <c r="AC291" s="17"/>
      <c r="AD291" s="17"/>
      <c r="AE291" s="17"/>
      <c r="AF291" s="17"/>
      <c r="AG291" s="17"/>
      <c r="AH291" s="17"/>
      <c r="AI291" s="17"/>
      <c r="AJ291" s="17"/>
      <c r="AK291" s="17"/>
      <c r="AL291" s="17"/>
      <c r="AM291" s="17"/>
      <c r="AN291" s="17"/>
      <c r="AO291" s="17"/>
      <c r="AP291" s="17"/>
      <c r="AQ291" s="17"/>
    </row>
    <row r="292" spans="1:43" hidden="1">
      <c r="A292">
        <f t="shared" si="171"/>
        <v>289</v>
      </c>
      <c r="B292" s="407">
        <v>1</v>
      </c>
      <c r="C292" s="407" t="s">
        <v>522</v>
      </c>
      <c r="D292" s="407" t="s">
        <v>1254</v>
      </c>
      <c r="E292" s="407" t="s">
        <v>1255</v>
      </c>
      <c r="F292" s="408" t="s">
        <v>1258</v>
      </c>
      <c r="G292" s="409">
        <v>75</v>
      </c>
      <c r="H292" s="410"/>
      <c r="I292" s="430">
        <f t="shared" ref="I292:I355" si="213">G292*(1-H292)</f>
        <v>75</v>
      </c>
      <c r="K292" s="17"/>
      <c r="L292" s="17" t="s">
        <v>1257</v>
      </c>
      <c r="M292" s="720">
        <v>44278</v>
      </c>
      <c r="N292" s="721" t="b">
        <f t="shared" si="209"/>
        <v>0</v>
      </c>
      <c r="O292" s="721" t="b">
        <f t="shared" si="179"/>
        <v>0</v>
      </c>
      <c r="P292" s="721" t="b">
        <f t="shared" si="206"/>
        <v>0</v>
      </c>
      <c r="Q292" s="721" t="b">
        <f t="shared" si="202"/>
        <v>0</v>
      </c>
      <c r="R292" s="721" t="b">
        <f t="shared" si="210"/>
        <v>0</v>
      </c>
      <c r="S292" s="721" t="b">
        <f t="shared" si="191"/>
        <v>0</v>
      </c>
      <c r="T292" s="721" t="b">
        <f t="shared" si="193"/>
        <v>0</v>
      </c>
      <c r="U292" s="721" t="b">
        <f t="shared" si="190"/>
        <v>0</v>
      </c>
      <c r="V292" s="721" t="b">
        <f t="shared" si="187"/>
        <v>0</v>
      </c>
      <c r="W292" s="721" t="b">
        <f t="shared" si="211"/>
        <v>0</v>
      </c>
      <c r="X292" s="721" t="b">
        <f t="shared" si="196"/>
        <v>0</v>
      </c>
      <c r="Y292" s="721" t="b">
        <f t="shared" si="199"/>
        <v>0</v>
      </c>
      <c r="Z292" s="721" t="b">
        <f t="shared" si="212"/>
        <v>1</v>
      </c>
      <c r="AA292" s="721" t="b">
        <f t="shared" si="195"/>
        <v>0</v>
      </c>
      <c r="AB292" s="17"/>
      <c r="AC292" s="17"/>
      <c r="AD292" s="17"/>
      <c r="AE292" s="17"/>
      <c r="AF292" s="17"/>
      <c r="AG292" s="17"/>
      <c r="AH292" s="17"/>
      <c r="AI292" s="17"/>
      <c r="AJ292" s="17"/>
      <c r="AK292" s="17"/>
      <c r="AL292" s="17"/>
      <c r="AM292" s="17"/>
      <c r="AN292" s="17"/>
      <c r="AO292" s="17"/>
      <c r="AP292" s="17"/>
      <c r="AQ292" s="17"/>
    </row>
    <row r="293" spans="1:43" hidden="1">
      <c r="A293">
        <f t="shared" ref="A293:A356" si="214">A292+1</f>
        <v>290</v>
      </c>
      <c r="B293" s="407">
        <v>1</v>
      </c>
      <c r="C293" s="407" t="s">
        <v>505</v>
      </c>
      <c r="D293" s="407" t="s">
        <v>1259</v>
      </c>
      <c r="E293" s="407"/>
      <c r="F293" s="408" t="s">
        <v>1260</v>
      </c>
      <c r="G293" s="409">
        <v>1822.18</v>
      </c>
      <c r="H293" s="410"/>
      <c r="I293" s="409">
        <f t="shared" si="213"/>
        <v>1822.18</v>
      </c>
      <c r="J293" s="58">
        <v>16000</v>
      </c>
      <c r="K293" s="417">
        <f t="shared" si="188"/>
        <v>0.11388625000000001</v>
      </c>
      <c r="L293" s="17" t="s">
        <v>1261</v>
      </c>
      <c r="M293" s="720">
        <v>44294</v>
      </c>
      <c r="N293" s="721" t="b">
        <f t="shared" si="209"/>
        <v>0</v>
      </c>
      <c r="O293" s="721" t="b">
        <f t="shared" si="179"/>
        <v>0</v>
      </c>
      <c r="P293" s="721" t="b">
        <f t="shared" ref="P293:P320" si="215">TRUE()</f>
        <v>1</v>
      </c>
      <c r="Q293" s="721" t="b">
        <f t="shared" si="202"/>
        <v>0</v>
      </c>
      <c r="R293" s="721" t="b">
        <f t="shared" si="210"/>
        <v>0</v>
      </c>
      <c r="S293" s="721" t="b">
        <f t="shared" si="191"/>
        <v>0</v>
      </c>
      <c r="T293" s="721" t="b">
        <f t="shared" si="193"/>
        <v>0</v>
      </c>
      <c r="U293" s="721" t="b">
        <f t="shared" si="190"/>
        <v>0</v>
      </c>
      <c r="V293" s="721" t="b">
        <f t="shared" si="187"/>
        <v>0</v>
      </c>
      <c r="W293" s="721" t="b">
        <f t="shared" si="211"/>
        <v>0</v>
      </c>
      <c r="X293" s="721" t="b">
        <f t="shared" si="196"/>
        <v>0</v>
      </c>
      <c r="Y293" s="721" t="b">
        <f t="shared" si="199"/>
        <v>0</v>
      </c>
      <c r="Z293" s="721" t="b">
        <f t="shared" ref="Z293:Z321" si="216">FALSE()</f>
        <v>0</v>
      </c>
      <c r="AA293" s="721" t="b">
        <f t="shared" si="195"/>
        <v>0</v>
      </c>
      <c r="AB293" s="17"/>
      <c r="AC293" s="17"/>
      <c r="AD293" s="17"/>
      <c r="AE293" s="17"/>
      <c r="AF293" s="17"/>
      <c r="AG293" s="17"/>
      <c r="AH293" s="17"/>
      <c r="AI293" s="17"/>
      <c r="AJ293" s="17"/>
      <c r="AK293" s="17"/>
      <c r="AL293" s="17"/>
      <c r="AM293" s="17"/>
      <c r="AN293" s="17"/>
      <c r="AO293" s="17"/>
      <c r="AP293" s="17"/>
      <c r="AQ293" s="17"/>
    </row>
    <row r="294" spans="1:43" hidden="1">
      <c r="A294">
        <f t="shared" si="214"/>
        <v>291</v>
      </c>
      <c r="B294" s="407">
        <v>1</v>
      </c>
      <c r="C294" s="407" t="s">
        <v>505</v>
      </c>
      <c r="D294" s="407" t="s">
        <v>1259</v>
      </c>
      <c r="E294" s="407"/>
      <c r="F294" s="408" t="s">
        <v>1262</v>
      </c>
      <c r="G294" s="409">
        <v>1846.99</v>
      </c>
      <c r="H294" s="410"/>
      <c r="I294" s="409">
        <f t="shared" si="213"/>
        <v>1846.99</v>
      </c>
      <c r="J294" s="58">
        <v>17000</v>
      </c>
      <c r="K294" s="417">
        <f t="shared" si="188"/>
        <v>0.10864647058823529</v>
      </c>
      <c r="L294" s="17" t="s">
        <v>1261</v>
      </c>
      <c r="M294" s="720">
        <v>44294</v>
      </c>
      <c r="N294" s="721" t="b">
        <f t="shared" si="209"/>
        <v>0</v>
      </c>
      <c r="O294" s="721" t="b">
        <f t="shared" si="179"/>
        <v>0</v>
      </c>
      <c r="P294" s="721" t="b">
        <f t="shared" si="215"/>
        <v>1</v>
      </c>
      <c r="Q294" s="721" t="b">
        <f t="shared" si="202"/>
        <v>0</v>
      </c>
      <c r="R294" s="721" t="b">
        <f t="shared" si="210"/>
        <v>0</v>
      </c>
      <c r="S294" s="721" t="b">
        <f t="shared" si="191"/>
        <v>0</v>
      </c>
      <c r="T294" s="721" t="b">
        <f t="shared" si="193"/>
        <v>0</v>
      </c>
      <c r="U294" s="721" t="b">
        <f t="shared" si="190"/>
        <v>0</v>
      </c>
      <c r="V294" s="721" t="b">
        <f t="shared" si="187"/>
        <v>0</v>
      </c>
      <c r="W294" s="721" t="b">
        <f t="shared" si="211"/>
        <v>0</v>
      </c>
      <c r="X294" s="721" t="b">
        <f t="shared" si="196"/>
        <v>0</v>
      </c>
      <c r="Y294" s="721" t="b">
        <f t="shared" si="199"/>
        <v>0</v>
      </c>
      <c r="Z294" s="721" t="b">
        <f t="shared" si="216"/>
        <v>0</v>
      </c>
      <c r="AA294" s="721" t="b">
        <f t="shared" si="195"/>
        <v>0</v>
      </c>
      <c r="AB294" s="17"/>
      <c r="AC294" s="17"/>
      <c r="AD294" s="17"/>
      <c r="AE294" s="17"/>
      <c r="AF294" s="17"/>
      <c r="AG294" s="17"/>
      <c r="AH294" s="17"/>
      <c r="AI294" s="17"/>
      <c r="AJ294" s="17"/>
      <c r="AK294" s="17"/>
      <c r="AL294" s="17"/>
      <c r="AM294" s="17"/>
      <c r="AN294" s="17"/>
      <c r="AO294" s="17"/>
      <c r="AP294" s="17"/>
      <c r="AQ294" s="17"/>
    </row>
    <row r="295" spans="1:43" hidden="1">
      <c r="A295">
        <f t="shared" si="214"/>
        <v>292</v>
      </c>
      <c r="B295" s="407">
        <v>1</v>
      </c>
      <c r="C295" s="407" t="s">
        <v>505</v>
      </c>
      <c r="D295" s="407" t="s">
        <v>1259</v>
      </c>
      <c r="E295" s="407"/>
      <c r="F295" s="408" t="s">
        <v>1263</v>
      </c>
      <c r="G295" s="409">
        <v>2296.8200000000002</v>
      </c>
      <c r="H295" s="410"/>
      <c r="I295" s="409">
        <f t="shared" si="213"/>
        <v>2296.8200000000002</v>
      </c>
      <c r="J295" s="58">
        <v>25000</v>
      </c>
      <c r="K295" s="417">
        <f t="shared" si="188"/>
        <v>9.1872800000000004E-2</v>
      </c>
      <c r="L295" s="17" t="s">
        <v>1261</v>
      </c>
      <c r="M295" s="720">
        <v>44294</v>
      </c>
      <c r="N295" s="721" t="b">
        <f t="shared" si="209"/>
        <v>0</v>
      </c>
      <c r="O295" s="721" t="b">
        <f t="shared" si="179"/>
        <v>0</v>
      </c>
      <c r="P295" s="721" t="b">
        <f t="shared" si="215"/>
        <v>1</v>
      </c>
      <c r="Q295" s="721" t="b">
        <f t="shared" si="202"/>
        <v>0</v>
      </c>
      <c r="R295" s="721" t="b">
        <f t="shared" si="210"/>
        <v>0</v>
      </c>
      <c r="S295" s="721" t="b">
        <f t="shared" si="191"/>
        <v>0</v>
      </c>
      <c r="T295" s="721" t="b">
        <f t="shared" si="193"/>
        <v>0</v>
      </c>
      <c r="U295" s="721" t="b">
        <f t="shared" si="190"/>
        <v>0</v>
      </c>
      <c r="V295" s="721" t="b">
        <f t="shared" si="187"/>
        <v>0</v>
      </c>
      <c r="W295" s="721" t="b">
        <f t="shared" si="211"/>
        <v>0</v>
      </c>
      <c r="X295" s="721" t="b">
        <f t="shared" si="196"/>
        <v>0</v>
      </c>
      <c r="Y295" s="721" t="b">
        <f t="shared" si="199"/>
        <v>0</v>
      </c>
      <c r="Z295" s="721" t="b">
        <f t="shared" si="216"/>
        <v>0</v>
      </c>
      <c r="AA295" s="721" t="b">
        <f t="shared" si="195"/>
        <v>0</v>
      </c>
      <c r="AB295" s="17"/>
      <c r="AC295" s="17"/>
      <c r="AD295" s="17"/>
      <c r="AE295" s="17"/>
      <c r="AF295" s="17"/>
      <c r="AG295" s="17"/>
      <c r="AH295" s="17"/>
      <c r="AI295" s="17"/>
      <c r="AJ295" s="17"/>
      <c r="AK295" s="17"/>
      <c r="AL295" s="17"/>
      <c r="AM295" s="17"/>
      <c r="AN295" s="17"/>
      <c r="AO295" s="17"/>
      <c r="AP295" s="17"/>
      <c r="AQ295" s="17"/>
    </row>
    <row r="296" spans="1:43" hidden="1">
      <c r="A296">
        <f t="shared" si="214"/>
        <v>293</v>
      </c>
      <c r="B296" s="407">
        <v>1</v>
      </c>
      <c r="C296" s="407" t="s">
        <v>505</v>
      </c>
      <c r="D296" s="407" t="s">
        <v>1259</v>
      </c>
      <c r="E296" s="407"/>
      <c r="F296" s="408" t="s">
        <v>1264</v>
      </c>
      <c r="G296" s="409">
        <v>2359.23</v>
      </c>
      <c r="H296" s="410"/>
      <c r="I296" s="409">
        <f t="shared" si="213"/>
        <v>2359.23</v>
      </c>
      <c r="J296" s="58">
        <v>27600</v>
      </c>
      <c r="K296" s="417">
        <f t="shared" si="188"/>
        <v>8.547934782608696E-2</v>
      </c>
      <c r="L296" s="17" t="s">
        <v>1261</v>
      </c>
      <c r="M296" s="720">
        <v>44294</v>
      </c>
      <c r="N296" s="721" t="b">
        <f t="shared" si="209"/>
        <v>0</v>
      </c>
      <c r="O296" s="721" t="b">
        <f t="shared" si="179"/>
        <v>0</v>
      </c>
      <c r="P296" s="721" t="b">
        <f t="shared" si="215"/>
        <v>1</v>
      </c>
      <c r="Q296" s="721" t="b">
        <f t="shared" si="202"/>
        <v>0</v>
      </c>
      <c r="R296" s="721" t="b">
        <f t="shared" si="210"/>
        <v>0</v>
      </c>
      <c r="S296" s="721" t="b">
        <f t="shared" si="191"/>
        <v>0</v>
      </c>
      <c r="T296" s="721" t="b">
        <f t="shared" si="193"/>
        <v>0</v>
      </c>
      <c r="U296" s="721" t="b">
        <f t="shared" si="190"/>
        <v>0</v>
      </c>
      <c r="V296" s="721" t="b">
        <f t="shared" si="187"/>
        <v>0</v>
      </c>
      <c r="W296" s="721" t="b">
        <f t="shared" si="211"/>
        <v>0</v>
      </c>
      <c r="X296" s="721" t="b">
        <f t="shared" si="196"/>
        <v>0</v>
      </c>
      <c r="Y296" s="721" t="b">
        <f t="shared" si="199"/>
        <v>0</v>
      </c>
      <c r="Z296" s="721" t="b">
        <f t="shared" si="216"/>
        <v>0</v>
      </c>
      <c r="AA296" s="721" t="b">
        <f t="shared" si="195"/>
        <v>0</v>
      </c>
      <c r="AB296" s="17"/>
      <c r="AC296" s="17"/>
      <c r="AD296" s="17"/>
      <c r="AE296" s="17"/>
      <c r="AF296" s="17"/>
      <c r="AG296" s="17"/>
      <c r="AH296" s="17"/>
      <c r="AI296" s="17"/>
      <c r="AJ296" s="17"/>
      <c r="AK296" s="17"/>
      <c r="AL296" s="17"/>
      <c r="AM296" s="17"/>
      <c r="AN296" s="17"/>
      <c r="AO296" s="17"/>
      <c r="AP296" s="17"/>
      <c r="AQ296" s="17"/>
    </row>
    <row r="297" spans="1:43" hidden="1">
      <c r="A297">
        <f t="shared" si="214"/>
        <v>294</v>
      </c>
      <c r="B297" s="407">
        <v>1</v>
      </c>
      <c r="C297" s="407" t="s">
        <v>505</v>
      </c>
      <c r="D297" s="407" t="s">
        <v>1259</v>
      </c>
      <c r="E297" s="407"/>
      <c r="F297" s="408" t="s">
        <v>1265</v>
      </c>
      <c r="G297" s="409">
        <v>1290.7</v>
      </c>
      <c r="H297" s="410"/>
      <c r="I297" s="409">
        <f t="shared" si="213"/>
        <v>1290.7</v>
      </c>
      <c r="J297" s="58">
        <v>3000</v>
      </c>
      <c r="K297" s="417">
        <f t="shared" si="188"/>
        <v>0.43023333333333336</v>
      </c>
      <c r="L297" s="17" t="s">
        <v>1261</v>
      </c>
      <c r="M297" s="720">
        <v>44294</v>
      </c>
      <c r="N297" s="721" t="b">
        <f t="shared" si="209"/>
        <v>0</v>
      </c>
      <c r="O297" s="721" t="b">
        <f t="shared" si="179"/>
        <v>0</v>
      </c>
      <c r="P297" s="721" t="b">
        <f t="shared" si="215"/>
        <v>1</v>
      </c>
      <c r="Q297" s="721" t="b">
        <f t="shared" si="202"/>
        <v>0</v>
      </c>
      <c r="R297" s="721" t="b">
        <f t="shared" si="210"/>
        <v>0</v>
      </c>
      <c r="S297" s="721" t="b">
        <f t="shared" si="191"/>
        <v>0</v>
      </c>
      <c r="T297" s="721" t="b">
        <f t="shared" si="193"/>
        <v>0</v>
      </c>
      <c r="U297" s="721" t="b">
        <f t="shared" si="190"/>
        <v>0</v>
      </c>
      <c r="V297" s="721" t="b">
        <f t="shared" si="187"/>
        <v>0</v>
      </c>
      <c r="W297" s="721" t="b">
        <f t="shared" si="211"/>
        <v>0</v>
      </c>
      <c r="X297" s="721" t="b">
        <f t="shared" si="196"/>
        <v>0</v>
      </c>
      <c r="Y297" s="721" t="b">
        <f t="shared" si="199"/>
        <v>0</v>
      </c>
      <c r="Z297" s="721" t="b">
        <f t="shared" si="216"/>
        <v>0</v>
      </c>
      <c r="AA297" s="721" t="b">
        <f t="shared" si="195"/>
        <v>0</v>
      </c>
      <c r="AB297" s="17"/>
      <c r="AC297" s="17"/>
      <c r="AD297" s="17"/>
      <c r="AE297" s="17"/>
      <c r="AF297" s="17"/>
      <c r="AG297" s="17"/>
      <c r="AH297" s="17"/>
      <c r="AI297" s="17"/>
      <c r="AJ297" s="17"/>
      <c r="AK297" s="17"/>
      <c r="AL297" s="17"/>
      <c r="AM297" s="17"/>
      <c r="AN297" s="17"/>
      <c r="AO297" s="17"/>
      <c r="AP297" s="17"/>
      <c r="AQ297" s="17"/>
    </row>
    <row r="298" spans="1:43" hidden="1">
      <c r="A298">
        <f t="shared" si="214"/>
        <v>295</v>
      </c>
      <c r="B298" s="407">
        <v>1</v>
      </c>
      <c r="C298" s="407" t="s">
        <v>505</v>
      </c>
      <c r="D298" s="407" t="s">
        <v>1259</v>
      </c>
      <c r="E298" s="407"/>
      <c r="F298" s="408" t="s">
        <v>1266</v>
      </c>
      <c r="G298" s="409">
        <v>1400.54</v>
      </c>
      <c r="H298" s="410"/>
      <c r="I298" s="409">
        <f t="shared" si="213"/>
        <v>1400.54</v>
      </c>
      <c r="J298" s="58">
        <v>4000</v>
      </c>
      <c r="K298" s="417">
        <f t="shared" si="188"/>
        <v>0.35013499999999997</v>
      </c>
      <c r="L298" s="17" t="s">
        <v>1261</v>
      </c>
      <c r="M298" s="720">
        <v>44294</v>
      </c>
      <c r="N298" s="721" t="b">
        <f t="shared" si="209"/>
        <v>0</v>
      </c>
      <c r="O298" s="721" t="b">
        <f t="shared" si="179"/>
        <v>0</v>
      </c>
      <c r="P298" s="721" t="b">
        <f t="shared" si="215"/>
        <v>1</v>
      </c>
      <c r="Q298" s="721" t="b">
        <f t="shared" si="202"/>
        <v>0</v>
      </c>
      <c r="R298" s="721" t="b">
        <f t="shared" si="210"/>
        <v>0</v>
      </c>
      <c r="S298" s="721" t="b">
        <f t="shared" si="191"/>
        <v>0</v>
      </c>
      <c r="T298" s="721" t="b">
        <f t="shared" si="193"/>
        <v>0</v>
      </c>
      <c r="U298" s="721" t="b">
        <f t="shared" si="190"/>
        <v>0</v>
      </c>
      <c r="V298" s="721" t="b">
        <f t="shared" si="187"/>
        <v>0</v>
      </c>
      <c r="W298" s="721" t="b">
        <f t="shared" si="211"/>
        <v>0</v>
      </c>
      <c r="X298" s="721" t="b">
        <f t="shared" si="196"/>
        <v>0</v>
      </c>
      <c r="Y298" s="721" t="b">
        <f t="shared" si="199"/>
        <v>0</v>
      </c>
      <c r="Z298" s="721" t="b">
        <f t="shared" si="216"/>
        <v>0</v>
      </c>
      <c r="AA298" s="721" t="b">
        <f t="shared" si="195"/>
        <v>0</v>
      </c>
      <c r="AB298" s="17"/>
      <c r="AC298" s="17"/>
      <c r="AD298" s="17"/>
      <c r="AE298" s="17"/>
      <c r="AF298" s="17"/>
      <c r="AG298" s="17"/>
      <c r="AH298" s="17"/>
      <c r="AI298" s="17"/>
      <c r="AJ298" s="17"/>
      <c r="AK298" s="17"/>
      <c r="AL298" s="17"/>
      <c r="AM298" s="17"/>
      <c r="AN298" s="17"/>
      <c r="AO298" s="17"/>
      <c r="AP298" s="17"/>
      <c r="AQ298" s="17"/>
    </row>
    <row r="299" spans="1:43" hidden="1">
      <c r="A299">
        <f t="shared" si="214"/>
        <v>296</v>
      </c>
      <c r="B299" s="407">
        <v>1</v>
      </c>
      <c r="C299" s="407" t="s">
        <v>505</v>
      </c>
      <c r="D299" s="407" t="s">
        <v>1259</v>
      </c>
      <c r="E299" s="407"/>
      <c r="F299" s="408" t="s">
        <v>1267</v>
      </c>
      <c r="G299" s="409">
        <v>1500.6</v>
      </c>
      <c r="H299" s="410"/>
      <c r="I299" s="409">
        <f t="shared" si="213"/>
        <v>1500.6</v>
      </c>
      <c r="J299" s="58">
        <v>5000</v>
      </c>
      <c r="K299" s="417">
        <f t="shared" si="188"/>
        <v>0.30012</v>
      </c>
      <c r="L299" s="17" t="s">
        <v>1261</v>
      </c>
      <c r="M299" s="720">
        <v>44294</v>
      </c>
      <c r="N299" s="721" t="b">
        <f t="shared" si="209"/>
        <v>0</v>
      </c>
      <c r="O299" s="721" t="b">
        <f t="shared" si="179"/>
        <v>0</v>
      </c>
      <c r="P299" s="721" t="b">
        <f t="shared" si="215"/>
        <v>1</v>
      </c>
      <c r="Q299" s="721" t="b">
        <f t="shared" si="202"/>
        <v>0</v>
      </c>
      <c r="R299" s="721" t="b">
        <f t="shared" si="210"/>
        <v>0</v>
      </c>
      <c r="S299" s="721" t="b">
        <f t="shared" si="191"/>
        <v>0</v>
      </c>
      <c r="T299" s="721" t="b">
        <f t="shared" si="193"/>
        <v>0</v>
      </c>
      <c r="U299" s="721" t="b">
        <f t="shared" si="190"/>
        <v>0</v>
      </c>
      <c r="V299" s="721" t="b">
        <f t="shared" si="187"/>
        <v>0</v>
      </c>
      <c r="W299" s="721" t="b">
        <f t="shared" si="211"/>
        <v>0</v>
      </c>
      <c r="X299" s="721" t="b">
        <f t="shared" si="196"/>
        <v>0</v>
      </c>
      <c r="Y299" s="721" t="b">
        <f t="shared" si="199"/>
        <v>0</v>
      </c>
      <c r="Z299" s="721" t="b">
        <f t="shared" si="216"/>
        <v>0</v>
      </c>
      <c r="AA299" s="721" t="b">
        <f t="shared" si="195"/>
        <v>0</v>
      </c>
      <c r="AB299" s="17"/>
      <c r="AC299" s="17"/>
      <c r="AD299" s="17"/>
      <c r="AE299" s="17"/>
      <c r="AF299" s="17"/>
      <c r="AG299" s="17"/>
      <c r="AH299" s="17"/>
      <c r="AI299" s="17"/>
      <c r="AJ299" s="17"/>
      <c r="AK299" s="17"/>
      <c r="AL299" s="17"/>
      <c r="AM299" s="17"/>
      <c r="AN299" s="17"/>
      <c r="AO299" s="17"/>
      <c r="AP299" s="17"/>
      <c r="AQ299" s="17"/>
    </row>
    <row r="300" spans="1:43" hidden="1">
      <c r="A300">
        <f t="shared" si="214"/>
        <v>297</v>
      </c>
      <c r="B300" s="407">
        <v>1</v>
      </c>
      <c r="C300" s="407" t="s">
        <v>505</v>
      </c>
      <c r="D300" s="407" t="s">
        <v>1259</v>
      </c>
      <c r="E300" s="407"/>
      <c r="F300" s="408" t="s">
        <v>1268</v>
      </c>
      <c r="G300" s="409">
        <v>1624.15</v>
      </c>
      <c r="H300" s="410"/>
      <c r="I300" s="409">
        <f t="shared" si="213"/>
        <v>1624.15</v>
      </c>
      <c r="J300" s="58">
        <v>6000</v>
      </c>
      <c r="K300" s="417">
        <f t="shared" si="188"/>
        <v>0.27069166666666666</v>
      </c>
      <c r="L300" s="17" t="s">
        <v>1261</v>
      </c>
      <c r="M300" s="720">
        <v>44294</v>
      </c>
      <c r="N300" s="721" t="b">
        <f t="shared" si="209"/>
        <v>0</v>
      </c>
      <c r="O300" s="721" t="b">
        <f t="shared" si="179"/>
        <v>0</v>
      </c>
      <c r="P300" s="721" t="b">
        <f t="shared" si="215"/>
        <v>1</v>
      </c>
      <c r="Q300" s="721" t="b">
        <f t="shared" si="202"/>
        <v>0</v>
      </c>
      <c r="R300" s="721" t="b">
        <f t="shared" si="210"/>
        <v>0</v>
      </c>
      <c r="S300" s="721" t="b">
        <f t="shared" si="191"/>
        <v>0</v>
      </c>
      <c r="T300" s="721" t="b">
        <f t="shared" si="193"/>
        <v>0</v>
      </c>
      <c r="U300" s="721" t="b">
        <f t="shared" si="190"/>
        <v>0</v>
      </c>
      <c r="V300" s="721" t="b">
        <f t="shared" si="187"/>
        <v>0</v>
      </c>
      <c r="W300" s="721" t="b">
        <f t="shared" si="211"/>
        <v>0</v>
      </c>
      <c r="X300" s="721" t="b">
        <f t="shared" si="196"/>
        <v>0</v>
      </c>
      <c r="Y300" s="721" t="b">
        <f t="shared" si="199"/>
        <v>0</v>
      </c>
      <c r="Z300" s="721" t="b">
        <f t="shared" si="216"/>
        <v>0</v>
      </c>
      <c r="AA300" s="721" t="b">
        <f t="shared" si="195"/>
        <v>0</v>
      </c>
      <c r="AB300" s="17"/>
      <c r="AC300" s="17"/>
      <c r="AD300" s="17"/>
      <c r="AE300" s="17"/>
      <c r="AF300" s="17"/>
      <c r="AG300" s="17"/>
      <c r="AH300" s="17"/>
      <c r="AI300" s="17"/>
      <c r="AJ300" s="17"/>
      <c r="AK300" s="17"/>
      <c r="AL300" s="17"/>
      <c r="AM300" s="17"/>
      <c r="AN300" s="17"/>
      <c r="AO300" s="17"/>
      <c r="AP300" s="17"/>
      <c r="AQ300" s="17"/>
    </row>
    <row r="301" spans="1:43" hidden="1">
      <c r="A301">
        <f t="shared" si="214"/>
        <v>298</v>
      </c>
      <c r="B301" s="407">
        <v>1</v>
      </c>
      <c r="C301" s="407" t="s">
        <v>505</v>
      </c>
      <c r="D301" s="407" t="s">
        <v>1259</v>
      </c>
      <c r="E301" s="407"/>
      <c r="F301" s="408" t="s">
        <v>1269</v>
      </c>
      <c r="G301" s="409">
        <v>1692.42</v>
      </c>
      <c r="H301" s="410"/>
      <c r="I301" s="409">
        <f t="shared" si="213"/>
        <v>1692.42</v>
      </c>
      <c r="J301" s="58">
        <v>7000</v>
      </c>
      <c r="K301" s="417">
        <f t="shared" si="188"/>
        <v>0.24177428571428572</v>
      </c>
      <c r="L301" s="17" t="s">
        <v>1261</v>
      </c>
      <c r="M301" s="720">
        <v>44294</v>
      </c>
      <c r="N301" s="721" t="b">
        <f t="shared" si="209"/>
        <v>0</v>
      </c>
      <c r="O301" s="721" t="b">
        <f t="shared" si="179"/>
        <v>0</v>
      </c>
      <c r="P301" s="721" t="b">
        <f t="shared" si="215"/>
        <v>1</v>
      </c>
      <c r="Q301" s="721" t="b">
        <f t="shared" si="202"/>
        <v>0</v>
      </c>
      <c r="R301" s="721" t="b">
        <f t="shared" si="210"/>
        <v>0</v>
      </c>
      <c r="S301" s="721" t="b">
        <f t="shared" si="191"/>
        <v>0</v>
      </c>
      <c r="T301" s="721" t="b">
        <f t="shared" si="193"/>
        <v>0</v>
      </c>
      <c r="U301" s="721" t="b">
        <f t="shared" si="190"/>
        <v>0</v>
      </c>
      <c r="V301" s="721" t="b">
        <f t="shared" si="187"/>
        <v>0</v>
      </c>
      <c r="W301" s="721" t="b">
        <f t="shared" si="211"/>
        <v>0</v>
      </c>
      <c r="X301" s="721" t="b">
        <f t="shared" si="196"/>
        <v>0</v>
      </c>
      <c r="Y301" s="721" t="b">
        <f t="shared" si="199"/>
        <v>0</v>
      </c>
      <c r="Z301" s="721" t="b">
        <f t="shared" si="216"/>
        <v>0</v>
      </c>
      <c r="AA301" s="721" t="b">
        <f t="shared" si="195"/>
        <v>0</v>
      </c>
      <c r="AB301" s="17"/>
      <c r="AC301" s="17"/>
      <c r="AD301" s="17"/>
      <c r="AE301" s="17"/>
      <c r="AF301" s="17"/>
      <c r="AG301" s="17"/>
      <c r="AH301" s="17"/>
      <c r="AI301" s="17"/>
      <c r="AJ301" s="17"/>
      <c r="AK301" s="17"/>
      <c r="AL301" s="17"/>
      <c r="AM301" s="17"/>
      <c r="AN301" s="17"/>
      <c r="AO301" s="17"/>
      <c r="AP301" s="17"/>
      <c r="AQ301" s="17"/>
    </row>
    <row r="302" spans="1:43" hidden="1">
      <c r="A302">
        <f t="shared" si="214"/>
        <v>299</v>
      </c>
      <c r="B302" s="407">
        <v>1</v>
      </c>
      <c r="C302" s="407" t="s">
        <v>505</v>
      </c>
      <c r="D302" s="407" t="s">
        <v>1259</v>
      </c>
      <c r="E302" s="407"/>
      <c r="F302" s="408" t="s">
        <v>1270</v>
      </c>
      <c r="G302" s="409">
        <v>1880.73</v>
      </c>
      <c r="H302" s="410"/>
      <c r="I302" s="409">
        <f t="shared" si="213"/>
        <v>1880.73</v>
      </c>
      <c r="J302" s="58">
        <v>8000</v>
      </c>
      <c r="K302" s="417">
        <f t="shared" si="188"/>
        <v>0.23509125</v>
      </c>
      <c r="L302" s="17" t="s">
        <v>1261</v>
      </c>
      <c r="M302" s="720">
        <v>44294</v>
      </c>
      <c r="N302" s="721" t="b">
        <f t="shared" si="209"/>
        <v>0</v>
      </c>
      <c r="O302" s="721" t="b">
        <f t="shared" si="179"/>
        <v>0</v>
      </c>
      <c r="P302" s="721" t="b">
        <f t="shared" si="215"/>
        <v>1</v>
      </c>
      <c r="Q302" s="721" t="b">
        <f t="shared" si="202"/>
        <v>0</v>
      </c>
      <c r="R302" s="721" t="b">
        <f t="shared" si="210"/>
        <v>0</v>
      </c>
      <c r="S302" s="721" t="b">
        <f t="shared" si="191"/>
        <v>0</v>
      </c>
      <c r="T302" s="721" t="b">
        <f t="shared" si="193"/>
        <v>0</v>
      </c>
      <c r="U302" s="721" t="b">
        <f t="shared" si="190"/>
        <v>0</v>
      </c>
      <c r="V302" s="721" t="b">
        <f t="shared" si="187"/>
        <v>0</v>
      </c>
      <c r="W302" s="721" t="b">
        <f t="shared" si="211"/>
        <v>0</v>
      </c>
      <c r="X302" s="721" t="b">
        <f t="shared" si="196"/>
        <v>0</v>
      </c>
      <c r="Y302" s="721" t="b">
        <f t="shared" si="199"/>
        <v>0</v>
      </c>
      <c r="Z302" s="721" t="b">
        <f t="shared" si="216"/>
        <v>0</v>
      </c>
      <c r="AA302" s="721" t="b">
        <f t="shared" si="195"/>
        <v>0</v>
      </c>
      <c r="AB302" s="17"/>
      <c r="AC302" s="17"/>
      <c r="AD302" s="17"/>
      <c r="AE302" s="17"/>
      <c r="AF302" s="17"/>
      <c r="AG302" s="17"/>
      <c r="AH302" s="17"/>
      <c r="AI302" s="17"/>
      <c r="AJ302" s="17"/>
      <c r="AK302" s="17"/>
      <c r="AL302" s="17"/>
      <c r="AM302" s="17"/>
      <c r="AN302" s="17"/>
      <c r="AO302" s="17"/>
      <c r="AP302" s="17"/>
      <c r="AQ302" s="17"/>
    </row>
    <row r="303" spans="1:43" hidden="1">
      <c r="A303">
        <f t="shared" si="214"/>
        <v>300</v>
      </c>
      <c r="B303" s="407">
        <v>1</v>
      </c>
      <c r="C303" s="407" t="s">
        <v>505</v>
      </c>
      <c r="D303" s="407" t="s">
        <v>1259</v>
      </c>
      <c r="E303" s="407"/>
      <c r="F303" s="408" t="s">
        <v>1271</v>
      </c>
      <c r="G303" s="409">
        <v>1955.67</v>
      </c>
      <c r="H303" s="410"/>
      <c r="I303" s="409">
        <f t="shared" si="213"/>
        <v>1955.67</v>
      </c>
      <c r="J303" s="58">
        <v>9000</v>
      </c>
      <c r="K303" s="417">
        <f t="shared" si="188"/>
        <v>0.21729666666666667</v>
      </c>
      <c r="L303" s="17" t="s">
        <v>1261</v>
      </c>
      <c r="M303" s="720">
        <v>44294</v>
      </c>
      <c r="N303" s="721" t="b">
        <f t="shared" si="209"/>
        <v>0</v>
      </c>
      <c r="O303" s="721" t="b">
        <f t="shared" si="179"/>
        <v>0</v>
      </c>
      <c r="P303" s="721" t="b">
        <f t="shared" si="215"/>
        <v>1</v>
      </c>
      <c r="Q303" s="721" t="b">
        <f t="shared" si="202"/>
        <v>0</v>
      </c>
      <c r="R303" s="721" t="b">
        <f t="shared" si="210"/>
        <v>0</v>
      </c>
      <c r="S303" s="721" t="b">
        <f t="shared" si="191"/>
        <v>0</v>
      </c>
      <c r="T303" s="721" t="b">
        <f t="shared" si="193"/>
        <v>0</v>
      </c>
      <c r="U303" s="721" t="b">
        <f t="shared" si="190"/>
        <v>0</v>
      </c>
      <c r="V303" s="721" t="b">
        <f t="shared" si="187"/>
        <v>0</v>
      </c>
      <c r="W303" s="721" t="b">
        <f t="shared" si="211"/>
        <v>0</v>
      </c>
      <c r="X303" s="721" t="b">
        <f t="shared" si="196"/>
        <v>0</v>
      </c>
      <c r="Y303" s="721" t="b">
        <f t="shared" si="199"/>
        <v>0</v>
      </c>
      <c r="Z303" s="721" t="b">
        <f t="shared" si="216"/>
        <v>0</v>
      </c>
      <c r="AA303" s="721" t="b">
        <f t="shared" si="195"/>
        <v>0</v>
      </c>
      <c r="AB303" s="17"/>
      <c r="AC303" s="17"/>
      <c r="AD303" s="17"/>
      <c r="AE303" s="17"/>
      <c r="AF303" s="17"/>
      <c r="AG303" s="17"/>
      <c r="AH303" s="17"/>
      <c r="AI303" s="17"/>
      <c r="AJ303" s="17"/>
      <c r="AK303" s="17"/>
      <c r="AL303" s="17"/>
      <c r="AM303" s="17"/>
      <c r="AN303" s="17"/>
      <c r="AO303" s="17"/>
      <c r="AP303" s="17"/>
      <c r="AQ303" s="17"/>
    </row>
    <row r="304" spans="1:43" hidden="1">
      <c r="A304">
        <f t="shared" si="214"/>
        <v>301</v>
      </c>
      <c r="B304" s="407">
        <v>1</v>
      </c>
      <c r="C304" s="407" t="s">
        <v>505</v>
      </c>
      <c r="D304" s="407" t="s">
        <v>1259</v>
      </c>
      <c r="E304" s="407"/>
      <c r="F304" s="408" t="s">
        <v>1272</v>
      </c>
      <c r="G304" s="409">
        <v>2030.19</v>
      </c>
      <c r="H304" s="410"/>
      <c r="I304" s="409">
        <f t="shared" si="213"/>
        <v>2030.19</v>
      </c>
      <c r="J304" s="58">
        <v>10000</v>
      </c>
      <c r="K304" s="417">
        <f t="shared" si="188"/>
        <v>0.20301900000000001</v>
      </c>
      <c r="L304" s="17" t="s">
        <v>1261</v>
      </c>
      <c r="M304" s="720">
        <v>44294</v>
      </c>
      <c r="N304" s="721" t="b">
        <f t="shared" si="209"/>
        <v>0</v>
      </c>
      <c r="O304" s="721" t="b">
        <f t="shared" si="179"/>
        <v>0</v>
      </c>
      <c r="P304" s="721" t="b">
        <f t="shared" si="215"/>
        <v>1</v>
      </c>
      <c r="Q304" s="721" t="b">
        <f t="shared" si="202"/>
        <v>0</v>
      </c>
      <c r="R304" s="721" t="b">
        <f t="shared" si="210"/>
        <v>0</v>
      </c>
      <c r="S304" s="721" t="b">
        <f t="shared" si="191"/>
        <v>0</v>
      </c>
      <c r="T304" s="721" t="b">
        <f t="shared" si="193"/>
        <v>0</v>
      </c>
      <c r="U304" s="721" t="b">
        <f t="shared" si="190"/>
        <v>0</v>
      </c>
      <c r="V304" s="721" t="b">
        <f t="shared" si="187"/>
        <v>0</v>
      </c>
      <c r="W304" s="721" t="b">
        <f t="shared" si="211"/>
        <v>0</v>
      </c>
      <c r="X304" s="721" t="b">
        <f t="shared" si="196"/>
        <v>0</v>
      </c>
      <c r="Y304" s="721" t="b">
        <f t="shared" si="199"/>
        <v>0</v>
      </c>
      <c r="Z304" s="721" t="b">
        <f t="shared" si="216"/>
        <v>0</v>
      </c>
      <c r="AA304" s="721" t="b">
        <f t="shared" si="195"/>
        <v>0</v>
      </c>
      <c r="AB304" s="17"/>
      <c r="AC304" s="17"/>
      <c r="AD304" s="17"/>
      <c r="AE304" s="17"/>
      <c r="AF304" s="17"/>
      <c r="AG304" s="17"/>
      <c r="AH304" s="17"/>
      <c r="AI304" s="17"/>
      <c r="AJ304" s="17"/>
      <c r="AK304" s="17"/>
      <c r="AL304" s="17"/>
      <c r="AM304" s="17"/>
      <c r="AN304" s="17"/>
      <c r="AO304" s="17"/>
      <c r="AP304" s="17"/>
      <c r="AQ304" s="17"/>
    </row>
    <row r="305" spans="1:43" hidden="1">
      <c r="A305">
        <f t="shared" si="214"/>
        <v>302</v>
      </c>
      <c r="B305" s="407">
        <v>1</v>
      </c>
      <c r="C305" s="407" t="s">
        <v>505</v>
      </c>
      <c r="D305" s="407" t="s">
        <v>1259</v>
      </c>
      <c r="E305" s="407"/>
      <c r="F305" s="408" t="s">
        <v>1273</v>
      </c>
      <c r="G305" s="409">
        <v>623.57000000000005</v>
      </c>
      <c r="H305" s="410"/>
      <c r="I305" s="409">
        <f t="shared" si="213"/>
        <v>623.57000000000005</v>
      </c>
      <c r="J305" s="58">
        <v>1000</v>
      </c>
      <c r="K305" s="417">
        <f t="shared" si="188"/>
        <v>0.62357000000000007</v>
      </c>
      <c r="L305" s="17" t="s">
        <v>1261</v>
      </c>
      <c r="M305" s="720">
        <v>44294</v>
      </c>
      <c r="N305" s="721" t="b">
        <f t="shared" si="209"/>
        <v>0</v>
      </c>
      <c r="O305" s="721" t="b">
        <f t="shared" si="179"/>
        <v>0</v>
      </c>
      <c r="P305" s="721" t="b">
        <f t="shared" si="215"/>
        <v>1</v>
      </c>
      <c r="Q305" s="721" t="b">
        <f t="shared" si="202"/>
        <v>0</v>
      </c>
      <c r="R305" s="721" t="b">
        <f t="shared" si="210"/>
        <v>0</v>
      </c>
      <c r="S305" s="721" t="b">
        <f t="shared" si="191"/>
        <v>0</v>
      </c>
      <c r="T305" s="721" t="b">
        <f t="shared" si="193"/>
        <v>0</v>
      </c>
      <c r="U305" s="721" t="b">
        <f t="shared" si="190"/>
        <v>0</v>
      </c>
      <c r="V305" s="721" t="b">
        <f t="shared" si="187"/>
        <v>0</v>
      </c>
      <c r="W305" s="721" t="b">
        <f t="shared" si="211"/>
        <v>0</v>
      </c>
      <c r="X305" s="721" t="b">
        <f t="shared" si="196"/>
        <v>0</v>
      </c>
      <c r="Y305" s="721" t="b">
        <f t="shared" si="199"/>
        <v>0</v>
      </c>
      <c r="Z305" s="721" t="b">
        <f t="shared" si="216"/>
        <v>0</v>
      </c>
      <c r="AA305" s="721" t="b">
        <f t="shared" si="195"/>
        <v>0</v>
      </c>
      <c r="AB305" s="17"/>
      <c r="AC305" s="17"/>
      <c r="AD305" s="17"/>
      <c r="AE305" s="17"/>
      <c r="AF305" s="17"/>
      <c r="AG305" s="17"/>
      <c r="AH305" s="17"/>
      <c r="AI305" s="17"/>
      <c r="AJ305" s="17"/>
      <c r="AK305" s="17"/>
      <c r="AL305" s="17"/>
      <c r="AM305" s="17"/>
      <c r="AN305" s="17"/>
      <c r="AO305" s="17"/>
      <c r="AP305" s="17"/>
      <c r="AQ305" s="17"/>
    </row>
    <row r="306" spans="1:43" hidden="1">
      <c r="A306">
        <f t="shared" si="214"/>
        <v>303</v>
      </c>
      <c r="B306" s="407">
        <v>1</v>
      </c>
      <c r="C306" s="407" t="s">
        <v>505</v>
      </c>
      <c r="D306" s="407" t="s">
        <v>1259</v>
      </c>
      <c r="E306" s="407"/>
      <c r="F306" s="408" t="s">
        <v>1274</v>
      </c>
      <c r="G306" s="409">
        <v>681.9</v>
      </c>
      <c r="H306" s="410"/>
      <c r="I306" s="409">
        <f t="shared" si="213"/>
        <v>681.9</v>
      </c>
      <c r="J306" s="58">
        <v>1500</v>
      </c>
      <c r="K306" s="417">
        <f t="shared" si="188"/>
        <v>0.4546</v>
      </c>
      <c r="L306" s="17" t="s">
        <v>1261</v>
      </c>
      <c r="M306" s="720">
        <v>44294</v>
      </c>
      <c r="N306" s="721" t="b">
        <f t="shared" si="209"/>
        <v>0</v>
      </c>
      <c r="O306" s="721" t="b">
        <f t="shared" ref="O306:O350" si="217">FALSE()</f>
        <v>0</v>
      </c>
      <c r="P306" s="721" t="b">
        <f t="shared" si="215"/>
        <v>1</v>
      </c>
      <c r="Q306" s="721" t="b">
        <f t="shared" si="202"/>
        <v>0</v>
      </c>
      <c r="R306" s="721" t="b">
        <f t="shared" si="210"/>
        <v>0</v>
      </c>
      <c r="S306" s="721" t="b">
        <f t="shared" si="191"/>
        <v>0</v>
      </c>
      <c r="T306" s="721" t="b">
        <f t="shared" si="193"/>
        <v>0</v>
      </c>
      <c r="U306" s="721" t="b">
        <f t="shared" si="190"/>
        <v>0</v>
      </c>
      <c r="V306" s="721" t="b">
        <f t="shared" si="187"/>
        <v>0</v>
      </c>
      <c r="W306" s="721" t="b">
        <f t="shared" si="211"/>
        <v>0</v>
      </c>
      <c r="X306" s="721" t="b">
        <f t="shared" si="196"/>
        <v>0</v>
      </c>
      <c r="Y306" s="721" t="b">
        <f t="shared" si="199"/>
        <v>0</v>
      </c>
      <c r="Z306" s="721" t="b">
        <f t="shared" si="216"/>
        <v>0</v>
      </c>
      <c r="AA306" s="721" t="b">
        <f t="shared" si="195"/>
        <v>0</v>
      </c>
      <c r="AB306" s="17"/>
      <c r="AC306" s="17"/>
      <c r="AD306" s="17"/>
      <c r="AE306" s="17"/>
      <c r="AF306" s="17"/>
      <c r="AG306" s="17"/>
      <c r="AH306" s="17"/>
      <c r="AI306" s="17"/>
      <c r="AJ306" s="17"/>
      <c r="AK306" s="17"/>
      <c r="AL306" s="17"/>
      <c r="AM306" s="17"/>
      <c r="AN306" s="17"/>
      <c r="AO306" s="17"/>
      <c r="AP306" s="17"/>
      <c r="AQ306" s="17"/>
    </row>
    <row r="307" spans="1:43" hidden="1">
      <c r="A307">
        <f t="shared" si="214"/>
        <v>304</v>
      </c>
      <c r="B307" s="407">
        <v>1</v>
      </c>
      <c r="C307" s="407" t="s">
        <v>505</v>
      </c>
      <c r="D307" s="407" t="s">
        <v>1259</v>
      </c>
      <c r="E307" s="407"/>
      <c r="F307" s="408" t="s">
        <v>1275</v>
      </c>
      <c r="G307" s="409">
        <v>779.49</v>
      </c>
      <c r="H307" s="410"/>
      <c r="I307" s="409">
        <f t="shared" si="213"/>
        <v>779.49</v>
      </c>
      <c r="J307" s="58">
        <v>2000</v>
      </c>
      <c r="K307" s="417">
        <f t="shared" si="188"/>
        <v>0.38974500000000001</v>
      </c>
      <c r="L307" s="17" t="s">
        <v>1261</v>
      </c>
      <c r="M307" s="720">
        <v>44294</v>
      </c>
      <c r="N307" s="721" t="b">
        <f t="shared" si="209"/>
        <v>0</v>
      </c>
      <c r="O307" s="721" t="b">
        <f t="shared" si="217"/>
        <v>0</v>
      </c>
      <c r="P307" s="721" t="b">
        <f t="shared" si="215"/>
        <v>1</v>
      </c>
      <c r="Q307" s="721" t="b">
        <f t="shared" si="202"/>
        <v>0</v>
      </c>
      <c r="R307" s="721" t="b">
        <f t="shared" si="210"/>
        <v>0</v>
      </c>
      <c r="S307" s="721" t="b">
        <f t="shared" si="191"/>
        <v>0</v>
      </c>
      <c r="T307" s="721" t="b">
        <f t="shared" si="193"/>
        <v>0</v>
      </c>
      <c r="U307" s="721" t="b">
        <f t="shared" si="190"/>
        <v>0</v>
      </c>
      <c r="V307" s="721" t="b">
        <f t="shared" si="187"/>
        <v>0</v>
      </c>
      <c r="W307" s="721" t="b">
        <f t="shared" si="211"/>
        <v>0</v>
      </c>
      <c r="X307" s="721" t="b">
        <f t="shared" si="196"/>
        <v>0</v>
      </c>
      <c r="Y307" s="721" t="b">
        <f t="shared" si="199"/>
        <v>0</v>
      </c>
      <c r="Z307" s="721" t="b">
        <f t="shared" si="216"/>
        <v>0</v>
      </c>
      <c r="AA307" s="721" t="b">
        <f t="shared" si="195"/>
        <v>0</v>
      </c>
      <c r="AB307" s="17"/>
      <c r="AC307" s="17"/>
      <c r="AD307" s="17"/>
      <c r="AE307" s="17"/>
      <c r="AF307" s="17"/>
      <c r="AG307" s="17"/>
      <c r="AH307" s="17"/>
      <c r="AI307" s="17"/>
      <c r="AJ307" s="17"/>
      <c r="AK307" s="17"/>
      <c r="AL307" s="17"/>
      <c r="AM307" s="17"/>
      <c r="AN307" s="17"/>
      <c r="AO307" s="17"/>
      <c r="AP307" s="17"/>
      <c r="AQ307" s="17"/>
    </row>
    <row r="308" spans="1:43" hidden="1">
      <c r="A308">
        <f t="shared" si="214"/>
        <v>305</v>
      </c>
      <c r="B308" s="407">
        <v>1</v>
      </c>
      <c r="C308" s="407" t="s">
        <v>505</v>
      </c>
      <c r="D308" s="407" t="s">
        <v>1259</v>
      </c>
      <c r="E308" s="407"/>
      <c r="F308" s="408" t="s">
        <v>1276</v>
      </c>
      <c r="G308" s="409">
        <v>862.66</v>
      </c>
      <c r="H308" s="410"/>
      <c r="I308" s="409">
        <f t="shared" si="213"/>
        <v>862.66</v>
      </c>
      <c r="J308" s="58">
        <v>2200</v>
      </c>
      <c r="K308" s="417">
        <f t="shared" si="188"/>
        <v>0.39211818181818181</v>
      </c>
      <c r="L308" s="17" t="s">
        <v>1261</v>
      </c>
      <c r="M308" s="720">
        <v>44294</v>
      </c>
      <c r="N308" s="721" t="b">
        <f t="shared" si="209"/>
        <v>0</v>
      </c>
      <c r="O308" s="721" t="b">
        <f t="shared" si="217"/>
        <v>0</v>
      </c>
      <c r="P308" s="721" t="b">
        <f t="shared" si="215"/>
        <v>1</v>
      </c>
      <c r="Q308" s="721" t="b">
        <f t="shared" si="202"/>
        <v>0</v>
      </c>
      <c r="R308" s="721" t="b">
        <f t="shared" si="210"/>
        <v>0</v>
      </c>
      <c r="S308" s="721" t="b">
        <f t="shared" si="191"/>
        <v>0</v>
      </c>
      <c r="T308" s="721" t="b">
        <f t="shared" si="193"/>
        <v>0</v>
      </c>
      <c r="U308" s="721" t="b">
        <f t="shared" si="190"/>
        <v>0</v>
      </c>
      <c r="V308" s="721" t="b">
        <f t="shared" si="187"/>
        <v>0</v>
      </c>
      <c r="W308" s="721" t="b">
        <f t="shared" si="211"/>
        <v>0</v>
      </c>
      <c r="X308" s="721" t="b">
        <f t="shared" si="196"/>
        <v>0</v>
      </c>
      <c r="Y308" s="721" t="b">
        <f t="shared" si="199"/>
        <v>0</v>
      </c>
      <c r="Z308" s="721" t="b">
        <f t="shared" si="216"/>
        <v>0</v>
      </c>
      <c r="AA308" s="721" t="b">
        <f t="shared" si="195"/>
        <v>0</v>
      </c>
      <c r="AB308" s="17"/>
      <c r="AC308" s="17"/>
      <c r="AD308" s="17"/>
      <c r="AE308" s="17"/>
      <c r="AF308" s="17"/>
      <c r="AG308" s="17"/>
      <c r="AH308" s="17"/>
      <c r="AI308" s="17"/>
      <c r="AJ308" s="17"/>
      <c r="AK308" s="17"/>
      <c r="AL308" s="17"/>
      <c r="AM308" s="17"/>
      <c r="AN308" s="17"/>
      <c r="AO308" s="17"/>
      <c r="AP308" s="17"/>
      <c r="AQ308" s="17"/>
    </row>
    <row r="309" spans="1:43" hidden="1">
      <c r="A309">
        <f t="shared" si="214"/>
        <v>306</v>
      </c>
      <c r="B309" s="407">
        <v>1</v>
      </c>
      <c r="C309" s="407" t="s">
        <v>505</v>
      </c>
      <c r="D309" s="407" t="s">
        <v>1259</v>
      </c>
      <c r="E309" s="407"/>
      <c r="F309" s="408" t="s">
        <v>1277</v>
      </c>
      <c r="G309" s="409">
        <v>982.71</v>
      </c>
      <c r="H309" s="410"/>
      <c r="I309" s="409">
        <f t="shared" si="213"/>
        <v>982.71</v>
      </c>
      <c r="J309" s="58">
        <v>3000</v>
      </c>
      <c r="K309" s="417">
        <f t="shared" si="188"/>
        <v>0.32757000000000003</v>
      </c>
      <c r="L309" s="17" t="s">
        <v>1261</v>
      </c>
      <c r="M309" s="720">
        <v>44294</v>
      </c>
      <c r="N309" s="721" t="b">
        <f t="shared" si="209"/>
        <v>0</v>
      </c>
      <c r="O309" s="721" t="b">
        <f t="shared" si="217"/>
        <v>0</v>
      </c>
      <c r="P309" s="721" t="b">
        <f t="shared" si="215"/>
        <v>1</v>
      </c>
      <c r="Q309" s="721" t="b">
        <f t="shared" si="202"/>
        <v>0</v>
      </c>
      <c r="R309" s="721" t="b">
        <f t="shared" si="210"/>
        <v>0</v>
      </c>
      <c r="S309" s="721" t="b">
        <f t="shared" si="191"/>
        <v>0</v>
      </c>
      <c r="T309" s="721" t="b">
        <f t="shared" si="193"/>
        <v>0</v>
      </c>
      <c r="U309" s="721" t="b">
        <f t="shared" si="190"/>
        <v>0</v>
      </c>
      <c r="V309" s="721" t="b">
        <f t="shared" si="187"/>
        <v>0</v>
      </c>
      <c r="W309" s="721" t="b">
        <f t="shared" si="211"/>
        <v>0</v>
      </c>
      <c r="X309" s="721" t="b">
        <f t="shared" si="196"/>
        <v>0</v>
      </c>
      <c r="Y309" s="721" t="b">
        <f t="shared" si="199"/>
        <v>0</v>
      </c>
      <c r="Z309" s="721" t="b">
        <f t="shared" si="216"/>
        <v>0</v>
      </c>
      <c r="AA309" s="721" t="b">
        <f t="shared" si="195"/>
        <v>0</v>
      </c>
      <c r="AB309" s="17"/>
      <c r="AC309" s="17"/>
      <c r="AD309" s="17"/>
      <c r="AE309" s="17"/>
      <c r="AF309" s="17"/>
      <c r="AG309" s="17"/>
      <c r="AH309" s="17"/>
      <c r="AI309" s="17"/>
      <c r="AJ309" s="17"/>
      <c r="AK309" s="17"/>
      <c r="AL309" s="17"/>
      <c r="AM309" s="17"/>
      <c r="AN309" s="17"/>
      <c r="AO309" s="17"/>
      <c r="AP309" s="17"/>
      <c r="AQ309" s="17"/>
    </row>
    <row r="310" spans="1:43" hidden="1">
      <c r="A310">
        <f t="shared" si="214"/>
        <v>307</v>
      </c>
      <c r="B310" s="407">
        <v>1</v>
      </c>
      <c r="C310" s="407" t="s">
        <v>505</v>
      </c>
      <c r="D310" s="407" t="s">
        <v>1259</v>
      </c>
      <c r="E310" s="407"/>
      <c r="F310" s="408" t="s">
        <v>1278</v>
      </c>
      <c r="G310" s="409">
        <v>1129.83</v>
      </c>
      <c r="H310" s="410"/>
      <c r="I310" s="409">
        <f t="shared" si="213"/>
        <v>1129.83</v>
      </c>
      <c r="J310" s="58">
        <v>3500</v>
      </c>
      <c r="K310" s="417">
        <f t="shared" si="188"/>
        <v>0.32280857142857139</v>
      </c>
      <c r="L310" s="17" t="s">
        <v>1261</v>
      </c>
      <c r="M310" s="720">
        <v>44294</v>
      </c>
      <c r="N310" s="721" t="b">
        <f t="shared" si="209"/>
        <v>0</v>
      </c>
      <c r="O310" s="721" t="b">
        <f t="shared" si="217"/>
        <v>0</v>
      </c>
      <c r="P310" s="721" t="b">
        <f t="shared" si="215"/>
        <v>1</v>
      </c>
      <c r="Q310" s="721" t="b">
        <f t="shared" si="202"/>
        <v>0</v>
      </c>
      <c r="R310" s="721" t="b">
        <f t="shared" si="210"/>
        <v>0</v>
      </c>
      <c r="S310" s="721" t="b">
        <f t="shared" si="191"/>
        <v>0</v>
      </c>
      <c r="T310" s="721" t="b">
        <f t="shared" si="193"/>
        <v>0</v>
      </c>
      <c r="U310" s="721" t="b">
        <f t="shared" si="190"/>
        <v>0</v>
      </c>
      <c r="V310" s="721" t="b">
        <f t="shared" si="187"/>
        <v>0</v>
      </c>
      <c r="W310" s="721" t="b">
        <f t="shared" si="211"/>
        <v>0</v>
      </c>
      <c r="X310" s="721" t="b">
        <f t="shared" si="196"/>
        <v>0</v>
      </c>
      <c r="Y310" s="721" t="b">
        <f t="shared" si="199"/>
        <v>0</v>
      </c>
      <c r="Z310" s="721" t="b">
        <f t="shared" si="216"/>
        <v>0</v>
      </c>
      <c r="AA310" s="721" t="b">
        <f t="shared" si="195"/>
        <v>0</v>
      </c>
      <c r="AB310" s="17"/>
      <c r="AC310" s="17"/>
      <c r="AD310" s="17"/>
      <c r="AE310" s="17"/>
      <c r="AF310" s="17"/>
      <c r="AG310" s="17"/>
      <c r="AH310" s="17"/>
      <c r="AI310" s="17"/>
      <c r="AJ310" s="17"/>
      <c r="AK310" s="17"/>
      <c r="AL310" s="17"/>
      <c r="AM310" s="17"/>
      <c r="AN310" s="17"/>
      <c r="AO310" s="17"/>
      <c r="AP310" s="17"/>
      <c r="AQ310" s="17"/>
    </row>
    <row r="311" spans="1:43" hidden="1">
      <c r="A311">
        <f t="shared" si="214"/>
        <v>308</v>
      </c>
      <c r="B311" s="407">
        <v>1</v>
      </c>
      <c r="C311" s="407" t="s">
        <v>505</v>
      </c>
      <c r="D311" s="407" t="s">
        <v>1259</v>
      </c>
      <c r="E311" s="407"/>
      <c r="F311" s="408" t="s">
        <v>1279</v>
      </c>
      <c r="G311" s="409">
        <v>1147.48</v>
      </c>
      <c r="H311" s="410"/>
      <c r="I311" s="409">
        <f t="shared" si="213"/>
        <v>1147.48</v>
      </c>
      <c r="J311" s="58">
        <v>3680</v>
      </c>
      <c r="K311" s="417">
        <f t="shared" si="188"/>
        <v>0.31181521739130436</v>
      </c>
      <c r="L311" s="17" t="s">
        <v>1261</v>
      </c>
      <c r="M311" s="720">
        <v>44294</v>
      </c>
      <c r="N311" s="721" t="b">
        <f t="shared" si="209"/>
        <v>0</v>
      </c>
      <c r="O311" s="721" t="b">
        <f t="shared" si="217"/>
        <v>0</v>
      </c>
      <c r="P311" s="721" t="b">
        <f t="shared" si="215"/>
        <v>1</v>
      </c>
      <c r="Q311" s="721" t="b">
        <f t="shared" si="202"/>
        <v>0</v>
      </c>
      <c r="R311" s="721" t="b">
        <f t="shared" si="210"/>
        <v>0</v>
      </c>
      <c r="S311" s="721" t="b">
        <f t="shared" si="191"/>
        <v>0</v>
      </c>
      <c r="T311" s="721" t="b">
        <f t="shared" si="193"/>
        <v>0</v>
      </c>
      <c r="U311" s="721" t="b">
        <f t="shared" si="190"/>
        <v>0</v>
      </c>
      <c r="V311" s="721" t="b">
        <f t="shared" si="187"/>
        <v>0</v>
      </c>
      <c r="W311" s="721" t="b">
        <f t="shared" si="211"/>
        <v>0</v>
      </c>
      <c r="X311" s="721" t="b">
        <f t="shared" si="196"/>
        <v>0</v>
      </c>
      <c r="Y311" s="721" t="b">
        <f t="shared" si="199"/>
        <v>0</v>
      </c>
      <c r="Z311" s="721" t="b">
        <f t="shared" si="216"/>
        <v>0</v>
      </c>
      <c r="AA311" s="721" t="b">
        <f t="shared" si="195"/>
        <v>0</v>
      </c>
      <c r="AB311" s="17"/>
      <c r="AC311" s="17"/>
      <c r="AD311" s="17"/>
      <c r="AE311" s="17"/>
      <c r="AF311" s="17"/>
      <c r="AG311" s="17"/>
      <c r="AH311" s="17"/>
      <c r="AI311" s="17"/>
      <c r="AJ311" s="17"/>
      <c r="AK311" s="17"/>
      <c r="AL311" s="17"/>
      <c r="AM311" s="17"/>
      <c r="AN311" s="17"/>
      <c r="AO311" s="17"/>
      <c r="AP311" s="17"/>
      <c r="AQ311" s="17"/>
    </row>
    <row r="312" spans="1:43" hidden="1">
      <c r="A312">
        <f t="shared" si="214"/>
        <v>309</v>
      </c>
      <c r="B312" s="407">
        <v>1</v>
      </c>
      <c r="C312" s="407" t="s">
        <v>505</v>
      </c>
      <c r="D312" s="407" t="s">
        <v>1259</v>
      </c>
      <c r="E312" s="407"/>
      <c r="F312" s="408" t="s">
        <v>1280</v>
      </c>
      <c r="G312" s="409">
        <v>1212.21</v>
      </c>
      <c r="H312" s="410"/>
      <c r="I312" s="409">
        <f t="shared" si="213"/>
        <v>1212.21</v>
      </c>
      <c r="J312" s="58">
        <v>4000</v>
      </c>
      <c r="K312" s="417">
        <f t="shared" ref="K312:K367" si="218">G312/J312</f>
        <v>0.3030525</v>
      </c>
      <c r="L312" s="17" t="s">
        <v>1261</v>
      </c>
      <c r="M312" s="720">
        <v>44294</v>
      </c>
      <c r="N312" s="721" t="b">
        <f t="shared" si="209"/>
        <v>0</v>
      </c>
      <c r="O312" s="721" t="b">
        <f t="shared" si="217"/>
        <v>0</v>
      </c>
      <c r="P312" s="721" t="b">
        <f t="shared" si="215"/>
        <v>1</v>
      </c>
      <c r="Q312" s="721" t="b">
        <f t="shared" si="202"/>
        <v>0</v>
      </c>
      <c r="R312" s="721" t="b">
        <f t="shared" si="210"/>
        <v>0</v>
      </c>
      <c r="S312" s="721" t="b">
        <f t="shared" si="191"/>
        <v>0</v>
      </c>
      <c r="T312" s="721" t="b">
        <f t="shared" si="193"/>
        <v>0</v>
      </c>
      <c r="U312" s="721" t="b">
        <f t="shared" si="190"/>
        <v>0</v>
      </c>
      <c r="V312" s="721" t="b">
        <f t="shared" ref="V312:V370" si="219">FALSE()</f>
        <v>0</v>
      </c>
      <c r="W312" s="721" t="b">
        <f t="shared" si="211"/>
        <v>0</v>
      </c>
      <c r="X312" s="721" t="b">
        <f t="shared" si="196"/>
        <v>0</v>
      </c>
      <c r="Y312" s="721" t="b">
        <f t="shared" si="199"/>
        <v>0</v>
      </c>
      <c r="Z312" s="721" t="b">
        <f t="shared" si="216"/>
        <v>0</v>
      </c>
      <c r="AA312" s="721" t="b">
        <f t="shared" si="195"/>
        <v>0</v>
      </c>
      <c r="AB312" s="17"/>
      <c r="AC312" s="17"/>
      <c r="AD312" s="17"/>
      <c r="AE312" s="17"/>
      <c r="AF312" s="17"/>
      <c r="AG312" s="17"/>
      <c r="AH312" s="17"/>
      <c r="AI312" s="17"/>
      <c r="AJ312" s="17"/>
      <c r="AK312" s="17"/>
      <c r="AL312" s="17"/>
      <c r="AM312" s="17"/>
      <c r="AN312" s="17"/>
      <c r="AO312" s="17"/>
      <c r="AP312" s="17"/>
      <c r="AQ312" s="17"/>
    </row>
    <row r="313" spans="1:43" hidden="1">
      <c r="A313">
        <f t="shared" si="214"/>
        <v>310</v>
      </c>
      <c r="B313" s="407">
        <v>1</v>
      </c>
      <c r="C313" s="407" t="s">
        <v>505</v>
      </c>
      <c r="D313" s="407" t="s">
        <v>1259</v>
      </c>
      <c r="E313" s="407"/>
      <c r="F313" s="408" t="s">
        <v>1281</v>
      </c>
      <c r="G313" s="409">
        <v>1276.93</v>
      </c>
      <c r="H313" s="410"/>
      <c r="I313" s="409">
        <f t="shared" si="213"/>
        <v>1276.93</v>
      </c>
      <c r="J313" s="58">
        <v>5000</v>
      </c>
      <c r="K313" s="417">
        <f t="shared" si="218"/>
        <v>0.255386</v>
      </c>
      <c r="L313" s="17" t="s">
        <v>1261</v>
      </c>
      <c r="M313" s="720">
        <v>44294</v>
      </c>
      <c r="N313" s="721" t="b">
        <f t="shared" si="209"/>
        <v>0</v>
      </c>
      <c r="O313" s="721" t="b">
        <f t="shared" si="217"/>
        <v>0</v>
      </c>
      <c r="P313" s="721" t="b">
        <f t="shared" si="215"/>
        <v>1</v>
      </c>
      <c r="Q313" s="721" t="b">
        <f t="shared" si="202"/>
        <v>0</v>
      </c>
      <c r="R313" s="721" t="b">
        <f t="shared" si="210"/>
        <v>0</v>
      </c>
      <c r="S313" s="721" t="b">
        <f t="shared" si="191"/>
        <v>0</v>
      </c>
      <c r="T313" s="721" t="b">
        <f t="shared" si="193"/>
        <v>0</v>
      </c>
      <c r="U313" s="721" t="b">
        <f t="shared" si="190"/>
        <v>0</v>
      </c>
      <c r="V313" s="721" t="b">
        <f t="shared" si="219"/>
        <v>0</v>
      </c>
      <c r="W313" s="721" t="b">
        <f t="shared" si="211"/>
        <v>0</v>
      </c>
      <c r="X313" s="721" t="b">
        <f t="shared" si="196"/>
        <v>0</v>
      </c>
      <c r="Y313" s="721" t="b">
        <f t="shared" si="199"/>
        <v>0</v>
      </c>
      <c r="Z313" s="721" t="b">
        <f t="shared" si="216"/>
        <v>0</v>
      </c>
      <c r="AA313" s="721" t="b">
        <f t="shared" si="195"/>
        <v>0</v>
      </c>
      <c r="AB313" s="17"/>
      <c r="AC313" s="17"/>
      <c r="AD313" s="17"/>
      <c r="AE313" s="17"/>
      <c r="AF313" s="17"/>
      <c r="AG313" s="17"/>
      <c r="AH313" s="17"/>
      <c r="AI313" s="17"/>
      <c r="AJ313" s="17"/>
      <c r="AK313" s="17"/>
      <c r="AL313" s="17"/>
      <c r="AM313" s="17"/>
      <c r="AN313" s="17"/>
      <c r="AO313" s="17"/>
      <c r="AP313" s="17"/>
      <c r="AQ313" s="17"/>
    </row>
    <row r="314" spans="1:43" hidden="1">
      <c r="A314">
        <f t="shared" si="214"/>
        <v>311</v>
      </c>
      <c r="B314" s="407">
        <v>1</v>
      </c>
      <c r="C314" s="407" t="s">
        <v>505</v>
      </c>
      <c r="D314" s="407" t="s">
        <v>1259</v>
      </c>
      <c r="E314" s="407"/>
      <c r="F314" s="408" t="s">
        <v>1282</v>
      </c>
      <c r="G314" s="409">
        <v>1526.43</v>
      </c>
      <c r="H314" s="410"/>
      <c r="I314" s="409">
        <f t="shared" si="213"/>
        <v>1526.43</v>
      </c>
      <c r="J314" s="58">
        <v>6000</v>
      </c>
      <c r="K314" s="417">
        <f t="shared" si="218"/>
        <v>0.25440499999999999</v>
      </c>
      <c r="L314" s="17" t="s">
        <v>1261</v>
      </c>
      <c r="M314" s="720">
        <v>44294</v>
      </c>
      <c r="N314" s="721" t="b">
        <f t="shared" si="209"/>
        <v>0</v>
      </c>
      <c r="O314" s="721" t="b">
        <f t="shared" si="217"/>
        <v>0</v>
      </c>
      <c r="P314" s="721" t="b">
        <f t="shared" si="215"/>
        <v>1</v>
      </c>
      <c r="Q314" s="721" t="b">
        <f t="shared" si="202"/>
        <v>0</v>
      </c>
      <c r="R314" s="721" t="b">
        <f t="shared" si="210"/>
        <v>0</v>
      </c>
      <c r="S314" s="721" t="b">
        <f t="shared" si="191"/>
        <v>0</v>
      </c>
      <c r="T314" s="721" t="b">
        <f t="shared" si="193"/>
        <v>0</v>
      </c>
      <c r="U314" s="721" t="b">
        <f t="shared" si="190"/>
        <v>0</v>
      </c>
      <c r="V314" s="721" t="b">
        <f t="shared" si="219"/>
        <v>0</v>
      </c>
      <c r="W314" s="721" t="b">
        <f t="shared" si="211"/>
        <v>0</v>
      </c>
      <c r="X314" s="721" t="b">
        <f t="shared" si="196"/>
        <v>0</v>
      </c>
      <c r="Y314" s="721" t="b">
        <f t="shared" si="199"/>
        <v>0</v>
      </c>
      <c r="Z314" s="721" t="b">
        <f t="shared" si="216"/>
        <v>0</v>
      </c>
      <c r="AA314" s="721" t="b">
        <f t="shared" si="195"/>
        <v>0</v>
      </c>
      <c r="AB314" s="17"/>
      <c r="AC314" s="17"/>
      <c r="AD314" s="17"/>
      <c r="AE314" s="17"/>
      <c r="AF314" s="17"/>
      <c r="AG314" s="17"/>
      <c r="AH314" s="17"/>
      <c r="AI314" s="17"/>
      <c r="AJ314" s="17"/>
      <c r="AK314" s="17"/>
      <c r="AL314" s="17"/>
      <c r="AM314" s="17"/>
      <c r="AN314" s="17"/>
      <c r="AO314" s="17"/>
      <c r="AP314" s="17"/>
      <c r="AQ314" s="17"/>
    </row>
    <row r="315" spans="1:43" hidden="1">
      <c r="A315">
        <f t="shared" si="214"/>
        <v>312</v>
      </c>
      <c r="B315" s="407">
        <v>1</v>
      </c>
      <c r="C315" s="407" t="s">
        <v>505</v>
      </c>
      <c r="D315" s="407" t="s">
        <v>1259</v>
      </c>
      <c r="E315" s="407"/>
      <c r="F315" s="408" t="s">
        <v>1283</v>
      </c>
      <c r="G315" s="409">
        <v>2489.9</v>
      </c>
      <c r="H315" s="410"/>
      <c r="I315" s="409">
        <f t="shared" si="213"/>
        <v>2489.9</v>
      </c>
      <c r="J315" s="58">
        <v>29990</v>
      </c>
      <c r="K315" s="417">
        <f t="shared" si="218"/>
        <v>8.3024341447149055E-2</v>
      </c>
      <c r="L315" s="17" t="s">
        <v>1261</v>
      </c>
      <c r="M315" s="720">
        <v>44294</v>
      </c>
      <c r="N315" s="721" t="b">
        <f t="shared" si="209"/>
        <v>0</v>
      </c>
      <c r="O315" s="721" t="b">
        <f t="shared" si="217"/>
        <v>0</v>
      </c>
      <c r="P315" s="721" t="b">
        <f t="shared" si="215"/>
        <v>1</v>
      </c>
      <c r="Q315" s="721" t="b">
        <f t="shared" si="202"/>
        <v>0</v>
      </c>
      <c r="R315" s="721" t="b">
        <f t="shared" si="210"/>
        <v>0</v>
      </c>
      <c r="S315" s="721" t="b">
        <f t="shared" si="191"/>
        <v>0</v>
      </c>
      <c r="T315" s="721" t="b">
        <f t="shared" si="193"/>
        <v>0</v>
      </c>
      <c r="U315" s="721" t="b">
        <f t="shared" ref="U315:U371" si="220">FALSE()</f>
        <v>0</v>
      </c>
      <c r="V315" s="721" t="b">
        <f t="shared" si="219"/>
        <v>0</v>
      </c>
      <c r="W315" s="721" t="b">
        <f t="shared" si="211"/>
        <v>0</v>
      </c>
      <c r="X315" s="721" t="b">
        <f t="shared" si="196"/>
        <v>0</v>
      </c>
      <c r="Y315" s="721" t="b">
        <f t="shared" si="199"/>
        <v>0</v>
      </c>
      <c r="Z315" s="721" t="b">
        <f t="shared" si="216"/>
        <v>0</v>
      </c>
      <c r="AA315" s="721" t="b">
        <f t="shared" si="195"/>
        <v>0</v>
      </c>
      <c r="AB315" s="17"/>
      <c r="AC315" s="17"/>
      <c r="AD315" s="17"/>
      <c r="AE315" s="17"/>
      <c r="AF315" s="17"/>
      <c r="AG315" s="17"/>
      <c r="AH315" s="17"/>
      <c r="AI315" s="17"/>
      <c r="AJ315" s="17"/>
      <c r="AK315" s="17"/>
      <c r="AL315" s="17"/>
      <c r="AM315" s="17"/>
      <c r="AN315" s="17"/>
      <c r="AO315" s="17"/>
      <c r="AP315" s="17"/>
      <c r="AQ315" s="17"/>
    </row>
    <row r="316" spans="1:43" hidden="1">
      <c r="A316">
        <f t="shared" si="214"/>
        <v>313</v>
      </c>
      <c r="B316" s="407">
        <v>1</v>
      </c>
      <c r="C316" s="407" t="s">
        <v>505</v>
      </c>
      <c r="D316" s="407" t="s">
        <v>1259</v>
      </c>
      <c r="E316" s="407"/>
      <c r="F316" s="408" t="s">
        <v>1284</v>
      </c>
      <c r="G316" s="409">
        <v>3008.8</v>
      </c>
      <c r="H316" s="410"/>
      <c r="I316" s="409">
        <f t="shared" si="213"/>
        <v>3008.8</v>
      </c>
      <c r="J316" s="58">
        <v>33300</v>
      </c>
      <c r="K316" s="417">
        <f t="shared" si="218"/>
        <v>9.0354354354354363E-2</v>
      </c>
      <c r="L316" s="17" t="s">
        <v>1261</v>
      </c>
      <c r="M316" s="720">
        <v>44294</v>
      </c>
      <c r="N316" s="721" t="b">
        <f t="shared" si="209"/>
        <v>0</v>
      </c>
      <c r="O316" s="721" t="b">
        <f t="shared" si="217"/>
        <v>0</v>
      </c>
      <c r="P316" s="721" t="b">
        <f t="shared" si="215"/>
        <v>1</v>
      </c>
      <c r="Q316" s="721" t="b">
        <f t="shared" si="202"/>
        <v>0</v>
      </c>
      <c r="R316" s="721" t="b">
        <f t="shared" si="210"/>
        <v>0</v>
      </c>
      <c r="S316" s="721" t="b">
        <f t="shared" si="191"/>
        <v>0</v>
      </c>
      <c r="T316" s="721" t="b">
        <f t="shared" si="193"/>
        <v>0</v>
      </c>
      <c r="U316" s="721" t="b">
        <f t="shared" si="220"/>
        <v>0</v>
      </c>
      <c r="V316" s="721" t="b">
        <f t="shared" si="219"/>
        <v>0</v>
      </c>
      <c r="W316" s="721" t="b">
        <f t="shared" si="211"/>
        <v>0</v>
      </c>
      <c r="X316" s="721" t="b">
        <f t="shared" si="196"/>
        <v>0</v>
      </c>
      <c r="Y316" s="721" t="b">
        <f t="shared" si="199"/>
        <v>0</v>
      </c>
      <c r="Z316" s="721" t="b">
        <f t="shared" si="216"/>
        <v>0</v>
      </c>
      <c r="AA316" s="721" t="b">
        <f t="shared" si="195"/>
        <v>0</v>
      </c>
      <c r="AB316" s="17"/>
      <c r="AC316" s="17"/>
      <c r="AD316" s="17"/>
      <c r="AE316" s="17"/>
      <c r="AF316" s="17"/>
      <c r="AG316" s="17"/>
      <c r="AH316" s="17"/>
      <c r="AI316" s="17"/>
      <c r="AJ316" s="17"/>
      <c r="AK316" s="17"/>
      <c r="AL316" s="17"/>
      <c r="AM316" s="17"/>
      <c r="AN316" s="17"/>
      <c r="AO316" s="17"/>
      <c r="AP316" s="17"/>
      <c r="AQ316" s="17"/>
    </row>
    <row r="317" spans="1:43" hidden="1">
      <c r="A317">
        <f t="shared" si="214"/>
        <v>314</v>
      </c>
      <c r="B317" s="407">
        <v>1</v>
      </c>
      <c r="C317" s="407" t="s">
        <v>505</v>
      </c>
      <c r="D317" s="407" t="s">
        <v>1285</v>
      </c>
      <c r="E317" s="407"/>
      <c r="F317" s="408" t="s">
        <v>811</v>
      </c>
      <c r="G317" s="409">
        <v>3765</v>
      </c>
      <c r="H317" s="410"/>
      <c r="I317" s="409">
        <f t="shared" si="213"/>
        <v>3765</v>
      </c>
      <c r="J317" s="58">
        <v>55000</v>
      </c>
      <c r="K317" s="417">
        <f t="shared" si="218"/>
        <v>6.8454545454545448E-2</v>
      </c>
      <c r="L317" s="17" t="s">
        <v>1115</v>
      </c>
      <c r="M317" s="720">
        <v>44294</v>
      </c>
      <c r="N317" s="721" t="b">
        <f t="shared" si="209"/>
        <v>0</v>
      </c>
      <c r="O317" s="721" t="b">
        <f t="shared" si="217"/>
        <v>0</v>
      </c>
      <c r="P317" s="721" t="b">
        <f t="shared" si="215"/>
        <v>1</v>
      </c>
      <c r="Q317" s="721" t="b">
        <f t="shared" si="202"/>
        <v>0</v>
      </c>
      <c r="R317" s="721" t="b">
        <f t="shared" si="210"/>
        <v>0</v>
      </c>
      <c r="S317" s="721" t="b">
        <f t="shared" si="191"/>
        <v>0</v>
      </c>
      <c r="T317" s="721" t="b">
        <f t="shared" si="193"/>
        <v>0</v>
      </c>
      <c r="U317" s="721" t="b">
        <f t="shared" si="220"/>
        <v>0</v>
      </c>
      <c r="V317" s="721" t="b">
        <f t="shared" si="219"/>
        <v>0</v>
      </c>
      <c r="W317" s="721" t="b">
        <f t="shared" si="211"/>
        <v>0</v>
      </c>
      <c r="X317" s="721" t="b">
        <f t="shared" si="196"/>
        <v>0</v>
      </c>
      <c r="Y317" s="721" t="b">
        <f t="shared" si="199"/>
        <v>0</v>
      </c>
      <c r="Z317" s="721" t="b">
        <f t="shared" si="216"/>
        <v>0</v>
      </c>
      <c r="AA317" s="721" t="b">
        <f t="shared" si="195"/>
        <v>0</v>
      </c>
      <c r="AB317" s="17"/>
      <c r="AC317" s="17"/>
      <c r="AD317" s="17"/>
      <c r="AE317" s="17"/>
      <c r="AF317" s="17"/>
      <c r="AG317" s="17"/>
      <c r="AH317" s="17"/>
      <c r="AI317" s="17"/>
      <c r="AJ317" s="17"/>
      <c r="AK317" s="17"/>
      <c r="AL317" s="17"/>
      <c r="AM317" s="17"/>
      <c r="AN317" s="17"/>
      <c r="AO317" s="17"/>
      <c r="AP317" s="17"/>
      <c r="AQ317" s="17"/>
    </row>
    <row r="318" spans="1:43">
      <c r="A318">
        <f t="shared" si="214"/>
        <v>315</v>
      </c>
      <c r="B318" s="487">
        <v>1</v>
      </c>
      <c r="C318" s="487" t="s">
        <v>522</v>
      </c>
      <c r="D318" s="407" t="s">
        <v>1223</v>
      </c>
      <c r="E318" s="487"/>
      <c r="F318" s="408" t="s">
        <v>1224</v>
      </c>
      <c r="G318" s="409">
        <f>7479/1.2</f>
        <v>6232.5</v>
      </c>
      <c r="H318" s="410"/>
      <c r="I318" s="409">
        <f t="shared" si="213"/>
        <v>6232.5</v>
      </c>
      <c r="J318" s="58">
        <v>100000</v>
      </c>
      <c r="K318" s="417">
        <f t="shared" si="218"/>
        <v>6.2324999999999998E-2</v>
      </c>
      <c r="L318" s="17" t="s">
        <v>1115</v>
      </c>
      <c r="M318" s="720">
        <v>44302</v>
      </c>
      <c r="N318" s="721" t="b">
        <f t="shared" si="209"/>
        <v>0</v>
      </c>
      <c r="O318" s="721" t="b">
        <f t="shared" si="217"/>
        <v>0</v>
      </c>
      <c r="P318" s="721" t="b">
        <f t="shared" si="215"/>
        <v>1</v>
      </c>
      <c r="Q318" s="721" t="b">
        <f t="shared" si="202"/>
        <v>0</v>
      </c>
      <c r="R318" s="721" t="b">
        <f t="shared" si="210"/>
        <v>0</v>
      </c>
      <c r="S318" s="721" t="b">
        <f t="shared" si="191"/>
        <v>0</v>
      </c>
      <c r="T318" s="721" t="b">
        <f t="shared" si="193"/>
        <v>0</v>
      </c>
      <c r="U318" s="721" t="b">
        <f t="shared" si="220"/>
        <v>0</v>
      </c>
      <c r="V318" s="721" t="b">
        <f t="shared" si="219"/>
        <v>0</v>
      </c>
      <c r="W318" s="721" t="b">
        <f t="shared" si="211"/>
        <v>0</v>
      </c>
      <c r="X318" s="721" t="b">
        <f t="shared" si="196"/>
        <v>0</v>
      </c>
      <c r="Y318" s="721" t="b">
        <f t="shared" si="199"/>
        <v>0</v>
      </c>
      <c r="Z318" s="721" t="b">
        <f t="shared" si="216"/>
        <v>0</v>
      </c>
      <c r="AA318" s="721" t="b">
        <f t="shared" si="195"/>
        <v>0</v>
      </c>
      <c r="AB318" s="17"/>
      <c r="AC318" s="17"/>
      <c r="AD318" s="17"/>
      <c r="AE318" s="17"/>
      <c r="AF318" s="17"/>
      <c r="AG318" s="17"/>
      <c r="AH318" s="17"/>
      <c r="AI318" s="17"/>
      <c r="AJ318" s="17"/>
      <c r="AK318" s="17"/>
      <c r="AL318" s="17"/>
      <c r="AM318" s="17"/>
      <c r="AN318" s="17"/>
      <c r="AO318" s="17"/>
      <c r="AP318" s="17"/>
      <c r="AQ318" s="17"/>
    </row>
    <row r="319" spans="1:43" hidden="1">
      <c r="A319">
        <f t="shared" si="214"/>
        <v>316</v>
      </c>
      <c r="B319" s="407">
        <v>1</v>
      </c>
      <c r="C319" s="407" t="s">
        <v>522</v>
      </c>
      <c r="D319" s="407" t="s">
        <v>1223</v>
      </c>
      <c r="E319" s="487"/>
      <c r="F319" s="408" t="s">
        <v>1225</v>
      </c>
      <c r="G319" s="409">
        <f>5199/1.2</f>
        <v>4332.5</v>
      </c>
      <c r="H319" s="410"/>
      <c r="I319" s="409">
        <f t="shared" si="213"/>
        <v>4332.5</v>
      </c>
      <c r="J319" s="58">
        <v>50000</v>
      </c>
      <c r="K319" s="417">
        <f t="shared" si="218"/>
        <v>8.6650000000000005E-2</v>
      </c>
      <c r="L319" s="17" t="s">
        <v>1115</v>
      </c>
      <c r="M319" s="720">
        <v>44302</v>
      </c>
      <c r="N319" s="721" t="b">
        <f t="shared" si="209"/>
        <v>0</v>
      </c>
      <c r="O319" s="721" t="b">
        <f t="shared" si="217"/>
        <v>0</v>
      </c>
      <c r="P319" s="721" t="b">
        <f t="shared" si="215"/>
        <v>1</v>
      </c>
      <c r="Q319" s="721" t="b">
        <f t="shared" si="202"/>
        <v>0</v>
      </c>
      <c r="R319" s="721" t="b">
        <f t="shared" si="210"/>
        <v>0</v>
      </c>
      <c r="S319" s="721" t="b">
        <f t="shared" ref="S319:S345" si="221">FALSE()</f>
        <v>0</v>
      </c>
      <c r="T319" s="721" t="b">
        <f t="shared" si="193"/>
        <v>0</v>
      </c>
      <c r="U319" s="721" t="b">
        <f t="shared" si="220"/>
        <v>0</v>
      </c>
      <c r="V319" s="721" t="b">
        <f t="shared" si="219"/>
        <v>0</v>
      </c>
      <c r="W319" s="721" t="b">
        <f t="shared" si="211"/>
        <v>0</v>
      </c>
      <c r="X319" s="721" t="b">
        <f t="shared" si="196"/>
        <v>0</v>
      </c>
      <c r="Y319" s="721" t="b">
        <f t="shared" si="199"/>
        <v>0</v>
      </c>
      <c r="Z319" s="721" t="b">
        <f t="shared" si="216"/>
        <v>0</v>
      </c>
      <c r="AA319" s="721" t="b">
        <f t="shared" si="195"/>
        <v>0</v>
      </c>
      <c r="AB319" s="17"/>
      <c r="AC319" s="17"/>
      <c r="AD319" s="17"/>
      <c r="AE319" s="17"/>
      <c r="AF319" s="17"/>
      <c r="AG319" s="17"/>
      <c r="AH319" s="17"/>
      <c r="AI319" s="17"/>
      <c r="AJ319" s="17"/>
      <c r="AK319" s="17"/>
      <c r="AL319" s="17"/>
      <c r="AM319" s="17"/>
      <c r="AN319" s="17"/>
      <c r="AO319" s="17"/>
      <c r="AP319" s="17"/>
      <c r="AQ319" s="17"/>
    </row>
    <row r="320" spans="1:43">
      <c r="A320">
        <f t="shared" si="214"/>
        <v>317</v>
      </c>
      <c r="B320" s="407">
        <v>1</v>
      </c>
      <c r="C320" s="407" t="s">
        <v>522</v>
      </c>
      <c r="D320" s="407" t="s">
        <v>1223</v>
      </c>
      <c r="E320" s="487"/>
      <c r="F320" s="408" t="s">
        <v>1286</v>
      </c>
      <c r="G320" s="409">
        <f>8232.5/1.2</f>
        <v>6860.416666666667</v>
      </c>
      <c r="H320" s="410"/>
      <c r="I320" s="409">
        <f t="shared" si="213"/>
        <v>6860.416666666667</v>
      </c>
      <c r="J320" s="58">
        <v>110000</v>
      </c>
      <c r="K320" s="417">
        <f t="shared" si="218"/>
        <v>6.2367424242424245E-2</v>
      </c>
      <c r="L320" s="17" t="s">
        <v>1287</v>
      </c>
      <c r="M320" s="720">
        <v>44302</v>
      </c>
      <c r="N320" s="721" t="b">
        <f t="shared" si="209"/>
        <v>0</v>
      </c>
      <c r="O320" s="721" t="b">
        <f t="shared" si="217"/>
        <v>0</v>
      </c>
      <c r="P320" s="721" t="b">
        <f t="shared" si="215"/>
        <v>1</v>
      </c>
      <c r="Q320" s="721" t="b">
        <f t="shared" si="202"/>
        <v>0</v>
      </c>
      <c r="R320" s="721" t="b">
        <f t="shared" si="210"/>
        <v>0</v>
      </c>
      <c r="S320" s="721" t="b">
        <f t="shared" si="221"/>
        <v>0</v>
      </c>
      <c r="T320" s="721" t="b">
        <f t="shared" si="193"/>
        <v>0</v>
      </c>
      <c r="U320" s="721" t="b">
        <f t="shared" si="220"/>
        <v>0</v>
      </c>
      <c r="V320" s="721" t="b">
        <f t="shared" si="219"/>
        <v>0</v>
      </c>
      <c r="W320" s="721" t="b">
        <f t="shared" si="211"/>
        <v>0</v>
      </c>
      <c r="X320" s="721" t="b">
        <f t="shared" si="196"/>
        <v>0</v>
      </c>
      <c r="Y320" s="721" t="b">
        <f t="shared" si="199"/>
        <v>0</v>
      </c>
      <c r="Z320" s="721" t="b">
        <f t="shared" si="216"/>
        <v>0</v>
      </c>
      <c r="AA320" s="721" t="b">
        <f t="shared" si="195"/>
        <v>0</v>
      </c>
      <c r="AB320" s="17"/>
      <c r="AC320" s="17"/>
      <c r="AD320" s="17"/>
      <c r="AE320" s="17"/>
      <c r="AF320" s="17"/>
      <c r="AG320" s="17"/>
      <c r="AH320" s="17"/>
      <c r="AI320" s="17"/>
      <c r="AJ320" s="17"/>
      <c r="AK320" s="17"/>
      <c r="AL320" s="17"/>
      <c r="AM320" s="17"/>
      <c r="AN320" s="17"/>
      <c r="AO320" s="17"/>
      <c r="AP320" s="17"/>
      <c r="AQ320" s="17"/>
    </row>
    <row r="321" spans="1:66" ht="22.25" hidden="1">
      <c r="A321">
        <f t="shared" si="214"/>
        <v>318</v>
      </c>
      <c r="B321" s="407">
        <v>1</v>
      </c>
      <c r="C321" s="407" t="s">
        <v>522</v>
      </c>
      <c r="D321" s="407" t="s">
        <v>531</v>
      </c>
      <c r="E321" s="407"/>
      <c r="F321" s="408" t="s">
        <v>1288</v>
      </c>
      <c r="G321" s="409">
        <v>1000</v>
      </c>
      <c r="H321" s="410"/>
      <c r="I321" s="430">
        <f t="shared" si="213"/>
        <v>1000</v>
      </c>
      <c r="K321" s="17"/>
      <c r="L321" s="17" t="s">
        <v>972</v>
      </c>
      <c r="M321" s="720">
        <v>44305</v>
      </c>
      <c r="N321" s="721" t="b">
        <f t="shared" si="209"/>
        <v>0</v>
      </c>
      <c r="O321" s="721" t="b">
        <f t="shared" si="217"/>
        <v>0</v>
      </c>
      <c r="P321" s="721" t="b">
        <f t="shared" ref="P321:P343" si="222">FALSE()</f>
        <v>0</v>
      </c>
      <c r="Q321" s="721" t="b">
        <f>TRUE()</f>
        <v>1</v>
      </c>
      <c r="R321" s="721" t="b">
        <f t="shared" si="210"/>
        <v>0</v>
      </c>
      <c r="S321" s="721" t="b">
        <f t="shared" si="221"/>
        <v>0</v>
      </c>
      <c r="T321" s="721" t="b">
        <f t="shared" ref="T321:T384" si="223">FALSE()</f>
        <v>0</v>
      </c>
      <c r="U321" s="721" t="b">
        <f t="shared" si="220"/>
        <v>0</v>
      </c>
      <c r="V321" s="721" t="b">
        <f t="shared" si="219"/>
        <v>0</v>
      </c>
      <c r="W321" s="721" t="b">
        <f t="shared" si="211"/>
        <v>0</v>
      </c>
      <c r="X321" s="721" t="b">
        <f t="shared" si="196"/>
        <v>0</v>
      </c>
      <c r="Y321" s="721" t="b">
        <f t="shared" si="199"/>
        <v>0</v>
      </c>
      <c r="Z321" s="721" t="b">
        <f t="shared" si="216"/>
        <v>0</v>
      </c>
      <c r="AA321" s="721" t="b">
        <f t="shared" si="195"/>
        <v>0</v>
      </c>
      <c r="AB321" s="17"/>
      <c r="AC321" s="17"/>
      <c r="AD321" s="17"/>
      <c r="AE321" s="17"/>
      <c r="AF321" s="17"/>
      <c r="AG321" s="17"/>
      <c r="AH321" s="17"/>
      <c r="AI321" s="17"/>
      <c r="AJ321" s="17"/>
      <c r="AK321" s="17"/>
      <c r="AL321" s="17"/>
      <c r="AM321" s="17"/>
      <c r="AN321" s="17"/>
      <c r="AO321" s="17"/>
      <c r="AP321" s="17"/>
      <c r="AQ321" s="17"/>
    </row>
    <row r="322" spans="1:66" hidden="1">
      <c r="A322">
        <f t="shared" si="214"/>
        <v>319</v>
      </c>
      <c r="B322" s="729">
        <v>1</v>
      </c>
      <c r="C322" s="729" t="s">
        <v>1289</v>
      </c>
      <c r="D322" s="729" t="s">
        <v>1290</v>
      </c>
      <c r="E322" s="729"/>
      <c r="F322" s="730" t="s">
        <v>1291</v>
      </c>
      <c r="G322" s="731">
        <f>(71238-5409)/898</f>
        <v>73.306236080178181</v>
      </c>
      <c r="H322" s="732"/>
      <c r="I322" s="733">
        <f t="shared" si="213"/>
        <v>73.306236080178181</v>
      </c>
      <c r="K322" s="17"/>
      <c r="L322" s="17" t="s">
        <v>1292</v>
      </c>
      <c r="M322" s="720">
        <v>43867</v>
      </c>
      <c r="N322" s="721" t="b">
        <f t="shared" si="209"/>
        <v>0</v>
      </c>
      <c r="O322" s="721" t="b">
        <f t="shared" si="217"/>
        <v>0</v>
      </c>
      <c r="P322" s="721" t="b">
        <f t="shared" si="222"/>
        <v>0</v>
      </c>
      <c r="Q322" s="721" t="b">
        <f t="shared" ref="Q322:Q369" si="224">FALSE()</f>
        <v>0</v>
      </c>
      <c r="R322" s="721" t="b">
        <f t="shared" si="210"/>
        <v>0</v>
      </c>
      <c r="S322" s="721" t="b">
        <f t="shared" si="221"/>
        <v>0</v>
      </c>
      <c r="T322" s="721" t="b">
        <f t="shared" si="223"/>
        <v>0</v>
      </c>
      <c r="U322" s="721" t="b">
        <f t="shared" si="220"/>
        <v>0</v>
      </c>
      <c r="V322" s="721" t="b">
        <f t="shared" si="219"/>
        <v>0</v>
      </c>
      <c r="W322" s="721" t="b">
        <f t="shared" si="211"/>
        <v>0</v>
      </c>
      <c r="X322" s="721" t="b">
        <f t="shared" si="196"/>
        <v>0</v>
      </c>
      <c r="Y322" s="721" t="b">
        <f t="shared" si="199"/>
        <v>0</v>
      </c>
      <c r="Z322" s="721" t="b">
        <f t="shared" ref="Z322:Z324" si="225">TRUE()</f>
        <v>1</v>
      </c>
      <c r="AA322" s="721" t="b">
        <f t="shared" ref="AA322:AA325" si="226">FALSE()</f>
        <v>0</v>
      </c>
      <c r="AB322" s="17"/>
      <c r="AC322" s="17"/>
      <c r="AD322" s="17"/>
      <c r="AE322" s="17"/>
      <c r="AF322" s="17"/>
      <c r="AG322" s="17"/>
      <c r="AH322" s="17"/>
      <c r="AI322" s="17"/>
      <c r="AJ322" s="17"/>
      <c r="AK322" s="17"/>
      <c r="AL322" s="17"/>
      <c r="AM322" s="17"/>
      <c r="AN322" s="17"/>
      <c r="AO322" s="17"/>
      <c r="AP322" s="17"/>
      <c r="AQ322" s="17"/>
    </row>
    <row r="323" spans="1:66" hidden="1">
      <c r="A323">
        <f t="shared" si="214"/>
        <v>320</v>
      </c>
      <c r="B323" s="729">
        <v>1</v>
      </c>
      <c r="C323" s="729" t="s">
        <v>1289</v>
      </c>
      <c r="D323" s="729" t="s">
        <v>1293</v>
      </c>
      <c r="E323" s="729"/>
      <c r="F323" s="730" t="s">
        <v>1294</v>
      </c>
      <c r="G323" s="731">
        <f>74580/898</f>
        <v>83.051224944320708</v>
      </c>
      <c r="H323" s="732"/>
      <c r="I323" s="733">
        <f t="shared" si="213"/>
        <v>83.051224944320708</v>
      </c>
      <c r="K323" s="17"/>
      <c r="L323" s="17"/>
      <c r="M323" s="720">
        <v>43694</v>
      </c>
      <c r="N323" s="721" t="b">
        <f t="shared" si="209"/>
        <v>0</v>
      </c>
      <c r="O323" s="721" t="b">
        <f t="shared" si="217"/>
        <v>0</v>
      </c>
      <c r="P323" s="721" t="b">
        <f t="shared" si="222"/>
        <v>0</v>
      </c>
      <c r="Q323" s="721" t="b">
        <f t="shared" si="224"/>
        <v>0</v>
      </c>
      <c r="R323" s="721" t="b">
        <f t="shared" si="210"/>
        <v>0</v>
      </c>
      <c r="S323" s="721" t="b">
        <f t="shared" si="221"/>
        <v>0</v>
      </c>
      <c r="T323" s="721" t="b">
        <f t="shared" si="223"/>
        <v>0</v>
      </c>
      <c r="U323" s="721" t="b">
        <f t="shared" si="220"/>
        <v>0</v>
      </c>
      <c r="V323" s="721" t="b">
        <f t="shared" si="219"/>
        <v>0</v>
      </c>
      <c r="W323" s="721" t="b">
        <f t="shared" si="211"/>
        <v>0</v>
      </c>
      <c r="X323" s="721" t="b">
        <f t="shared" si="196"/>
        <v>0</v>
      </c>
      <c r="Y323" s="721" t="b">
        <f t="shared" si="199"/>
        <v>0</v>
      </c>
      <c r="Z323" s="721" t="b">
        <f t="shared" si="225"/>
        <v>1</v>
      </c>
      <c r="AA323" s="721" t="b">
        <f t="shared" si="226"/>
        <v>0</v>
      </c>
      <c r="AB323" s="17"/>
      <c r="AC323" s="17"/>
      <c r="AD323" s="17"/>
      <c r="AE323" s="17"/>
      <c r="AF323" s="17"/>
      <c r="AG323" s="17"/>
      <c r="AH323" s="17"/>
      <c r="AI323" s="17"/>
      <c r="AJ323" s="17"/>
      <c r="AK323" s="17"/>
      <c r="AL323" s="17"/>
      <c r="AM323" s="17"/>
      <c r="AN323" s="17"/>
      <c r="AO323" s="17"/>
      <c r="AP323" s="17"/>
      <c r="AQ323" s="17"/>
    </row>
    <row r="324" spans="1:66" hidden="1">
      <c r="A324">
        <f t="shared" si="214"/>
        <v>321</v>
      </c>
      <c r="B324" s="407">
        <v>1</v>
      </c>
      <c r="C324" s="407" t="s">
        <v>522</v>
      </c>
      <c r="D324" s="407" t="s">
        <v>1290</v>
      </c>
      <c r="E324" s="407"/>
      <c r="F324" s="408" t="s">
        <v>1295</v>
      </c>
      <c r="G324" s="409">
        <v>2704.9</v>
      </c>
      <c r="H324" s="410"/>
      <c r="I324" s="430">
        <f t="shared" si="213"/>
        <v>2704.9</v>
      </c>
      <c r="K324" s="17"/>
      <c r="L324" s="17" t="s">
        <v>1292</v>
      </c>
      <c r="M324" s="720">
        <v>43867</v>
      </c>
      <c r="N324" s="721" t="b">
        <f t="shared" si="209"/>
        <v>0</v>
      </c>
      <c r="O324" s="721" t="b">
        <f t="shared" si="217"/>
        <v>0</v>
      </c>
      <c r="P324" s="721" t="b">
        <f t="shared" si="222"/>
        <v>0</v>
      </c>
      <c r="Q324" s="721" t="b">
        <f t="shared" si="224"/>
        <v>0</v>
      </c>
      <c r="R324" s="721" t="b">
        <f t="shared" si="210"/>
        <v>0</v>
      </c>
      <c r="S324" s="721" t="b">
        <f t="shared" si="221"/>
        <v>0</v>
      </c>
      <c r="T324" s="721" t="b">
        <f t="shared" si="223"/>
        <v>0</v>
      </c>
      <c r="U324" s="721" t="b">
        <f t="shared" si="220"/>
        <v>0</v>
      </c>
      <c r="V324" s="721" t="b">
        <f t="shared" si="219"/>
        <v>0</v>
      </c>
      <c r="W324" s="721" t="b">
        <f t="shared" si="211"/>
        <v>0</v>
      </c>
      <c r="X324" s="721" t="b">
        <f t="shared" ref="X324:X387" si="227">FALSE()</f>
        <v>0</v>
      </c>
      <c r="Y324" s="721" t="b">
        <f t="shared" si="199"/>
        <v>0</v>
      </c>
      <c r="Z324" s="721" t="b">
        <f t="shared" si="225"/>
        <v>1</v>
      </c>
      <c r="AA324" s="721" t="b">
        <f t="shared" si="226"/>
        <v>0</v>
      </c>
      <c r="AB324" s="17"/>
      <c r="AC324" s="17"/>
      <c r="AD324" s="17"/>
      <c r="AE324" s="17"/>
      <c r="AF324" s="17"/>
      <c r="AG324" s="17"/>
      <c r="AH324" s="17"/>
      <c r="AI324" s="17"/>
      <c r="AJ324" s="17"/>
      <c r="AK324" s="17"/>
      <c r="AL324" s="17"/>
      <c r="AM324" s="17"/>
      <c r="AN324" s="17"/>
      <c r="AO324" s="17"/>
      <c r="AP324" s="17"/>
      <c r="AQ324" s="17"/>
    </row>
    <row r="325" spans="1:66" hidden="1">
      <c r="A325">
        <f t="shared" si="214"/>
        <v>322</v>
      </c>
      <c r="B325" s="407">
        <v>1</v>
      </c>
      <c r="C325" s="407" t="s">
        <v>505</v>
      </c>
      <c r="D325" s="407" t="s">
        <v>531</v>
      </c>
      <c r="E325" s="407"/>
      <c r="F325" s="408" t="s">
        <v>1296</v>
      </c>
      <c r="G325" s="409">
        <v>2000</v>
      </c>
      <c r="H325" s="410"/>
      <c r="I325" s="409">
        <f t="shared" si="213"/>
        <v>2000</v>
      </c>
      <c r="J325" s="58">
        <f>250*400*1.732</f>
        <v>173200</v>
      </c>
      <c r="K325" s="417"/>
      <c r="L325" s="17" t="s">
        <v>972</v>
      </c>
      <c r="M325" s="720">
        <v>44310</v>
      </c>
      <c r="N325" s="721" t="b">
        <f t="shared" si="209"/>
        <v>0</v>
      </c>
      <c r="O325" s="721" t="b">
        <f t="shared" si="217"/>
        <v>0</v>
      </c>
      <c r="P325" s="721" t="b">
        <f t="shared" si="222"/>
        <v>0</v>
      </c>
      <c r="Q325" s="721" t="b">
        <f t="shared" si="224"/>
        <v>0</v>
      </c>
      <c r="R325" s="721" t="b">
        <f>TRUE()</f>
        <v>1</v>
      </c>
      <c r="S325" s="721" t="b">
        <f t="shared" si="221"/>
        <v>0</v>
      </c>
      <c r="T325" s="721" t="b">
        <f t="shared" si="223"/>
        <v>0</v>
      </c>
      <c r="U325" s="721" t="b">
        <f t="shared" si="220"/>
        <v>0</v>
      </c>
      <c r="V325" s="721" t="b">
        <f t="shared" si="219"/>
        <v>0</v>
      </c>
      <c r="W325" s="721" t="b">
        <f t="shared" si="211"/>
        <v>0</v>
      </c>
      <c r="X325" s="721" t="b">
        <f t="shared" si="227"/>
        <v>0</v>
      </c>
      <c r="Y325" s="721" t="b">
        <f t="shared" si="199"/>
        <v>0</v>
      </c>
      <c r="Z325" s="721" t="b">
        <f t="shared" ref="Z325:Z351" si="228">FALSE()</f>
        <v>0</v>
      </c>
      <c r="AA325" s="721" t="b">
        <f t="shared" si="226"/>
        <v>0</v>
      </c>
      <c r="AB325" s="17"/>
      <c r="AC325" s="17"/>
      <c r="AD325" s="17"/>
      <c r="AE325" s="17"/>
      <c r="AF325" s="17"/>
      <c r="AG325" s="17"/>
      <c r="AH325" s="17"/>
      <c r="AI325" s="17"/>
      <c r="AJ325" s="17"/>
      <c r="AK325" s="17"/>
      <c r="AL325" s="17"/>
      <c r="AM325" s="17"/>
      <c r="AN325" s="17"/>
      <c r="AO325" s="17"/>
      <c r="AP325" s="17"/>
      <c r="AQ325" s="17"/>
    </row>
    <row r="326" spans="1:66" hidden="1">
      <c r="A326">
        <f t="shared" si="214"/>
        <v>323</v>
      </c>
      <c r="B326" s="407">
        <v>1</v>
      </c>
      <c r="C326" s="407" t="s">
        <v>505</v>
      </c>
      <c r="D326" s="407" t="s">
        <v>531</v>
      </c>
      <c r="E326" s="407"/>
      <c r="F326" s="408" t="s">
        <v>1297</v>
      </c>
      <c r="G326" s="409">
        <f>787.5*3</f>
        <v>2362.5</v>
      </c>
      <c r="H326" s="410"/>
      <c r="I326" s="409">
        <f t="shared" si="213"/>
        <v>2362.5</v>
      </c>
      <c r="J326" s="58">
        <v>100000</v>
      </c>
      <c r="K326" s="417">
        <f t="shared" si="218"/>
        <v>2.3625E-2</v>
      </c>
      <c r="L326" s="17" t="s">
        <v>972</v>
      </c>
      <c r="M326" s="720">
        <v>44310</v>
      </c>
      <c r="N326" s="721" t="b">
        <f t="shared" si="209"/>
        <v>0</v>
      </c>
      <c r="O326" s="721" t="b">
        <f t="shared" si="217"/>
        <v>0</v>
      </c>
      <c r="P326" s="721" t="b">
        <f t="shared" si="222"/>
        <v>0</v>
      </c>
      <c r="Q326" s="721" t="b">
        <f t="shared" si="224"/>
        <v>0</v>
      </c>
      <c r="R326" s="721" t="b">
        <f t="shared" ref="R326:R354" si="229">FALSE()</f>
        <v>0</v>
      </c>
      <c r="S326" s="721" t="b">
        <f t="shared" si="221"/>
        <v>0</v>
      </c>
      <c r="T326" s="721" t="b">
        <f t="shared" si="223"/>
        <v>0</v>
      </c>
      <c r="U326" s="721" t="b">
        <f t="shared" si="220"/>
        <v>0</v>
      </c>
      <c r="V326" s="721" t="b">
        <f t="shared" si="219"/>
        <v>0</v>
      </c>
      <c r="W326" s="721" t="b">
        <f t="shared" si="211"/>
        <v>0</v>
      </c>
      <c r="X326" s="721" t="b">
        <f t="shared" si="227"/>
        <v>0</v>
      </c>
      <c r="Y326" s="721" t="b">
        <f t="shared" si="199"/>
        <v>0</v>
      </c>
      <c r="Z326" s="721" t="b">
        <f t="shared" si="228"/>
        <v>0</v>
      </c>
      <c r="AA326" s="721" t="b">
        <f>TRUE()</f>
        <v>1</v>
      </c>
      <c r="AB326" s="17"/>
      <c r="AC326" s="17"/>
      <c r="AD326" s="17"/>
      <c r="AE326" s="17"/>
      <c r="AF326" s="17"/>
      <c r="AG326" s="17"/>
      <c r="AH326" s="17"/>
      <c r="AI326" s="17"/>
      <c r="AJ326" s="17"/>
      <c r="AK326" s="17"/>
      <c r="AL326" s="17"/>
      <c r="AM326" s="17"/>
      <c r="AN326" s="17"/>
      <c r="AO326" s="17"/>
      <c r="AP326" s="17"/>
      <c r="AQ326" s="17"/>
    </row>
    <row r="327" spans="1:66" hidden="1">
      <c r="A327">
        <f t="shared" si="214"/>
        <v>324</v>
      </c>
      <c r="B327" s="487">
        <v>1</v>
      </c>
      <c r="C327" s="407" t="s">
        <v>539</v>
      </c>
      <c r="D327" s="407" t="s">
        <v>552</v>
      </c>
      <c r="E327" s="407"/>
      <c r="F327" s="407" t="s">
        <v>1057</v>
      </c>
      <c r="G327" s="409">
        <v>37.31</v>
      </c>
      <c r="H327" s="428"/>
      <c r="I327" s="430">
        <f t="shared" si="213"/>
        <v>37.31</v>
      </c>
      <c r="K327" s="17"/>
      <c r="L327" s="17" t="s">
        <v>1061</v>
      </c>
      <c r="M327" s="720">
        <v>44310</v>
      </c>
      <c r="N327" s="721" t="b">
        <f t="shared" si="209"/>
        <v>0</v>
      </c>
      <c r="O327" s="721" t="b">
        <f t="shared" si="217"/>
        <v>0</v>
      </c>
      <c r="P327" s="721" t="b">
        <f t="shared" si="222"/>
        <v>0</v>
      </c>
      <c r="Q327" s="721" t="b">
        <f t="shared" si="224"/>
        <v>0</v>
      </c>
      <c r="R327" s="721" t="b">
        <f t="shared" si="229"/>
        <v>0</v>
      </c>
      <c r="S327" s="721" t="b">
        <f t="shared" si="221"/>
        <v>0</v>
      </c>
      <c r="T327" s="721" t="b">
        <f t="shared" si="223"/>
        <v>0</v>
      </c>
      <c r="U327" s="721" t="b">
        <f t="shared" si="220"/>
        <v>0</v>
      </c>
      <c r="V327" s="721" t="b">
        <f t="shared" si="219"/>
        <v>0</v>
      </c>
      <c r="W327" s="721" t="b">
        <f t="shared" ref="W327:W336" si="230">TRUE()</f>
        <v>1</v>
      </c>
      <c r="X327" s="721" t="b">
        <f t="shared" si="227"/>
        <v>0</v>
      </c>
      <c r="Y327" s="721" t="b">
        <f t="shared" si="199"/>
        <v>0</v>
      </c>
      <c r="Z327" s="721" t="b">
        <f t="shared" si="228"/>
        <v>0</v>
      </c>
      <c r="AA327" s="721" t="b">
        <f t="shared" ref="AA327:AA353" si="231">FALSE()</f>
        <v>0</v>
      </c>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row>
    <row r="328" spans="1:66" hidden="1">
      <c r="A328">
        <f t="shared" si="214"/>
        <v>325</v>
      </c>
      <c r="B328" s="487">
        <v>1</v>
      </c>
      <c r="C328" s="407" t="s">
        <v>539</v>
      </c>
      <c r="D328" s="407" t="s">
        <v>552</v>
      </c>
      <c r="E328" s="407"/>
      <c r="F328" s="407" t="s">
        <v>1298</v>
      </c>
      <c r="G328" s="409">
        <v>74.48</v>
      </c>
      <c r="H328" s="428"/>
      <c r="I328" s="430">
        <f t="shared" si="213"/>
        <v>74.48</v>
      </c>
      <c r="K328" s="17"/>
      <c r="L328" s="17" t="s">
        <v>1061</v>
      </c>
      <c r="M328" s="720">
        <v>44310</v>
      </c>
      <c r="N328" s="721" t="b">
        <f t="shared" si="209"/>
        <v>0</v>
      </c>
      <c r="O328" s="721" t="b">
        <f t="shared" si="217"/>
        <v>0</v>
      </c>
      <c r="P328" s="721" t="b">
        <f t="shared" si="222"/>
        <v>0</v>
      </c>
      <c r="Q328" s="721" t="b">
        <f t="shared" si="224"/>
        <v>0</v>
      </c>
      <c r="R328" s="721" t="b">
        <f t="shared" si="229"/>
        <v>0</v>
      </c>
      <c r="S328" s="721" t="b">
        <f t="shared" si="221"/>
        <v>0</v>
      </c>
      <c r="T328" s="721" t="b">
        <f t="shared" si="223"/>
        <v>0</v>
      </c>
      <c r="U328" s="721" t="b">
        <f t="shared" si="220"/>
        <v>0</v>
      </c>
      <c r="V328" s="721" t="b">
        <f t="shared" si="219"/>
        <v>0</v>
      </c>
      <c r="W328" s="721" t="b">
        <f t="shared" si="230"/>
        <v>1</v>
      </c>
      <c r="X328" s="721" t="b">
        <f t="shared" si="227"/>
        <v>0</v>
      </c>
      <c r="Y328" s="721" t="b">
        <f t="shared" si="199"/>
        <v>0</v>
      </c>
      <c r="Z328" s="721" t="b">
        <f t="shared" si="228"/>
        <v>0</v>
      </c>
      <c r="AA328" s="721" t="b">
        <f t="shared" si="231"/>
        <v>0</v>
      </c>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row>
    <row r="329" spans="1:66" hidden="1">
      <c r="A329">
        <f t="shared" si="214"/>
        <v>326</v>
      </c>
      <c r="B329" s="487">
        <v>1</v>
      </c>
      <c r="C329" s="407" t="s">
        <v>539</v>
      </c>
      <c r="D329" s="407" t="s">
        <v>690</v>
      </c>
      <c r="E329" s="407"/>
      <c r="F329" s="407" t="s">
        <v>1299</v>
      </c>
      <c r="G329" s="409">
        <v>12.79</v>
      </c>
      <c r="H329" s="428"/>
      <c r="I329" s="430">
        <f t="shared" si="213"/>
        <v>12.79</v>
      </c>
      <c r="K329" s="719"/>
      <c r="L329" s="17" t="s">
        <v>690</v>
      </c>
      <c r="M329" s="720">
        <v>44310</v>
      </c>
      <c r="N329" s="721" t="b">
        <f t="shared" si="209"/>
        <v>0</v>
      </c>
      <c r="O329" s="721" t="b">
        <f t="shared" si="217"/>
        <v>0</v>
      </c>
      <c r="P329" s="721" t="b">
        <f t="shared" si="222"/>
        <v>0</v>
      </c>
      <c r="Q329" s="721" t="b">
        <f t="shared" si="224"/>
        <v>0</v>
      </c>
      <c r="R329" s="721" t="b">
        <f t="shared" si="229"/>
        <v>0</v>
      </c>
      <c r="S329" s="721" t="b">
        <f t="shared" si="221"/>
        <v>0</v>
      </c>
      <c r="T329" s="721" t="b">
        <f t="shared" si="223"/>
        <v>0</v>
      </c>
      <c r="U329" s="721" t="b">
        <f t="shared" si="220"/>
        <v>0</v>
      </c>
      <c r="V329" s="721" t="b">
        <f t="shared" si="219"/>
        <v>0</v>
      </c>
      <c r="W329" s="721" t="b">
        <f t="shared" si="230"/>
        <v>1</v>
      </c>
      <c r="X329" s="721" t="b">
        <f t="shared" si="227"/>
        <v>0</v>
      </c>
      <c r="Y329" s="721" t="b">
        <f t="shared" si="199"/>
        <v>0</v>
      </c>
      <c r="Z329" s="721" t="b">
        <f t="shared" si="228"/>
        <v>0</v>
      </c>
      <c r="AA329" s="721" t="b">
        <f t="shared" si="231"/>
        <v>0</v>
      </c>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row>
    <row r="330" spans="1:66" hidden="1">
      <c r="A330">
        <f t="shared" si="214"/>
        <v>327</v>
      </c>
      <c r="B330" s="487">
        <v>1</v>
      </c>
      <c r="C330" s="407" t="s">
        <v>539</v>
      </c>
      <c r="D330" s="407" t="s">
        <v>690</v>
      </c>
      <c r="E330" s="407"/>
      <c r="F330" s="407" t="s">
        <v>1300</v>
      </c>
      <c r="G330" s="409">
        <v>15.47</v>
      </c>
      <c r="H330" s="428"/>
      <c r="I330" s="430">
        <f t="shared" si="213"/>
        <v>15.47</v>
      </c>
      <c r="K330" s="719"/>
      <c r="L330" s="17" t="s">
        <v>690</v>
      </c>
      <c r="M330" s="720">
        <v>44310</v>
      </c>
      <c r="N330" s="721" t="b">
        <f t="shared" si="209"/>
        <v>0</v>
      </c>
      <c r="O330" s="721" t="b">
        <f t="shared" si="217"/>
        <v>0</v>
      </c>
      <c r="P330" s="721" t="b">
        <f t="shared" si="222"/>
        <v>0</v>
      </c>
      <c r="Q330" s="721" t="b">
        <f t="shared" si="224"/>
        <v>0</v>
      </c>
      <c r="R330" s="721" t="b">
        <f t="shared" si="229"/>
        <v>0</v>
      </c>
      <c r="S330" s="721" t="b">
        <f t="shared" si="221"/>
        <v>0</v>
      </c>
      <c r="T330" s="721" t="b">
        <f t="shared" si="223"/>
        <v>0</v>
      </c>
      <c r="U330" s="721" t="b">
        <f t="shared" si="220"/>
        <v>0</v>
      </c>
      <c r="V330" s="721" t="b">
        <f t="shared" si="219"/>
        <v>0</v>
      </c>
      <c r="W330" s="721" t="b">
        <f t="shared" si="230"/>
        <v>1</v>
      </c>
      <c r="X330" s="721" t="b">
        <f t="shared" si="227"/>
        <v>0</v>
      </c>
      <c r="Y330" s="721" t="b">
        <f t="shared" si="199"/>
        <v>0</v>
      </c>
      <c r="Z330" s="721" t="b">
        <f t="shared" si="228"/>
        <v>0</v>
      </c>
      <c r="AA330" s="721" t="b">
        <f t="shared" si="231"/>
        <v>0</v>
      </c>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row>
    <row r="331" spans="1:66" hidden="1">
      <c r="A331">
        <f t="shared" si="214"/>
        <v>328</v>
      </c>
      <c r="B331" s="487">
        <v>1</v>
      </c>
      <c r="C331" s="407" t="s">
        <v>539</v>
      </c>
      <c r="D331" s="407" t="s">
        <v>690</v>
      </c>
      <c r="E331" s="407"/>
      <c r="F331" s="407" t="s">
        <v>1301</v>
      </c>
      <c r="G331" s="409">
        <v>21.11</v>
      </c>
      <c r="H331" s="428"/>
      <c r="I331" s="430">
        <f t="shared" si="213"/>
        <v>21.11</v>
      </c>
      <c r="K331" s="719"/>
      <c r="L331" s="17" t="s">
        <v>690</v>
      </c>
      <c r="M331" s="720">
        <v>44310</v>
      </c>
      <c r="N331" s="721" t="b">
        <f t="shared" si="209"/>
        <v>0</v>
      </c>
      <c r="O331" s="721" t="b">
        <f t="shared" si="217"/>
        <v>0</v>
      </c>
      <c r="P331" s="721" t="b">
        <f t="shared" si="222"/>
        <v>0</v>
      </c>
      <c r="Q331" s="721" t="b">
        <f t="shared" si="224"/>
        <v>0</v>
      </c>
      <c r="R331" s="721" t="b">
        <f t="shared" si="229"/>
        <v>0</v>
      </c>
      <c r="S331" s="721" t="b">
        <f t="shared" si="221"/>
        <v>0</v>
      </c>
      <c r="T331" s="721" t="b">
        <f t="shared" si="223"/>
        <v>0</v>
      </c>
      <c r="U331" s="721" t="b">
        <f t="shared" si="220"/>
        <v>0</v>
      </c>
      <c r="V331" s="721" t="b">
        <f t="shared" si="219"/>
        <v>0</v>
      </c>
      <c r="W331" s="721" t="b">
        <f t="shared" si="230"/>
        <v>1</v>
      </c>
      <c r="X331" s="721" t="b">
        <f t="shared" si="227"/>
        <v>0</v>
      </c>
      <c r="Y331" s="721" t="b">
        <f t="shared" si="199"/>
        <v>0</v>
      </c>
      <c r="Z331" s="721" t="b">
        <f t="shared" si="228"/>
        <v>0</v>
      </c>
      <c r="AA331" s="721" t="b">
        <f t="shared" si="231"/>
        <v>0</v>
      </c>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row>
    <row r="332" spans="1:66" hidden="1">
      <c r="A332">
        <f t="shared" si="214"/>
        <v>329</v>
      </c>
      <c r="B332" s="487">
        <v>1</v>
      </c>
      <c r="C332" s="407" t="s">
        <v>539</v>
      </c>
      <c r="D332" s="407" t="s">
        <v>552</v>
      </c>
      <c r="E332" s="407"/>
      <c r="F332" s="407" t="s">
        <v>1302</v>
      </c>
      <c r="G332" s="409">
        <v>54.49</v>
      </c>
      <c r="H332" s="428"/>
      <c r="I332" s="430">
        <f t="shared" si="213"/>
        <v>54.49</v>
      </c>
      <c r="K332" s="17"/>
      <c r="L332" s="17" t="s">
        <v>1061</v>
      </c>
      <c r="M332" s="720">
        <v>44310</v>
      </c>
      <c r="N332" s="721" t="b">
        <f t="shared" si="209"/>
        <v>0</v>
      </c>
      <c r="O332" s="721" t="b">
        <f t="shared" si="217"/>
        <v>0</v>
      </c>
      <c r="P332" s="721" t="b">
        <f t="shared" si="222"/>
        <v>0</v>
      </c>
      <c r="Q332" s="721" t="b">
        <f t="shared" si="224"/>
        <v>0</v>
      </c>
      <c r="R332" s="721" t="b">
        <f t="shared" si="229"/>
        <v>0</v>
      </c>
      <c r="S332" s="721" t="b">
        <f t="shared" si="221"/>
        <v>0</v>
      </c>
      <c r="T332" s="721" t="b">
        <f t="shared" si="223"/>
        <v>0</v>
      </c>
      <c r="U332" s="721" t="b">
        <f t="shared" si="220"/>
        <v>0</v>
      </c>
      <c r="V332" s="721" t="b">
        <f t="shared" si="219"/>
        <v>0</v>
      </c>
      <c r="W332" s="721" t="b">
        <f t="shared" si="230"/>
        <v>1</v>
      </c>
      <c r="X332" s="721" t="b">
        <f t="shared" si="227"/>
        <v>0</v>
      </c>
      <c r="Y332" s="721" t="b">
        <f t="shared" ref="Y332:Y347" si="232">FALSE()</f>
        <v>0</v>
      </c>
      <c r="Z332" s="721" t="b">
        <f t="shared" si="228"/>
        <v>0</v>
      </c>
      <c r="AA332" s="721" t="b">
        <f t="shared" si="231"/>
        <v>0</v>
      </c>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row>
    <row r="333" spans="1:66" hidden="1">
      <c r="A333">
        <f t="shared" si="214"/>
        <v>330</v>
      </c>
      <c r="B333" s="487">
        <v>1</v>
      </c>
      <c r="C333" s="407" t="s">
        <v>539</v>
      </c>
      <c r="D333" s="407" t="s">
        <v>552</v>
      </c>
      <c r="E333" s="407"/>
      <c r="F333" s="407" t="s">
        <v>1303</v>
      </c>
      <c r="G333" s="409">
        <v>27.75</v>
      </c>
      <c r="H333" s="428"/>
      <c r="I333" s="430">
        <f t="shared" si="213"/>
        <v>27.75</v>
      </c>
      <c r="K333" s="17"/>
      <c r="L333" s="17" t="s">
        <v>1061</v>
      </c>
      <c r="M333" s="720">
        <v>44310</v>
      </c>
      <c r="N333" s="721" t="b">
        <f t="shared" si="209"/>
        <v>0</v>
      </c>
      <c r="O333" s="721" t="b">
        <f t="shared" si="217"/>
        <v>0</v>
      </c>
      <c r="P333" s="721" t="b">
        <f t="shared" si="222"/>
        <v>0</v>
      </c>
      <c r="Q333" s="721" t="b">
        <f t="shared" si="224"/>
        <v>0</v>
      </c>
      <c r="R333" s="721" t="b">
        <f t="shared" si="229"/>
        <v>0</v>
      </c>
      <c r="S333" s="721" t="b">
        <f t="shared" si="221"/>
        <v>0</v>
      </c>
      <c r="T333" s="721" t="b">
        <f t="shared" si="223"/>
        <v>0</v>
      </c>
      <c r="U333" s="721" t="b">
        <f t="shared" si="220"/>
        <v>0</v>
      </c>
      <c r="V333" s="721" t="b">
        <f t="shared" si="219"/>
        <v>0</v>
      </c>
      <c r="W333" s="721" t="b">
        <f t="shared" si="230"/>
        <v>1</v>
      </c>
      <c r="X333" s="721" t="b">
        <f t="shared" si="227"/>
        <v>0</v>
      </c>
      <c r="Y333" s="721" t="b">
        <f t="shared" si="232"/>
        <v>0</v>
      </c>
      <c r="Z333" s="721" t="b">
        <f t="shared" si="228"/>
        <v>0</v>
      </c>
      <c r="AA333" s="721" t="b">
        <f t="shared" si="231"/>
        <v>0</v>
      </c>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row>
    <row r="334" spans="1:66" hidden="1">
      <c r="A334">
        <f t="shared" si="214"/>
        <v>331</v>
      </c>
      <c r="B334" s="487">
        <v>1</v>
      </c>
      <c r="C334" s="407" t="s">
        <v>539</v>
      </c>
      <c r="D334" s="407" t="s">
        <v>552</v>
      </c>
      <c r="E334" s="407"/>
      <c r="F334" s="407" t="s">
        <v>1304</v>
      </c>
      <c r="G334" s="409">
        <v>20.02</v>
      </c>
      <c r="H334" s="428"/>
      <c r="I334" s="430">
        <f t="shared" si="213"/>
        <v>20.02</v>
      </c>
      <c r="K334" s="17"/>
      <c r="L334" s="17" t="s">
        <v>1061</v>
      </c>
      <c r="M334" s="720">
        <v>44310</v>
      </c>
      <c r="N334" s="721" t="b">
        <f t="shared" si="209"/>
        <v>0</v>
      </c>
      <c r="O334" s="721" t="b">
        <f t="shared" si="217"/>
        <v>0</v>
      </c>
      <c r="P334" s="721" t="b">
        <f t="shared" si="222"/>
        <v>0</v>
      </c>
      <c r="Q334" s="721" t="b">
        <f t="shared" si="224"/>
        <v>0</v>
      </c>
      <c r="R334" s="721" t="b">
        <f t="shared" si="229"/>
        <v>0</v>
      </c>
      <c r="S334" s="721" t="b">
        <f t="shared" si="221"/>
        <v>0</v>
      </c>
      <c r="T334" s="721" t="b">
        <f t="shared" si="223"/>
        <v>0</v>
      </c>
      <c r="U334" s="721" t="b">
        <f t="shared" si="220"/>
        <v>0</v>
      </c>
      <c r="V334" s="721" t="b">
        <f t="shared" si="219"/>
        <v>0</v>
      </c>
      <c r="W334" s="721" t="b">
        <f t="shared" si="230"/>
        <v>1</v>
      </c>
      <c r="X334" s="721" t="b">
        <f t="shared" si="227"/>
        <v>0</v>
      </c>
      <c r="Y334" s="721" t="b">
        <f t="shared" si="232"/>
        <v>0</v>
      </c>
      <c r="Z334" s="721" t="b">
        <f t="shared" si="228"/>
        <v>0</v>
      </c>
      <c r="AA334" s="721" t="b">
        <f t="shared" si="231"/>
        <v>0</v>
      </c>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row>
    <row r="335" spans="1:66" hidden="1">
      <c r="A335">
        <f t="shared" si="214"/>
        <v>332</v>
      </c>
      <c r="B335" s="487">
        <v>1</v>
      </c>
      <c r="C335" s="407" t="s">
        <v>539</v>
      </c>
      <c r="D335" s="407" t="s">
        <v>552</v>
      </c>
      <c r="E335" s="407"/>
      <c r="F335" s="407" t="s">
        <v>835</v>
      </c>
      <c r="G335" s="409">
        <v>12.53</v>
      </c>
      <c r="H335" s="428"/>
      <c r="I335" s="430">
        <f t="shared" si="213"/>
        <v>12.53</v>
      </c>
      <c r="K335" s="17"/>
      <c r="L335" s="17" t="s">
        <v>1061</v>
      </c>
      <c r="M335" s="720">
        <v>44310</v>
      </c>
      <c r="N335" s="721" t="b">
        <f t="shared" si="209"/>
        <v>0</v>
      </c>
      <c r="O335" s="721" t="b">
        <f t="shared" si="217"/>
        <v>0</v>
      </c>
      <c r="P335" s="721" t="b">
        <f t="shared" si="222"/>
        <v>0</v>
      </c>
      <c r="Q335" s="721" t="b">
        <f t="shared" si="224"/>
        <v>0</v>
      </c>
      <c r="R335" s="721" t="b">
        <f t="shared" si="229"/>
        <v>0</v>
      </c>
      <c r="S335" s="721" t="b">
        <f t="shared" si="221"/>
        <v>0</v>
      </c>
      <c r="T335" s="721" t="b">
        <f t="shared" si="223"/>
        <v>0</v>
      </c>
      <c r="U335" s="721" t="b">
        <f t="shared" si="220"/>
        <v>0</v>
      </c>
      <c r="V335" s="721" t="b">
        <f t="shared" si="219"/>
        <v>0</v>
      </c>
      <c r="W335" s="721" t="b">
        <f t="shared" si="230"/>
        <v>1</v>
      </c>
      <c r="X335" s="721" t="b">
        <f t="shared" si="227"/>
        <v>0</v>
      </c>
      <c r="Y335" s="721" t="b">
        <f t="shared" si="232"/>
        <v>0</v>
      </c>
      <c r="Z335" s="721" t="b">
        <f t="shared" si="228"/>
        <v>0</v>
      </c>
      <c r="AA335" s="721" t="b">
        <f t="shared" si="231"/>
        <v>0</v>
      </c>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row>
    <row r="336" spans="1:66" hidden="1">
      <c r="A336">
        <f t="shared" si="214"/>
        <v>333</v>
      </c>
      <c r="B336" s="487">
        <v>1</v>
      </c>
      <c r="C336" s="407" t="s">
        <v>539</v>
      </c>
      <c r="D336" s="407" t="s">
        <v>552</v>
      </c>
      <c r="E336" s="407"/>
      <c r="F336" s="407" t="s">
        <v>1305</v>
      </c>
      <c r="G336" s="409">
        <v>8.19</v>
      </c>
      <c r="H336" s="428"/>
      <c r="I336" s="430">
        <f t="shared" si="213"/>
        <v>8.19</v>
      </c>
      <c r="K336" s="17"/>
      <c r="L336" s="17" t="s">
        <v>1061</v>
      </c>
      <c r="M336" s="720">
        <v>44310</v>
      </c>
      <c r="N336" s="721" t="b">
        <f t="shared" si="209"/>
        <v>0</v>
      </c>
      <c r="O336" s="721" t="b">
        <f t="shared" si="217"/>
        <v>0</v>
      </c>
      <c r="P336" s="721" t="b">
        <f t="shared" si="222"/>
        <v>0</v>
      </c>
      <c r="Q336" s="721" t="b">
        <f t="shared" si="224"/>
        <v>0</v>
      </c>
      <c r="R336" s="721" t="b">
        <f t="shared" si="229"/>
        <v>0</v>
      </c>
      <c r="S336" s="721" t="b">
        <f t="shared" si="221"/>
        <v>0</v>
      </c>
      <c r="T336" s="721" t="b">
        <f t="shared" si="223"/>
        <v>0</v>
      </c>
      <c r="U336" s="721" t="b">
        <f t="shared" si="220"/>
        <v>0</v>
      </c>
      <c r="V336" s="721" t="b">
        <f t="shared" si="219"/>
        <v>0</v>
      </c>
      <c r="W336" s="721" t="b">
        <f t="shared" si="230"/>
        <v>1</v>
      </c>
      <c r="X336" s="721" t="b">
        <f t="shared" si="227"/>
        <v>0</v>
      </c>
      <c r="Y336" s="721" t="b">
        <f t="shared" si="232"/>
        <v>0</v>
      </c>
      <c r="Z336" s="721" t="b">
        <f t="shared" si="228"/>
        <v>0</v>
      </c>
      <c r="AA336" s="721" t="b">
        <f t="shared" si="231"/>
        <v>0</v>
      </c>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row>
    <row r="337" spans="1:66" hidden="1">
      <c r="A337">
        <f t="shared" si="214"/>
        <v>334</v>
      </c>
      <c r="B337" s="407">
        <v>1</v>
      </c>
      <c r="C337" s="407" t="s">
        <v>505</v>
      </c>
      <c r="D337" s="407" t="s">
        <v>1306</v>
      </c>
      <c r="E337" s="407"/>
      <c r="F337" s="408" t="s">
        <v>1307</v>
      </c>
      <c r="G337" s="409">
        <v>116.88</v>
      </c>
      <c r="H337" s="410"/>
      <c r="I337" s="409">
        <f t="shared" si="213"/>
        <v>116.88</v>
      </c>
      <c r="J337" s="58">
        <v>375</v>
      </c>
      <c r="K337" s="417">
        <f t="shared" si="218"/>
        <v>0.31168000000000001</v>
      </c>
      <c r="L337" s="17" t="s">
        <v>966</v>
      </c>
      <c r="M337" s="720">
        <v>44313</v>
      </c>
      <c r="N337" s="721" t="b">
        <f t="shared" ref="N337:N338" si="233">TRUE()</f>
        <v>1</v>
      </c>
      <c r="O337" s="721" t="b">
        <f t="shared" si="217"/>
        <v>0</v>
      </c>
      <c r="P337" s="721" t="b">
        <f t="shared" si="222"/>
        <v>0</v>
      </c>
      <c r="Q337" s="721" t="b">
        <f t="shared" si="224"/>
        <v>0</v>
      </c>
      <c r="R337" s="721" t="b">
        <f t="shared" si="229"/>
        <v>0</v>
      </c>
      <c r="S337" s="721" t="b">
        <f t="shared" si="221"/>
        <v>0</v>
      </c>
      <c r="T337" s="721" t="b">
        <f t="shared" si="223"/>
        <v>0</v>
      </c>
      <c r="U337" s="721" t="b">
        <f t="shared" si="220"/>
        <v>0</v>
      </c>
      <c r="V337" s="721" t="b">
        <f t="shared" si="219"/>
        <v>0</v>
      </c>
      <c r="W337" s="721" t="b">
        <f t="shared" ref="W337:W338" si="234">FALSE()</f>
        <v>0</v>
      </c>
      <c r="X337" s="721" t="b">
        <f t="shared" si="227"/>
        <v>0</v>
      </c>
      <c r="Y337" s="721" t="b">
        <f t="shared" si="232"/>
        <v>0</v>
      </c>
      <c r="Z337" s="721" t="b">
        <f t="shared" si="228"/>
        <v>0</v>
      </c>
      <c r="AA337" s="721" t="b">
        <f t="shared" si="231"/>
        <v>0</v>
      </c>
      <c r="AB337" s="17"/>
      <c r="AC337" s="17"/>
      <c r="AD337" s="17"/>
      <c r="AE337" s="17"/>
      <c r="AF337" s="17"/>
      <c r="AG337" s="17"/>
      <c r="AH337" s="17"/>
      <c r="AI337" s="17"/>
      <c r="AJ337" s="17"/>
      <c r="AK337" s="17"/>
      <c r="AL337" s="17"/>
      <c r="AM337" s="17"/>
      <c r="AN337" s="17"/>
      <c r="AO337" s="17"/>
      <c r="AP337" s="17"/>
      <c r="AQ337" s="17"/>
    </row>
    <row r="338" spans="1:66" hidden="1">
      <c r="A338">
        <f t="shared" si="214"/>
        <v>335</v>
      </c>
      <c r="B338" s="407">
        <v>1</v>
      </c>
      <c r="C338" s="407" t="s">
        <v>505</v>
      </c>
      <c r="D338" s="407" t="s">
        <v>1306</v>
      </c>
      <c r="E338" s="407"/>
      <c r="F338" s="408" t="s">
        <v>1308</v>
      </c>
      <c r="G338" s="409">
        <v>90.8</v>
      </c>
      <c r="H338" s="410"/>
      <c r="I338" s="409">
        <f t="shared" si="213"/>
        <v>90.8</v>
      </c>
      <c r="J338" s="58">
        <v>370</v>
      </c>
      <c r="K338" s="417">
        <f t="shared" si="218"/>
        <v>0.2454054054054054</v>
      </c>
      <c r="L338" s="17" t="s">
        <v>966</v>
      </c>
      <c r="M338" s="720">
        <v>44313</v>
      </c>
      <c r="N338" s="721" t="b">
        <f t="shared" si="233"/>
        <v>1</v>
      </c>
      <c r="O338" s="721" t="b">
        <f t="shared" si="217"/>
        <v>0</v>
      </c>
      <c r="P338" s="721" t="b">
        <f t="shared" si="222"/>
        <v>0</v>
      </c>
      <c r="Q338" s="721" t="b">
        <f t="shared" si="224"/>
        <v>0</v>
      </c>
      <c r="R338" s="721" t="b">
        <f t="shared" si="229"/>
        <v>0</v>
      </c>
      <c r="S338" s="721" t="b">
        <f t="shared" si="221"/>
        <v>0</v>
      </c>
      <c r="T338" s="721" t="b">
        <f t="shared" si="223"/>
        <v>0</v>
      </c>
      <c r="U338" s="721" t="b">
        <f t="shared" si="220"/>
        <v>0</v>
      </c>
      <c r="V338" s="721" t="b">
        <f t="shared" si="219"/>
        <v>0</v>
      </c>
      <c r="W338" s="721" t="b">
        <f t="shared" si="234"/>
        <v>0</v>
      </c>
      <c r="X338" s="721" t="b">
        <f t="shared" si="227"/>
        <v>0</v>
      </c>
      <c r="Y338" s="721" t="b">
        <f t="shared" si="232"/>
        <v>0</v>
      </c>
      <c r="Z338" s="721" t="b">
        <f t="shared" si="228"/>
        <v>0</v>
      </c>
      <c r="AA338" s="721" t="b">
        <f t="shared" si="231"/>
        <v>0</v>
      </c>
      <c r="AB338" s="17"/>
      <c r="AC338" s="17"/>
      <c r="AD338" s="17"/>
      <c r="AE338" s="17"/>
      <c r="AF338" s="17"/>
      <c r="AG338" s="17"/>
      <c r="AH338" s="17"/>
      <c r="AI338" s="17"/>
      <c r="AJ338" s="17"/>
      <c r="AK338" s="17"/>
      <c r="AL338" s="17"/>
      <c r="AM338" s="17"/>
      <c r="AN338" s="17"/>
      <c r="AO338" s="17"/>
      <c r="AP338" s="17"/>
      <c r="AQ338" s="17"/>
    </row>
    <row r="339" spans="1:66" hidden="1">
      <c r="A339">
        <f t="shared" si="214"/>
        <v>336</v>
      </c>
      <c r="B339" s="487">
        <v>1</v>
      </c>
      <c r="C339" s="407" t="s">
        <v>539</v>
      </c>
      <c r="D339" s="407" t="s">
        <v>552</v>
      </c>
      <c r="E339" s="407"/>
      <c r="F339" s="407" t="s">
        <v>1309</v>
      </c>
      <c r="G339" s="409">
        <v>10.02</v>
      </c>
      <c r="H339" s="428"/>
      <c r="I339" s="430">
        <f t="shared" si="213"/>
        <v>10.02</v>
      </c>
      <c r="K339" s="17"/>
      <c r="L339" s="17" t="s">
        <v>1061</v>
      </c>
      <c r="M339" s="720">
        <v>44313</v>
      </c>
      <c r="N339" s="721" t="b">
        <f t="shared" ref="N339:N349" si="235">FALSE()</f>
        <v>0</v>
      </c>
      <c r="O339" s="721" t="b">
        <f t="shared" si="217"/>
        <v>0</v>
      </c>
      <c r="P339" s="721" t="b">
        <f t="shared" si="222"/>
        <v>0</v>
      </c>
      <c r="Q339" s="721" t="b">
        <f t="shared" si="224"/>
        <v>0</v>
      </c>
      <c r="R339" s="721" t="b">
        <f t="shared" si="229"/>
        <v>0</v>
      </c>
      <c r="S339" s="721" t="b">
        <f t="shared" si="221"/>
        <v>0</v>
      </c>
      <c r="T339" s="721" t="b">
        <f t="shared" si="223"/>
        <v>0</v>
      </c>
      <c r="U339" s="721" t="b">
        <f t="shared" si="220"/>
        <v>0</v>
      </c>
      <c r="V339" s="721" t="b">
        <f t="shared" si="219"/>
        <v>0</v>
      </c>
      <c r="W339" s="721" t="b">
        <f t="shared" ref="W339:W343" si="236">TRUE()</f>
        <v>1</v>
      </c>
      <c r="X339" s="721" t="b">
        <f t="shared" si="227"/>
        <v>0</v>
      </c>
      <c r="Y339" s="721" t="b">
        <f t="shared" si="232"/>
        <v>0</v>
      </c>
      <c r="Z339" s="721" t="b">
        <f t="shared" si="228"/>
        <v>0</v>
      </c>
      <c r="AA339" s="721" t="b">
        <f t="shared" si="231"/>
        <v>0</v>
      </c>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row>
    <row r="340" spans="1:66" hidden="1">
      <c r="A340">
        <f t="shared" si="214"/>
        <v>337</v>
      </c>
      <c r="B340" s="487">
        <v>1</v>
      </c>
      <c r="C340" s="407" t="s">
        <v>539</v>
      </c>
      <c r="D340" s="407" t="s">
        <v>552</v>
      </c>
      <c r="E340" s="407"/>
      <c r="F340" s="407" t="s">
        <v>1103</v>
      </c>
      <c r="G340" s="409">
        <v>15.53</v>
      </c>
      <c r="H340" s="428"/>
      <c r="I340" s="430">
        <f t="shared" si="213"/>
        <v>15.53</v>
      </c>
      <c r="K340" s="17"/>
      <c r="L340" s="17" t="s">
        <v>1061</v>
      </c>
      <c r="M340" s="720">
        <v>44313</v>
      </c>
      <c r="N340" s="721" t="b">
        <f t="shared" si="235"/>
        <v>0</v>
      </c>
      <c r="O340" s="721" t="b">
        <f t="shared" si="217"/>
        <v>0</v>
      </c>
      <c r="P340" s="721" t="b">
        <f t="shared" si="222"/>
        <v>0</v>
      </c>
      <c r="Q340" s="721" t="b">
        <f t="shared" si="224"/>
        <v>0</v>
      </c>
      <c r="R340" s="721" t="b">
        <f t="shared" si="229"/>
        <v>0</v>
      </c>
      <c r="S340" s="721" t="b">
        <f t="shared" si="221"/>
        <v>0</v>
      </c>
      <c r="T340" s="721" t="b">
        <f t="shared" si="223"/>
        <v>0</v>
      </c>
      <c r="U340" s="721" t="b">
        <f t="shared" si="220"/>
        <v>0</v>
      </c>
      <c r="V340" s="721" t="b">
        <f t="shared" si="219"/>
        <v>0</v>
      </c>
      <c r="W340" s="721" t="b">
        <f t="shared" si="236"/>
        <v>1</v>
      </c>
      <c r="X340" s="721" t="b">
        <f t="shared" si="227"/>
        <v>0</v>
      </c>
      <c r="Y340" s="721" t="b">
        <f t="shared" si="232"/>
        <v>0</v>
      </c>
      <c r="Z340" s="721" t="b">
        <f t="shared" si="228"/>
        <v>0</v>
      </c>
      <c r="AA340" s="721" t="b">
        <f t="shared" si="231"/>
        <v>0</v>
      </c>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row>
    <row r="341" spans="1:66" hidden="1">
      <c r="A341">
        <f t="shared" si="214"/>
        <v>338</v>
      </c>
      <c r="B341" s="487">
        <v>1</v>
      </c>
      <c r="C341" s="407" t="s">
        <v>539</v>
      </c>
      <c r="D341" s="407" t="s">
        <v>552</v>
      </c>
      <c r="E341" s="407"/>
      <c r="F341" s="407" t="s">
        <v>1052</v>
      </c>
      <c r="G341" s="409">
        <v>24.91</v>
      </c>
      <c r="H341" s="428"/>
      <c r="I341" s="430">
        <f t="shared" si="213"/>
        <v>24.91</v>
      </c>
      <c r="K341" s="17"/>
      <c r="L341" s="17" t="s">
        <v>1061</v>
      </c>
      <c r="M341" s="720">
        <v>44313</v>
      </c>
      <c r="N341" s="721" t="b">
        <f t="shared" si="235"/>
        <v>0</v>
      </c>
      <c r="O341" s="721" t="b">
        <f t="shared" si="217"/>
        <v>0</v>
      </c>
      <c r="P341" s="721" t="b">
        <f t="shared" si="222"/>
        <v>0</v>
      </c>
      <c r="Q341" s="721" t="b">
        <f t="shared" si="224"/>
        <v>0</v>
      </c>
      <c r="R341" s="721" t="b">
        <f t="shared" si="229"/>
        <v>0</v>
      </c>
      <c r="S341" s="721" t="b">
        <f t="shared" si="221"/>
        <v>0</v>
      </c>
      <c r="T341" s="721" t="b">
        <f t="shared" si="223"/>
        <v>0</v>
      </c>
      <c r="U341" s="721" t="b">
        <f t="shared" si="220"/>
        <v>0</v>
      </c>
      <c r="V341" s="721" t="b">
        <f t="shared" si="219"/>
        <v>0</v>
      </c>
      <c r="W341" s="721" t="b">
        <f t="shared" si="236"/>
        <v>1</v>
      </c>
      <c r="X341" s="721" t="b">
        <f t="shared" si="227"/>
        <v>0</v>
      </c>
      <c r="Y341" s="721" t="b">
        <f t="shared" si="232"/>
        <v>0</v>
      </c>
      <c r="Z341" s="721" t="b">
        <f t="shared" si="228"/>
        <v>0</v>
      </c>
      <c r="AA341" s="721" t="b">
        <f t="shared" si="231"/>
        <v>0</v>
      </c>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row>
    <row r="342" spans="1:66" hidden="1">
      <c r="A342">
        <f t="shared" si="214"/>
        <v>339</v>
      </c>
      <c r="B342" s="487">
        <v>1</v>
      </c>
      <c r="C342" s="407" t="s">
        <v>539</v>
      </c>
      <c r="D342" s="407" t="s">
        <v>552</v>
      </c>
      <c r="E342" s="407"/>
      <c r="F342" s="407" t="s">
        <v>1055</v>
      </c>
      <c r="G342" s="409">
        <v>34.61</v>
      </c>
      <c r="H342" s="428"/>
      <c r="I342" s="430">
        <f t="shared" si="213"/>
        <v>34.61</v>
      </c>
      <c r="K342" s="17"/>
      <c r="L342" s="17" t="s">
        <v>1061</v>
      </c>
      <c r="M342" s="720">
        <v>44313</v>
      </c>
      <c r="N342" s="721" t="b">
        <f t="shared" si="235"/>
        <v>0</v>
      </c>
      <c r="O342" s="721" t="b">
        <f t="shared" si="217"/>
        <v>0</v>
      </c>
      <c r="P342" s="721" t="b">
        <f t="shared" si="222"/>
        <v>0</v>
      </c>
      <c r="Q342" s="721" t="b">
        <f t="shared" si="224"/>
        <v>0</v>
      </c>
      <c r="R342" s="721" t="b">
        <f t="shared" si="229"/>
        <v>0</v>
      </c>
      <c r="S342" s="721" t="b">
        <f t="shared" si="221"/>
        <v>0</v>
      </c>
      <c r="T342" s="721" t="b">
        <f t="shared" si="223"/>
        <v>0</v>
      </c>
      <c r="U342" s="721" t="b">
        <f t="shared" si="220"/>
        <v>0</v>
      </c>
      <c r="V342" s="721" t="b">
        <f t="shared" si="219"/>
        <v>0</v>
      </c>
      <c r="W342" s="721" t="b">
        <f t="shared" si="236"/>
        <v>1</v>
      </c>
      <c r="X342" s="721" t="b">
        <f t="shared" si="227"/>
        <v>0</v>
      </c>
      <c r="Y342" s="721" t="b">
        <f t="shared" si="232"/>
        <v>0</v>
      </c>
      <c r="Z342" s="721" t="b">
        <f t="shared" si="228"/>
        <v>0</v>
      </c>
      <c r="AA342" s="721" t="b">
        <f t="shared" si="231"/>
        <v>0</v>
      </c>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row>
    <row r="343" spans="1:66" hidden="1">
      <c r="A343">
        <f t="shared" si="214"/>
        <v>340</v>
      </c>
      <c r="B343" s="487">
        <v>1</v>
      </c>
      <c r="C343" s="407" t="s">
        <v>539</v>
      </c>
      <c r="D343" s="407" t="s">
        <v>552</v>
      </c>
      <c r="E343" s="407"/>
      <c r="F343" s="407" t="s">
        <v>1310</v>
      </c>
      <c r="G343" s="409">
        <v>46.79</v>
      </c>
      <c r="H343" s="428"/>
      <c r="I343" s="430">
        <f t="shared" si="213"/>
        <v>46.79</v>
      </c>
      <c r="K343" s="17"/>
      <c r="L343" s="17" t="s">
        <v>1061</v>
      </c>
      <c r="M343" s="720">
        <v>44313</v>
      </c>
      <c r="N343" s="721" t="b">
        <f t="shared" si="235"/>
        <v>0</v>
      </c>
      <c r="O343" s="721" t="b">
        <f t="shared" si="217"/>
        <v>0</v>
      </c>
      <c r="P343" s="721" t="b">
        <f t="shared" si="222"/>
        <v>0</v>
      </c>
      <c r="Q343" s="721" t="b">
        <f t="shared" si="224"/>
        <v>0</v>
      </c>
      <c r="R343" s="721" t="b">
        <f t="shared" si="229"/>
        <v>0</v>
      </c>
      <c r="S343" s="721" t="b">
        <f t="shared" si="221"/>
        <v>0</v>
      </c>
      <c r="T343" s="721" t="b">
        <f t="shared" si="223"/>
        <v>0</v>
      </c>
      <c r="U343" s="721" t="b">
        <f t="shared" si="220"/>
        <v>0</v>
      </c>
      <c r="V343" s="721" t="b">
        <f t="shared" si="219"/>
        <v>0</v>
      </c>
      <c r="W343" s="721" t="b">
        <f t="shared" si="236"/>
        <v>1</v>
      </c>
      <c r="X343" s="721" t="b">
        <f t="shared" si="227"/>
        <v>0</v>
      </c>
      <c r="Y343" s="721" t="b">
        <f t="shared" si="232"/>
        <v>0</v>
      </c>
      <c r="Z343" s="721" t="b">
        <f t="shared" si="228"/>
        <v>0</v>
      </c>
      <c r="AA343" s="721" t="b">
        <f t="shared" si="231"/>
        <v>0</v>
      </c>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row>
    <row r="344" spans="1:66" hidden="1">
      <c r="A344">
        <f t="shared" si="214"/>
        <v>341</v>
      </c>
      <c r="B344" s="407">
        <v>1</v>
      </c>
      <c r="C344" s="407" t="s">
        <v>505</v>
      </c>
      <c r="D344" s="407" t="s">
        <v>1285</v>
      </c>
      <c r="E344" s="407"/>
      <c r="F344" s="408" t="s">
        <v>1311</v>
      </c>
      <c r="G344" s="409">
        <f>5579/1.2</f>
        <v>4649.166666666667</v>
      </c>
      <c r="H344" s="410"/>
      <c r="I344" s="409">
        <f t="shared" si="213"/>
        <v>4649.166666666667</v>
      </c>
      <c r="J344" s="58">
        <v>82800</v>
      </c>
      <c r="K344" s="417">
        <f t="shared" si="218"/>
        <v>5.6149355877616748E-2</v>
      </c>
      <c r="L344" s="17" t="s">
        <v>1115</v>
      </c>
      <c r="M344" s="720">
        <v>44315</v>
      </c>
      <c r="N344" s="721" t="b">
        <f t="shared" si="235"/>
        <v>0</v>
      </c>
      <c r="O344" s="721" t="b">
        <f t="shared" si="217"/>
        <v>0</v>
      </c>
      <c r="P344" s="721" t="b">
        <f>TRUE()</f>
        <v>1</v>
      </c>
      <c r="Q344" s="721" t="b">
        <f t="shared" si="224"/>
        <v>0</v>
      </c>
      <c r="R344" s="721" t="b">
        <f t="shared" si="229"/>
        <v>0</v>
      </c>
      <c r="S344" s="721" t="b">
        <f t="shared" si="221"/>
        <v>0</v>
      </c>
      <c r="T344" s="721" t="b">
        <f t="shared" si="223"/>
        <v>0</v>
      </c>
      <c r="U344" s="721" t="b">
        <f t="shared" si="220"/>
        <v>0</v>
      </c>
      <c r="V344" s="721" t="b">
        <f t="shared" si="219"/>
        <v>0</v>
      </c>
      <c r="W344" s="721" t="b">
        <f>FALSE()</f>
        <v>0</v>
      </c>
      <c r="X344" s="721" t="b">
        <f t="shared" si="227"/>
        <v>0</v>
      </c>
      <c r="Y344" s="721" t="b">
        <f t="shared" si="232"/>
        <v>0</v>
      </c>
      <c r="Z344" s="721" t="b">
        <f t="shared" si="228"/>
        <v>0</v>
      </c>
      <c r="AA344" s="721" t="b">
        <f t="shared" si="231"/>
        <v>0</v>
      </c>
      <c r="AB344" s="17"/>
      <c r="AC344" s="17"/>
      <c r="AD344" s="17"/>
      <c r="AE344" s="17"/>
      <c r="AF344" s="17"/>
      <c r="AG344" s="17"/>
      <c r="AH344" s="17"/>
      <c r="AI344" s="17"/>
      <c r="AJ344" s="17"/>
      <c r="AK344" s="17"/>
      <c r="AL344" s="17"/>
      <c r="AM344" s="17"/>
      <c r="AN344" s="17"/>
      <c r="AO344" s="17"/>
      <c r="AP344" s="17"/>
      <c r="AQ344" s="17"/>
    </row>
    <row r="345" spans="1:66" hidden="1">
      <c r="A345">
        <f t="shared" si="214"/>
        <v>342</v>
      </c>
      <c r="B345" s="487">
        <v>1</v>
      </c>
      <c r="C345" s="407" t="s">
        <v>539</v>
      </c>
      <c r="D345" s="407" t="s">
        <v>690</v>
      </c>
      <c r="E345" s="407"/>
      <c r="F345" s="407" t="s">
        <v>1301</v>
      </c>
      <c r="G345" s="409">
        <v>21.11</v>
      </c>
      <c r="H345" s="428"/>
      <c r="I345" s="430">
        <f t="shared" si="213"/>
        <v>21.11</v>
      </c>
      <c r="K345" s="719"/>
      <c r="L345" s="17" t="s">
        <v>690</v>
      </c>
      <c r="M345" s="724">
        <v>44315</v>
      </c>
      <c r="N345" s="721" t="b">
        <f t="shared" si="235"/>
        <v>0</v>
      </c>
      <c r="O345" s="721" t="b">
        <f t="shared" si="217"/>
        <v>0</v>
      </c>
      <c r="P345" s="721" t="b">
        <f t="shared" ref="P345:P348" si="237">FALSE()</f>
        <v>0</v>
      </c>
      <c r="Q345" s="721" t="b">
        <f t="shared" si="224"/>
        <v>0</v>
      </c>
      <c r="R345" s="721" t="b">
        <f t="shared" si="229"/>
        <v>0</v>
      </c>
      <c r="S345" s="721" t="b">
        <f t="shared" si="221"/>
        <v>0</v>
      </c>
      <c r="T345" s="721" t="b">
        <f t="shared" si="223"/>
        <v>0</v>
      </c>
      <c r="U345" s="721" t="b">
        <f t="shared" si="220"/>
        <v>0</v>
      </c>
      <c r="V345" s="721" t="b">
        <f t="shared" si="219"/>
        <v>0</v>
      </c>
      <c r="W345" s="721" t="b">
        <f>TRUE()</f>
        <v>1</v>
      </c>
      <c r="X345" s="721" t="b">
        <f t="shared" si="227"/>
        <v>0</v>
      </c>
      <c r="Y345" s="721" t="b">
        <f t="shared" si="232"/>
        <v>0</v>
      </c>
      <c r="Z345" s="721" t="b">
        <f t="shared" si="228"/>
        <v>0</v>
      </c>
      <c r="AA345" s="721" t="b">
        <f t="shared" si="231"/>
        <v>0</v>
      </c>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row>
    <row r="346" spans="1:66" hidden="1">
      <c r="A346">
        <f t="shared" si="214"/>
        <v>343</v>
      </c>
      <c r="B346" s="407">
        <v>1</v>
      </c>
      <c r="C346" s="407" t="s">
        <v>517</v>
      </c>
      <c r="D346" s="407" t="s">
        <v>1312</v>
      </c>
      <c r="E346" s="407"/>
      <c r="F346" s="408" t="s">
        <v>1313</v>
      </c>
      <c r="G346" s="409">
        <v>536.72</v>
      </c>
      <c r="H346" s="410"/>
      <c r="I346" s="409">
        <f t="shared" si="213"/>
        <v>536.72</v>
      </c>
      <c r="J346" s="58">
        <f t="shared" ref="J346:J347" si="238">50*400*1.732</f>
        <v>34640</v>
      </c>
      <c r="K346" s="417">
        <f t="shared" si="218"/>
        <v>1.5494226327944574E-2</v>
      </c>
      <c r="L346" s="17" t="s">
        <v>1158</v>
      </c>
      <c r="M346" s="720">
        <v>44315</v>
      </c>
      <c r="N346" s="721" t="b">
        <f t="shared" si="235"/>
        <v>0</v>
      </c>
      <c r="O346" s="721" t="b">
        <f t="shared" si="217"/>
        <v>0</v>
      </c>
      <c r="P346" s="721" t="b">
        <f t="shared" si="237"/>
        <v>0</v>
      </c>
      <c r="Q346" s="721" t="b">
        <f t="shared" si="224"/>
        <v>0</v>
      </c>
      <c r="R346" s="721" t="b">
        <f t="shared" si="229"/>
        <v>0</v>
      </c>
      <c r="S346" s="721" t="b">
        <f t="shared" ref="S346:S347" si="239">TRUE()</f>
        <v>1</v>
      </c>
      <c r="T346" s="721" t="b">
        <f t="shared" si="223"/>
        <v>0</v>
      </c>
      <c r="U346" s="721" t="b">
        <f t="shared" si="220"/>
        <v>0</v>
      </c>
      <c r="V346" s="721" t="b">
        <f t="shared" si="219"/>
        <v>0</v>
      </c>
      <c r="W346" s="721" t="b">
        <f t="shared" ref="W346:W409" si="240">FALSE()</f>
        <v>0</v>
      </c>
      <c r="X346" s="721" t="b">
        <f t="shared" si="227"/>
        <v>0</v>
      </c>
      <c r="Y346" s="721" t="b">
        <f t="shared" si="232"/>
        <v>0</v>
      </c>
      <c r="Z346" s="721" t="b">
        <f t="shared" si="228"/>
        <v>0</v>
      </c>
      <c r="AA346" s="721" t="b">
        <f t="shared" si="231"/>
        <v>0</v>
      </c>
      <c r="AB346" s="17"/>
      <c r="AC346" s="17"/>
      <c r="AD346" s="17"/>
      <c r="AE346" s="17"/>
      <c r="AF346" s="17"/>
      <c r="AG346" s="17"/>
      <c r="AH346" s="17"/>
      <c r="AI346" s="17"/>
      <c r="AJ346" s="17"/>
      <c r="AK346" s="17"/>
      <c r="AL346" s="17"/>
      <c r="AM346" s="17"/>
      <c r="AN346" s="17"/>
      <c r="AO346" s="17"/>
      <c r="AP346" s="17"/>
      <c r="AQ346" s="17"/>
    </row>
    <row r="347" spans="1:66" hidden="1">
      <c r="A347">
        <f t="shared" si="214"/>
        <v>344</v>
      </c>
      <c r="B347" s="407">
        <v>1</v>
      </c>
      <c r="C347" s="407" t="s">
        <v>517</v>
      </c>
      <c r="D347" s="407" t="s">
        <v>1314</v>
      </c>
      <c r="E347" s="407"/>
      <c r="F347" s="408" t="s">
        <v>1315</v>
      </c>
      <c r="G347" s="409">
        <v>614.45000000000005</v>
      </c>
      <c r="H347" s="410"/>
      <c r="I347" s="409">
        <f t="shared" si="213"/>
        <v>614.45000000000005</v>
      </c>
      <c r="J347" s="58">
        <f t="shared" si="238"/>
        <v>34640</v>
      </c>
      <c r="K347" s="417">
        <f t="shared" si="218"/>
        <v>1.7738163972286374E-2</v>
      </c>
      <c r="L347" s="17" t="s">
        <v>1158</v>
      </c>
      <c r="M347" s="720">
        <v>44315</v>
      </c>
      <c r="N347" s="721" t="b">
        <f t="shared" si="235"/>
        <v>0</v>
      </c>
      <c r="O347" s="721" t="b">
        <f t="shared" si="217"/>
        <v>0</v>
      </c>
      <c r="P347" s="721" t="b">
        <f t="shared" si="237"/>
        <v>0</v>
      </c>
      <c r="Q347" s="721" t="b">
        <f t="shared" si="224"/>
        <v>0</v>
      </c>
      <c r="R347" s="721" t="b">
        <f t="shared" si="229"/>
        <v>0</v>
      </c>
      <c r="S347" s="721" t="b">
        <f t="shared" si="239"/>
        <v>1</v>
      </c>
      <c r="T347" s="721" t="b">
        <f t="shared" si="223"/>
        <v>0</v>
      </c>
      <c r="U347" s="721" t="b">
        <f t="shared" si="220"/>
        <v>0</v>
      </c>
      <c r="V347" s="721" t="b">
        <f t="shared" si="219"/>
        <v>0</v>
      </c>
      <c r="W347" s="721" t="b">
        <f t="shared" si="240"/>
        <v>0</v>
      </c>
      <c r="X347" s="721" t="b">
        <f t="shared" si="227"/>
        <v>0</v>
      </c>
      <c r="Y347" s="721" t="b">
        <f t="shared" si="232"/>
        <v>0</v>
      </c>
      <c r="Z347" s="721" t="b">
        <f t="shared" si="228"/>
        <v>0</v>
      </c>
      <c r="AA347" s="721" t="b">
        <f t="shared" si="231"/>
        <v>0</v>
      </c>
      <c r="AB347" s="17"/>
      <c r="AC347" s="17"/>
      <c r="AD347" s="17"/>
      <c r="AE347" s="17"/>
      <c r="AF347" s="17"/>
      <c r="AG347" s="17"/>
      <c r="AH347" s="17"/>
      <c r="AI347" s="17"/>
      <c r="AJ347" s="17"/>
      <c r="AK347" s="17"/>
      <c r="AL347" s="17"/>
      <c r="AM347" s="17"/>
      <c r="AN347" s="17"/>
      <c r="AO347" s="17"/>
      <c r="AP347" s="17"/>
      <c r="AQ347" s="17"/>
    </row>
    <row r="348" spans="1:66" hidden="1">
      <c r="A348">
        <f t="shared" si="214"/>
        <v>345</v>
      </c>
      <c r="B348" s="407">
        <v>1</v>
      </c>
      <c r="C348" s="407" t="s">
        <v>505</v>
      </c>
      <c r="D348" s="407"/>
      <c r="E348" s="407"/>
      <c r="F348" s="408" t="s">
        <v>1316</v>
      </c>
      <c r="G348" s="409">
        <v>40.33</v>
      </c>
      <c r="H348" s="410"/>
      <c r="I348" s="409">
        <v>40.33</v>
      </c>
      <c r="K348" s="17"/>
      <c r="L348" s="17" t="s">
        <v>966</v>
      </c>
      <c r="M348" s="720">
        <v>43942</v>
      </c>
      <c r="N348" s="721" t="b">
        <f t="shared" si="235"/>
        <v>0</v>
      </c>
      <c r="O348" s="721" t="b">
        <f t="shared" si="217"/>
        <v>0</v>
      </c>
      <c r="P348" s="721" t="b">
        <f t="shared" si="237"/>
        <v>0</v>
      </c>
      <c r="Q348" s="721" t="b">
        <f t="shared" si="224"/>
        <v>0</v>
      </c>
      <c r="R348" s="721" t="b">
        <f t="shared" si="229"/>
        <v>0</v>
      </c>
      <c r="S348" s="721" t="b">
        <f t="shared" ref="S348:S355" si="241">FALSE()</f>
        <v>0</v>
      </c>
      <c r="T348" s="721" t="b">
        <f t="shared" si="223"/>
        <v>0</v>
      </c>
      <c r="U348" s="721" t="b">
        <f t="shared" si="220"/>
        <v>0</v>
      </c>
      <c r="V348" s="721" t="b">
        <f t="shared" si="219"/>
        <v>0</v>
      </c>
      <c r="W348" s="721" t="b">
        <f t="shared" si="240"/>
        <v>0</v>
      </c>
      <c r="X348" s="721" t="b">
        <f t="shared" si="227"/>
        <v>0</v>
      </c>
      <c r="Y348" s="721" t="b">
        <f>TRUE()</f>
        <v>1</v>
      </c>
      <c r="Z348" s="721" t="b">
        <f t="shared" si="228"/>
        <v>0</v>
      </c>
      <c r="AA348" s="721" t="b">
        <f t="shared" si="231"/>
        <v>0</v>
      </c>
      <c r="AB348" s="17"/>
      <c r="AC348" s="17"/>
      <c r="AD348" s="17"/>
      <c r="AE348" s="17"/>
      <c r="AF348" s="17"/>
      <c r="AG348" s="17"/>
      <c r="AH348" s="17"/>
      <c r="AI348" s="17"/>
      <c r="AJ348" s="17"/>
      <c r="AK348" s="17"/>
      <c r="AL348" s="17"/>
      <c r="AM348" s="17"/>
      <c r="AN348" s="17"/>
      <c r="AO348" s="17"/>
      <c r="AP348" s="17"/>
      <c r="AQ348" s="17"/>
    </row>
    <row r="349" spans="1:66" hidden="1">
      <c r="A349">
        <f t="shared" si="214"/>
        <v>346</v>
      </c>
      <c r="B349" s="407">
        <v>1</v>
      </c>
      <c r="C349" s="407" t="s">
        <v>505</v>
      </c>
      <c r="D349" s="407" t="s">
        <v>810</v>
      </c>
      <c r="E349" s="407"/>
      <c r="F349" s="408" t="s">
        <v>811</v>
      </c>
      <c r="G349" s="409">
        <v>3420</v>
      </c>
      <c r="H349" s="410"/>
      <c r="I349" s="409">
        <f t="shared" si="213"/>
        <v>3420</v>
      </c>
      <c r="J349" s="58">
        <v>55000</v>
      </c>
      <c r="K349" s="417">
        <f t="shared" si="218"/>
        <v>6.2181818181818178E-2</v>
      </c>
      <c r="L349" s="17" t="s">
        <v>1317</v>
      </c>
      <c r="M349" s="720">
        <v>44358</v>
      </c>
      <c r="N349" s="721" t="b">
        <f t="shared" si="235"/>
        <v>0</v>
      </c>
      <c r="O349" s="721" t="b">
        <f t="shared" si="217"/>
        <v>0</v>
      </c>
      <c r="P349" s="721" t="b">
        <f>TRUE()</f>
        <v>1</v>
      </c>
      <c r="Q349" s="721" t="b">
        <f t="shared" si="224"/>
        <v>0</v>
      </c>
      <c r="R349" s="721" t="b">
        <f t="shared" si="229"/>
        <v>0</v>
      </c>
      <c r="S349" s="721" t="b">
        <f t="shared" si="241"/>
        <v>0</v>
      </c>
      <c r="T349" s="721" t="b">
        <f t="shared" si="223"/>
        <v>0</v>
      </c>
      <c r="U349" s="721" t="b">
        <f t="shared" si="220"/>
        <v>0</v>
      </c>
      <c r="V349" s="721" t="b">
        <f t="shared" si="219"/>
        <v>0</v>
      </c>
      <c r="W349" s="721" t="b">
        <f t="shared" si="240"/>
        <v>0</v>
      </c>
      <c r="X349" s="721" t="b">
        <f t="shared" si="227"/>
        <v>0</v>
      </c>
      <c r="Y349" s="721" t="b">
        <f t="shared" ref="Y349:Y360" si="242">FALSE()</f>
        <v>0</v>
      </c>
      <c r="Z349" s="721" t="b">
        <f t="shared" si="228"/>
        <v>0</v>
      </c>
      <c r="AA349" s="721" t="b">
        <f t="shared" si="231"/>
        <v>0</v>
      </c>
      <c r="AB349" s="17"/>
      <c r="AC349" s="17"/>
      <c r="AD349" s="17"/>
      <c r="AE349" s="17"/>
      <c r="AF349" s="17"/>
      <c r="AG349" s="17"/>
      <c r="AH349" s="17"/>
      <c r="AI349" s="17"/>
      <c r="AJ349" s="17"/>
      <c r="AK349" s="17"/>
      <c r="AL349" s="17"/>
      <c r="AM349" s="17"/>
      <c r="AN349" s="17"/>
      <c r="AO349" s="17"/>
      <c r="AP349" s="17"/>
      <c r="AQ349" s="17"/>
    </row>
    <row r="350" spans="1:66" hidden="1">
      <c r="A350">
        <f t="shared" si="214"/>
        <v>347</v>
      </c>
      <c r="B350" s="407">
        <v>1</v>
      </c>
      <c r="C350" s="407" t="s">
        <v>505</v>
      </c>
      <c r="D350" s="407" t="s">
        <v>810</v>
      </c>
      <c r="E350" s="407"/>
      <c r="F350" s="408" t="s">
        <v>1318</v>
      </c>
      <c r="G350" s="409">
        <f>20700/160</f>
        <v>129.375</v>
      </c>
      <c r="H350" s="410"/>
      <c r="I350" s="409">
        <f t="shared" si="213"/>
        <v>129.375</v>
      </c>
      <c r="J350" s="58">
        <v>375</v>
      </c>
      <c r="K350" s="417">
        <f t="shared" si="218"/>
        <v>0.34499999999999997</v>
      </c>
      <c r="L350" s="17" t="s">
        <v>1317</v>
      </c>
      <c r="M350" s="720">
        <v>44358</v>
      </c>
      <c r="N350" s="721" t="b">
        <f>TRUE()</f>
        <v>1</v>
      </c>
      <c r="O350" s="721" t="b">
        <f t="shared" si="217"/>
        <v>0</v>
      </c>
      <c r="P350" s="721" t="b">
        <f t="shared" ref="P350:P352" si="243">FALSE()</f>
        <v>0</v>
      </c>
      <c r="Q350" s="721" t="b">
        <f t="shared" si="224"/>
        <v>0</v>
      </c>
      <c r="R350" s="721" t="b">
        <f t="shared" si="229"/>
        <v>0</v>
      </c>
      <c r="S350" s="721" t="b">
        <f t="shared" si="241"/>
        <v>0</v>
      </c>
      <c r="T350" s="721" t="b">
        <f t="shared" si="223"/>
        <v>0</v>
      </c>
      <c r="U350" s="721" t="b">
        <f t="shared" si="220"/>
        <v>0</v>
      </c>
      <c r="V350" s="721" t="b">
        <f t="shared" si="219"/>
        <v>0</v>
      </c>
      <c r="W350" s="721" t="b">
        <f t="shared" si="240"/>
        <v>0</v>
      </c>
      <c r="X350" s="721" t="b">
        <f t="shared" si="227"/>
        <v>0</v>
      </c>
      <c r="Y350" s="721" t="b">
        <f t="shared" si="242"/>
        <v>0</v>
      </c>
      <c r="Z350" s="721" t="b">
        <f t="shared" si="228"/>
        <v>0</v>
      </c>
      <c r="AA350" s="721" t="b">
        <f t="shared" si="231"/>
        <v>0</v>
      </c>
      <c r="AB350" s="17"/>
      <c r="AC350" s="17"/>
      <c r="AD350" s="17"/>
      <c r="AE350" s="17"/>
      <c r="AF350" s="17"/>
      <c r="AG350" s="17"/>
      <c r="AH350" s="17"/>
      <c r="AI350" s="17"/>
      <c r="AJ350" s="17"/>
      <c r="AK350" s="17"/>
      <c r="AL350" s="17"/>
      <c r="AM350" s="17"/>
      <c r="AN350" s="17"/>
      <c r="AO350" s="17"/>
      <c r="AP350" s="17"/>
      <c r="AQ350" s="17"/>
    </row>
    <row r="351" spans="1:66" hidden="1">
      <c r="A351">
        <f t="shared" si="214"/>
        <v>348</v>
      </c>
      <c r="B351" s="407">
        <v>1</v>
      </c>
      <c r="C351" s="407" t="s">
        <v>505</v>
      </c>
      <c r="D351" s="407" t="s">
        <v>810</v>
      </c>
      <c r="E351" s="407"/>
      <c r="F351" s="408" t="s">
        <v>1319</v>
      </c>
      <c r="G351" s="409">
        <f>7900/160</f>
        <v>49.375</v>
      </c>
      <c r="H351" s="410"/>
      <c r="I351" s="409">
        <f t="shared" si="213"/>
        <v>49.375</v>
      </c>
      <c r="J351" s="58">
        <v>375</v>
      </c>
      <c r="K351" s="417">
        <f t="shared" si="218"/>
        <v>0.13166666666666665</v>
      </c>
      <c r="L351" s="17" t="s">
        <v>1317</v>
      </c>
      <c r="M351" s="720">
        <v>44358</v>
      </c>
      <c r="N351" s="721" t="b">
        <f t="shared" ref="N351:N356" si="244">FALSE()</f>
        <v>0</v>
      </c>
      <c r="O351" s="721" t="b">
        <f>TRUE()</f>
        <v>1</v>
      </c>
      <c r="P351" s="721" t="b">
        <f t="shared" si="243"/>
        <v>0</v>
      </c>
      <c r="Q351" s="721" t="b">
        <f t="shared" si="224"/>
        <v>0</v>
      </c>
      <c r="R351" s="721" t="b">
        <f t="shared" si="229"/>
        <v>0</v>
      </c>
      <c r="S351" s="721" t="b">
        <f t="shared" si="241"/>
        <v>0</v>
      </c>
      <c r="T351" s="721" t="b">
        <f t="shared" si="223"/>
        <v>0</v>
      </c>
      <c r="U351" s="721" t="b">
        <f t="shared" si="220"/>
        <v>0</v>
      </c>
      <c r="V351" s="721" t="b">
        <f t="shared" si="219"/>
        <v>0</v>
      </c>
      <c r="W351" s="721" t="b">
        <f t="shared" si="240"/>
        <v>0</v>
      </c>
      <c r="X351" s="721" t="b">
        <f t="shared" si="227"/>
        <v>0</v>
      </c>
      <c r="Y351" s="721" t="b">
        <f t="shared" si="242"/>
        <v>0</v>
      </c>
      <c r="Z351" s="721" t="b">
        <f t="shared" si="228"/>
        <v>0</v>
      </c>
      <c r="AA351" s="721" t="b">
        <f t="shared" si="231"/>
        <v>0</v>
      </c>
      <c r="AB351" s="17"/>
      <c r="AC351" s="17"/>
      <c r="AD351" s="17"/>
      <c r="AE351" s="17"/>
      <c r="AF351" s="17"/>
      <c r="AG351" s="17"/>
      <c r="AH351" s="17"/>
      <c r="AI351" s="17"/>
      <c r="AJ351" s="17"/>
      <c r="AK351" s="17"/>
      <c r="AL351" s="17"/>
      <c r="AM351" s="17"/>
      <c r="AN351" s="17"/>
      <c r="AO351" s="17"/>
      <c r="AP351" s="17"/>
      <c r="AQ351" s="17"/>
    </row>
    <row r="352" spans="1:66" hidden="1">
      <c r="A352">
        <f t="shared" si="214"/>
        <v>349</v>
      </c>
      <c r="B352" s="407">
        <v>1</v>
      </c>
      <c r="C352" s="407" t="s">
        <v>505</v>
      </c>
      <c r="D352" s="407" t="s">
        <v>810</v>
      </c>
      <c r="E352" s="407"/>
      <c r="F352" s="408" t="s">
        <v>1320</v>
      </c>
      <c r="G352" s="409">
        <f>280/160</f>
        <v>1.75</v>
      </c>
      <c r="H352" s="410"/>
      <c r="I352" s="409">
        <f t="shared" si="213"/>
        <v>1.75</v>
      </c>
      <c r="J352" s="58">
        <v>375</v>
      </c>
      <c r="K352" s="417">
        <f t="shared" si="218"/>
        <v>4.6666666666666671E-3</v>
      </c>
      <c r="L352" s="17" t="s">
        <v>1317</v>
      </c>
      <c r="M352" s="720">
        <v>44358</v>
      </c>
      <c r="N352" s="721" t="b">
        <f t="shared" si="244"/>
        <v>0</v>
      </c>
      <c r="O352" s="721" t="b">
        <f t="shared" ref="O352:O363" si="245">FALSE()</f>
        <v>0</v>
      </c>
      <c r="P352" s="721" t="b">
        <f t="shared" si="243"/>
        <v>0</v>
      </c>
      <c r="Q352" s="721" t="b">
        <f t="shared" si="224"/>
        <v>0</v>
      </c>
      <c r="R352" s="721" t="b">
        <f t="shared" si="229"/>
        <v>0</v>
      </c>
      <c r="S352" s="721" t="b">
        <f t="shared" si="241"/>
        <v>0</v>
      </c>
      <c r="T352" s="721" t="b">
        <f t="shared" si="223"/>
        <v>0</v>
      </c>
      <c r="U352" s="721" t="b">
        <f t="shared" si="220"/>
        <v>0</v>
      </c>
      <c r="V352" s="721" t="b">
        <f t="shared" si="219"/>
        <v>0</v>
      </c>
      <c r="W352" s="721" t="b">
        <f t="shared" si="240"/>
        <v>0</v>
      </c>
      <c r="X352" s="721" t="b">
        <f t="shared" si="227"/>
        <v>0</v>
      </c>
      <c r="Y352" s="721" t="b">
        <f t="shared" si="242"/>
        <v>0</v>
      </c>
      <c r="Z352" s="721" t="b">
        <f>TRUE()</f>
        <v>1</v>
      </c>
      <c r="AA352" s="721" t="b">
        <f t="shared" si="231"/>
        <v>0</v>
      </c>
      <c r="AB352" s="17"/>
      <c r="AC352" s="17"/>
      <c r="AD352" s="17"/>
      <c r="AE352" s="17"/>
      <c r="AF352" s="17"/>
      <c r="AG352" s="17"/>
      <c r="AH352" s="17"/>
      <c r="AI352" s="17"/>
      <c r="AJ352" s="17"/>
      <c r="AK352" s="17"/>
      <c r="AL352" s="17"/>
      <c r="AM352" s="17"/>
      <c r="AN352" s="17"/>
      <c r="AO352" s="17"/>
      <c r="AP352" s="17"/>
      <c r="AQ352" s="17"/>
    </row>
    <row r="353" spans="1:43" hidden="1">
      <c r="A353">
        <f t="shared" si="214"/>
        <v>350</v>
      </c>
      <c r="B353" s="407">
        <v>1</v>
      </c>
      <c r="C353" s="407" t="s">
        <v>505</v>
      </c>
      <c r="D353" s="407" t="s">
        <v>810</v>
      </c>
      <c r="E353" s="407"/>
      <c r="F353" s="408" t="s">
        <v>1321</v>
      </c>
      <c r="G353" s="409">
        <f>4560/80</f>
        <v>57</v>
      </c>
      <c r="H353" s="410"/>
      <c r="I353" s="409">
        <f t="shared" si="213"/>
        <v>57</v>
      </c>
      <c r="J353" s="58">
        <v>800</v>
      </c>
      <c r="K353" s="417">
        <f t="shared" si="218"/>
        <v>7.1249999999999994E-2</v>
      </c>
      <c r="L353" s="17" t="s">
        <v>1317</v>
      </c>
      <c r="M353" s="720">
        <v>44358</v>
      </c>
      <c r="N353" s="721" t="b">
        <f t="shared" si="244"/>
        <v>0</v>
      </c>
      <c r="O353" s="721" t="b">
        <f t="shared" si="245"/>
        <v>0</v>
      </c>
      <c r="P353" s="721" t="b">
        <f>TRUE()</f>
        <v>1</v>
      </c>
      <c r="Q353" s="721" t="b">
        <f t="shared" si="224"/>
        <v>0</v>
      </c>
      <c r="R353" s="721" t="b">
        <f t="shared" si="229"/>
        <v>0</v>
      </c>
      <c r="S353" s="721" t="b">
        <f t="shared" si="241"/>
        <v>0</v>
      </c>
      <c r="T353" s="721" t="b">
        <f t="shared" si="223"/>
        <v>0</v>
      </c>
      <c r="U353" s="721" t="b">
        <f t="shared" si="220"/>
        <v>0</v>
      </c>
      <c r="V353" s="721" t="b">
        <f t="shared" si="219"/>
        <v>0</v>
      </c>
      <c r="W353" s="721" t="b">
        <f t="shared" si="240"/>
        <v>0</v>
      </c>
      <c r="X353" s="721" t="b">
        <f t="shared" si="227"/>
        <v>0</v>
      </c>
      <c r="Y353" s="721" t="b">
        <f t="shared" si="242"/>
        <v>0</v>
      </c>
      <c r="Z353" s="721" t="b">
        <f t="shared" ref="Z353:Z413" si="246">FALSE()</f>
        <v>0</v>
      </c>
      <c r="AA353" s="721" t="b">
        <f t="shared" si="231"/>
        <v>0</v>
      </c>
      <c r="AB353" s="17"/>
      <c r="AC353" s="17"/>
      <c r="AD353" s="17"/>
      <c r="AE353" s="17"/>
      <c r="AF353" s="17"/>
      <c r="AG353" s="17"/>
      <c r="AH353" s="17"/>
      <c r="AI353" s="17"/>
      <c r="AJ353" s="17"/>
      <c r="AK353" s="17"/>
      <c r="AL353" s="17"/>
      <c r="AM353" s="17"/>
      <c r="AN353" s="17"/>
      <c r="AO353" s="17"/>
      <c r="AP353" s="17"/>
      <c r="AQ353" s="17"/>
    </row>
    <row r="354" spans="1:43" hidden="1">
      <c r="A354">
        <f t="shared" si="214"/>
        <v>351</v>
      </c>
      <c r="B354" s="407">
        <v>1</v>
      </c>
      <c r="C354" s="407" t="s">
        <v>505</v>
      </c>
      <c r="D354" s="407" t="s">
        <v>810</v>
      </c>
      <c r="E354" s="407"/>
      <c r="F354" s="408" t="s">
        <v>1322</v>
      </c>
      <c r="G354" s="409">
        <v>700</v>
      </c>
      <c r="H354" s="410"/>
      <c r="I354" s="409">
        <f t="shared" si="213"/>
        <v>700</v>
      </c>
      <c r="J354" s="58">
        <f t="shared" ref="J354:J355" si="247">160*375</f>
        <v>60000</v>
      </c>
      <c r="K354" s="417">
        <f t="shared" si="218"/>
        <v>1.1666666666666667E-2</v>
      </c>
      <c r="L354" s="17" t="s">
        <v>1317</v>
      </c>
      <c r="M354" s="720">
        <v>44358</v>
      </c>
      <c r="N354" s="721" t="b">
        <f t="shared" si="244"/>
        <v>0</v>
      </c>
      <c r="O354" s="721" t="b">
        <f t="shared" si="245"/>
        <v>0</v>
      </c>
      <c r="P354" s="721" t="b">
        <f t="shared" ref="P354:P358" si="248">FALSE()</f>
        <v>0</v>
      </c>
      <c r="Q354" s="721" t="b">
        <f t="shared" si="224"/>
        <v>0</v>
      </c>
      <c r="R354" s="721" t="b">
        <f t="shared" si="229"/>
        <v>0</v>
      </c>
      <c r="S354" s="721" t="b">
        <f t="shared" si="241"/>
        <v>0</v>
      </c>
      <c r="T354" s="721" t="b">
        <f t="shared" si="223"/>
        <v>0</v>
      </c>
      <c r="U354" s="721" t="b">
        <f t="shared" si="220"/>
        <v>0</v>
      </c>
      <c r="V354" s="721" t="b">
        <f t="shared" si="219"/>
        <v>0</v>
      </c>
      <c r="W354" s="721" t="b">
        <f t="shared" si="240"/>
        <v>0</v>
      </c>
      <c r="X354" s="721" t="b">
        <f t="shared" si="227"/>
        <v>0</v>
      </c>
      <c r="Y354" s="721" t="b">
        <f t="shared" si="242"/>
        <v>0</v>
      </c>
      <c r="Z354" s="721" t="b">
        <f t="shared" si="246"/>
        <v>0</v>
      </c>
      <c r="AA354" s="721" t="b">
        <f>TRUE()</f>
        <v>1</v>
      </c>
      <c r="AB354" s="17"/>
      <c r="AC354" s="17"/>
      <c r="AD354" s="17"/>
      <c r="AE354" s="17"/>
      <c r="AF354" s="17"/>
      <c r="AG354" s="17"/>
      <c r="AH354" s="17"/>
      <c r="AI354" s="17"/>
      <c r="AJ354" s="17"/>
      <c r="AK354" s="17"/>
      <c r="AL354" s="17"/>
      <c r="AM354" s="17"/>
      <c r="AN354" s="17"/>
      <c r="AO354" s="17"/>
      <c r="AP354" s="17"/>
      <c r="AQ354" s="17"/>
    </row>
    <row r="355" spans="1:43" hidden="1">
      <c r="A355">
        <f t="shared" si="214"/>
        <v>352</v>
      </c>
      <c r="B355" s="407">
        <v>1</v>
      </c>
      <c r="C355" s="407" t="s">
        <v>505</v>
      </c>
      <c r="D355" s="407" t="s">
        <v>810</v>
      </c>
      <c r="E355" s="407"/>
      <c r="F355" s="408" t="s">
        <v>1323</v>
      </c>
      <c r="G355" s="409">
        <v>750</v>
      </c>
      <c r="H355" s="410"/>
      <c r="I355" s="409">
        <f t="shared" si="213"/>
        <v>750</v>
      </c>
      <c r="J355" s="58">
        <f t="shared" si="247"/>
        <v>60000</v>
      </c>
      <c r="K355" s="417">
        <f t="shared" si="218"/>
        <v>1.2500000000000001E-2</v>
      </c>
      <c r="L355" s="17" t="s">
        <v>1317</v>
      </c>
      <c r="M355" s="720">
        <v>44358</v>
      </c>
      <c r="N355" s="721" t="b">
        <f t="shared" si="244"/>
        <v>0</v>
      </c>
      <c r="O355" s="721" t="b">
        <f t="shared" si="245"/>
        <v>0</v>
      </c>
      <c r="P355" s="721" t="b">
        <f t="shared" si="248"/>
        <v>0</v>
      </c>
      <c r="Q355" s="721" t="b">
        <f t="shared" si="224"/>
        <v>0</v>
      </c>
      <c r="R355" s="721" t="b">
        <f>TRUE()</f>
        <v>1</v>
      </c>
      <c r="S355" s="721" t="b">
        <f t="shared" si="241"/>
        <v>0</v>
      </c>
      <c r="T355" s="721" t="b">
        <f t="shared" si="223"/>
        <v>0</v>
      </c>
      <c r="U355" s="721" t="b">
        <f t="shared" si="220"/>
        <v>0</v>
      </c>
      <c r="V355" s="721" t="b">
        <f t="shared" si="219"/>
        <v>0</v>
      </c>
      <c r="W355" s="721" t="b">
        <f t="shared" si="240"/>
        <v>0</v>
      </c>
      <c r="X355" s="721" t="b">
        <f t="shared" si="227"/>
        <v>0</v>
      </c>
      <c r="Y355" s="721" t="b">
        <f t="shared" si="242"/>
        <v>0</v>
      </c>
      <c r="Z355" s="721" t="b">
        <f t="shared" si="246"/>
        <v>0</v>
      </c>
      <c r="AA355" s="721" t="b">
        <f t="shared" ref="AA355:AA376" si="249">FALSE()</f>
        <v>0</v>
      </c>
      <c r="AB355" s="17"/>
      <c r="AC355" s="17"/>
      <c r="AD355" s="17"/>
      <c r="AE355" s="17"/>
      <c r="AF355" s="17"/>
      <c r="AG355" s="17"/>
      <c r="AH355" s="17"/>
      <c r="AI355" s="17"/>
      <c r="AJ355" s="17"/>
      <c r="AK355" s="17"/>
      <c r="AL355" s="17"/>
      <c r="AM355" s="17"/>
      <c r="AN355" s="17"/>
      <c r="AO355" s="17"/>
      <c r="AP355" s="17"/>
      <c r="AQ355" s="17"/>
    </row>
    <row r="356" spans="1:43" hidden="1">
      <c r="A356">
        <f t="shared" si="214"/>
        <v>353</v>
      </c>
      <c r="B356" s="407">
        <v>1</v>
      </c>
      <c r="C356" s="407" t="s">
        <v>505</v>
      </c>
      <c r="D356" s="407" t="s">
        <v>810</v>
      </c>
      <c r="E356" s="407"/>
      <c r="F356" s="408" t="s">
        <v>1324</v>
      </c>
      <c r="G356" s="409">
        <v>475</v>
      </c>
      <c r="H356" s="410"/>
      <c r="I356" s="409">
        <f t="shared" ref="I356:I419" si="250">G356*(1-H356)</f>
        <v>475</v>
      </c>
      <c r="J356" s="58">
        <f>400*80*SQRT(3)</f>
        <v>55425.62584220407</v>
      </c>
      <c r="K356" s="417">
        <f t="shared" si="218"/>
        <v>8.5700430582835076E-3</v>
      </c>
      <c r="L356" s="17" t="s">
        <v>1317</v>
      </c>
      <c r="M356" s="720">
        <v>44358</v>
      </c>
      <c r="N356" s="721" t="b">
        <f t="shared" si="244"/>
        <v>0</v>
      </c>
      <c r="O356" s="721" t="b">
        <f t="shared" si="245"/>
        <v>0</v>
      </c>
      <c r="P356" s="721" t="b">
        <f t="shared" si="248"/>
        <v>0</v>
      </c>
      <c r="Q356" s="721" t="b">
        <f t="shared" si="224"/>
        <v>0</v>
      </c>
      <c r="R356" s="721" t="b">
        <f t="shared" ref="R356:R368" si="251">FALSE()</f>
        <v>0</v>
      </c>
      <c r="S356" s="721" t="b">
        <f>TRUE()</f>
        <v>1</v>
      </c>
      <c r="T356" s="721" t="b">
        <f t="shared" si="223"/>
        <v>0</v>
      </c>
      <c r="U356" s="721" t="b">
        <f t="shared" si="220"/>
        <v>0</v>
      </c>
      <c r="V356" s="721" t="b">
        <f t="shared" si="219"/>
        <v>0</v>
      </c>
      <c r="W356" s="721" t="b">
        <f t="shared" si="240"/>
        <v>0</v>
      </c>
      <c r="X356" s="721" t="b">
        <f t="shared" si="227"/>
        <v>0</v>
      </c>
      <c r="Y356" s="721" t="b">
        <f t="shared" si="242"/>
        <v>0</v>
      </c>
      <c r="Z356" s="721" t="b">
        <f t="shared" si="246"/>
        <v>0</v>
      </c>
      <c r="AA356" s="721" t="b">
        <f t="shared" si="249"/>
        <v>0</v>
      </c>
      <c r="AB356" s="17"/>
      <c r="AC356" s="17"/>
      <c r="AD356" s="17"/>
      <c r="AE356" s="17"/>
      <c r="AF356" s="17"/>
      <c r="AG356" s="17"/>
      <c r="AH356" s="17"/>
      <c r="AI356" s="17"/>
      <c r="AJ356" s="17"/>
      <c r="AK356" s="17"/>
      <c r="AL356" s="17"/>
      <c r="AM356" s="17"/>
      <c r="AN356" s="17"/>
      <c r="AO356" s="17"/>
      <c r="AP356" s="17"/>
      <c r="AQ356" s="17"/>
    </row>
    <row r="357" spans="1:43" hidden="1">
      <c r="A357">
        <f t="shared" ref="A357:A420" si="252">A356+1</f>
        <v>354</v>
      </c>
      <c r="B357" s="407">
        <v>1</v>
      </c>
      <c r="C357" s="407" t="s">
        <v>505</v>
      </c>
      <c r="D357" s="408" t="s">
        <v>1325</v>
      </c>
      <c r="E357" s="407"/>
      <c r="F357" s="408" t="s">
        <v>1326</v>
      </c>
      <c r="G357" s="409">
        <v>110</v>
      </c>
      <c r="H357" s="410"/>
      <c r="I357" s="409">
        <f t="shared" si="250"/>
        <v>110</v>
      </c>
      <c r="J357" s="58">
        <v>375</v>
      </c>
      <c r="K357" s="417">
        <f t="shared" si="218"/>
        <v>0.29333333333333333</v>
      </c>
      <c r="L357" s="17" t="s">
        <v>966</v>
      </c>
      <c r="M357" s="720">
        <v>44368</v>
      </c>
      <c r="N357" s="721" t="b">
        <f t="shared" ref="N357:N358" si="253">TRUE()</f>
        <v>1</v>
      </c>
      <c r="O357" s="721" t="b">
        <f t="shared" si="245"/>
        <v>0</v>
      </c>
      <c r="P357" s="721" t="b">
        <f t="shared" si="248"/>
        <v>0</v>
      </c>
      <c r="Q357" s="721" t="b">
        <f t="shared" si="224"/>
        <v>0</v>
      </c>
      <c r="R357" s="721" t="b">
        <f t="shared" si="251"/>
        <v>0</v>
      </c>
      <c r="S357" s="721" t="b">
        <f t="shared" ref="S357:S383" si="254">FALSE()</f>
        <v>0</v>
      </c>
      <c r="T357" s="721" t="b">
        <f t="shared" si="223"/>
        <v>0</v>
      </c>
      <c r="U357" s="721" t="b">
        <f t="shared" si="220"/>
        <v>0</v>
      </c>
      <c r="V357" s="721" t="b">
        <f t="shared" si="219"/>
        <v>0</v>
      </c>
      <c r="W357" s="721" t="b">
        <f t="shared" si="240"/>
        <v>0</v>
      </c>
      <c r="X357" s="721" t="b">
        <f t="shared" si="227"/>
        <v>0</v>
      </c>
      <c r="Y357" s="721" t="b">
        <f t="shared" si="242"/>
        <v>0</v>
      </c>
      <c r="Z357" s="721" t="b">
        <f t="shared" si="246"/>
        <v>0</v>
      </c>
      <c r="AA357" s="721" t="b">
        <f t="shared" si="249"/>
        <v>0</v>
      </c>
      <c r="AB357" s="17"/>
      <c r="AC357" s="17"/>
      <c r="AD357" s="17"/>
      <c r="AE357" s="17"/>
      <c r="AF357" s="17"/>
      <c r="AG357" s="17"/>
      <c r="AH357" s="17"/>
      <c r="AI357" s="17"/>
      <c r="AJ357" s="17"/>
      <c r="AK357" s="17"/>
      <c r="AL357" s="17"/>
      <c r="AM357" s="17"/>
      <c r="AN357" s="17"/>
      <c r="AO357" s="17"/>
      <c r="AP357" s="17"/>
      <c r="AQ357" s="17"/>
    </row>
    <row r="358" spans="1:43" hidden="1">
      <c r="A358">
        <f t="shared" si="252"/>
        <v>355</v>
      </c>
      <c r="B358" s="407">
        <v>1</v>
      </c>
      <c r="C358" s="407" t="s">
        <v>505</v>
      </c>
      <c r="D358" s="408" t="s">
        <v>1325</v>
      </c>
      <c r="E358" s="407"/>
      <c r="F358" s="408" t="s">
        <v>1327</v>
      </c>
      <c r="G358" s="409">
        <v>129</v>
      </c>
      <c r="H358" s="410"/>
      <c r="I358" s="409">
        <f t="shared" si="250"/>
        <v>129</v>
      </c>
      <c r="J358" s="58">
        <v>375</v>
      </c>
      <c r="K358" s="417">
        <f t="shared" si="218"/>
        <v>0.34399999999999997</v>
      </c>
      <c r="L358" s="17" t="s">
        <v>966</v>
      </c>
      <c r="M358" s="720">
        <v>44368</v>
      </c>
      <c r="N358" s="721" t="b">
        <f t="shared" si="253"/>
        <v>1</v>
      </c>
      <c r="O358" s="721" t="b">
        <f t="shared" si="245"/>
        <v>0</v>
      </c>
      <c r="P358" s="721" t="b">
        <f t="shared" si="248"/>
        <v>0</v>
      </c>
      <c r="Q358" s="721" t="b">
        <f t="shared" si="224"/>
        <v>0</v>
      </c>
      <c r="R358" s="721" t="b">
        <f t="shared" si="251"/>
        <v>0</v>
      </c>
      <c r="S358" s="721" t="b">
        <f t="shared" si="254"/>
        <v>0</v>
      </c>
      <c r="T358" s="721" t="b">
        <f t="shared" si="223"/>
        <v>0</v>
      </c>
      <c r="U358" s="721" t="b">
        <f t="shared" si="220"/>
        <v>0</v>
      </c>
      <c r="V358" s="721" t="b">
        <f t="shared" si="219"/>
        <v>0</v>
      </c>
      <c r="W358" s="721" t="b">
        <f t="shared" si="240"/>
        <v>0</v>
      </c>
      <c r="X358" s="721" t="b">
        <f t="shared" si="227"/>
        <v>0</v>
      </c>
      <c r="Y358" s="721" t="b">
        <f t="shared" si="242"/>
        <v>0</v>
      </c>
      <c r="Z358" s="721" t="b">
        <f t="shared" si="246"/>
        <v>0</v>
      </c>
      <c r="AA358" s="721" t="b">
        <f t="shared" si="249"/>
        <v>0</v>
      </c>
      <c r="AB358" s="17"/>
      <c r="AC358" s="17"/>
      <c r="AD358" s="17"/>
      <c r="AE358" s="17"/>
      <c r="AF358" s="17"/>
      <c r="AG358" s="17"/>
      <c r="AH358" s="17"/>
      <c r="AI358" s="17"/>
      <c r="AJ358" s="17"/>
      <c r="AK358" s="17"/>
      <c r="AL358" s="17"/>
      <c r="AM358" s="17"/>
      <c r="AN358" s="17"/>
      <c r="AO358" s="17"/>
      <c r="AP358" s="17"/>
      <c r="AQ358" s="17"/>
    </row>
    <row r="359" spans="1:43" hidden="1">
      <c r="A359">
        <f t="shared" si="252"/>
        <v>356</v>
      </c>
      <c r="B359" s="407">
        <v>1</v>
      </c>
      <c r="C359" s="407" t="s">
        <v>517</v>
      </c>
      <c r="D359" s="408" t="s">
        <v>1325</v>
      </c>
      <c r="E359" s="407"/>
      <c r="F359" s="408" t="s">
        <v>1328</v>
      </c>
      <c r="G359" s="409">
        <v>1995</v>
      </c>
      <c r="H359" s="428"/>
      <c r="I359" s="430">
        <f t="shared" si="250"/>
        <v>1995</v>
      </c>
      <c r="J359" s="58">
        <v>30000</v>
      </c>
      <c r="K359" s="417">
        <f t="shared" si="218"/>
        <v>6.6500000000000004E-2</v>
      </c>
      <c r="L359" s="17" t="s">
        <v>966</v>
      </c>
      <c r="M359" s="720">
        <v>44368</v>
      </c>
      <c r="N359" s="721" t="b">
        <f t="shared" ref="N359:N361" si="255">FALSE()</f>
        <v>0</v>
      </c>
      <c r="O359" s="721" t="b">
        <f t="shared" si="245"/>
        <v>0</v>
      </c>
      <c r="P359" s="721" t="b">
        <f t="shared" ref="P359:P360" si="256">TRUE()</f>
        <v>1</v>
      </c>
      <c r="Q359" s="721" t="b">
        <f t="shared" si="224"/>
        <v>0</v>
      </c>
      <c r="R359" s="721" t="b">
        <f t="shared" si="251"/>
        <v>0</v>
      </c>
      <c r="S359" s="721" t="b">
        <f t="shared" si="254"/>
        <v>0</v>
      </c>
      <c r="T359" s="721" t="b">
        <f t="shared" si="223"/>
        <v>0</v>
      </c>
      <c r="U359" s="721" t="b">
        <f t="shared" si="220"/>
        <v>0</v>
      </c>
      <c r="V359" s="721" t="b">
        <f t="shared" si="219"/>
        <v>0</v>
      </c>
      <c r="W359" s="721" t="b">
        <f t="shared" si="240"/>
        <v>0</v>
      </c>
      <c r="X359" s="721" t="b">
        <f t="shared" si="227"/>
        <v>0</v>
      </c>
      <c r="Y359" s="721" t="b">
        <f t="shared" si="242"/>
        <v>0</v>
      </c>
      <c r="Z359" s="721" t="b">
        <f t="shared" si="246"/>
        <v>0</v>
      </c>
      <c r="AA359" s="721" t="b">
        <f t="shared" si="249"/>
        <v>0</v>
      </c>
      <c r="AB359" s="17"/>
      <c r="AC359" s="17"/>
      <c r="AD359" s="17"/>
      <c r="AE359" s="17"/>
      <c r="AF359" s="17"/>
      <c r="AG359" s="17"/>
      <c r="AH359" s="17"/>
      <c r="AI359" s="17"/>
      <c r="AJ359" s="17"/>
      <c r="AK359" s="17"/>
      <c r="AL359" s="17"/>
      <c r="AM359" s="17"/>
      <c r="AN359" s="17"/>
      <c r="AO359" s="17"/>
      <c r="AP359" s="17"/>
      <c r="AQ359" s="17"/>
    </row>
    <row r="360" spans="1:43" hidden="1">
      <c r="A360">
        <f t="shared" si="252"/>
        <v>357</v>
      </c>
      <c r="B360" s="407">
        <v>1</v>
      </c>
      <c r="C360" s="407" t="s">
        <v>517</v>
      </c>
      <c r="D360" s="408" t="s">
        <v>1325</v>
      </c>
      <c r="E360" s="407"/>
      <c r="F360" s="408" t="s">
        <v>1329</v>
      </c>
      <c r="G360" s="409">
        <v>2214</v>
      </c>
      <c r="H360" s="428"/>
      <c r="I360" s="430">
        <f t="shared" si="250"/>
        <v>2214</v>
      </c>
      <c r="J360" s="58">
        <v>36000</v>
      </c>
      <c r="K360" s="417">
        <f t="shared" si="218"/>
        <v>6.1499999999999999E-2</v>
      </c>
      <c r="L360" s="17" t="s">
        <v>966</v>
      </c>
      <c r="M360" s="720">
        <v>44368</v>
      </c>
      <c r="N360" s="721" t="b">
        <f t="shared" si="255"/>
        <v>0</v>
      </c>
      <c r="O360" s="721" t="b">
        <f t="shared" si="245"/>
        <v>0</v>
      </c>
      <c r="P360" s="721" t="b">
        <f t="shared" si="256"/>
        <v>1</v>
      </c>
      <c r="Q360" s="721" t="b">
        <f t="shared" si="224"/>
        <v>0</v>
      </c>
      <c r="R360" s="721" t="b">
        <f t="shared" si="251"/>
        <v>0</v>
      </c>
      <c r="S360" s="721" t="b">
        <f t="shared" si="254"/>
        <v>0</v>
      </c>
      <c r="T360" s="721" t="b">
        <f t="shared" si="223"/>
        <v>0</v>
      </c>
      <c r="U360" s="721" t="b">
        <f t="shared" si="220"/>
        <v>0</v>
      </c>
      <c r="V360" s="721" t="b">
        <f t="shared" si="219"/>
        <v>0</v>
      </c>
      <c r="W360" s="721" t="b">
        <f t="shared" si="240"/>
        <v>0</v>
      </c>
      <c r="X360" s="721" t="b">
        <f t="shared" si="227"/>
        <v>0</v>
      </c>
      <c r="Y360" s="721" t="b">
        <f t="shared" si="242"/>
        <v>0</v>
      </c>
      <c r="Z360" s="721" t="b">
        <f t="shared" si="246"/>
        <v>0</v>
      </c>
      <c r="AA360" s="721" t="b">
        <f t="shared" si="249"/>
        <v>0</v>
      </c>
      <c r="AB360" s="17"/>
      <c r="AC360" s="17"/>
      <c r="AD360" s="17"/>
      <c r="AE360" s="17"/>
      <c r="AF360" s="17"/>
      <c r="AG360" s="17"/>
      <c r="AH360" s="17"/>
      <c r="AI360" s="17"/>
      <c r="AJ360" s="17"/>
      <c r="AK360" s="17"/>
      <c r="AL360" s="17"/>
      <c r="AM360" s="17"/>
      <c r="AN360" s="17"/>
      <c r="AO360" s="17"/>
      <c r="AP360" s="17"/>
      <c r="AQ360" s="17"/>
    </row>
    <row r="361" spans="1:43" ht="22.25" hidden="1">
      <c r="A361">
        <f t="shared" si="252"/>
        <v>358</v>
      </c>
      <c r="B361" s="407">
        <v>1</v>
      </c>
      <c r="C361" s="407" t="s">
        <v>517</v>
      </c>
      <c r="D361" s="734" t="s">
        <v>1330</v>
      </c>
      <c r="E361" s="407"/>
      <c r="F361" s="408" t="s">
        <v>1331</v>
      </c>
      <c r="G361" s="409">
        <v>84</v>
      </c>
      <c r="H361" s="428"/>
      <c r="I361" s="430">
        <f t="shared" si="250"/>
        <v>84</v>
      </c>
      <c r="K361" s="417"/>
      <c r="L361" s="17" t="s">
        <v>1332</v>
      </c>
      <c r="M361" s="720">
        <v>44375</v>
      </c>
      <c r="N361" s="721" t="b">
        <f t="shared" si="255"/>
        <v>0</v>
      </c>
      <c r="O361" s="721" t="b">
        <f t="shared" si="245"/>
        <v>0</v>
      </c>
      <c r="P361" s="721" t="b">
        <f t="shared" ref="P361:P362" si="257">FALSE()</f>
        <v>0</v>
      </c>
      <c r="Q361" s="721" t="b">
        <f t="shared" si="224"/>
        <v>0</v>
      </c>
      <c r="R361" s="721" t="b">
        <f t="shared" si="251"/>
        <v>0</v>
      </c>
      <c r="S361" s="721" t="b">
        <f t="shared" si="254"/>
        <v>0</v>
      </c>
      <c r="T361" s="721" t="b">
        <f t="shared" si="223"/>
        <v>0</v>
      </c>
      <c r="U361" s="721" t="b">
        <f t="shared" si="220"/>
        <v>0</v>
      </c>
      <c r="V361" s="721" t="b">
        <f t="shared" si="219"/>
        <v>0</v>
      </c>
      <c r="W361" s="721" t="b">
        <f t="shared" si="240"/>
        <v>0</v>
      </c>
      <c r="X361" s="721" t="b">
        <f t="shared" si="227"/>
        <v>0</v>
      </c>
      <c r="Y361" s="721" t="b">
        <f>TRUE()</f>
        <v>1</v>
      </c>
      <c r="Z361" s="721" t="b">
        <f t="shared" si="246"/>
        <v>0</v>
      </c>
      <c r="AA361" s="721" t="b">
        <f t="shared" si="249"/>
        <v>0</v>
      </c>
      <c r="AB361" s="17"/>
      <c r="AC361" s="17"/>
      <c r="AD361" s="17"/>
      <c r="AE361" s="17"/>
      <c r="AF361" s="17"/>
      <c r="AG361" s="17"/>
      <c r="AH361" s="17"/>
      <c r="AI361" s="17"/>
      <c r="AJ361" s="17"/>
      <c r="AK361" s="17"/>
      <c r="AL361" s="17"/>
      <c r="AM361" s="17"/>
      <c r="AN361" s="17"/>
      <c r="AO361" s="17"/>
      <c r="AP361" s="17"/>
      <c r="AQ361" s="17"/>
    </row>
    <row r="362" spans="1:43" hidden="1">
      <c r="A362">
        <f t="shared" si="252"/>
        <v>359</v>
      </c>
      <c r="B362" s="407">
        <v>1</v>
      </c>
      <c r="C362" s="407" t="s">
        <v>505</v>
      </c>
      <c r="D362" s="408" t="s">
        <v>1333</v>
      </c>
      <c r="E362" s="407"/>
      <c r="F362" s="408" t="s">
        <v>1334</v>
      </c>
      <c r="G362" s="409">
        <f>13853/96/(1+25%)</f>
        <v>115.44166666666668</v>
      </c>
      <c r="H362" s="410"/>
      <c r="I362" s="409">
        <f t="shared" si="250"/>
        <v>115.44166666666668</v>
      </c>
      <c r="J362" s="58">
        <v>375</v>
      </c>
      <c r="K362" s="417">
        <f t="shared" si="218"/>
        <v>0.30784444444444448</v>
      </c>
      <c r="L362" s="17" t="s">
        <v>214</v>
      </c>
      <c r="M362" s="720">
        <v>44407</v>
      </c>
      <c r="N362" s="721" t="b">
        <f>TRUE()</f>
        <v>1</v>
      </c>
      <c r="O362" s="721" t="b">
        <f t="shared" si="245"/>
        <v>0</v>
      </c>
      <c r="P362" s="721" t="b">
        <f t="shared" si="257"/>
        <v>0</v>
      </c>
      <c r="Q362" s="721" t="b">
        <f t="shared" si="224"/>
        <v>0</v>
      </c>
      <c r="R362" s="721" t="b">
        <f t="shared" si="251"/>
        <v>0</v>
      </c>
      <c r="S362" s="721" t="b">
        <f t="shared" si="254"/>
        <v>0</v>
      </c>
      <c r="T362" s="721" t="b">
        <f t="shared" si="223"/>
        <v>0</v>
      </c>
      <c r="U362" s="721" t="b">
        <f t="shared" si="220"/>
        <v>0</v>
      </c>
      <c r="V362" s="721" t="b">
        <f t="shared" si="219"/>
        <v>0</v>
      </c>
      <c r="W362" s="721" t="b">
        <f t="shared" si="240"/>
        <v>0</v>
      </c>
      <c r="X362" s="721" t="b">
        <f t="shared" si="227"/>
        <v>0</v>
      </c>
      <c r="Y362" s="721" t="b">
        <f t="shared" ref="Y362:Y373" si="258">FALSE()</f>
        <v>0</v>
      </c>
      <c r="Z362" s="721" t="b">
        <f t="shared" si="246"/>
        <v>0</v>
      </c>
      <c r="AA362" s="721" t="b">
        <f t="shared" si="249"/>
        <v>0</v>
      </c>
      <c r="AB362" s="17"/>
      <c r="AC362" s="17"/>
      <c r="AD362" s="17"/>
      <c r="AE362" s="17"/>
      <c r="AF362" s="17"/>
      <c r="AG362" s="17"/>
      <c r="AH362" s="17"/>
      <c r="AI362" s="17"/>
      <c r="AJ362" s="17"/>
      <c r="AK362" s="17"/>
      <c r="AL362" s="17"/>
      <c r="AM362" s="17"/>
      <c r="AN362" s="17"/>
      <c r="AO362" s="17"/>
      <c r="AP362" s="17"/>
      <c r="AQ362" s="17"/>
    </row>
    <row r="363" spans="1:43" hidden="1">
      <c r="A363">
        <f t="shared" si="252"/>
        <v>360</v>
      </c>
      <c r="B363" s="407">
        <v>1</v>
      </c>
      <c r="C363" s="407" t="s">
        <v>505</v>
      </c>
      <c r="D363" s="408" t="s">
        <v>1333</v>
      </c>
      <c r="E363" s="407"/>
      <c r="F363" s="408" t="s">
        <v>1335</v>
      </c>
      <c r="G363" s="409">
        <f>5647.84/(1+25%)</f>
        <v>4518.2719999999999</v>
      </c>
      <c r="H363" s="410"/>
      <c r="I363" s="409">
        <f t="shared" si="250"/>
        <v>4518.2719999999999</v>
      </c>
      <c r="J363" s="58">
        <f>17500+15000</f>
        <v>32500</v>
      </c>
      <c r="K363" s="417">
        <f t="shared" si="218"/>
        <v>0.13902375384615384</v>
      </c>
      <c r="L363" s="17" t="s">
        <v>214</v>
      </c>
      <c r="M363" s="720">
        <v>44447</v>
      </c>
      <c r="N363" s="721" t="b">
        <f t="shared" ref="N363:N364" si="259">FALSE()</f>
        <v>0</v>
      </c>
      <c r="O363" s="721" t="b">
        <f t="shared" si="245"/>
        <v>0</v>
      </c>
      <c r="P363" s="721" t="b">
        <f>TRUE()</f>
        <v>1</v>
      </c>
      <c r="Q363" s="721" t="b">
        <f t="shared" si="224"/>
        <v>0</v>
      </c>
      <c r="R363" s="721" t="b">
        <f t="shared" si="251"/>
        <v>0</v>
      </c>
      <c r="S363" s="721" t="b">
        <f t="shared" si="254"/>
        <v>0</v>
      </c>
      <c r="T363" s="721" t="b">
        <f t="shared" si="223"/>
        <v>0</v>
      </c>
      <c r="U363" s="721" t="b">
        <f t="shared" si="220"/>
        <v>0</v>
      </c>
      <c r="V363" s="721" t="b">
        <f t="shared" si="219"/>
        <v>0</v>
      </c>
      <c r="W363" s="721" t="b">
        <f t="shared" si="240"/>
        <v>0</v>
      </c>
      <c r="X363" s="721" t="b">
        <f t="shared" si="227"/>
        <v>0</v>
      </c>
      <c r="Y363" s="721" t="b">
        <f t="shared" si="258"/>
        <v>0</v>
      </c>
      <c r="Z363" s="721" t="b">
        <f t="shared" si="246"/>
        <v>0</v>
      </c>
      <c r="AA363" s="721" t="b">
        <f t="shared" si="249"/>
        <v>0</v>
      </c>
      <c r="AB363" s="17"/>
      <c r="AC363" s="17"/>
      <c r="AD363" s="17"/>
      <c r="AE363" s="17"/>
      <c r="AF363" s="17"/>
      <c r="AG363" s="17"/>
      <c r="AH363" s="17"/>
      <c r="AI363" s="17"/>
      <c r="AJ363" s="17"/>
      <c r="AK363" s="17"/>
      <c r="AL363" s="17"/>
      <c r="AM363" s="17"/>
      <c r="AN363" s="17"/>
      <c r="AO363" s="17"/>
      <c r="AP363" s="17"/>
      <c r="AQ363" s="17"/>
    </row>
    <row r="364" spans="1:43" hidden="1">
      <c r="A364">
        <f t="shared" si="252"/>
        <v>361</v>
      </c>
      <c r="B364" s="407">
        <v>1</v>
      </c>
      <c r="C364" s="407" t="s">
        <v>505</v>
      </c>
      <c r="D364" s="408" t="s">
        <v>1333</v>
      </c>
      <c r="E364" s="407"/>
      <c r="F364" s="408" t="s">
        <v>1336</v>
      </c>
      <c r="G364" s="409">
        <f>5412.68/96/(1+25%)</f>
        <v>45.105666666666664</v>
      </c>
      <c r="H364" s="410"/>
      <c r="I364" s="409">
        <f t="shared" si="250"/>
        <v>45.105666666666664</v>
      </c>
      <c r="K364" s="17"/>
      <c r="L364" s="17" t="s">
        <v>214</v>
      </c>
      <c r="M364" s="720">
        <v>44407</v>
      </c>
      <c r="N364" s="721" t="b">
        <f t="shared" si="259"/>
        <v>0</v>
      </c>
      <c r="O364" s="721" t="b">
        <f>TRUE()</f>
        <v>1</v>
      </c>
      <c r="P364" s="721" t="b">
        <f t="shared" ref="P364:P365" si="260">FALSE()</f>
        <v>0</v>
      </c>
      <c r="Q364" s="721" t="b">
        <f t="shared" si="224"/>
        <v>0</v>
      </c>
      <c r="R364" s="721" t="b">
        <f t="shared" si="251"/>
        <v>0</v>
      </c>
      <c r="S364" s="721" t="b">
        <f t="shared" si="254"/>
        <v>0</v>
      </c>
      <c r="T364" s="721" t="b">
        <f t="shared" si="223"/>
        <v>0</v>
      </c>
      <c r="U364" s="721" t="b">
        <f t="shared" si="220"/>
        <v>0</v>
      </c>
      <c r="V364" s="721" t="b">
        <f t="shared" si="219"/>
        <v>0</v>
      </c>
      <c r="W364" s="721" t="b">
        <f t="shared" si="240"/>
        <v>0</v>
      </c>
      <c r="X364" s="721" t="b">
        <f t="shared" si="227"/>
        <v>0</v>
      </c>
      <c r="Y364" s="721" t="b">
        <f t="shared" si="258"/>
        <v>0</v>
      </c>
      <c r="Z364" s="721" t="b">
        <f t="shared" si="246"/>
        <v>0</v>
      </c>
      <c r="AA364" s="721" t="b">
        <f t="shared" si="249"/>
        <v>0</v>
      </c>
      <c r="AB364" s="17"/>
      <c r="AC364" s="17"/>
      <c r="AD364" s="17"/>
      <c r="AE364" s="17"/>
      <c r="AF364" s="17"/>
      <c r="AG364" s="17"/>
      <c r="AH364" s="17"/>
      <c r="AI364" s="17"/>
      <c r="AJ364" s="17"/>
      <c r="AK364" s="17"/>
      <c r="AL364" s="17"/>
      <c r="AM364" s="17"/>
      <c r="AN364" s="17"/>
      <c r="AO364" s="17"/>
      <c r="AP364" s="17"/>
      <c r="AQ364" s="17"/>
    </row>
    <row r="365" spans="1:43" hidden="1">
      <c r="A365">
        <f t="shared" si="252"/>
        <v>362</v>
      </c>
      <c r="B365" s="407">
        <v>1</v>
      </c>
      <c r="C365" s="407" t="s">
        <v>505</v>
      </c>
      <c r="D365" s="408" t="s">
        <v>1337</v>
      </c>
      <c r="E365" s="407"/>
      <c r="F365" s="408" t="s">
        <v>1338</v>
      </c>
      <c r="G365" s="409">
        <v>145.4</v>
      </c>
      <c r="H365" s="410"/>
      <c r="I365" s="409">
        <f t="shared" si="250"/>
        <v>145.4</v>
      </c>
      <c r="J365" s="58">
        <v>375</v>
      </c>
      <c r="K365" s="417">
        <f t="shared" si="218"/>
        <v>0.38773333333333337</v>
      </c>
      <c r="L365" s="17" t="s">
        <v>966</v>
      </c>
      <c r="M365" s="720">
        <v>44489</v>
      </c>
      <c r="N365" s="721" t="b">
        <f>TRUE()</f>
        <v>1</v>
      </c>
      <c r="O365" s="721" t="b">
        <f t="shared" ref="O365:O367" si="261">FALSE()</f>
        <v>0</v>
      </c>
      <c r="P365" s="721" t="b">
        <f t="shared" si="260"/>
        <v>0</v>
      </c>
      <c r="Q365" s="721" t="b">
        <f t="shared" si="224"/>
        <v>0</v>
      </c>
      <c r="R365" s="721" t="b">
        <f t="shared" si="251"/>
        <v>0</v>
      </c>
      <c r="S365" s="721" t="b">
        <f t="shared" si="254"/>
        <v>0</v>
      </c>
      <c r="T365" s="721" t="b">
        <f t="shared" si="223"/>
        <v>0</v>
      </c>
      <c r="U365" s="721" t="b">
        <f t="shared" si="220"/>
        <v>0</v>
      </c>
      <c r="V365" s="721" t="b">
        <f t="shared" si="219"/>
        <v>0</v>
      </c>
      <c r="W365" s="721" t="b">
        <f t="shared" si="240"/>
        <v>0</v>
      </c>
      <c r="X365" s="721" t="b">
        <f t="shared" si="227"/>
        <v>0</v>
      </c>
      <c r="Y365" s="721" t="b">
        <f t="shared" si="258"/>
        <v>0</v>
      </c>
      <c r="Z365" s="721" t="b">
        <f t="shared" si="246"/>
        <v>0</v>
      </c>
      <c r="AA365" s="721" t="b">
        <f t="shared" si="249"/>
        <v>0</v>
      </c>
      <c r="AB365" s="17"/>
      <c r="AC365" s="17"/>
      <c r="AD365" s="17"/>
      <c r="AE365" s="17"/>
      <c r="AF365" s="17"/>
      <c r="AG365" s="17"/>
      <c r="AH365" s="17"/>
      <c r="AI365" s="17"/>
      <c r="AJ365" s="17"/>
      <c r="AK365" s="17"/>
      <c r="AL365" s="17"/>
      <c r="AM365" s="17"/>
      <c r="AN365" s="17"/>
      <c r="AO365" s="17"/>
      <c r="AP365" s="17"/>
      <c r="AQ365" s="17"/>
    </row>
    <row r="366" spans="1:43" hidden="1">
      <c r="A366">
        <f t="shared" si="252"/>
        <v>363</v>
      </c>
      <c r="B366" s="407">
        <v>1</v>
      </c>
      <c r="C366" s="407" t="s">
        <v>505</v>
      </c>
      <c r="D366" s="408" t="s">
        <v>527</v>
      </c>
      <c r="E366" s="407"/>
      <c r="F366" s="408" t="s">
        <v>1339</v>
      </c>
      <c r="G366" s="409">
        <v>1123.3</v>
      </c>
      <c r="H366" s="410"/>
      <c r="I366" s="409">
        <f t="shared" si="250"/>
        <v>1123.3</v>
      </c>
      <c r="J366" s="58">
        <v>16000</v>
      </c>
      <c r="K366" s="417">
        <f t="shared" si="218"/>
        <v>7.0206249999999998E-2</v>
      </c>
      <c r="L366" s="17" t="s">
        <v>966</v>
      </c>
      <c r="M366" s="720">
        <v>44489</v>
      </c>
      <c r="N366" s="721" t="b">
        <f t="shared" ref="N366:N379" si="262">FALSE()</f>
        <v>0</v>
      </c>
      <c r="O366" s="721" t="b">
        <f t="shared" si="261"/>
        <v>0</v>
      </c>
      <c r="P366" s="721" t="b">
        <f t="shared" ref="P366:P367" si="263">TRUE()</f>
        <v>1</v>
      </c>
      <c r="Q366" s="721" t="b">
        <f t="shared" si="224"/>
        <v>0</v>
      </c>
      <c r="R366" s="721" t="b">
        <f t="shared" si="251"/>
        <v>0</v>
      </c>
      <c r="S366" s="721" t="b">
        <f t="shared" si="254"/>
        <v>0</v>
      </c>
      <c r="T366" s="721" t="b">
        <f t="shared" si="223"/>
        <v>0</v>
      </c>
      <c r="U366" s="721" t="b">
        <f t="shared" si="220"/>
        <v>0</v>
      </c>
      <c r="V366" s="721" t="b">
        <f t="shared" si="219"/>
        <v>0</v>
      </c>
      <c r="W366" s="721" t="b">
        <f t="shared" si="240"/>
        <v>0</v>
      </c>
      <c r="X366" s="721" t="b">
        <f t="shared" si="227"/>
        <v>0</v>
      </c>
      <c r="Y366" s="721" t="b">
        <f t="shared" si="258"/>
        <v>0</v>
      </c>
      <c r="Z366" s="721" t="b">
        <f t="shared" si="246"/>
        <v>0</v>
      </c>
      <c r="AA366" s="721" t="b">
        <f t="shared" si="249"/>
        <v>0</v>
      </c>
      <c r="AB366" s="17"/>
      <c r="AC366" s="17"/>
      <c r="AD366" s="17"/>
      <c r="AE366" s="17"/>
      <c r="AF366" s="17"/>
      <c r="AG366" s="17"/>
      <c r="AH366" s="17"/>
      <c r="AI366" s="17"/>
      <c r="AJ366" s="17"/>
      <c r="AK366" s="17"/>
      <c r="AL366" s="17"/>
      <c r="AM366" s="17"/>
      <c r="AN366" s="17"/>
      <c r="AO366" s="17"/>
      <c r="AP366" s="17"/>
      <c r="AQ366" s="17"/>
    </row>
    <row r="367" spans="1:43" hidden="1">
      <c r="A367">
        <f t="shared" si="252"/>
        <v>364</v>
      </c>
      <c r="B367" s="407">
        <v>1</v>
      </c>
      <c r="C367" s="407" t="s">
        <v>505</v>
      </c>
      <c r="D367" s="408" t="s">
        <v>527</v>
      </c>
      <c r="E367" s="407"/>
      <c r="F367" s="408" t="s">
        <v>1340</v>
      </c>
      <c r="G367" s="409">
        <v>41.14</v>
      </c>
      <c r="H367" s="410"/>
      <c r="I367" s="409">
        <f t="shared" si="250"/>
        <v>41.14</v>
      </c>
      <c r="J367" s="58">
        <v>401</v>
      </c>
      <c r="K367" s="417">
        <f t="shared" si="218"/>
        <v>0.10259351620947631</v>
      </c>
      <c r="L367" s="17" t="s">
        <v>966</v>
      </c>
      <c r="M367" s="720">
        <v>44489</v>
      </c>
      <c r="N367" s="721" t="b">
        <f t="shared" si="262"/>
        <v>0</v>
      </c>
      <c r="O367" s="721" t="b">
        <f t="shared" si="261"/>
        <v>0</v>
      </c>
      <c r="P367" s="721" t="b">
        <f t="shared" si="263"/>
        <v>1</v>
      </c>
      <c r="Q367" s="721" t="b">
        <f t="shared" si="224"/>
        <v>0</v>
      </c>
      <c r="R367" s="721" t="b">
        <f t="shared" si="251"/>
        <v>0</v>
      </c>
      <c r="S367" s="721" t="b">
        <f t="shared" si="254"/>
        <v>0</v>
      </c>
      <c r="T367" s="721" t="b">
        <f t="shared" si="223"/>
        <v>0</v>
      </c>
      <c r="U367" s="721" t="b">
        <f t="shared" si="220"/>
        <v>0</v>
      </c>
      <c r="V367" s="721" t="b">
        <f t="shared" si="219"/>
        <v>0</v>
      </c>
      <c r="W367" s="721" t="b">
        <f t="shared" si="240"/>
        <v>0</v>
      </c>
      <c r="X367" s="721" t="b">
        <f t="shared" si="227"/>
        <v>0</v>
      </c>
      <c r="Y367" s="721" t="b">
        <f t="shared" si="258"/>
        <v>0</v>
      </c>
      <c r="Z367" s="721" t="b">
        <f t="shared" si="246"/>
        <v>0</v>
      </c>
      <c r="AA367" s="721" t="b">
        <f t="shared" si="249"/>
        <v>0</v>
      </c>
      <c r="AB367" s="17"/>
      <c r="AC367" s="17"/>
      <c r="AD367" s="17"/>
      <c r="AE367" s="17"/>
      <c r="AF367" s="17"/>
      <c r="AG367" s="17"/>
      <c r="AH367" s="17"/>
      <c r="AI367" s="17"/>
      <c r="AJ367" s="17"/>
      <c r="AK367" s="17"/>
      <c r="AL367" s="17"/>
      <c r="AM367" s="17"/>
      <c r="AN367" s="17"/>
      <c r="AO367" s="17"/>
      <c r="AP367" s="17"/>
      <c r="AQ367" s="17"/>
    </row>
    <row r="368" spans="1:43" hidden="1">
      <c r="A368">
        <f t="shared" si="252"/>
        <v>365</v>
      </c>
      <c r="B368" s="407">
        <v>1</v>
      </c>
      <c r="C368" s="407" t="s">
        <v>505</v>
      </c>
      <c r="D368" s="408" t="s">
        <v>527</v>
      </c>
      <c r="E368" s="407"/>
      <c r="F368" s="408" t="s">
        <v>1341</v>
      </c>
      <c r="G368" s="409">
        <f>674.01/48</f>
        <v>14.041874999999999</v>
      </c>
      <c r="H368" s="410"/>
      <c r="I368" s="409">
        <f t="shared" si="250"/>
        <v>14.041874999999999</v>
      </c>
      <c r="K368" s="417"/>
      <c r="L368" s="17" t="s">
        <v>966</v>
      </c>
      <c r="M368" s="720">
        <v>44489</v>
      </c>
      <c r="N368" s="721" t="b">
        <f t="shared" si="262"/>
        <v>0</v>
      </c>
      <c r="O368" s="721" t="b">
        <f>TRUE()</f>
        <v>1</v>
      </c>
      <c r="P368" s="721" t="b">
        <f t="shared" ref="P368:P381" si="264">FALSE()</f>
        <v>0</v>
      </c>
      <c r="Q368" s="721" t="b">
        <f t="shared" si="224"/>
        <v>0</v>
      </c>
      <c r="R368" s="721" t="b">
        <f t="shared" si="251"/>
        <v>0</v>
      </c>
      <c r="S368" s="721" t="b">
        <f t="shared" si="254"/>
        <v>0</v>
      </c>
      <c r="T368" s="721" t="b">
        <f t="shared" si="223"/>
        <v>0</v>
      </c>
      <c r="U368" s="721" t="b">
        <f t="shared" si="220"/>
        <v>0</v>
      </c>
      <c r="V368" s="721" t="b">
        <f t="shared" si="219"/>
        <v>0</v>
      </c>
      <c r="W368" s="721" t="b">
        <f t="shared" si="240"/>
        <v>0</v>
      </c>
      <c r="X368" s="721" t="b">
        <f t="shared" si="227"/>
        <v>0</v>
      </c>
      <c r="Y368" s="721" t="b">
        <f t="shared" si="258"/>
        <v>0</v>
      </c>
      <c r="Z368" s="721" t="b">
        <f t="shared" si="246"/>
        <v>0</v>
      </c>
      <c r="AA368" s="721" t="b">
        <f t="shared" si="249"/>
        <v>0</v>
      </c>
      <c r="AB368" s="17"/>
      <c r="AC368" s="17"/>
      <c r="AD368" s="17"/>
      <c r="AE368" s="17"/>
      <c r="AF368" s="17"/>
      <c r="AG368" s="17"/>
      <c r="AH368" s="17"/>
      <c r="AI368" s="17"/>
      <c r="AJ368" s="17"/>
      <c r="AK368" s="17"/>
      <c r="AL368" s="17"/>
      <c r="AM368" s="17"/>
      <c r="AN368" s="17"/>
      <c r="AO368" s="17"/>
      <c r="AP368" s="17"/>
      <c r="AQ368" s="17"/>
    </row>
    <row r="369" spans="1:43" hidden="1">
      <c r="A369">
        <f t="shared" si="252"/>
        <v>366</v>
      </c>
      <c r="B369" s="407">
        <v>1</v>
      </c>
      <c r="C369" s="407" t="s">
        <v>505</v>
      </c>
      <c r="D369" s="408" t="s">
        <v>527</v>
      </c>
      <c r="E369" s="407"/>
      <c r="F369" s="408" t="s">
        <v>1342</v>
      </c>
      <c r="G369" s="409">
        <v>241.11</v>
      </c>
      <c r="H369" s="410"/>
      <c r="I369" s="409">
        <f t="shared" si="250"/>
        <v>241.11</v>
      </c>
      <c r="J369" s="58">
        <v>22000</v>
      </c>
      <c r="K369" s="417"/>
      <c r="L369" s="17" t="s">
        <v>966</v>
      </c>
      <c r="M369" s="720">
        <v>44489</v>
      </c>
      <c r="N369" s="721" t="b">
        <f t="shared" si="262"/>
        <v>0</v>
      </c>
      <c r="O369" s="721" t="b">
        <f t="shared" ref="O369:O377" si="265">FALSE()</f>
        <v>0</v>
      </c>
      <c r="P369" s="721" t="b">
        <f t="shared" si="264"/>
        <v>0</v>
      </c>
      <c r="Q369" s="721" t="b">
        <f t="shared" si="224"/>
        <v>0</v>
      </c>
      <c r="R369" s="721" t="b">
        <f>TRUE()</f>
        <v>1</v>
      </c>
      <c r="S369" s="721" t="b">
        <f t="shared" si="254"/>
        <v>0</v>
      </c>
      <c r="T369" s="721" t="b">
        <f t="shared" si="223"/>
        <v>0</v>
      </c>
      <c r="U369" s="721" t="b">
        <f t="shared" si="220"/>
        <v>0</v>
      </c>
      <c r="V369" s="721" t="b">
        <f t="shared" si="219"/>
        <v>0</v>
      </c>
      <c r="W369" s="721" t="b">
        <f t="shared" si="240"/>
        <v>0</v>
      </c>
      <c r="X369" s="721" t="b">
        <f t="shared" si="227"/>
        <v>0</v>
      </c>
      <c r="Y369" s="721" t="b">
        <f t="shared" si="258"/>
        <v>0</v>
      </c>
      <c r="Z369" s="721" t="b">
        <f t="shared" si="246"/>
        <v>0</v>
      </c>
      <c r="AA369" s="721" t="b">
        <f t="shared" si="249"/>
        <v>0</v>
      </c>
      <c r="AB369" s="17"/>
      <c r="AC369" s="17"/>
      <c r="AD369" s="17"/>
      <c r="AE369" s="17"/>
      <c r="AF369" s="17"/>
      <c r="AG369" s="17"/>
      <c r="AH369" s="17"/>
      <c r="AI369" s="17"/>
      <c r="AJ369" s="17"/>
      <c r="AK369" s="17"/>
      <c r="AL369" s="17"/>
      <c r="AM369" s="17"/>
      <c r="AN369" s="17"/>
      <c r="AO369" s="17"/>
      <c r="AP369" s="17"/>
      <c r="AQ369" s="17"/>
    </row>
    <row r="370" spans="1:43" hidden="1">
      <c r="A370">
        <f t="shared" si="252"/>
        <v>367</v>
      </c>
      <c r="B370" s="407">
        <v>1</v>
      </c>
      <c r="C370" s="407" t="s">
        <v>505</v>
      </c>
      <c r="D370" s="408" t="s">
        <v>527</v>
      </c>
      <c r="E370" s="407"/>
      <c r="F370" s="408" t="s">
        <v>1343</v>
      </c>
      <c r="G370" s="409">
        <v>117.78</v>
      </c>
      <c r="H370" s="410"/>
      <c r="I370" s="409">
        <f t="shared" si="250"/>
        <v>117.78</v>
      </c>
      <c r="K370" s="417"/>
      <c r="L370" s="17" t="s">
        <v>966</v>
      </c>
      <c r="M370" s="720">
        <v>44489</v>
      </c>
      <c r="N370" s="721" t="b">
        <f t="shared" si="262"/>
        <v>0</v>
      </c>
      <c r="O370" s="721" t="b">
        <f t="shared" si="265"/>
        <v>0</v>
      </c>
      <c r="P370" s="721" t="b">
        <f t="shared" si="264"/>
        <v>0</v>
      </c>
      <c r="Q370" s="721" t="b">
        <f>TRUE()</f>
        <v>1</v>
      </c>
      <c r="R370" s="721" t="b">
        <f t="shared" ref="R370:R433" si="266">FALSE()</f>
        <v>0</v>
      </c>
      <c r="S370" s="721" t="b">
        <f t="shared" si="254"/>
        <v>0</v>
      </c>
      <c r="T370" s="721" t="b">
        <f t="shared" si="223"/>
        <v>0</v>
      </c>
      <c r="U370" s="721" t="b">
        <f t="shared" si="220"/>
        <v>0</v>
      </c>
      <c r="V370" s="721" t="b">
        <f t="shared" si="219"/>
        <v>0</v>
      </c>
      <c r="W370" s="721" t="b">
        <f t="shared" si="240"/>
        <v>0</v>
      </c>
      <c r="X370" s="721" t="b">
        <f t="shared" si="227"/>
        <v>0</v>
      </c>
      <c r="Y370" s="721" t="b">
        <f t="shared" si="258"/>
        <v>0</v>
      </c>
      <c r="Z370" s="721" t="b">
        <f t="shared" si="246"/>
        <v>0</v>
      </c>
      <c r="AA370" s="721" t="b">
        <f t="shared" si="249"/>
        <v>0</v>
      </c>
      <c r="AB370" s="17"/>
      <c r="AC370" s="17"/>
      <c r="AD370" s="17"/>
      <c r="AE370" s="17"/>
      <c r="AF370" s="17"/>
      <c r="AG370" s="17"/>
      <c r="AH370" s="17"/>
      <c r="AI370" s="17"/>
      <c r="AJ370" s="17"/>
      <c r="AK370" s="17"/>
      <c r="AL370" s="17"/>
      <c r="AM370" s="17"/>
      <c r="AN370" s="17"/>
      <c r="AO370" s="17"/>
      <c r="AP370" s="17"/>
      <c r="AQ370" s="17"/>
    </row>
    <row r="371" spans="1:43" hidden="1">
      <c r="A371">
        <f t="shared" si="252"/>
        <v>368</v>
      </c>
      <c r="B371" s="407">
        <v>1</v>
      </c>
      <c r="C371" s="407" t="s">
        <v>505</v>
      </c>
      <c r="D371" s="408" t="s">
        <v>527</v>
      </c>
      <c r="E371" s="407"/>
      <c r="F371" s="408" t="s">
        <v>1344</v>
      </c>
      <c r="G371" s="409">
        <f>45/75</f>
        <v>0.6</v>
      </c>
      <c r="H371" s="410"/>
      <c r="I371" s="409">
        <f t="shared" si="250"/>
        <v>0.6</v>
      </c>
      <c r="K371" s="417"/>
      <c r="L371" s="17" t="s">
        <v>966</v>
      </c>
      <c r="M371" s="720">
        <v>44489</v>
      </c>
      <c r="N371" s="721" t="b">
        <f t="shared" si="262"/>
        <v>0</v>
      </c>
      <c r="O371" s="721" t="b">
        <f t="shared" si="265"/>
        <v>0</v>
      </c>
      <c r="P371" s="721" t="b">
        <f t="shared" si="264"/>
        <v>0</v>
      </c>
      <c r="Q371" s="721" t="b">
        <f t="shared" ref="Q371:Q382" si="267">FALSE()</f>
        <v>0</v>
      </c>
      <c r="R371" s="721" t="b">
        <f t="shared" si="266"/>
        <v>0</v>
      </c>
      <c r="S371" s="721" t="b">
        <f t="shared" si="254"/>
        <v>0</v>
      </c>
      <c r="T371" s="721" t="b">
        <f t="shared" si="223"/>
        <v>0</v>
      </c>
      <c r="U371" s="721" t="b">
        <f t="shared" si="220"/>
        <v>0</v>
      </c>
      <c r="V371" s="721" t="b">
        <f>TRUE()</f>
        <v>1</v>
      </c>
      <c r="W371" s="721" t="b">
        <f t="shared" si="240"/>
        <v>0</v>
      </c>
      <c r="X371" s="721" t="b">
        <f t="shared" si="227"/>
        <v>0</v>
      </c>
      <c r="Y371" s="721" t="b">
        <f t="shared" si="258"/>
        <v>0</v>
      </c>
      <c r="Z371" s="721" t="b">
        <f t="shared" si="246"/>
        <v>0</v>
      </c>
      <c r="AA371" s="721" t="b">
        <f t="shared" si="249"/>
        <v>0</v>
      </c>
      <c r="AB371" s="17"/>
      <c r="AC371" s="17"/>
      <c r="AD371" s="17"/>
      <c r="AE371" s="17"/>
      <c r="AF371" s="17"/>
      <c r="AG371" s="17"/>
      <c r="AH371" s="17"/>
      <c r="AI371" s="17"/>
      <c r="AJ371" s="17"/>
      <c r="AK371" s="17"/>
      <c r="AL371" s="17"/>
      <c r="AM371" s="17"/>
      <c r="AN371" s="17"/>
      <c r="AO371" s="17"/>
      <c r="AP371" s="17"/>
      <c r="AQ371" s="17"/>
    </row>
    <row r="372" spans="1:43" hidden="1">
      <c r="A372">
        <f t="shared" si="252"/>
        <v>369</v>
      </c>
      <c r="B372" s="407">
        <v>1</v>
      </c>
      <c r="C372" s="407" t="s">
        <v>505</v>
      </c>
      <c r="D372" s="408" t="s">
        <v>527</v>
      </c>
      <c r="E372" s="407"/>
      <c r="F372" s="408" t="s">
        <v>759</v>
      </c>
      <c r="G372" s="409">
        <v>0.77</v>
      </c>
      <c r="H372" s="410"/>
      <c r="I372" s="409">
        <f t="shared" si="250"/>
        <v>0.77</v>
      </c>
      <c r="K372" s="417"/>
      <c r="L372" s="17" t="s">
        <v>966</v>
      </c>
      <c r="M372" s="720">
        <v>44489</v>
      </c>
      <c r="N372" s="721" t="b">
        <f t="shared" si="262"/>
        <v>0</v>
      </c>
      <c r="O372" s="721" t="b">
        <f t="shared" si="265"/>
        <v>0</v>
      </c>
      <c r="P372" s="721" t="b">
        <f t="shared" si="264"/>
        <v>0</v>
      </c>
      <c r="Q372" s="721" t="b">
        <f t="shared" si="267"/>
        <v>0</v>
      </c>
      <c r="R372" s="721" t="b">
        <f t="shared" si="266"/>
        <v>0</v>
      </c>
      <c r="S372" s="721" t="b">
        <f t="shared" si="254"/>
        <v>0</v>
      </c>
      <c r="T372" s="721" t="b">
        <f t="shared" si="223"/>
        <v>0</v>
      </c>
      <c r="U372" s="721" t="b">
        <f t="shared" ref="U372:U373" si="268">TRUE()</f>
        <v>1</v>
      </c>
      <c r="V372" s="721" t="b">
        <f t="shared" ref="V372:V392" si="269">FALSE()</f>
        <v>0</v>
      </c>
      <c r="W372" s="721" t="b">
        <f t="shared" si="240"/>
        <v>0</v>
      </c>
      <c r="X372" s="721" t="b">
        <f t="shared" si="227"/>
        <v>0</v>
      </c>
      <c r="Y372" s="721" t="b">
        <f t="shared" si="258"/>
        <v>0</v>
      </c>
      <c r="Z372" s="721" t="b">
        <f t="shared" si="246"/>
        <v>0</v>
      </c>
      <c r="AA372" s="721" t="b">
        <f t="shared" si="249"/>
        <v>0</v>
      </c>
      <c r="AB372" s="17"/>
      <c r="AC372" s="17"/>
      <c r="AD372" s="17"/>
      <c r="AE372" s="17"/>
      <c r="AF372" s="17"/>
      <c r="AG372" s="17"/>
      <c r="AH372" s="17"/>
      <c r="AI372" s="17"/>
      <c r="AJ372" s="17"/>
      <c r="AK372" s="17"/>
      <c r="AL372" s="17"/>
      <c r="AM372" s="17"/>
      <c r="AN372" s="17"/>
      <c r="AO372" s="17"/>
      <c r="AP372" s="17"/>
      <c r="AQ372" s="17"/>
    </row>
    <row r="373" spans="1:43" hidden="1">
      <c r="A373">
        <f t="shared" si="252"/>
        <v>370</v>
      </c>
      <c r="B373" s="407">
        <v>1</v>
      </c>
      <c r="C373" s="407" t="s">
        <v>505</v>
      </c>
      <c r="D373" s="408" t="s">
        <v>527</v>
      </c>
      <c r="E373" s="407"/>
      <c r="F373" s="408" t="s">
        <v>760</v>
      </c>
      <c r="G373" s="409">
        <v>1.02</v>
      </c>
      <c r="H373" s="410"/>
      <c r="I373" s="409">
        <f t="shared" si="250"/>
        <v>1.02</v>
      </c>
      <c r="K373" s="417"/>
      <c r="L373" s="17" t="s">
        <v>966</v>
      </c>
      <c r="M373" s="720">
        <v>44489</v>
      </c>
      <c r="N373" s="721" t="b">
        <f t="shared" si="262"/>
        <v>0</v>
      </c>
      <c r="O373" s="721" t="b">
        <f t="shared" si="265"/>
        <v>0</v>
      </c>
      <c r="P373" s="721" t="b">
        <f t="shared" si="264"/>
        <v>0</v>
      </c>
      <c r="Q373" s="721" t="b">
        <f t="shared" si="267"/>
        <v>0</v>
      </c>
      <c r="R373" s="721" t="b">
        <f t="shared" si="266"/>
        <v>0</v>
      </c>
      <c r="S373" s="721" t="b">
        <f t="shared" si="254"/>
        <v>0</v>
      </c>
      <c r="T373" s="721" t="b">
        <f t="shared" si="223"/>
        <v>0</v>
      </c>
      <c r="U373" s="721" t="b">
        <f t="shared" si="268"/>
        <v>1</v>
      </c>
      <c r="V373" s="721" t="b">
        <f t="shared" si="269"/>
        <v>0</v>
      </c>
      <c r="W373" s="721" t="b">
        <f t="shared" si="240"/>
        <v>0</v>
      </c>
      <c r="X373" s="721" t="b">
        <f t="shared" si="227"/>
        <v>0</v>
      </c>
      <c r="Y373" s="721" t="b">
        <f t="shared" si="258"/>
        <v>0</v>
      </c>
      <c r="Z373" s="721" t="b">
        <f t="shared" si="246"/>
        <v>0</v>
      </c>
      <c r="AA373" s="721" t="b">
        <f t="shared" si="249"/>
        <v>0</v>
      </c>
      <c r="AB373" s="17"/>
      <c r="AC373" s="17"/>
      <c r="AD373" s="17"/>
      <c r="AE373" s="17"/>
      <c r="AF373" s="17"/>
      <c r="AG373" s="17"/>
      <c r="AH373" s="17"/>
      <c r="AI373" s="17"/>
      <c r="AJ373" s="17"/>
      <c r="AK373" s="17"/>
      <c r="AL373" s="17"/>
      <c r="AM373" s="17"/>
      <c r="AN373" s="17"/>
      <c r="AO373" s="17"/>
      <c r="AP373" s="17"/>
      <c r="AQ373" s="17"/>
    </row>
    <row r="374" spans="1:43" hidden="1">
      <c r="A374">
        <f t="shared" si="252"/>
        <v>371</v>
      </c>
      <c r="B374" s="407">
        <v>1</v>
      </c>
      <c r="C374" s="407" t="s">
        <v>505</v>
      </c>
      <c r="D374" s="408" t="s">
        <v>527</v>
      </c>
      <c r="E374" s="407"/>
      <c r="F374" s="408" t="s">
        <v>1082</v>
      </c>
      <c r="G374" s="409">
        <v>148.62</v>
      </c>
      <c r="H374" s="410"/>
      <c r="I374" s="409">
        <f t="shared" si="250"/>
        <v>148.62</v>
      </c>
      <c r="K374" s="417"/>
      <c r="L374" s="17" t="s">
        <v>966</v>
      </c>
      <c r="M374" s="720">
        <v>44489</v>
      </c>
      <c r="N374" s="721" t="b">
        <f t="shared" si="262"/>
        <v>0</v>
      </c>
      <c r="O374" s="721" t="b">
        <f t="shared" si="265"/>
        <v>0</v>
      </c>
      <c r="P374" s="721" t="b">
        <f t="shared" si="264"/>
        <v>0</v>
      </c>
      <c r="Q374" s="721" t="b">
        <f t="shared" si="267"/>
        <v>0</v>
      </c>
      <c r="R374" s="721" t="b">
        <f t="shared" si="266"/>
        <v>0</v>
      </c>
      <c r="S374" s="721" t="b">
        <f t="shared" si="254"/>
        <v>0</v>
      </c>
      <c r="T374" s="721" t="b">
        <f t="shared" si="223"/>
        <v>0</v>
      </c>
      <c r="U374" s="721" t="b">
        <f t="shared" ref="U374:U437" si="270">FALSE()</f>
        <v>0</v>
      </c>
      <c r="V374" s="721" t="b">
        <f t="shared" si="269"/>
        <v>0</v>
      </c>
      <c r="W374" s="721" t="b">
        <f t="shared" si="240"/>
        <v>0</v>
      </c>
      <c r="X374" s="721" t="b">
        <f t="shared" si="227"/>
        <v>0</v>
      </c>
      <c r="Y374" s="721" t="b">
        <f t="shared" ref="Y374:Y376" si="271">TRUE()</f>
        <v>1</v>
      </c>
      <c r="Z374" s="721" t="b">
        <f t="shared" si="246"/>
        <v>0</v>
      </c>
      <c r="AA374" s="721" t="b">
        <f t="shared" si="249"/>
        <v>0</v>
      </c>
      <c r="AB374" s="17"/>
      <c r="AC374" s="17"/>
      <c r="AD374" s="17"/>
      <c r="AE374" s="17"/>
      <c r="AF374" s="17"/>
      <c r="AG374" s="17"/>
      <c r="AH374" s="17"/>
      <c r="AI374" s="17"/>
      <c r="AJ374" s="17"/>
      <c r="AK374" s="17"/>
      <c r="AL374" s="17"/>
      <c r="AM374" s="17"/>
      <c r="AN374" s="17"/>
      <c r="AO374" s="17"/>
      <c r="AP374" s="17"/>
      <c r="AQ374" s="17"/>
    </row>
    <row r="375" spans="1:43" hidden="1">
      <c r="A375">
        <f t="shared" si="252"/>
        <v>372</v>
      </c>
      <c r="B375" s="407">
        <v>1</v>
      </c>
      <c r="C375" s="407" t="s">
        <v>505</v>
      </c>
      <c r="D375" s="408" t="s">
        <v>527</v>
      </c>
      <c r="E375" s="407"/>
      <c r="F375" s="408" t="s">
        <v>1026</v>
      </c>
      <c r="G375" s="409">
        <v>18.920000000000002</v>
      </c>
      <c r="H375" s="410"/>
      <c r="I375" s="409">
        <f t="shared" si="250"/>
        <v>18.920000000000002</v>
      </c>
      <c r="K375" s="417"/>
      <c r="L375" s="17" t="s">
        <v>966</v>
      </c>
      <c r="M375" s="720">
        <v>44489</v>
      </c>
      <c r="N375" s="721" t="b">
        <f t="shared" si="262"/>
        <v>0</v>
      </c>
      <c r="O375" s="721" t="b">
        <f t="shared" si="265"/>
        <v>0</v>
      </c>
      <c r="P375" s="721" t="b">
        <f t="shared" si="264"/>
        <v>0</v>
      </c>
      <c r="Q375" s="721" t="b">
        <f t="shared" si="267"/>
        <v>0</v>
      </c>
      <c r="R375" s="721" t="b">
        <f t="shared" si="266"/>
        <v>0</v>
      </c>
      <c r="S375" s="721" t="b">
        <f t="shared" si="254"/>
        <v>0</v>
      </c>
      <c r="T375" s="721" t="b">
        <f t="shared" si="223"/>
        <v>0</v>
      </c>
      <c r="U375" s="721" t="b">
        <f t="shared" si="270"/>
        <v>0</v>
      </c>
      <c r="V375" s="721" t="b">
        <f t="shared" si="269"/>
        <v>0</v>
      </c>
      <c r="W375" s="721" t="b">
        <f t="shared" si="240"/>
        <v>0</v>
      </c>
      <c r="X375" s="721" t="b">
        <f t="shared" si="227"/>
        <v>0</v>
      </c>
      <c r="Y375" s="721" t="b">
        <f t="shared" si="271"/>
        <v>1</v>
      </c>
      <c r="Z375" s="721" t="b">
        <f t="shared" si="246"/>
        <v>0</v>
      </c>
      <c r="AA375" s="721" t="b">
        <f t="shared" si="249"/>
        <v>0</v>
      </c>
      <c r="AB375" s="17"/>
      <c r="AC375" s="17"/>
      <c r="AD375" s="17"/>
      <c r="AE375" s="17"/>
      <c r="AF375" s="17"/>
      <c r="AG375" s="17"/>
      <c r="AH375" s="17"/>
      <c r="AI375" s="17"/>
      <c r="AJ375" s="17"/>
      <c r="AK375" s="17"/>
      <c r="AL375" s="17"/>
      <c r="AM375" s="17"/>
      <c r="AN375" s="17"/>
      <c r="AO375" s="17"/>
      <c r="AP375" s="17"/>
      <c r="AQ375" s="17"/>
    </row>
    <row r="376" spans="1:43" hidden="1">
      <c r="A376">
        <f t="shared" si="252"/>
        <v>373</v>
      </c>
      <c r="B376" s="407">
        <v>1</v>
      </c>
      <c r="C376" s="407" t="s">
        <v>505</v>
      </c>
      <c r="D376" s="408" t="s">
        <v>527</v>
      </c>
      <c r="E376" s="407"/>
      <c r="F376" s="408" t="s">
        <v>1345</v>
      </c>
      <c r="G376" s="409">
        <v>32.71</v>
      </c>
      <c r="H376" s="410"/>
      <c r="I376" s="409">
        <f t="shared" si="250"/>
        <v>32.71</v>
      </c>
      <c r="K376" s="417"/>
      <c r="L376" s="17" t="s">
        <v>966</v>
      </c>
      <c r="M376" s="720">
        <v>44489</v>
      </c>
      <c r="N376" s="721" t="b">
        <f t="shared" si="262"/>
        <v>0</v>
      </c>
      <c r="O376" s="721" t="b">
        <f t="shared" si="265"/>
        <v>0</v>
      </c>
      <c r="P376" s="721" t="b">
        <f t="shared" si="264"/>
        <v>0</v>
      </c>
      <c r="Q376" s="721" t="b">
        <f t="shared" si="267"/>
        <v>0</v>
      </c>
      <c r="R376" s="721" t="b">
        <f t="shared" si="266"/>
        <v>0</v>
      </c>
      <c r="S376" s="721" t="b">
        <f t="shared" si="254"/>
        <v>0</v>
      </c>
      <c r="T376" s="721" t="b">
        <f t="shared" si="223"/>
        <v>0</v>
      </c>
      <c r="U376" s="721" t="b">
        <f t="shared" si="270"/>
        <v>0</v>
      </c>
      <c r="V376" s="721" t="b">
        <f t="shared" si="269"/>
        <v>0</v>
      </c>
      <c r="W376" s="721" t="b">
        <f t="shared" si="240"/>
        <v>0</v>
      </c>
      <c r="X376" s="721" t="b">
        <f t="shared" si="227"/>
        <v>0</v>
      </c>
      <c r="Y376" s="721" t="b">
        <f t="shared" si="271"/>
        <v>1</v>
      </c>
      <c r="Z376" s="721" t="b">
        <f t="shared" si="246"/>
        <v>0</v>
      </c>
      <c r="AA376" s="721" t="b">
        <f t="shared" si="249"/>
        <v>0</v>
      </c>
      <c r="AB376" s="17"/>
      <c r="AC376" s="17"/>
      <c r="AD376" s="17"/>
      <c r="AE376" s="17"/>
      <c r="AF376" s="17"/>
      <c r="AG376" s="17"/>
      <c r="AH376" s="17"/>
      <c r="AI376" s="17"/>
      <c r="AJ376" s="17"/>
      <c r="AK376" s="17"/>
      <c r="AL376" s="17"/>
      <c r="AM376" s="17"/>
      <c r="AN376" s="17"/>
      <c r="AO376" s="17"/>
      <c r="AP376" s="17"/>
      <c r="AQ376" s="17"/>
    </row>
    <row r="377" spans="1:43" hidden="1">
      <c r="A377">
        <f t="shared" si="252"/>
        <v>374</v>
      </c>
      <c r="B377" s="407">
        <v>1</v>
      </c>
      <c r="C377" s="407" t="s">
        <v>505</v>
      </c>
      <c r="D377" s="408" t="s">
        <v>527</v>
      </c>
      <c r="E377" s="407"/>
      <c r="F377" s="408" t="s">
        <v>1346</v>
      </c>
      <c r="G377" s="409">
        <v>423.53</v>
      </c>
      <c r="H377" s="410"/>
      <c r="I377" s="409">
        <f t="shared" si="250"/>
        <v>423.53</v>
      </c>
      <c r="J377" s="58">
        <v>18000</v>
      </c>
      <c r="K377" s="417">
        <f t="shared" ref="K377:K439" si="272">G377/J377</f>
        <v>2.3529444444444443E-2</v>
      </c>
      <c r="L377" s="17" t="s">
        <v>966</v>
      </c>
      <c r="M377" s="720">
        <v>44489</v>
      </c>
      <c r="N377" s="721" t="b">
        <f t="shared" si="262"/>
        <v>0</v>
      </c>
      <c r="O377" s="721" t="b">
        <f t="shared" si="265"/>
        <v>0</v>
      </c>
      <c r="P377" s="721" t="b">
        <f t="shared" si="264"/>
        <v>0</v>
      </c>
      <c r="Q377" s="721" t="b">
        <f t="shared" si="267"/>
        <v>0</v>
      </c>
      <c r="R377" s="721" t="b">
        <f t="shared" si="266"/>
        <v>0</v>
      </c>
      <c r="S377" s="721" t="b">
        <f t="shared" si="254"/>
        <v>0</v>
      </c>
      <c r="T377" s="721" t="b">
        <f t="shared" si="223"/>
        <v>0</v>
      </c>
      <c r="U377" s="721" t="b">
        <f t="shared" si="270"/>
        <v>0</v>
      </c>
      <c r="V377" s="721" t="b">
        <f t="shared" si="269"/>
        <v>0</v>
      </c>
      <c r="W377" s="721" t="b">
        <f t="shared" si="240"/>
        <v>0</v>
      </c>
      <c r="X377" s="721" t="b">
        <f t="shared" si="227"/>
        <v>0</v>
      </c>
      <c r="Y377" s="721" t="b">
        <f t="shared" ref="Y377:Y440" si="273">FALSE()</f>
        <v>0</v>
      </c>
      <c r="Z377" s="721" t="b">
        <f t="shared" si="246"/>
        <v>0</v>
      </c>
      <c r="AA377" s="721" t="b">
        <f>TRUE()</f>
        <v>1</v>
      </c>
      <c r="AB377" s="17"/>
      <c r="AC377" s="17"/>
      <c r="AD377" s="17"/>
      <c r="AE377" s="17"/>
      <c r="AF377" s="17"/>
      <c r="AG377" s="17"/>
      <c r="AH377" s="17"/>
      <c r="AI377" s="17"/>
      <c r="AJ377" s="17"/>
      <c r="AK377" s="17"/>
      <c r="AL377" s="17"/>
      <c r="AM377" s="17"/>
      <c r="AN377" s="17"/>
      <c r="AO377" s="17"/>
      <c r="AP377" s="17"/>
      <c r="AQ377" s="17"/>
    </row>
    <row r="378" spans="1:43" ht="22.25" hidden="1">
      <c r="A378">
        <f t="shared" si="252"/>
        <v>375</v>
      </c>
      <c r="B378" s="407">
        <v>1</v>
      </c>
      <c r="C378" s="488" t="s">
        <v>505</v>
      </c>
      <c r="D378" s="408" t="s">
        <v>1347</v>
      </c>
      <c r="E378" s="407"/>
      <c r="F378" s="408" t="s">
        <v>1348</v>
      </c>
      <c r="G378" s="409">
        <f>3955/266*1.036</f>
        <v>15.403684210526317</v>
      </c>
      <c r="H378" s="735"/>
      <c r="I378" s="490">
        <f t="shared" si="250"/>
        <v>15.403684210526317</v>
      </c>
      <c r="J378" s="58">
        <v>375</v>
      </c>
      <c r="K378" s="417">
        <f t="shared" si="272"/>
        <v>4.107649122807018E-2</v>
      </c>
      <c r="L378" s="17" t="s">
        <v>738</v>
      </c>
      <c r="M378" s="720">
        <v>44489</v>
      </c>
      <c r="N378" s="721" t="b">
        <f t="shared" si="262"/>
        <v>0</v>
      </c>
      <c r="O378" s="721" t="b">
        <f t="shared" ref="O378:O379" si="274">TRUE()</f>
        <v>1</v>
      </c>
      <c r="P378" s="721" t="b">
        <f t="shared" si="264"/>
        <v>0</v>
      </c>
      <c r="Q378" s="721" t="b">
        <f t="shared" si="267"/>
        <v>0</v>
      </c>
      <c r="R378" s="721" t="b">
        <f t="shared" si="266"/>
        <v>0</v>
      </c>
      <c r="S378" s="721" t="b">
        <f t="shared" si="254"/>
        <v>0</v>
      </c>
      <c r="T378" s="721" t="b">
        <f t="shared" si="223"/>
        <v>0</v>
      </c>
      <c r="U378" s="721" t="b">
        <f t="shared" si="270"/>
        <v>0</v>
      </c>
      <c r="V378" s="721" t="b">
        <f t="shared" si="269"/>
        <v>0</v>
      </c>
      <c r="W378" s="721" t="b">
        <f t="shared" si="240"/>
        <v>0</v>
      </c>
      <c r="X378" s="721" t="b">
        <f t="shared" si="227"/>
        <v>0</v>
      </c>
      <c r="Y378" s="721" t="b">
        <f t="shared" si="273"/>
        <v>0</v>
      </c>
      <c r="Z378" s="721" t="b">
        <f t="shared" si="246"/>
        <v>0</v>
      </c>
      <c r="AA378" s="721" t="b">
        <f t="shared" ref="AA378:AA441" si="275">FALSE()</f>
        <v>0</v>
      </c>
      <c r="AB378" s="17"/>
      <c r="AC378" s="17"/>
      <c r="AD378" s="17"/>
      <c r="AE378" s="17"/>
      <c r="AF378" s="17"/>
      <c r="AG378" s="17"/>
      <c r="AH378" s="17"/>
      <c r="AI378" s="17"/>
      <c r="AJ378" s="17"/>
      <c r="AK378" s="17"/>
      <c r="AL378" s="17"/>
      <c r="AM378" s="17"/>
      <c r="AN378" s="17"/>
      <c r="AO378" s="17"/>
      <c r="AP378" s="17"/>
      <c r="AQ378" s="17"/>
    </row>
    <row r="379" spans="1:43" hidden="1">
      <c r="A379">
        <f t="shared" si="252"/>
        <v>376</v>
      </c>
      <c r="B379" s="17">
        <v>1</v>
      </c>
      <c r="C379" s="488" t="s">
        <v>505</v>
      </c>
      <c r="D379" s="489"/>
      <c r="E379" s="488"/>
      <c r="F379" s="489" t="s">
        <v>514</v>
      </c>
      <c r="G379" s="490">
        <f>5151.6/378*1.036</f>
        <v>14.119200000000001</v>
      </c>
      <c r="H379" s="410"/>
      <c r="I379" s="409">
        <f t="shared" si="250"/>
        <v>14.119200000000001</v>
      </c>
      <c r="J379" s="58">
        <v>375</v>
      </c>
      <c r="K379" s="417">
        <f t="shared" si="272"/>
        <v>3.7651200000000003E-2</v>
      </c>
      <c r="L379" s="17" t="s">
        <v>738</v>
      </c>
      <c r="M379" s="720">
        <v>44489</v>
      </c>
      <c r="N379" s="721" t="b">
        <f t="shared" si="262"/>
        <v>0</v>
      </c>
      <c r="O379" s="721" t="b">
        <f t="shared" si="274"/>
        <v>1</v>
      </c>
      <c r="P379" s="721" t="b">
        <f t="shared" si="264"/>
        <v>0</v>
      </c>
      <c r="Q379" s="721" t="b">
        <f t="shared" si="267"/>
        <v>0</v>
      </c>
      <c r="R379" s="721" t="b">
        <f t="shared" si="266"/>
        <v>0</v>
      </c>
      <c r="S379" s="721" t="b">
        <f t="shared" si="254"/>
        <v>0</v>
      </c>
      <c r="T379" s="721" t="b">
        <f t="shared" si="223"/>
        <v>0</v>
      </c>
      <c r="U379" s="721" t="b">
        <f t="shared" si="270"/>
        <v>0</v>
      </c>
      <c r="V379" s="721" t="b">
        <f t="shared" si="269"/>
        <v>0</v>
      </c>
      <c r="W379" s="721" t="b">
        <f t="shared" si="240"/>
        <v>0</v>
      </c>
      <c r="X379" s="721" t="b">
        <f t="shared" si="227"/>
        <v>0</v>
      </c>
      <c r="Y379" s="721" t="b">
        <f t="shared" si="273"/>
        <v>0</v>
      </c>
      <c r="Z379" s="721" t="b">
        <f t="shared" si="246"/>
        <v>0</v>
      </c>
      <c r="AA379" s="721" t="b">
        <f t="shared" si="275"/>
        <v>0</v>
      </c>
      <c r="AB379" s="17"/>
      <c r="AC379" s="17"/>
      <c r="AD379" s="17"/>
      <c r="AE379" s="17"/>
      <c r="AF379" s="17"/>
      <c r="AG379" s="17"/>
      <c r="AH379" s="17"/>
      <c r="AI379" s="17"/>
      <c r="AJ379" s="17"/>
      <c r="AK379" s="17"/>
      <c r="AL379" s="17"/>
      <c r="AM379" s="17"/>
      <c r="AN379" s="17"/>
      <c r="AO379" s="17"/>
      <c r="AP379" s="17"/>
      <c r="AQ379" s="17"/>
    </row>
    <row r="380" spans="1:43" hidden="1">
      <c r="A380">
        <f t="shared" si="252"/>
        <v>377</v>
      </c>
      <c r="B380" s="407">
        <v>1</v>
      </c>
      <c r="C380" s="407" t="s">
        <v>505</v>
      </c>
      <c r="D380" s="408" t="s">
        <v>1349</v>
      </c>
      <c r="E380" s="407"/>
      <c r="F380" s="408" t="s">
        <v>1350</v>
      </c>
      <c r="G380" s="409">
        <f>1.1*(0.35*J380+0.36)</f>
        <v>150.54600000000002</v>
      </c>
      <c r="H380" s="410"/>
      <c r="I380" s="409">
        <f t="shared" si="250"/>
        <v>150.54600000000002</v>
      </c>
      <c r="J380" s="58">
        <v>390</v>
      </c>
      <c r="K380" s="417">
        <f t="shared" si="272"/>
        <v>0.38601538461538465</v>
      </c>
      <c r="L380" s="17" t="s">
        <v>1351</v>
      </c>
      <c r="M380" s="720">
        <v>44502</v>
      </c>
      <c r="N380" s="721" t="b">
        <f t="shared" ref="N380:N381" si="276">TRUE()</f>
        <v>1</v>
      </c>
      <c r="O380" s="721" t="b">
        <f t="shared" ref="O380:O443" si="277">FALSE()</f>
        <v>0</v>
      </c>
      <c r="P380" s="721" t="b">
        <f t="shared" si="264"/>
        <v>0</v>
      </c>
      <c r="Q380" s="721" t="b">
        <f t="shared" si="267"/>
        <v>0</v>
      </c>
      <c r="R380" s="721" t="b">
        <f t="shared" si="266"/>
        <v>0</v>
      </c>
      <c r="S380" s="721" t="b">
        <f t="shared" si="254"/>
        <v>0</v>
      </c>
      <c r="T380" s="721" t="b">
        <f t="shared" si="223"/>
        <v>0</v>
      </c>
      <c r="U380" s="721" t="b">
        <f t="shared" si="270"/>
        <v>0</v>
      </c>
      <c r="V380" s="721" t="b">
        <f t="shared" si="269"/>
        <v>0</v>
      </c>
      <c r="W380" s="721" t="b">
        <f t="shared" si="240"/>
        <v>0</v>
      </c>
      <c r="X380" s="721" t="b">
        <f t="shared" si="227"/>
        <v>0</v>
      </c>
      <c r="Y380" s="721" t="b">
        <f t="shared" si="273"/>
        <v>0</v>
      </c>
      <c r="Z380" s="721" t="b">
        <f t="shared" si="246"/>
        <v>0</v>
      </c>
      <c r="AA380" s="721" t="b">
        <f t="shared" si="275"/>
        <v>0</v>
      </c>
      <c r="AB380" s="17"/>
      <c r="AC380" s="17"/>
      <c r="AD380" s="17"/>
      <c r="AE380" s="17"/>
      <c r="AF380" s="17"/>
      <c r="AG380" s="17"/>
      <c r="AH380" s="17"/>
      <c r="AI380" s="17"/>
      <c r="AJ380" s="17"/>
      <c r="AK380" s="17"/>
      <c r="AL380" s="17"/>
      <c r="AM380" s="17"/>
      <c r="AN380" s="17"/>
      <c r="AO380" s="17"/>
      <c r="AP380" s="17"/>
      <c r="AQ380" s="17"/>
    </row>
    <row r="381" spans="1:43" hidden="1">
      <c r="A381">
        <f t="shared" si="252"/>
        <v>378</v>
      </c>
      <c r="B381" s="407">
        <v>1</v>
      </c>
      <c r="C381" s="407" t="s">
        <v>505</v>
      </c>
      <c r="D381" s="408" t="s">
        <v>734</v>
      </c>
      <c r="E381" s="407"/>
      <c r="F381" s="408" t="s">
        <v>735</v>
      </c>
      <c r="G381" s="409">
        <f>0.362*405</f>
        <v>146.60999999999999</v>
      </c>
      <c r="H381" s="410"/>
      <c r="I381" s="409">
        <f t="shared" si="250"/>
        <v>146.60999999999999</v>
      </c>
      <c r="J381" s="58">
        <v>405</v>
      </c>
      <c r="K381" s="417">
        <f t="shared" si="272"/>
        <v>0.36199999999999999</v>
      </c>
      <c r="L381" s="17" t="s">
        <v>966</v>
      </c>
      <c r="M381" s="720">
        <v>44517</v>
      </c>
      <c r="N381" s="721" t="b">
        <f t="shared" si="276"/>
        <v>1</v>
      </c>
      <c r="O381" s="721" t="b">
        <f t="shared" si="277"/>
        <v>0</v>
      </c>
      <c r="P381" s="721" t="b">
        <f t="shared" si="264"/>
        <v>0</v>
      </c>
      <c r="Q381" s="721" t="b">
        <f t="shared" si="267"/>
        <v>0</v>
      </c>
      <c r="R381" s="721" t="b">
        <f t="shared" si="266"/>
        <v>0</v>
      </c>
      <c r="S381" s="721" t="b">
        <f t="shared" si="254"/>
        <v>0</v>
      </c>
      <c r="T381" s="721" t="b">
        <f t="shared" si="223"/>
        <v>0</v>
      </c>
      <c r="U381" s="721" t="b">
        <f t="shared" si="270"/>
        <v>0</v>
      </c>
      <c r="V381" s="721" t="b">
        <f t="shared" si="269"/>
        <v>0</v>
      </c>
      <c r="W381" s="721" t="b">
        <f t="shared" si="240"/>
        <v>0</v>
      </c>
      <c r="X381" s="721" t="b">
        <f t="shared" si="227"/>
        <v>0</v>
      </c>
      <c r="Y381" s="721" t="b">
        <f t="shared" si="273"/>
        <v>0</v>
      </c>
      <c r="Z381" s="721" t="b">
        <f t="shared" si="246"/>
        <v>0</v>
      </c>
      <c r="AA381" s="721" t="b">
        <f t="shared" si="275"/>
        <v>0</v>
      </c>
      <c r="AB381" s="17"/>
      <c r="AC381" s="17"/>
      <c r="AD381" s="17"/>
      <c r="AE381" s="17"/>
      <c r="AF381" s="17"/>
      <c r="AG381" s="17"/>
      <c r="AH381" s="17"/>
      <c r="AI381" s="17"/>
      <c r="AJ381" s="17"/>
      <c r="AK381" s="17"/>
      <c r="AL381" s="17"/>
      <c r="AM381" s="17"/>
      <c r="AN381" s="17"/>
      <c r="AO381" s="17"/>
      <c r="AP381" s="17"/>
      <c r="AQ381" s="17"/>
    </row>
    <row r="382" spans="1:43">
      <c r="A382">
        <f t="shared" si="252"/>
        <v>379</v>
      </c>
      <c r="B382" s="487">
        <v>1</v>
      </c>
      <c r="C382" s="487" t="s">
        <v>522</v>
      </c>
      <c r="D382" s="407" t="s">
        <v>1223</v>
      </c>
      <c r="E382" s="487"/>
      <c r="F382" s="408" t="s">
        <v>1224</v>
      </c>
      <c r="G382" s="409">
        <v>7479</v>
      </c>
      <c r="H382" s="410"/>
      <c r="I382" s="409">
        <f t="shared" si="250"/>
        <v>7479</v>
      </c>
      <c r="J382" s="58">
        <v>100000</v>
      </c>
      <c r="K382" s="417">
        <f t="shared" si="272"/>
        <v>7.4789999999999995E-2</v>
      </c>
      <c r="L382" s="17" t="s">
        <v>1115</v>
      </c>
      <c r="M382" s="720">
        <v>44518</v>
      </c>
      <c r="N382" s="721" t="b">
        <f t="shared" ref="N382:N389" si="278">FALSE()</f>
        <v>0</v>
      </c>
      <c r="O382" s="721" t="b">
        <f t="shared" si="277"/>
        <v>0</v>
      </c>
      <c r="P382" s="721" t="b">
        <f>TRUE()</f>
        <v>1</v>
      </c>
      <c r="Q382" s="721" t="b">
        <f t="shared" si="267"/>
        <v>0</v>
      </c>
      <c r="R382" s="721" t="b">
        <f t="shared" si="266"/>
        <v>0</v>
      </c>
      <c r="S382" s="721" t="b">
        <f t="shared" si="254"/>
        <v>0</v>
      </c>
      <c r="T382" s="721" t="b">
        <f t="shared" si="223"/>
        <v>0</v>
      </c>
      <c r="U382" s="721" t="b">
        <f t="shared" si="270"/>
        <v>0</v>
      </c>
      <c r="V382" s="721" t="b">
        <f t="shared" si="269"/>
        <v>0</v>
      </c>
      <c r="W382" s="721" t="b">
        <f t="shared" si="240"/>
        <v>0</v>
      </c>
      <c r="X382" s="721" t="b">
        <f t="shared" si="227"/>
        <v>0</v>
      </c>
      <c r="Y382" s="721" t="b">
        <f t="shared" si="273"/>
        <v>0</v>
      </c>
      <c r="Z382" s="721" t="b">
        <f t="shared" si="246"/>
        <v>0</v>
      </c>
      <c r="AA382" s="721" t="b">
        <f t="shared" si="275"/>
        <v>0</v>
      </c>
      <c r="AB382" s="17"/>
      <c r="AC382" s="17"/>
      <c r="AD382" s="17"/>
      <c r="AE382" s="17"/>
      <c r="AF382" s="17"/>
      <c r="AG382" s="17"/>
      <c r="AH382" s="17"/>
      <c r="AI382" s="17"/>
      <c r="AJ382" s="17"/>
      <c r="AK382" s="17"/>
      <c r="AL382" s="17"/>
      <c r="AM382" s="17"/>
      <c r="AN382" s="17"/>
      <c r="AO382" s="17"/>
      <c r="AP382" s="17"/>
      <c r="AQ382" s="17"/>
    </row>
    <row r="383" spans="1:43" hidden="1">
      <c r="A383">
        <f t="shared" si="252"/>
        <v>380</v>
      </c>
      <c r="B383" s="487">
        <v>1</v>
      </c>
      <c r="C383" s="487" t="s">
        <v>530</v>
      </c>
      <c r="D383" s="407" t="s">
        <v>749</v>
      </c>
      <c r="E383" s="487"/>
      <c r="F383" s="408" t="s">
        <v>1231</v>
      </c>
      <c r="G383" s="409">
        <v>827.8</v>
      </c>
      <c r="H383" s="410"/>
      <c r="I383" s="409">
        <f t="shared" si="250"/>
        <v>827.8</v>
      </c>
      <c r="K383" s="17"/>
      <c r="L383" s="17" t="s">
        <v>1232</v>
      </c>
      <c r="M383" s="720">
        <v>44518</v>
      </c>
      <c r="N383" s="721" t="b">
        <f t="shared" si="278"/>
        <v>0</v>
      </c>
      <c r="O383" s="721" t="b">
        <f t="shared" si="277"/>
        <v>0</v>
      </c>
      <c r="P383" s="721" t="b">
        <f t="shared" ref="P383:P384" si="279">FALSE()</f>
        <v>0</v>
      </c>
      <c r="Q383" s="721" t="b">
        <f>TRUE()</f>
        <v>1</v>
      </c>
      <c r="R383" s="721" t="b">
        <f t="shared" si="266"/>
        <v>0</v>
      </c>
      <c r="S383" s="721" t="b">
        <f t="shared" si="254"/>
        <v>0</v>
      </c>
      <c r="T383" s="721" t="b">
        <f t="shared" si="223"/>
        <v>0</v>
      </c>
      <c r="U383" s="721" t="b">
        <f t="shared" si="270"/>
        <v>0</v>
      </c>
      <c r="V383" s="721" t="b">
        <f t="shared" si="269"/>
        <v>0</v>
      </c>
      <c r="W383" s="721" t="b">
        <f t="shared" si="240"/>
        <v>0</v>
      </c>
      <c r="X383" s="721" t="b">
        <f t="shared" si="227"/>
        <v>0</v>
      </c>
      <c r="Y383" s="721" t="b">
        <f t="shared" si="273"/>
        <v>0</v>
      </c>
      <c r="Z383" s="721" t="b">
        <f t="shared" si="246"/>
        <v>0</v>
      </c>
      <c r="AA383" s="721" t="b">
        <f t="shared" si="275"/>
        <v>0</v>
      </c>
      <c r="AB383" s="17"/>
      <c r="AC383" s="17"/>
      <c r="AD383" s="17"/>
      <c r="AE383" s="17"/>
      <c r="AF383" s="17"/>
      <c r="AG383" s="17"/>
      <c r="AH383" s="17"/>
      <c r="AI383" s="17"/>
      <c r="AJ383" s="17"/>
      <c r="AK383" s="17"/>
      <c r="AL383" s="17"/>
      <c r="AM383" s="17"/>
      <c r="AN383" s="17"/>
      <c r="AO383" s="17"/>
      <c r="AP383" s="17"/>
      <c r="AQ383" s="17"/>
    </row>
    <row r="384" spans="1:43" hidden="1">
      <c r="A384">
        <f t="shared" si="252"/>
        <v>381</v>
      </c>
      <c r="B384" s="407">
        <v>1</v>
      </c>
      <c r="C384" s="407" t="s">
        <v>522</v>
      </c>
      <c r="D384" s="407" t="s">
        <v>1223</v>
      </c>
      <c r="E384" s="407"/>
      <c r="F384" s="408" t="s">
        <v>1352</v>
      </c>
      <c r="G384" s="409">
        <v>2576.4499999999998</v>
      </c>
      <c r="H384" s="410"/>
      <c r="I384" s="409">
        <f t="shared" si="250"/>
        <v>2576.4499999999998</v>
      </c>
      <c r="K384" s="17"/>
      <c r="L384" s="17" t="s">
        <v>1158</v>
      </c>
      <c r="M384" s="720">
        <v>44518</v>
      </c>
      <c r="N384" s="721" t="b">
        <f t="shared" si="278"/>
        <v>0</v>
      </c>
      <c r="O384" s="721" t="b">
        <f t="shared" si="277"/>
        <v>0</v>
      </c>
      <c r="P384" s="721" t="b">
        <f t="shared" si="279"/>
        <v>0</v>
      </c>
      <c r="Q384" s="721" t="b">
        <f t="shared" ref="Q384:Q388" si="280">FALSE()</f>
        <v>0</v>
      </c>
      <c r="R384" s="721" t="b">
        <f t="shared" si="266"/>
        <v>0</v>
      </c>
      <c r="S384" s="721" t="b">
        <f>TRUE()</f>
        <v>1</v>
      </c>
      <c r="T384" s="721" t="b">
        <f t="shared" si="223"/>
        <v>0</v>
      </c>
      <c r="U384" s="721" t="b">
        <f t="shared" si="270"/>
        <v>0</v>
      </c>
      <c r="V384" s="721" t="b">
        <f t="shared" si="269"/>
        <v>0</v>
      </c>
      <c r="W384" s="721" t="b">
        <f t="shared" si="240"/>
        <v>0</v>
      </c>
      <c r="X384" s="721" t="b">
        <f t="shared" si="227"/>
        <v>0</v>
      </c>
      <c r="Y384" s="721" t="b">
        <f t="shared" si="273"/>
        <v>0</v>
      </c>
      <c r="Z384" s="721" t="b">
        <f t="shared" si="246"/>
        <v>0</v>
      </c>
      <c r="AA384" s="721" t="b">
        <f t="shared" si="275"/>
        <v>0</v>
      </c>
      <c r="AB384" s="17"/>
      <c r="AC384" s="17"/>
      <c r="AD384" s="17"/>
      <c r="AE384" s="17"/>
      <c r="AF384" s="17"/>
      <c r="AG384" s="17"/>
      <c r="AH384" s="17"/>
      <c r="AI384" s="17"/>
      <c r="AJ384" s="17"/>
      <c r="AK384" s="17"/>
      <c r="AL384" s="17"/>
      <c r="AM384" s="17"/>
      <c r="AN384" s="17"/>
      <c r="AO384" s="17"/>
      <c r="AP384" s="17"/>
      <c r="AQ384" s="17"/>
    </row>
    <row r="385" spans="1:43" hidden="1">
      <c r="A385">
        <f t="shared" si="252"/>
        <v>382</v>
      </c>
      <c r="B385" s="487">
        <v>1</v>
      </c>
      <c r="C385" s="487" t="s">
        <v>522</v>
      </c>
      <c r="D385" s="407" t="s">
        <v>1223</v>
      </c>
      <c r="E385" s="487"/>
      <c r="F385" s="408" t="s">
        <v>1353</v>
      </c>
      <c r="G385" s="409">
        <f>4108+139</f>
        <v>4247</v>
      </c>
      <c r="H385" s="410"/>
      <c r="I385" s="409">
        <f t="shared" si="250"/>
        <v>4247</v>
      </c>
      <c r="J385" s="58">
        <v>50000</v>
      </c>
      <c r="K385" s="417">
        <f t="shared" si="272"/>
        <v>8.4940000000000002E-2</v>
      </c>
      <c r="L385" s="17" t="s">
        <v>1354</v>
      </c>
      <c r="M385" s="720">
        <v>44519</v>
      </c>
      <c r="N385" s="721" t="b">
        <f t="shared" si="278"/>
        <v>0</v>
      </c>
      <c r="O385" s="721" t="b">
        <f t="shared" si="277"/>
        <v>0</v>
      </c>
      <c r="P385" s="721" t="b">
        <f t="shared" ref="P385:P388" si="281">TRUE()</f>
        <v>1</v>
      </c>
      <c r="Q385" s="721" t="b">
        <f t="shared" si="280"/>
        <v>0</v>
      </c>
      <c r="R385" s="721" t="b">
        <f t="shared" si="266"/>
        <v>0</v>
      </c>
      <c r="S385" s="721" t="b">
        <f t="shared" ref="S385:S416" si="282">FALSE()</f>
        <v>0</v>
      </c>
      <c r="T385" s="721" t="b">
        <f t="shared" ref="T385:T409" si="283">FALSE()</f>
        <v>0</v>
      </c>
      <c r="U385" s="721" t="b">
        <f t="shared" si="270"/>
        <v>0</v>
      </c>
      <c r="V385" s="721" t="b">
        <f t="shared" si="269"/>
        <v>0</v>
      </c>
      <c r="W385" s="721" t="b">
        <f t="shared" si="240"/>
        <v>0</v>
      </c>
      <c r="X385" s="721" t="b">
        <f t="shared" si="227"/>
        <v>0</v>
      </c>
      <c r="Y385" s="721" t="b">
        <f t="shared" si="273"/>
        <v>0</v>
      </c>
      <c r="Z385" s="721" t="b">
        <f t="shared" si="246"/>
        <v>0</v>
      </c>
      <c r="AA385" s="721" t="b">
        <f t="shared" si="275"/>
        <v>0</v>
      </c>
      <c r="AB385" s="17"/>
      <c r="AC385" s="17"/>
      <c r="AD385" s="17"/>
      <c r="AE385" s="17"/>
      <c r="AF385" s="17"/>
      <c r="AG385" s="17"/>
      <c r="AH385" s="17"/>
      <c r="AI385" s="17"/>
      <c r="AJ385" s="17"/>
      <c r="AK385" s="17"/>
      <c r="AL385" s="17"/>
      <c r="AM385" s="17"/>
      <c r="AN385" s="17"/>
      <c r="AO385" s="17"/>
      <c r="AP385" s="17"/>
      <c r="AQ385" s="17"/>
    </row>
    <row r="386" spans="1:43" hidden="1">
      <c r="A386">
        <f t="shared" si="252"/>
        <v>383</v>
      </c>
      <c r="B386" s="487">
        <v>1</v>
      </c>
      <c r="C386" s="487" t="s">
        <v>522</v>
      </c>
      <c r="D386" s="407" t="s">
        <v>1223</v>
      </c>
      <c r="E386" s="487"/>
      <c r="F386" s="408" t="s">
        <v>1355</v>
      </c>
      <c r="G386" s="409">
        <f>4410+139</f>
        <v>4549</v>
      </c>
      <c r="H386" s="410"/>
      <c r="I386" s="409">
        <f t="shared" si="250"/>
        <v>4549</v>
      </c>
      <c r="J386" s="58">
        <v>50000</v>
      </c>
      <c r="K386" s="417">
        <f t="shared" si="272"/>
        <v>9.0980000000000005E-2</v>
      </c>
      <c r="L386" s="17" t="s">
        <v>1354</v>
      </c>
      <c r="M386" s="720">
        <v>44519</v>
      </c>
      <c r="N386" s="721" t="b">
        <f t="shared" si="278"/>
        <v>0</v>
      </c>
      <c r="O386" s="721" t="b">
        <f t="shared" si="277"/>
        <v>0</v>
      </c>
      <c r="P386" s="721" t="b">
        <f t="shared" si="281"/>
        <v>1</v>
      </c>
      <c r="Q386" s="721" t="b">
        <f t="shared" si="280"/>
        <v>0</v>
      </c>
      <c r="R386" s="721" t="b">
        <f t="shared" si="266"/>
        <v>0</v>
      </c>
      <c r="S386" s="721" t="b">
        <f t="shared" si="282"/>
        <v>0</v>
      </c>
      <c r="T386" s="721" t="b">
        <f t="shared" si="283"/>
        <v>0</v>
      </c>
      <c r="U386" s="721" t="b">
        <f t="shared" si="270"/>
        <v>0</v>
      </c>
      <c r="V386" s="721" t="b">
        <f t="shared" si="269"/>
        <v>0</v>
      </c>
      <c r="W386" s="721" t="b">
        <f t="shared" si="240"/>
        <v>0</v>
      </c>
      <c r="X386" s="721" t="b">
        <f t="shared" si="227"/>
        <v>0</v>
      </c>
      <c r="Y386" s="721" t="b">
        <f t="shared" si="273"/>
        <v>0</v>
      </c>
      <c r="Z386" s="721" t="b">
        <f t="shared" si="246"/>
        <v>0</v>
      </c>
      <c r="AA386" s="721" t="b">
        <f t="shared" si="275"/>
        <v>0</v>
      </c>
      <c r="AB386" s="17"/>
      <c r="AC386" s="17"/>
      <c r="AD386" s="17"/>
      <c r="AE386" s="17"/>
      <c r="AF386" s="17"/>
      <c r="AG386" s="17"/>
      <c r="AH386" s="17"/>
      <c r="AI386" s="17"/>
      <c r="AJ386" s="17"/>
      <c r="AK386" s="17"/>
      <c r="AL386" s="17"/>
      <c r="AM386" s="17"/>
      <c r="AN386" s="17"/>
      <c r="AO386" s="17"/>
      <c r="AP386" s="17"/>
      <c r="AQ386" s="17"/>
    </row>
    <row r="387" spans="1:43">
      <c r="A387">
        <f t="shared" si="252"/>
        <v>384</v>
      </c>
      <c r="B387" s="487">
        <v>1</v>
      </c>
      <c r="C387" s="487" t="s">
        <v>522</v>
      </c>
      <c r="D387" s="407" t="s">
        <v>1223</v>
      </c>
      <c r="E387" s="487"/>
      <c r="F387" s="408" t="s">
        <v>1356</v>
      </c>
      <c r="G387" s="409">
        <f>5494+139</f>
        <v>5633</v>
      </c>
      <c r="H387" s="410"/>
      <c r="I387" s="409">
        <f t="shared" si="250"/>
        <v>5633</v>
      </c>
      <c r="J387" s="58">
        <v>100000</v>
      </c>
      <c r="K387" s="417">
        <f t="shared" si="272"/>
        <v>5.6329999999999998E-2</v>
      </c>
      <c r="L387" s="17" t="s">
        <v>1354</v>
      </c>
      <c r="M387" s="720">
        <v>44519</v>
      </c>
      <c r="N387" s="721" t="b">
        <f t="shared" si="278"/>
        <v>0</v>
      </c>
      <c r="O387" s="721" t="b">
        <f t="shared" si="277"/>
        <v>0</v>
      </c>
      <c r="P387" s="721" t="b">
        <f t="shared" si="281"/>
        <v>1</v>
      </c>
      <c r="Q387" s="721" t="b">
        <f t="shared" si="280"/>
        <v>0</v>
      </c>
      <c r="R387" s="721" t="b">
        <f t="shared" si="266"/>
        <v>0</v>
      </c>
      <c r="S387" s="721" t="b">
        <f t="shared" si="282"/>
        <v>0</v>
      </c>
      <c r="T387" s="721" t="b">
        <f t="shared" si="283"/>
        <v>0</v>
      </c>
      <c r="U387" s="721" t="b">
        <f t="shared" si="270"/>
        <v>0</v>
      </c>
      <c r="V387" s="721" t="b">
        <f t="shared" si="269"/>
        <v>0</v>
      </c>
      <c r="W387" s="721" t="b">
        <f t="shared" si="240"/>
        <v>0</v>
      </c>
      <c r="X387" s="721" t="b">
        <f t="shared" si="227"/>
        <v>0</v>
      </c>
      <c r="Y387" s="721" t="b">
        <f t="shared" si="273"/>
        <v>0</v>
      </c>
      <c r="Z387" s="721" t="b">
        <f t="shared" si="246"/>
        <v>0</v>
      </c>
      <c r="AA387" s="721" t="b">
        <f t="shared" si="275"/>
        <v>0</v>
      </c>
      <c r="AB387" s="17"/>
      <c r="AC387" s="17"/>
      <c r="AD387" s="17"/>
      <c r="AE387" s="17"/>
      <c r="AF387" s="17"/>
      <c r="AG387" s="17"/>
      <c r="AH387" s="17"/>
      <c r="AI387" s="17"/>
      <c r="AJ387" s="17"/>
      <c r="AK387" s="17"/>
      <c r="AL387" s="17"/>
      <c r="AM387" s="17"/>
      <c r="AN387" s="17"/>
      <c r="AO387" s="17"/>
      <c r="AP387" s="17"/>
      <c r="AQ387" s="17"/>
    </row>
    <row r="388" spans="1:43">
      <c r="A388">
        <f t="shared" si="252"/>
        <v>385</v>
      </c>
      <c r="B388" s="487">
        <v>1</v>
      </c>
      <c r="C388" s="487" t="s">
        <v>522</v>
      </c>
      <c r="D388" s="407" t="s">
        <v>1223</v>
      </c>
      <c r="E388" s="487"/>
      <c r="F388" s="408" t="s">
        <v>1357</v>
      </c>
      <c r="G388" s="409">
        <f>5961+139</f>
        <v>6100</v>
      </c>
      <c r="H388" s="410"/>
      <c r="I388" s="409">
        <f t="shared" si="250"/>
        <v>6100</v>
      </c>
      <c r="J388" s="58">
        <v>100000</v>
      </c>
      <c r="K388" s="417">
        <f t="shared" si="272"/>
        <v>6.0999999999999999E-2</v>
      </c>
      <c r="L388" s="17" t="s">
        <v>1354</v>
      </c>
      <c r="M388" s="720">
        <v>44519</v>
      </c>
      <c r="N388" s="721" t="b">
        <f t="shared" si="278"/>
        <v>0</v>
      </c>
      <c r="O388" s="721" t="b">
        <f t="shared" si="277"/>
        <v>0</v>
      </c>
      <c r="P388" s="721" t="b">
        <f t="shared" si="281"/>
        <v>1</v>
      </c>
      <c r="Q388" s="721" t="b">
        <f t="shared" si="280"/>
        <v>0</v>
      </c>
      <c r="R388" s="721" t="b">
        <f t="shared" si="266"/>
        <v>0</v>
      </c>
      <c r="S388" s="721" t="b">
        <f t="shared" si="282"/>
        <v>0</v>
      </c>
      <c r="T388" s="721" t="b">
        <f t="shared" si="283"/>
        <v>0</v>
      </c>
      <c r="U388" s="721" t="b">
        <f t="shared" si="270"/>
        <v>0</v>
      </c>
      <c r="V388" s="721" t="b">
        <f t="shared" si="269"/>
        <v>0</v>
      </c>
      <c r="W388" s="721" t="b">
        <f t="shared" si="240"/>
        <v>0</v>
      </c>
      <c r="X388" s="721" t="b">
        <f t="shared" ref="X388:X390" si="284">FALSE()</f>
        <v>0</v>
      </c>
      <c r="Y388" s="721" t="b">
        <f t="shared" si="273"/>
        <v>0</v>
      </c>
      <c r="Z388" s="721" t="b">
        <f t="shared" si="246"/>
        <v>0</v>
      </c>
      <c r="AA388" s="721" t="b">
        <f t="shared" si="275"/>
        <v>0</v>
      </c>
      <c r="AB388" s="17"/>
      <c r="AC388" s="17"/>
      <c r="AD388" s="17"/>
      <c r="AE388" s="17"/>
      <c r="AF388" s="17"/>
      <c r="AG388" s="17"/>
      <c r="AH388" s="17"/>
      <c r="AI388" s="17"/>
      <c r="AJ388" s="17"/>
      <c r="AK388" s="17"/>
      <c r="AL388" s="17"/>
      <c r="AM388" s="17"/>
      <c r="AN388" s="17"/>
      <c r="AO388" s="17"/>
      <c r="AP388" s="17"/>
      <c r="AQ388" s="17"/>
    </row>
    <row r="389" spans="1:43" hidden="1">
      <c r="A389">
        <f t="shared" si="252"/>
        <v>386</v>
      </c>
      <c r="B389" s="487">
        <v>1</v>
      </c>
      <c r="C389" s="487" t="s">
        <v>530</v>
      </c>
      <c r="D389" s="407" t="s">
        <v>749</v>
      </c>
      <c r="E389" s="487"/>
      <c r="F389" s="408" t="s">
        <v>750</v>
      </c>
      <c r="G389" s="409">
        <v>400.03</v>
      </c>
      <c r="H389" s="410"/>
      <c r="I389" s="409">
        <f t="shared" si="250"/>
        <v>400.03</v>
      </c>
      <c r="K389" s="17"/>
      <c r="L389" s="17" t="s">
        <v>1232</v>
      </c>
      <c r="M389" s="720">
        <v>44519</v>
      </c>
      <c r="N389" s="721" t="b">
        <f t="shared" si="278"/>
        <v>0</v>
      </c>
      <c r="O389" s="721" t="b">
        <f t="shared" si="277"/>
        <v>0</v>
      </c>
      <c r="P389" s="721" t="b">
        <f t="shared" ref="P389:P418" si="285">FALSE()</f>
        <v>0</v>
      </c>
      <c r="Q389" s="721" t="b">
        <f>TRUE()</f>
        <v>1</v>
      </c>
      <c r="R389" s="721" t="b">
        <f t="shared" si="266"/>
        <v>0</v>
      </c>
      <c r="S389" s="721" t="b">
        <f t="shared" si="282"/>
        <v>0</v>
      </c>
      <c r="T389" s="721" t="b">
        <f t="shared" si="283"/>
        <v>0</v>
      </c>
      <c r="U389" s="721" t="b">
        <f t="shared" si="270"/>
        <v>0</v>
      </c>
      <c r="V389" s="721" t="b">
        <f t="shared" si="269"/>
        <v>0</v>
      </c>
      <c r="W389" s="721" t="b">
        <f t="shared" si="240"/>
        <v>0</v>
      </c>
      <c r="X389" s="721" t="b">
        <f t="shared" si="284"/>
        <v>0</v>
      </c>
      <c r="Y389" s="721" t="b">
        <f t="shared" si="273"/>
        <v>0</v>
      </c>
      <c r="Z389" s="721" t="b">
        <f t="shared" si="246"/>
        <v>0</v>
      </c>
      <c r="AA389" s="721" t="b">
        <f t="shared" si="275"/>
        <v>0</v>
      </c>
      <c r="AB389" s="17"/>
      <c r="AC389" s="17"/>
      <c r="AD389" s="17"/>
      <c r="AE389" s="17"/>
      <c r="AF389" s="17"/>
      <c r="AG389" s="17"/>
      <c r="AH389" s="17"/>
      <c r="AI389" s="17"/>
      <c r="AJ389" s="17"/>
      <c r="AK389" s="17"/>
      <c r="AL389" s="17"/>
      <c r="AM389" s="17"/>
      <c r="AN389" s="17"/>
      <c r="AO389" s="17"/>
      <c r="AP389" s="17"/>
      <c r="AQ389" s="17"/>
    </row>
    <row r="390" spans="1:43" ht="22.25" hidden="1">
      <c r="A390">
        <f t="shared" si="252"/>
        <v>387</v>
      </c>
      <c r="B390" s="407">
        <v>1</v>
      </c>
      <c r="C390" s="407" t="s">
        <v>505</v>
      </c>
      <c r="D390" s="408" t="s">
        <v>1358</v>
      </c>
      <c r="E390" s="407"/>
      <c r="F390" s="408" t="s">
        <v>1350</v>
      </c>
      <c r="G390" s="409">
        <f>1.1*(0.35*J390+0.36)</f>
        <v>150.54600000000002</v>
      </c>
      <c r="H390" s="410"/>
      <c r="I390" s="409">
        <f t="shared" si="250"/>
        <v>150.54600000000002</v>
      </c>
      <c r="J390" s="58">
        <v>390</v>
      </c>
      <c r="K390" s="417">
        <f t="shared" si="272"/>
        <v>0.38601538461538465</v>
      </c>
      <c r="L390" s="17" t="s">
        <v>1351</v>
      </c>
      <c r="M390" s="720">
        <v>44540</v>
      </c>
      <c r="N390" s="721" t="b">
        <f>TRUE()</f>
        <v>1</v>
      </c>
      <c r="O390" s="721" t="b">
        <f t="shared" si="277"/>
        <v>0</v>
      </c>
      <c r="P390" s="721" t="b">
        <f t="shared" si="285"/>
        <v>0</v>
      </c>
      <c r="Q390" s="721" t="b">
        <f t="shared" ref="Q390:Q453" si="286">FALSE()</f>
        <v>0</v>
      </c>
      <c r="R390" s="721" t="b">
        <f t="shared" si="266"/>
        <v>0</v>
      </c>
      <c r="S390" s="721" t="b">
        <f t="shared" si="282"/>
        <v>0</v>
      </c>
      <c r="T390" s="721" t="b">
        <f t="shared" si="283"/>
        <v>0</v>
      </c>
      <c r="U390" s="721" t="b">
        <f t="shared" si="270"/>
        <v>0</v>
      </c>
      <c r="V390" s="721" t="b">
        <f t="shared" si="269"/>
        <v>0</v>
      </c>
      <c r="W390" s="721" t="b">
        <f t="shared" si="240"/>
        <v>0</v>
      </c>
      <c r="X390" s="721" t="b">
        <f t="shared" si="284"/>
        <v>0</v>
      </c>
      <c r="Y390" s="721" t="b">
        <f t="shared" si="273"/>
        <v>0</v>
      </c>
      <c r="Z390" s="721" t="b">
        <f t="shared" si="246"/>
        <v>0</v>
      </c>
      <c r="AA390" s="721" t="b">
        <f t="shared" si="275"/>
        <v>0</v>
      </c>
      <c r="AB390" s="17"/>
      <c r="AC390" s="17"/>
      <c r="AD390" s="17"/>
      <c r="AE390" s="17"/>
      <c r="AF390" s="17"/>
      <c r="AG390" s="17"/>
      <c r="AH390" s="17"/>
      <c r="AI390" s="17"/>
      <c r="AJ390" s="17"/>
      <c r="AK390" s="17"/>
      <c r="AL390" s="17"/>
      <c r="AM390" s="17"/>
      <c r="AN390" s="17"/>
      <c r="AO390" s="17"/>
      <c r="AP390" s="17"/>
      <c r="AQ390" s="17"/>
    </row>
    <row r="391" spans="1:43" hidden="1">
      <c r="A391">
        <f t="shared" si="252"/>
        <v>388</v>
      </c>
      <c r="B391" s="487">
        <v>1</v>
      </c>
      <c r="C391" s="407" t="s">
        <v>551</v>
      </c>
      <c r="D391" s="407" t="s">
        <v>552</v>
      </c>
      <c r="E391" s="407" t="s">
        <v>553</v>
      </c>
      <c r="F391" s="408" t="s">
        <v>554</v>
      </c>
      <c r="G391" s="409">
        <v>100</v>
      </c>
      <c r="H391" s="428"/>
      <c r="I391" s="430">
        <f t="shared" si="250"/>
        <v>100</v>
      </c>
      <c r="K391" s="17"/>
      <c r="L391" s="17" t="s">
        <v>1061</v>
      </c>
      <c r="M391" s="720">
        <v>44559</v>
      </c>
      <c r="N391" s="721" t="b">
        <f t="shared" ref="N391:N417" si="287">FALSE()</f>
        <v>0</v>
      </c>
      <c r="O391" s="721" t="b">
        <f t="shared" si="277"/>
        <v>0</v>
      </c>
      <c r="P391" s="721" t="b">
        <f t="shared" si="285"/>
        <v>0</v>
      </c>
      <c r="Q391" s="721" t="b">
        <f t="shared" si="286"/>
        <v>0</v>
      </c>
      <c r="R391" s="721" t="b">
        <f t="shared" si="266"/>
        <v>0</v>
      </c>
      <c r="S391" s="721" t="b">
        <f t="shared" si="282"/>
        <v>0</v>
      </c>
      <c r="T391" s="721" t="b">
        <f t="shared" si="283"/>
        <v>0</v>
      </c>
      <c r="U391" s="721" t="b">
        <f t="shared" si="270"/>
        <v>0</v>
      </c>
      <c r="V391" s="721" t="b">
        <f t="shared" si="269"/>
        <v>0</v>
      </c>
      <c r="W391" s="721" t="b">
        <f t="shared" si="240"/>
        <v>0</v>
      </c>
      <c r="X391" s="721" t="b">
        <f t="shared" ref="X391:X392" si="288">TRUE()</f>
        <v>1</v>
      </c>
      <c r="Y391" s="721" t="b">
        <f t="shared" si="273"/>
        <v>0</v>
      </c>
      <c r="Z391" s="721" t="b">
        <f t="shared" si="246"/>
        <v>0</v>
      </c>
      <c r="AA391" s="721" t="b">
        <f t="shared" si="275"/>
        <v>0</v>
      </c>
      <c r="AB391" s="17"/>
      <c r="AC391" s="17"/>
      <c r="AD391" s="17"/>
      <c r="AE391" s="17"/>
      <c r="AF391" s="17"/>
      <c r="AG391" s="17"/>
      <c r="AH391" s="17"/>
      <c r="AI391" s="17"/>
      <c r="AJ391" s="17"/>
      <c r="AK391" s="17"/>
      <c r="AL391" s="17"/>
      <c r="AM391" s="17"/>
      <c r="AN391" s="17"/>
      <c r="AO391" s="17"/>
      <c r="AP391" s="17"/>
      <c r="AQ391" s="17"/>
    </row>
    <row r="392" spans="1:43" hidden="1">
      <c r="A392">
        <f t="shared" si="252"/>
        <v>389</v>
      </c>
      <c r="B392" s="487">
        <v>1</v>
      </c>
      <c r="C392" s="407" t="s">
        <v>539</v>
      </c>
      <c r="D392" s="407" t="s">
        <v>552</v>
      </c>
      <c r="E392" s="407" t="s">
        <v>1359</v>
      </c>
      <c r="F392" s="407" t="s">
        <v>554</v>
      </c>
      <c r="G392" s="409">
        <f>7.7/1.2</f>
        <v>6.416666666666667</v>
      </c>
      <c r="H392" s="428"/>
      <c r="I392" s="430">
        <f t="shared" si="250"/>
        <v>6.416666666666667</v>
      </c>
      <c r="K392" s="17"/>
      <c r="L392" s="17" t="s">
        <v>1061</v>
      </c>
      <c r="M392" s="720">
        <v>44559</v>
      </c>
      <c r="N392" s="721" t="b">
        <f t="shared" si="287"/>
        <v>0</v>
      </c>
      <c r="O392" s="721" t="b">
        <f t="shared" si="277"/>
        <v>0</v>
      </c>
      <c r="P392" s="721" t="b">
        <f t="shared" si="285"/>
        <v>0</v>
      </c>
      <c r="Q392" s="721" t="b">
        <f t="shared" si="286"/>
        <v>0</v>
      </c>
      <c r="R392" s="721" t="b">
        <f t="shared" si="266"/>
        <v>0</v>
      </c>
      <c r="S392" s="721" t="b">
        <f t="shared" si="282"/>
        <v>0</v>
      </c>
      <c r="T392" s="721" t="b">
        <f t="shared" si="283"/>
        <v>0</v>
      </c>
      <c r="U392" s="721" t="b">
        <f t="shared" si="270"/>
        <v>0</v>
      </c>
      <c r="V392" s="721" t="b">
        <f t="shared" si="269"/>
        <v>0</v>
      </c>
      <c r="W392" s="721" t="b">
        <f t="shared" si="240"/>
        <v>0</v>
      </c>
      <c r="X392" s="721" t="b">
        <f t="shared" si="288"/>
        <v>1</v>
      </c>
      <c r="Y392" s="721" t="b">
        <f t="shared" si="273"/>
        <v>0</v>
      </c>
      <c r="Z392" s="721" t="b">
        <f t="shared" si="246"/>
        <v>0</v>
      </c>
      <c r="AA392" s="721" t="b">
        <f t="shared" si="275"/>
        <v>0</v>
      </c>
      <c r="AB392" s="17"/>
      <c r="AC392" s="17"/>
      <c r="AD392" s="17"/>
      <c r="AE392" s="17"/>
      <c r="AF392" s="17"/>
      <c r="AG392" s="17"/>
      <c r="AH392" s="17"/>
      <c r="AI392" s="17"/>
      <c r="AJ392" s="17"/>
      <c r="AK392" s="17"/>
      <c r="AL392" s="17"/>
      <c r="AM392" s="17"/>
      <c r="AN392" s="17"/>
      <c r="AO392" s="17"/>
      <c r="AP392" s="17"/>
      <c r="AQ392" s="17"/>
    </row>
    <row r="393" spans="1:43" hidden="1">
      <c r="A393">
        <f t="shared" si="252"/>
        <v>390</v>
      </c>
      <c r="B393" s="407">
        <v>1</v>
      </c>
      <c r="C393" s="407" t="s">
        <v>539</v>
      </c>
      <c r="D393" s="407" t="s">
        <v>545</v>
      </c>
      <c r="E393" s="407"/>
      <c r="F393" s="408" t="s">
        <v>546</v>
      </c>
      <c r="G393" s="409">
        <v>8.9420000000000002</v>
      </c>
      <c r="H393" s="410"/>
      <c r="I393" s="409">
        <f t="shared" si="250"/>
        <v>8.9420000000000002</v>
      </c>
      <c r="K393" s="417"/>
      <c r="L393" s="17" t="s">
        <v>1158</v>
      </c>
      <c r="M393" s="720">
        <v>44559</v>
      </c>
      <c r="N393" s="721" t="b">
        <f t="shared" si="287"/>
        <v>0</v>
      </c>
      <c r="O393" s="721" t="b">
        <f t="shared" si="277"/>
        <v>0</v>
      </c>
      <c r="P393" s="721" t="b">
        <f t="shared" si="285"/>
        <v>0</v>
      </c>
      <c r="Q393" s="721" t="b">
        <f t="shared" si="286"/>
        <v>0</v>
      </c>
      <c r="R393" s="721" t="b">
        <f t="shared" si="266"/>
        <v>0</v>
      </c>
      <c r="S393" s="721" t="b">
        <f t="shared" si="282"/>
        <v>0</v>
      </c>
      <c r="T393" s="721" t="b">
        <f t="shared" si="283"/>
        <v>0</v>
      </c>
      <c r="U393" s="721" t="b">
        <f t="shared" si="270"/>
        <v>0</v>
      </c>
      <c r="V393" s="721" t="b">
        <f t="shared" ref="V393:V409" si="289">TRUE()</f>
        <v>1</v>
      </c>
      <c r="W393" s="721" t="b">
        <f t="shared" si="240"/>
        <v>0</v>
      </c>
      <c r="X393" s="721" t="b">
        <f t="shared" ref="X393:X456" si="290">FALSE()</f>
        <v>0</v>
      </c>
      <c r="Y393" s="721" t="b">
        <f t="shared" si="273"/>
        <v>0</v>
      </c>
      <c r="Z393" s="721" t="b">
        <f t="shared" si="246"/>
        <v>0</v>
      </c>
      <c r="AA393" s="721" t="b">
        <f t="shared" si="275"/>
        <v>0</v>
      </c>
      <c r="AB393" s="17"/>
      <c r="AC393" s="17"/>
      <c r="AD393" s="17"/>
      <c r="AE393" s="17"/>
      <c r="AF393" s="17"/>
      <c r="AG393" s="17"/>
      <c r="AH393" s="17"/>
      <c r="AI393" s="17"/>
      <c r="AJ393" s="17"/>
      <c r="AK393" s="17"/>
      <c r="AL393" s="17"/>
      <c r="AM393" s="17"/>
      <c r="AN393" s="17"/>
      <c r="AO393" s="17"/>
      <c r="AP393" s="17"/>
      <c r="AQ393" s="17"/>
    </row>
    <row r="394" spans="1:43" hidden="1">
      <c r="A394">
        <f t="shared" si="252"/>
        <v>391</v>
      </c>
      <c r="B394" s="407">
        <v>1</v>
      </c>
      <c r="C394" s="407" t="s">
        <v>539</v>
      </c>
      <c r="D394" s="407" t="s">
        <v>545</v>
      </c>
      <c r="E394" s="407"/>
      <c r="F394" s="408" t="s">
        <v>1360</v>
      </c>
      <c r="G394" s="409">
        <v>5.6522100000000002</v>
      </c>
      <c r="H394" s="410"/>
      <c r="I394" s="409">
        <f t="shared" si="250"/>
        <v>5.6522100000000002</v>
      </c>
      <c r="K394" s="417"/>
      <c r="L394" s="17" t="s">
        <v>1158</v>
      </c>
      <c r="M394" s="720">
        <v>44559</v>
      </c>
      <c r="N394" s="721" t="b">
        <f t="shared" si="287"/>
        <v>0</v>
      </c>
      <c r="O394" s="721" t="b">
        <f t="shared" si="277"/>
        <v>0</v>
      </c>
      <c r="P394" s="721" t="b">
        <f t="shared" si="285"/>
        <v>0</v>
      </c>
      <c r="Q394" s="721" t="b">
        <f t="shared" si="286"/>
        <v>0</v>
      </c>
      <c r="R394" s="721" t="b">
        <f t="shared" si="266"/>
        <v>0</v>
      </c>
      <c r="S394" s="721" t="b">
        <f t="shared" si="282"/>
        <v>0</v>
      </c>
      <c r="T394" s="721" t="b">
        <f t="shared" si="283"/>
        <v>0</v>
      </c>
      <c r="U394" s="721" t="b">
        <f t="shared" si="270"/>
        <v>0</v>
      </c>
      <c r="V394" s="721" t="b">
        <f t="shared" si="289"/>
        <v>1</v>
      </c>
      <c r="W394" s="721" t="b">
        <f t="shared" si="240"/>
        <v>0</v>
      </c>
      <c r="X394" s="721" t="b">
        <f t="shared" si="290"/>
        <v>0</v>
      </c>
      <c r="Y394" s="721" t="b">
        <f t="shared" si="273"/>
        <v>0</v>
      </c>
      <c r="Z394" s="721" t="b">
        <f t="shared" si="246"/>
        <v>0</v>
      </c>
      <c r="AA394" s="721" t="b">
        <f t="shared" si="275"/>
        <v>0</v>
      </c>
      <c r="AB394" s="17"/>
      <c r="AC394" s="17"/>
      <c r="AD394" s="17"/>
      <c r="AE394" s="17"/>
      <c r="AF394" s="17"/>
      <c r="AG394" s="17"/>
      <c r="AH394" s="17"/>
      <c r="AI394" s="17"/>
      <c r="AJ394" s="17"/>
      <c r="AK394" s="17"/>
      <c r="AL394" s="17"/>
      <c r="AM394" s="17"/>
      <c r="AN394" s="17"/>
      <c r="AO394" s="17"/>
      <c r="AP394" s="17"/>
      <c r="AQ394" s="17"/>
    </row>
    <row r="395" spans="1:43" hidden="1">
      <c r="A395">
        <f t="shared" si="252"/>
        <v>392</v>
      </c>
      <c r="B395" s="407">
        <v>1</v>
      </c>
      <c r="C395" s="407" t="s">
        <v>539</v>
      </c>
      <c r="D395" s="407" t="s">
        <v>545</v>
      </c>
      <c r="E395" s="407"/>
      <c r="F395" s="408" t="s">
        <v>1361</v>
      </c>
      <c r="G395" s="409">
        <v>3.5186299999999999</v>
      </c>
      <c r="H395" s="410"/>
      <c r="I395" s="409">
        <f t="shared" si="250"/>
        <v>3.5186299999999999</v>
      </c>
      <c r="K395" s="417"/>
      <c r="L395" s="17" t="s">
        <v>1158</v>
      </c>
      <c r="M395" s="720">
        <v>44559</v>
      </c>
      <c r="N395" s="721" t="b">
        <f t="shared" si="287"/>
        <v>0</v>
      </c>
      <c r="O395" s="721" t="b">
        <f t="shared" si="277"/>
        <v>0</v>
      </c>
      <c r="P395" s="721" t="b">
        <f t="shared" si="285"/>
        <v>0</v>
      </c>
      <c r="Q395" s="721" t="b">
        <f t="shared" si="286"/>
        <v>0</v>
      </c>
      <c r="R395" s="721" t="b">
        <f t="shared" si="266"/>
        <v>0</v>
      </c>
      <c r="S395" s="721" t="b">
        <f t="shared" si="282"/>
        <v>0</v>
      </c>
      <c r="T395" s="721" t="b">
        <f t="shared" si="283"/>
        <v>0</v>
      </c>
      <c r="U395" s="721" t="b">
        <f t="shared" si="270"/>
        <v>0</v>
      </c>
      <c r="V395" s="721" t="b">
        <f t="shared" si="289"/>
        <v>1</v>
      </c>
      <c r="W395" s="721" t="b">
        <f t="shared" si="240"/>
        <v>0</v>
      </c>
      <c r="X395" s="721" t="b">
        <f t="shared" si="290"/>
        <v>0</v>
      </c>
      <c r="Y395" s="721" t="b">
        <f t="shared" si="273"/>
        <v>0</v>
      </c>
      <c r="Z395" s="721" t="b">
        <f t="shared" si="246"/>
        <v>0</v>
      </c>
      <c r="AA395" s="721" t="b">
        <f t="shared" si="275"/>
        <v>0</v>
      </c>
      <c r="AB395" s="17"/>
      <c r="AC395" s="17"/>
      <c r="AD395" s="17"/>
      <c r="AE395" s="17"/>
      <c r="AF395" s="17"/>
      <c r="AG395" s="17"/>
      <c r="AH395" s="17"/>
      <c r="AI395" s="17"/>
      <c r="AJ395" s="17"/>
      <c r="AK395" s="17"/>
      <c r="AL395" s="17"/>
      <c r="AM395" s="17"/>
      <c r="AN395" s="17"/>
      <c r="AO395" s="17"/>
      <c r="AP395" s="17"/>
      <c r="AQ395" s="17"/>
    </row>
    <row r="396" spans="1:43" hidden="1">
      <c r="A396">
        <f t="shared" si="252"/>
        <v>393</v>
      </c>
      <c r="B396" s="407">
        <v>1</v>
      </c>
      <c r="C396" s="407" t="s">
        <v>539</v>
      </c>
      <c r="D396" s="407" t="s">
        <v>545</v>
      </c>
      <c r="E396" s="407"/>
      <c r="F396" s="408" t="s">
        <v>1362</v>
      </c>
      <c r="G396" s="409">
        <v>2.0912799999999998</v>
      </c>
      <c r="H396" s="410"/>
      <c r="I396" s="409">
        <f t="shared" si="250"/>
        <v>2.0912799999999998</v>
      </c>
      <c r="K396" s="417"/>
      <c r="L396" s="17" t="s">
        <v>1158</v>
      </c>
      <c r="M396" s="720">
        <v>44559</v>
      </c>
      <c r="N396" s="721" t="b">
        <f t="shared" si="287"/>
        <v>0</v>
      </c>
      <c r="O396" s="721" t="b">
        <f t="shared" si="277"/>
        <v>0</v>
      </c>
      <c r="P396" s="721" t="b">
        <f t="shared" si="285"/>
        <v>0</v>
      </c>
      <c r="Q396" s="721" t="b">
        <f t="shared" si="286"/>
        <v>0</v>
      </c>
      <c r="R396" s="721" t="b">
        <f t="shared" si="266"/>
        <v>0</v>
      </c>
      <c r="S396" s="721" t="b">
        <f t="shared" si="282"/>
        <v>0</v>
      </c>
      <c r="T396" s="721" t="b">
        <f t="shared" si="283"/>
        <v>0</v>
      </c>
      <c r="U396" s="721" t="b">
        <f t="shared" si="270"/>
        <v>0</v>
      </c>
      <c r="V396" s="721" t="b">
        <f t="shared" si="289"/>
        <v>1</v>
      </c>
      <c r="W396" s="721" t="b">
        <f t="shared" si="240"/>
        <v>0</v>
      </c>
      <c r="X396" s="721" t="b">
        <f t="shared" si="290"/>
        <v>0</v>
      </c>
      <c r="Y396" s="721" t="b">
        <f t="shared" si="273"/>
        <v>0</v>
      </c>
      <c r="Z396" s="721" t="b">
        <f t="shared" si="246"/>
        <v>0</v>
      </c>
      <c r="AA396" s="721" t="b">
        <f t="shared" si="275"/>
        <v>0</v>
      </c>
      <c r="AB396" s="17"/>
      <c r="AC396" s="17"/>
      <c r="AD396" s="17"/>
      <c r="AE396" s="17"/>
      <c r="AF396" s="17"/>
      <c r="AG396" s="17"/>
      <c r="AH396" s="17"/>
      <c r="AI396" s="17"/>
      <c r="AJ396" s="17"/>
      <c r="AK396" s="17"/>
      <c r="AL396" s="17"/>
      <c r="AM396" s="17"/>
      <c r="AN396" s="17"/>
      <c r="AO396" s="17"/>
      <c r="AP396" s="17"/>
      <c r="AQ396" s="17"/>
    </row>
    <row r="397" spans="1:43" hidden="1">
      <c r="A397">
        <f t="shared" si="252"/>
        <v>394</v>
      </c>
      <c r="B397" s="407">
        <v>1</v>
      </c>
      <c r="C397" s="407" t="s">
        <v>1363</v>
      </c>
      <c r="D397" s="407" t="s">
        <v>545</v>
      </c>
      <c r="E397" s="407"/>
      <c r="F397" s="408" t="s">
        <v>1364</v>
      </c>
      <c r="G397" s="409">
        <v>2.0912799999999998</v>
      </c>
      <c r="H397" s="410"/>
      <c r="I397" s="409">
        <f t="shared" si="250"/>
        <v>2.0912799999999998</v>
      </c>
      <c r="K397" s="417"/>
      <c r="L397" s="17" t="s">
        <v>1158</v>
      </c>
      <c r="M397" s="720">
        <v>44559</v>
      </c>
      <c r="N397" s="721" t="b">
        <f t="shared" si="287"/>
        <v>0</v>
      </c>
      <c r="O397" s="721" t="b">
        <f t="shared" si="277"/>
        <v>0</v>
      </c>
      <c r="P397" s="721" t="b">
        <f t="shared" si="285"/>
        <v>0</v>
      </c>
      <c r="Q397" s="721" t="b">
        <f t="shared" si="286"/>
        <v>0</v>
      </c>
      <c r="R397" s="721" t="b">
        <f t="shared" si="266"/>
        <v>0</v>
      </c>
      <c r="S397" s="721" t="b">
        <f t="shared" si="282"/>
        <v>0</v>
      </c>
      <c r="T397" s="721" t="b">
        <f t="shared" si="283"/>
        <v>0</v>
      </c>
      <c r="U397" s="721" t="b">
        <f t="shared" si="270"/>
        <v>0</v>
      </c>
      <c r="V397" s="721" t="b">
        <f t="shared" si="289"/>
        <v>1</v>
      </c>
      <c r="W397" s="721" t="b">
        <f t="shared" si="240"/>
        <v>0</v>
      </c>
      <c r="X397" s="721" t="b">
        <f t="shared" si="290"/>
        <v>0</v>
      </c>
      <c r="Y397" s="721" t="b">
        <f t="shared" si="273"/>
        <v>0</v>
      </c>
      <c r="Z397" s="721" t="b">
        <f t="shared" si="246"/>
        <v>0</v>
      </c>
      <c r="AA397" s="721" t="b">
        <f t="shared" si="275"/>
        <v>0</v>
      </c>
      <c r="AB397" s="17"/>
      <c r="AC397" s="17"/>
      <c r="AD397" s="17"/>
      <c r="AE397" s="17"/>
      <c r="AF397" s="17"/>
      <c r="AG397" s="17"/>
      <c r="AH397" s="17"/>
      <c r="AI397" s="17"/>
      <c r="AJ397" s="17"/>
      <c r="AK397" s="17"/>
      <c r="AL397" s="17"/>
      <c r="AM397" s="17"/>
      <c r="AN397" s="17"/>
      <c r="AO397" s="17"/>
      <c r="AP397" s="17"/>
      <c r="AQ397" s="17"/>
    </row>
    <row r="398" spans="1:43" hidden="1">
      <c r="A398">
        <f t="shared" si="252"/>
        <v>395</v>
      </c>
      <c r="B398" s="407">
        <v>1</v>
      </c>
      <c r="C398" s="407" t="s">
        <v>539</v>
      </c>
      <c r="D398" s="407" t="s">
        <v>552</v>
      </c>
      <c r="E398" s="407"/>
      <c r="F398" s="408" t="s">
        <v>1365</v>
      </c>
      <c r="G398" s="409">
        <f>1.37/1.2</f>
        <v>1.1416666666666668</v>
      </c>
      <c r="H398" s="410"/>
      <c r="I398" s="409">
        <f t="shared" si="250"/>
        <v>1.1416666666666668</v>
      </c>
      <c r="K398" s="417"/>
      <c r="L398" s="17" t="s">
        <v>1061</v>
      </c>
      <c r="M398" s="720">
        <v>44559</v>
      </c>
      <c r="N398" s="721" t="b">
        <f t="shared" si="287"/>
        <v>0</v>
      </c>
      <c r="O398" s="721" t="b">
        <f t="shared" si="277"/>
        <v>0</v>
      </c>
      <c r="P398" s="721" t="b">
        <f t="shared" si="285"/>
        <v>0</v>
      </c>
      <c r="Q398" s="721" t="b">
        <f t="shared" si="286"/>
        <v>0</v>
      </c>
      <c r="R398" s="721" t="b">
        <f t="shared" si="266"/>
        <v>0</v>
      </c>
      <c r="S398" s="721" t="b">
        <f t="shared" si="282"/>
        <v>0</v>
      </c>
      <c r="T398" s="721" t="b">
        <f t="shared" si="283"/>
        <v>0</v>
      </c>
      <c r="U398" s="721" t="b">
        <f t="shared" si="270"/>
        <v>0</v>
      </c>
      <c r="V398" s="721" t="b">
        <f t="shared" si="289"/>
        <v>1</v>
      </c>
      <c r="W398" s="721" t="b">
        <f t="shared" si="240"/>
        <v>0</v>
      </c>
      <c r="X398" s="721" t="b">
        <f t="shared" si="290"/>
        <v>0</v>
      </c>
      <c r="Y398" s="721" t="b">
        <f t="shared" si="273"/>
        <v>0</v>
      </c>
      <c r="Z398" s="721" t="b">
        <f t="shared" si="246"/>
        <v>0</v>
      </c>
      <c r="AA398" s="721" t="b">
        <f t="shared" si="275"/>
        <v>0</v>
      </c>
      <c r="AB398" s="17"/>
      <c r="AC398" s="17"/>
      <c r="AD398" s="17"/>
      <c r="AE398" s="17"/>
      <c r="AF398" s="17"/>
      <c r="AG398" s="17"/>
      <c r="AH398" s="17"/>
      <c r="AI398" s="17"/>
      <c r="AJ398" s="17"/>
      <c r="AK398" s="17"/>
      <c r="AL398" s="17"/>
      <c r="AM398" s="17"/>
      <c r="AN398" s="17"/>
      <c r="AO398" s="17"/>
      <c r="AP398" s="17"/>
      <c r="AQ398" s="17"/>
    </row>
    <row r="399" spans="1:43" hidden="1">
      <c r="A399">
        <f t="shared" si="252"/>
        <v>396</v>
      </c>
      <c r="B399" s="407">
        <v>1</v>
      </c>
      <c r="C399" s="407" t="s">
        <v>551</v>
      </c>
      <c r="D399" s="407" t="s">
        <v>552</v>
      </c>
      <c r="E399" s="407"/>
      <c r="F399" s="408" t="s">
        <v>1366</v>
      </c>
      <c r="G399" s="409">
        <v>100</v>
      </c>
      <c r="H399" s="410"/>
      <c r="I399" s="409">
        <f t="shared" si="250"/>
        <v>100</v>
      </c>
      <c r="K399" s="417"/>
      <c r="L399" s="17" t="s">
        <v>1061</v>
      </c>
      <c r="M399" s="720">
        <v>44559</v>
      </c>
      <c r="N399" s="721" t="b">
        <f t="shared" si="287"/>
        <v>0</v>
      </c>
      <c r="O399" s="721" t="b">
        <f t="shared" si="277"/>
        <v>0</v>
      </c>
      <c r="P399" s="721" t="b">
        <f t="shared" si="285"/>
        <v>0</v>
      </c>
      <c r="Q399" s="721" t="b">
        <f t="shared" si="286"/>
        <v>0</v>
      </c>
      <c r="R399" s="721" t="b">
        <f t="shared" si="266"/>
        <v>0</v>
      </c>
      <c r="S399" s="721" t="b">
        <f t="shared" si="282"/>
        <v>0</v>
      </c>
      <c r="T399" s="721" t="b">
        <f t="shared" si="283"/>
        <v>0</v>
      </c>
      <c r="U399" s="721" t="b">
        <f t="shared" si="270"/>
        <v>0</v>
      </c>
      <c r="V399" s="721" t="b">
        <f t="shared" si="289"/>
        <v>1</v>
      </c>
      <c r="W399" s="721" t="b">
        <f t="shared" si="240"/>
        <v>0</v>
      </c>
      <c r="X399" s="721" t="b">
        <f t="shared" si="290"/>
        <v>0</v>
      </c>
      <c r="Y399" s="721" t="b">
        <f t="shared" si="273"/>
        <v>0</v>
      </c>
      <c r="Z399" s="721" t="b">
        <f t="shared" si="246"/>
        <v>0</v>
      </c>
      <c r="AA399" s="721" t="b">
        <f t="shared" si="275"/>
        <v>0</v>
      </c>
      <c r="AB399" s="17"/>
      <c r="AC399" s="17"/>
      <c r="AD399" s="17"/>
      <c r="AE399" s="17"/>
      <c r="AF399" s="17"/>
      <c r="AG399" s="17"/>
      <c r="AH399" s="17"/>
      <c r="AI399" s="17"/>
      <c r="AJ399" s="17"/>
      <c r="AK399" s="17"/>
      <c r="AL399" s="17"/>
      <c r="AM399" s="17"/>
      <c r="AN399" s="17"/>
      <c r="AO399" s="17"/>
      <c r="AP399" s="17"/>
      <c r="AQ399" s="17"/>
    </row>
    <row r="400" spans="1:43" hidden="1">
      <c r="A400">
        <f t="shared" si="252"/>
        <v>397</v>
      </c>
      <c r="B400" s="407">
        <v>1</v>
      </c>
      <c r="C400" s="407" t="s">
        <v>1363</v>
      </c>
      <c r="D400" s="407" t="s">
        <v>552</v>
      </c>
      <c r="E400" s="407"/>
      <c r="F400" s="408" t="s">
        <v>1367</v>
      </c>
      <c r="G400" s="409">
        <f>579.6/1.2</f>
        <v>483.00000000000006</v>
      </c>
      <c r="H400" s="410"/>
      <c r="I400" s="409">
        <f t="shared" si="250"/>
        <v>483.00000000000006</v>
      </c>
      <c r="K400" s="417"/>
      <c r="L400" s="17" t="s">
        <v>1061</v>
      </c>
      <c r="M400" s="720">
        <v>44559</v>
      </c>
      <c r="N400" s="721" t="b">
        <f t="shared" si="287"/>
        <v>0</v>
      </c>
      <c r="O400" s="721" t="b">
        <f t="shared" si="277"/>
        <v>0</v>
      </c>
      <c r="P400" s="721" t="b">
        <f t="shared" si="285"/>
        <v>0</v>
      </c>
      <c r="Q400" s="721" t="b">
        <f t="shared" si="286"/>
        <v>0</v>
      </c>
      <c r="R400" s="721" t="b">
        <f t="shared" si="266"/>
        <v>0</v>
      </c>
      <c r="S400" s="721" t="b">
        <f t="shared" si="282"/>
        <v>0</v>
      </c>
      <c r="T400" s="721" t="b">
        <f t="shared" si="283"/>
        <v>0</v>
      </c>
      <c r="U400" s="721" t="b">
        <f t="shared" si="270"/>
        <v>0</v>
      </c>
      <c r="V400" s="721" t="b">
        <f t="shared" si="289"/>
        <v>1</v>
      </c>
      <c r="W400" s="721" t="b">
        <f t="shared" si="240"/>
        <v>0</v>
      </c>
      <c r="X400" s="721" t="b">
        <f t="shared" si="290"/>
        <v>0</v>
      </c>
      <c r="Y400" s="721" t="b">
        <f t="shared" si="273"/>
        <v>0</v>
      </c>
      <c r="Z400" s="721" t="b">
        <f t="shared" si="246"/>
        <v>0</v>
      </c>
      <c r="AA400" s="721" t="b">
        <f t="shared" si="275"/>
        <v>0</v>
      </c>
      <c r="AB400" s="17"/>
      <c r="AC400" s="17"/>
      <c r="AD400" s="17"/>
      <c r="AE400" s="17"/>
      <c r="AF400" s="17"/>
      <c r="AG400" s="17"/>
      <c r="AH400" s="17"/>
      <c r="AI400" s="17"/>
      <c r="AJ400" s="17"/>
      <c r="AK400" s="17"/>
      <c r="AL400" s="17"/>
      <c r="AM400" s="17"/>
      <c r="AN400" s="17"/>
      <c r="AO400" s="17"/>
      <c r="AP400" s="17"/>
      <c r="AQ400" s="17"/>
    </row>
    <row r="401" spans="1:43" hidden="1">
      <c r="A401">
        <f t="shared" si="252"/>
        <v>398</v>
      </c>
      <c r="B401" s="407">
        <v>1</v>
      </c>
      <c r="C401" s="407" t="s">
        <v>539</v>
      </c>
      <c r="D401" s="407" t="s">
        <v>552</v>
      </c>
      <c r="E401" s="407"/>
      <c r="F401" s="408" t="s">
        <v>1368</v>
      </c>
      <c r="G401" s="409">
        <f>1.88/1.2</f>
        <v>1.5666666666666667</v>
      </c>
      <c r="H401" s="410"/>
      <c r="I401" s="409">
        <f t="shared" si="250"/>
        <v>1.5666666666666667</v>
      </c>
      <c r="K401" s="417"/>
      <c r="L401" s="17" t="s">
        <v>1061</v>
      </c>
      <c r="M401" s="720">
        <v>44559</v>
      </c>
      <c r="N401" s="721" t="b">
        <f t="shared" si="287"/>
        <v>0</v>
      </c>
      <c r="O401" s="721" t="b">
        <f t="shared" si="277"/>
        <v>0</v>
      </c>
      <c r="P401" s="721" t="b">
        <f t="shared" si="285"/>
        <v>0</v>
      </c>
      <c r="Q401" s="721" t="b">
        <f t="shared" si="286"/>
        <v>0</v>
      </c>
      <c r="R401" s="721" t="b">
        <f t="shared" si="266"/>
        <v>0</v>
      </c>
      <c r="S401" s="721" t="b">
        <f t="shared" si="282"/>
        <v>0</v>
      </c>
      <c r="T401" s="721" t="b">
        <f t="shared" si="283"/>
        <v>0</v>
      </c>
      <c r="U401" s="721" t="b">
        <f t="shared" si="270"/>
        <v>0</v>
      </c>
      <c r="V401" s="721" t="b">
        <f t="shared" si="289"/>
        <v>1</v>
      </c>
      <c r="W401" s="721" t="b">
        <f t="shared" si="240"/>
        <v>0</v>
      </c>
      <c r="X401" s="721" t="b">
        <f t="shared" si="290"/>
        <v>0</v>
      </c>
      <c r="Y401" s="721" t="b">
        <f t="shared" si="273"/>
        <v>0</v>
      </c>
      <c r="Z401" s="721" t="b">
        <f t="shared" si="246"/>
        <v>0</v>
      </c>
      <c r="AA401" s="721" t="b">
        <f t="shared" si="275"/>
        <v>0</v>
      </c>
      <c r="AB401" s="17"/>
      <c r="AC401" s="17"/>
      <c r="AD401" s="17"/>
      <c r="AE401" s="17"/>
      <c r="AF401" s="17"/>
      <c r="AG401" s="17"/>
      <c r="AH401" s="17"/>
      <c r="AI401" s="17"/>
      <c r="AJ401" s="17"/>
      <c r="AK401" s="17"/>
      <c r="AL401" s="17"/>
      <c r="AM401" s="17"/>
      <c r="AN401" s="17"/>
      <c r="AO401" s="17"/>
      <c r="AP401" s="17"/>
      <c r="AQ401" s="17"/>
    </row>
    <row r="402" spans="1:43" hidden="1">
      <c r="A402">
        <f t="shared" si="252"/>
        <v>399</v>
      </c>
      <c r="B402" s="407">
        <v>1</v>
      </c>
      <c r="C402" s="407" t="s">
        <v>551</v>
      </c>
      <c r="D402" s="407" t="s">
        <v>552</v>
      </c>
      <c r="E402" s="407"/>
      <c r="F402" s="408" t="s">
        <v>1369</v>
      </c>
      <c r="G402" s="409">
        <f>164.4/1.2</f>
        <v>137</v>
      </c>
      <c r="H402" s="410"/>
      <c r="I402" s="409">
        <f t="shared" si="250"/>
        <v>137</v>
      </c>
      <c r="K402" s="417"/>
      <c r="L402" s="17" t="s">
        <v>1061</v>
      </c>
      <c r="M402" s="720">
        <v>44559</v>
      </c>
      <c r="N402" s="721" t="b">
        <f t="shared" si="287"/>
        <v>0</v>
      </c>
      <c r="O402" s="721" t="b">
        <f t="shared" si="277"/>
        <v>0</v>
      </c>
      <c r="P402" s="721" t="b">
        <f t="shared" si="285"/>
        <v>0</v>
      </c>
      <c r="Q402" s="721" t="b">
        <f t="shared" si="286"/>
        <v>0</v>
      </c>
      <c r="R402" s="721" t="b">
        <f t="shared" si="266"/>
        <v>0</v>
      </c>
      <c r="S402" s="721" t="b">
        <f t="shared" si="282"/>
        <v>0</v>
      </c>
      <c r="T402" s="721" t="b">
        <f t="shared" si="283"/>
        <v>0</v>
      </c>
      <c r="U402" s="721" t="b">
        <f t="shared" si="270"/>
        <v>0</v>
      </c>
      <c r="V402" s="721" t="b">
        <f t="shared" si="289"/>
        <v>1</v>
      </c>
      <c r="W402" s="721" t="b">
        <f t="shared" si="240"/>
        <v>0</v>
      </c>
      <c r="X402" s="721" t="b">
        <f t="shared" si="290"/>
        <v>0</v>
      </c>
      <c r="Y402" s="721" t="b">
        <f t="shared" si="273"/>
        <v>0</v>
      </c>
      <c r="Z402" s="721" t="b">
        <f t="shared" si="246"/>
        <v>0</v>
      </c>
      <c r="AA402" s="721" t="b">
        <f t="shared" si="275"/>
        <v>0</v>
      </c>
      <c r="AB402" s="17"/>
      <c r="AC402" s="17"/>
      <c r="AD402" s="17"/>
      <c r="AE402" s="17"/>
      <c r="AF402" s="17"/>
      <c r="AG402" s="17"/>
      <c r="AH402" s="17"/>
      <c r="AI402" s="17"/>
      <c r="AJ402" s="17"/>
      <c r="AK402" s="17"/>
      <c r="AL402" s="17"/>
      <c r="AM402" s="17"/>
      <c r="AN402" s="17"/>
      <c r="AO402" s="17"/>
      <c r="AP402" s="17"/>
      <c r="AQ402" s="17"/>
    </row>
    <row r="403" spans="1:43" hidden="1">
      <c r="A403">
        <f t="shared" si="252"/>
        <v>400</v>
      </c>
      <c r="B403" s="407">
        <v>1</v>
      </c>
      <c r="C403" s="407" t="s">
        <v>1363</v>
      </c>
      <c r="D403" s="407" t="s">
        <v>552</v>
      </c>
      <c r="E403" s="407"/>
      <c r="F403" s="408" t="s">
        <v>1370</v>
      </c>
      <c r="G403" s="409">
        <f>794.4/1.2</f>
        <v>662</v>
      </c>
      <c r="H403" s="410"/>
      <c r="I403" s="409">
        <f t="shared" si="250"/>
        <v>662</v>
      </c>
      <c r="K403" s="417"/>
      <c r="L403" s="17" t="s">
        <v>1061</v>
      </c>
      <c r="M403" s="720">
        <v>44559</v>
      </c>
      <c r="N403" s="721" t="b">
        <f t="shared" si="287"/>
        <v>0</v>
      </c>
      <c r="O403" s="721" t="b">
        <f t="shared" si="277"/>
        <v>0</v>
      </c>
      <c r="P403" s="721" t="b">
        <f t="shared" si="285"/>
        <v>0</v>
      </c>
      <c r="Q403" s="721" t="b">
        <f t="shared" si="286"/>
        <v>0</v>
      </c>
      <c r="R403" s="721" t="b">
        <f t="shared" si="266"/>
        <v>0</v>
      </c>
      <c r="S403" s="721" t="b">
        <f t="shared" si="282"/>
        <v>0</v>
      </c>
      <c r="T403" s="721" t="b">
        <f t="shared" si="283"/>
        <v>0</v>
      </c>
      <c r="U403" s="721" t="b">
        <f t="shared" si="270"/>
        <v>0</v>
      </c>
      <c r="V403" s="721" t="b">
        <f t="shared" si="289"/>
        <v>1</v>
      </c>
      <c r="W403" s="721" t="b">
        <f t="shared" si="240"/>
        <v>0</v>
      </c>
      <c r="X403" s="721" t="b">
        <f t="shared" si="290"/>
        <v>0</v>
      </c>
      <c r="Y403" s="721" t="b">
        <f t="shared" si="273"/>
        <v>0</v>
      </c>
      <c r="Z403" s="721" t="b">
        <f t="shared" si="246"/>
        <v>0</v>
      </c>
      <c r="AA403" s="721" t="b">
        <f t="shared" si="275"/>
        <v>0</v>
      </c>
      <c r="AB403" s="17"/>
      <c r="AC403" s="17"/>
      <c r="AD403" s="17"/>
      <c r="AE403" s="17"/>
      <c r="AF403" s="17"/>
      <c r="AG403" s="17"/>
      <c r="AH403" s="17"/>
      <c r="AI403" s="17"/>
      <c r="AJ403" s="17"/>
      <c r="AK403" s="17"/>
      <c r="AL403" s="17"/>
      <c r="AM403" s="17"/>
      <c r="AN403" s="17"/>
      <c r="AO403" s="17"/>
      <c r="AP403" s="17"/>
      <c r="AQ403" s="17"/>
    </row>
    <row r="404" spans="1:43" hidden="1">
      <c r="A404">
        <f t="shared" si="252"/>
        <v>401</v>
      </c>
      <c r="B404" s="407">
        <v>1</v>
      </c>
      <c r="C404" s="407" t="s">
        <v>539</v>
      </c>
      <c r="D404" s="407" t="s">
        <v>552</v>
      </c>
      <c r="E404" s="407"/>
      <c r="F404" s="408" t="s">
        <v>1371</v>
      </c>
      <c r="G404" s="409">
        <f>3.19/1.2</f>
        <v>2.6583333333333332</v>
      </c>
      <c r="H404" s="410"/>
      <c r="I404" s="409">
        <f t="shared" si="250"/>
        <v>2.6583333333333332</v>
      </c>
      <c r="K404" s="417"/>
      <c r="L404" s="17" t="s">
        <v>1061</v>
      </c>
      <c r="M404" s="720">
        <v>44559</v>
      </c>
      <c r="N404" s="721" t="b">
        <f t="shared" si="287"/>
        <v>0</v>
      </c>
      <c r="O404" s="721" t="b">
        <f t="shared" si="277"/>
        <v>0</v>
      </c>
      <c r="P404" s="721" t="b">
        <f t="shared" si="285"/>
        <v>0</v>
      </c>
      <c r="Q404" s="721" t="b">
        <f t="shared" si="286"/>
        <v>0</v>
      </c>
      <c r="R404" s="721" t="b">
        <f t="shared" si="266"/>
        <v>0</v>
      </c>
      <c r="S404" s="721" t="b">
        <f t="shared" si="282"/>
        <v>0</v>
      </c>
      <c r="T404" s="721" t="b">
        <f t="shared" si="283"/>
        <v>0</v>
      </c>
      <c r="U404" s="721" t="b">
        <f t="shared" si="270"/>
        <v>0</v>
      </c>
      <c r="V404" s="721" t="b">
        <f t="shared" si="289"/>
        <v>1</v>
      </c>
      <c r="W404" s="721" t="b">
        <f t="shared" si="240"/>
        <v>0</v>
      </c>
      <c r="X404" s="721" t="b">
        <f t="shared" si="290"/>
        <v>0</v>
      </c>
      <c r="Y404" s="721" t="b">
        <f t="shared" si="273"/>
        <v>0</v>
      </c>
      <c r="Z404" s="721" t="b">
        <f t="shared" si="246"/>
        <v>0</v>
      </c>
      <c r="AA404" s="721" t="b">
        <f t="shared" si="275"/>
        <v>0</v>
      </c>
      <c r="AB404" s="17"/>
      <c r="AC404" s="17"/>
      <c r="AD404" s="17"/>
      <c r="AE404" s="17"/>
      <c r="AF404" s="17"/>
      <c r="AG404" s="17"/>
      <c r="AH404" s="17"/>
      <c r="AI404" s="17"/>
      <c r="AJ404" s="17"/>
      <c r="AK404" s="17"/>
      <c r="AL404" s="17"/>
      <c r="AM404" s="17"/>
      <c r="AN404" s="17"/>
      <c r="AO404" s="17"/>
      <c r="AP404" s="17"/>
      <c r="AQ404" s="17"/>
    </row>
    <row r="405" spans="1:43" hidden="1">
      <c r="A405">
        <f t="shared" si="252"/>
        <v>402</v>
      </c>
      <c r="B405" s="407">
        <v>1</v>
      </c>
      <c r="C405" s="407" t="s">
        <v>551</v>
      </c>
      <c r="D405" s="407" t="s">
        <v>552</v>
      </c>
      <c r="E405" s="407"/>
      <c r="F405" s="408" t="s">
        <v>1372</v>
      </c>
      <c r="G405" s="409">
        <f>279.6/1.2</f>
        <v>233.00000000000003</v>
      </c>
      <c r="H405" s="410"/>
      <c r="I405" s="409">
        <f t="shared" si="250"/>
        <v>233.00000000000003</v>
      </c>
      <c r="K405" s="417"/>
      <c r="L405" s="17" t="s">
        <v>1061</v>
      </c>
      <c r="M405" s="720">
        <v>44559</v>
      </c>
      <c r="N405" s="721" t="b">
        <f t="shared" si="287"/>
        <v>0</v>
      </c>
      <c r="O405" s="721" t="b">
        <f t="shared" si="277"/>
        <v>0</v>
      </c>
      <c r="P405" s="721" t="b">
        <f t="shared" si="285"/>
        <v>0</v>
      </c>
      <c r="Q405" s="721" t="b">
        <f t="shared" si="286"/>
        <v>0</v>
      </c>
      <c r="R405" s="721" t="b">
        <f t="shared" si="266"/>
        <v>0</v>
      </c>
      <c r="S405" s="721" t="b">
        <f t="shared" si="282"/>
        <v>0</v>
      </c>
      <c r="T405" s="721" t="b">
        <f t="shared" si="283"/>
        <v>0</v>
      </c>
      <c r="U405" s="721" t="b">
        <f t="shared" si="270"/>
        <v>0</v>
      </c>
      <c r="V405" s="721" t="b">
        <f t="shared" si="289"/>
        <v>1</v>
      </c>
      <c r="W405" s="721" t="b">
        <f t="shared" si="240"/>
        <v>0</v>
      </c>
      <c r="X405" s="721" t="b">
        <f t="shared" si="290"/>
        <v>0</v>
      </c>
      <c r="Y405" s="721" t="b">
        <f t="shared" si="273"/>
        <v>0</v>
      </c>
      <c r="Z405" s="721" t="b">
        <f t="shared" si="246"/>
        <v>0</v>
      </c>
      <c r="AA405" s="721" t="b">
        <f t="shared" si="275"/>
        <v>0</v>
      </c>
      <c r="AB405" s="17"/>
      <c r="AC405" s="17"/>
      <c r="AD405" s="17"/>
      <c r="AE405" s="17"/>
      <c r="AF405" s="17"/>
      <c r="AG405" s="17"/>
      <c r="AH405" s="17"/>
      <c r="AI405" s="17"/>
      <c r="AJ405" s="17"/>
      <c r="AK405" s="17"/>
      <c r="AL405" s="17"/>
      <c r="AM405" s="17"/>
      <c r="AN405" s="17"/>
      <c r="AO405" s="17"/>
      <c r="AP405" s="17"/>
      <c r="AQ405" s="17"/>
    </row>
    <row r="406" spans="1:43" hidden="1">
      <c r="A406">
        <f t="shared" si="252"/>
        <v>403</v>
      </c>
      <c r="B406" s="407">
        <v>1</v>
      </c>
      <c r="C406" s="407" t="s">
        <v>1363</v>
      </c>
      <c r="D406" s="407" t="s">
        <v>552</v>
      </c>
      <c r="E406" s="407"/>
      <c r="F406" s="408" t="s">
        <v>1373</v>
      </c>
      <c r="G406" s="409">
        <f>1351.2/1.2</f>
        <v>1126</v>
      </c>
      <c r="H406" s="410"/>
      <c r="I406" s="409">
        <f t="shared" si="250"/>
        <v>1126</v>
      </c>
      <c r="K406" s="417"/>
      <c r="L406" s="17" t="s">
        <v>1061</v>
      </c>
      <c r="M406" s="720">
        <v>44559</v>
      </c>
      <c r="N406" s="721" t="b">
        <f t="shared" si="287"/>
        <v>0</v>
      </c>
      <c r="O406" s="721" t="b">
        <f t="shared" si="277"/>
        <v>0</v>
      </c>
      <c r="P406" s="721" t="b">
        <f t="shared" si="285"/>
        <v>0</v>
      </c>
      <c r="Q406" s="721" t="b">
        <f t="shared" si="286"/>
        <v>0</v>
      </c>
      <c r="R406" s="721" t="b">
        <f t="shared" si="266"/>
        <v>0</v>
      </c>
      <c r="S406" s="721" t="b">
        <f t="shared" si="282"/>
        <v>0</v>
      </c>
      <c r="T406" s="721" t="b">
        <f t="shared" si="283"/>
        <v>0</v>
      </c>
      <c r="U406" s="721" t="b">
        <f t="shared" si="270"/>
        <v>0</v>
      </c>
      <c r="V406" s="721" t="b">
        <f t="shared" si="289"/>
        <v>1</v>
      </c>
      <c r="W406" s="721" t="b">
        <f t="shared" si="240"/>
        <v>0</v>
      </c>
      <c r="X406" s="721" t="b">
        <f t="shared" si="290"/>
        <v>0</v>
      </c>
      <c r="Y406" s="721" t="b">
        <f t="shared" si="273"/>
        <v>0</v>
      </c>
      <c r="Z406" s="721" t="b">
        <f t="shared" si="246"/>
        <v>0</v>
      </c>
      <c r="AA406" s="721" t="b">
        <f t="shared" si="275"/>
        <v>0</v>
      </c>
      <c r="AB406" s="17"/>
      <c r="AC406" s="17"/>
      <c r="AD406" s="17"/>
      <c r="AE406" s="17"/>
      <c r="AF406" s="17"/>
      <c r="AG406" s="17"/>
      <c r="AH406" s="17"/>
      <c r="AI406" s="17"/>
      <c r="AJ406" s="17"/>
      <c r="AK406" s="17"/>
      <c r="AL406" s="17"/>
      <c r="AM406" s="17"/>
      <c r="AN406" s="17"/>
      <c r="AO406" s="17"/>
      <c r="AP406" s="17"/>
      <c r="AQ406" s="17"/>
    </row>
    <row r="407" spans="1:43" hidden="1">
      <c r="A407">
        <f t="shared" si="252"/>
        <v>404</v>
      </c>
      <c r="B407" s="407">
        <v>1</v>
      </c>
      <c r="C407" s="407" t="s">
        <v>539</v>
      </c>
      <c r="D407" s="407" t="s">
        <v>552</v>
      </c>
      <c r="E407" s="407"/>
      <c r="F407" s="408" t="s">
        <v>1374</v>
      </c>
      <c r="G407" s="409">
        <f>4.43/1.2</f>
        <v>3.6916666666666664</v>
      </c>
      <c r="H407" s="410"/>
      <c r="I407" s="409">
        <f t="shared" si="250"/>
        <v>3.6916666666666664</v>
      </c>
      <c r="K407" s="417"/>
      <c r="L407" s="17" t="s">
        <v>1061</v>
      </c>
      <c r="M407" s="720">
        <v>44559</v>
      </c>
      <c r="N407" s="721" t="b">
        <f t="shared" si="287"/>
        <v>0</v>
      </c>
      <c r="O407" s="721" t="b">
        <f t="shared" si="277"/>
        <v>0</v>
      </c>
      <c r="P407" s="721" t="b">
        <f t="shared" si="285"/>
        <v>0</v>
      </c>
      <c r="Q407" s="721" t="b">
        <f t="shared" si="286"/>
        <v>0</v>
      </c>
      <c r="R407" s="721" t="b">
        <f t="shared" si="266"/>
        <v>0</v>
      </c>
      <c r="S407" s="721" t="b">
        <f t="shared" si="282"/>
        <v>0</v>
      </c>
      <c r="T407" s="721" t="b">
        <f t="shared" si="283"/>
        <v>0</v>
      </c>
      <c r="U407" s="721" t="b">
        <f t="shared" si="270"/>
        <v>0</v>
      </c>
      <c r="V407" s="721" t="b">
        <f t="shared" si="289"/>
        <v>1</v>
      </c>
      <c r="W407" s="721" t="b">
        <f t="shared" si="240"/>
        <v>0</v>
      </c>
      <c r="X407" s="721" t="b">
        <f t="shared" si="290"/>
        <v>0</v>
      </c>
      <c r="Y407" s="721" t="b">
        <f t="shared" si="273"/>
        <v>0</v>
      </c>
      <c r="Z407" s="721" t="b">
        <f t="shared" si="246"/>
        <v>0</v>
      </c>
      <c r="AA407" s="721" t="b">
        <f t="shared" si="275"/>
        <v>0</v>
      </c>
      <c r="AB407" s="17"/>
      <c r="AC407" s="17"/>
      <c r="AD407" s="17"/>
      <c r="AE407" s="17"/>
      <c r="AF407" s="17"/>
      <c r="AG407" s="17"/>
      <c r="AH407" s="17"/>
      <c r="AI407" s="17"/>
      <c r="AJ407" s="17"/>
      <c r="AK407" s="17"/>
      <c r="AL407" s="17"/>
      <c r="AM407" s="17"/>
      <c r="AN407" s="17"/>
      <c r="AO407" s="17"/>
      <c r="AP407" s="17"/>
      <c r="AQ407" s="17"/>
    </row>
    <row r="408" spans="1:43" hidden="1">
      <c r="A408">
        <f t="shared" si="252"/>
        <v>405</v>
      </c>
      <c r="B408" s="407">
        <v>1</v>
      </c>
      <c r="C408" s="407" t="s">
        <v>551</v>
      </c>
      <c r="D408" s="407" t="s">
        <v>552</v>
      </c>
      <c r="E408" s="407"/>
      <c r="F408" s="408" t="s">
        <v>1375</v>
      </c>
      <c r="G408" s="409">
        <f>406.8/1.2</f>
        <v>339</v>
      </c>
      <c r="H408" s="410"/>
      <c r="I408" s="409">
        <f t="shared" si="250"/>
        <v>339</v>
      </c>
      <c r="K408" s="417"/>
      <c r="L408" s="17" t="s">
        <v>1061</v>
      </c>
      <c r="M408" s="720">
        <v>44559</v>
      </c>
      <c r="N408" s="721" t="b">
        <f t="shared" si="287"/>
        <v>0</v>
      </c>
      <c r="O408" s="721" t="b">
        <f t="shared" si="277"/>
        <v>0</v>
      </c>
      <c r="P408" s="721" t="b">
        <f t="shared" si="285"/>
        <v>0</v>
      </c>
      <c r="Q408" s="721" t="b">
        <f t="shared" si="286"/>
        <v>0</v>
      </c>
      <c r="R408" s="721" t="b">
        <f t="shared" si="266"/>
        <v>0</v>
      </c>
      <c r="S408" s="721" t="b">
        <f t="shared" si="282"/>
        <v>0</v>
      </c>
      <c r="T408" s="721" t="b">
        <f t="shared" si="283"/>
        <v>0</v>
      </c>
      <c r="U408" s="721" t="b">
        <f t="shared" si="270"/>
        <v>0</v>
      </c>
      <c r="V408" s="721" t="b">
        <f t="shared" si="289"/>
        <v>1</v>
      </c>
      <c r="W408" s="721" t="b">
        <f t="shared" si="240"/>
        <v>0</v>
      </c>
      <c r="X408" s="721" t="b">
        <f t="shared" si="290"/>
        <v>0</v>
      </c>
      <c r="Y408" s="721" t="b">
        <f t="shared" si="273"/>
        <v>0</v>
      </c>
      <c r="Z408" s="721" t="b">
        <f t="shared" si="246"/>
        <v>0</v>
      </c>
      <c r="AA408" s="721" t="b">
        <f t="shared" si="275"/>
        <v>0</v>
      </c>
      <c r="AB408" s="17"/>
      <c r="AC408" s="17"/>
      <c r="AD408" s="17"/>
      <c r="AE408" s="17"/>
      <c r="AF408" s="17"/>
      <c r="AG408" s="17"/>
      <c r="AH408" s="17"/>
      <c r="AI408" s="17"/>
      <c r="AJ408" s="17"/>
      <c r="AK408" s="17"/>
      <c r="AL408" s="17"/>
      <c r="AM408" s="17"/>
      <c r="AN408" s="17"/>
      <c r="AO408" s="17"/>
      <c r="AP408" s="17"/>
      <c r="AQ408" s="17"/>
    </row>
    <row r="409" spans="1:43" hidden="1">
      <c r="A409">
        <f t="shared" si="252"/>
        <v>406</v>
      </c>
      <c r="B409" s="407">
        <v>1</v>
      </c>
      <c r="C409" s="407" t="s">
        <v>1363</v>
      </c>
      <c r="D409" s="407" t="s">
        <v>552</v>
      </c>
      <c r="E409" s="407"/>
      <c r="F409" s="408" t="s">
        <v>1376</v>
      </c>
      <c r="G409" s="409">
        <f>1870.8/1.2</f>
        <v>1559</v>
      </c>
      <c r="H409" s="410"/>
      <c r="I409" s="409">
        <f t="shared" si="250"/>
        <v>1559</v>
      </c>
      <c r="K409" s="417"/>
      <c r="L409" s="17" t="s">
        <v>1061</v>
      </c>
      <c r="M409" s="720">
        <v>44559</v>
      </c>
      <c r="N409" s="721" t="b">
        <f t="shared" si="287"/>
        <v>0</v>
      </c>
      <c r="O409" s="721" t="b">
        <f t="shared" si="277"/>
        <v>0</v>
      </c>
      <c r="P409" s="721" t="b">
        <f t="shared" si="285"/>
        <v>0</v>
      </c>
      <c r="Q409" s="721" t="b">
        <f t="shared" si="286"/>
        <v>0</v>
      </c>
      <c r="R409" s="721" t="b">
        <f t="shared" si="266"/>
        <v>0</v>
      </c>
      <c r="S409" s="721" t="b">
        <f t="shared" si="282"/>
        <v>0</v>
      </c>
      <c r="T409" s="721" t="b">
        <f t="shared" si="283"/>
        <v>0</v>
      </c>
      <c r="U409" s="721" t="b">
        <f t="shared" si="270"/>
        <v>0</v>
      </c>
      <c r="V409" s="721" t="b">
        <f t="shared" si="289"/>
        <v>1</v>
      </c>
      <c r="W409" s="721" t="b">
        <f t="shared" si="240"/>
        <v>0</v>
      </c>
      <c r="X409" s="721" t="b">
        <f t="shared" si="290"/>
        <v>0</v>
      </c>
      <c r="Y409" s="721" t="b">
        <f t="shared" si="273"/>
        <v>0</v>
      </c>
      <c r="Z409" s="721" t="b">
        <f t="shared" si="246"/>
        <v>0</v>
      </c>
      <c r="AA409" s="721" t="b">
        <f t="shared" si="275"/>
        <v>0</v>
      </c>
      <c r="AB409" s="17"/>
      <c r="AC409" s="17"/>
      <c r="AD409" s="17"/>
      <c r="AE409" s="17"/>
      <c r="AF409" s="17"/>
      <c r="AG409" s="17"/>
      <c r="AH409" s="17"/>
      <c r="AI409" s="17"/>
      <c r="AJ409" s="17"/>
      <c r="AK409" s="17"/>
      <c r="AL409" s="17"/>
      <c r="AM409" s="17"/>
      <c r="AN409" s="17"/>
      <c r="AO409" s="17"/>
      <c r="AP409" s="17"/>
      <c r="AQ409" s="17"/>
    </row>
    <row r="410" spans="1:43" hidden="1">
      <c r="A410">
        <f t="shared" si="252"/>
        <v>407</v>
      </c>
      <c r="B410" s="407">
        <v>1</v>
      </c>
      <c r="C410" s="407" t="s">
        <v>517</v>
      </c>
      <c r="D410" s="407" t="s">
        <v>545</v>
      </c>
      <c r="E410" s="407"/>
      <c r="F410" s="408" t="s">
        <v>559</v>
      </c>
      <c r="G410" s="409">
        <f>11.71</f>
        <v>11.71</v>
      </c>
      <c r="H410" s="410"/>
      <c r="I410" s="409">
        <f t="shared" si="250"/>
        <v>11.71</v>
      </c>
      <c r="K410" s="417"/>
      <c r="L410" s="17" t="s">
        <v>1158</v>
      </c>
      <c r="M410" s="720">
        <v>44559</v>
      </c>
      <c r="N410" s="721" t="b">
        <f t="shared" si="287"/>
        <v>0</v>
      </c>
      <c r="O410" s="721" t="b">
        <f t="shared" si="277"/>
        <v>0</v>
      </c>
      <c r="P410" s="721" t="b">
        <f t="shared" si="285"/>
        <v>0</v>
      </c>
      <c r="Q410" s="721" t="b">
        <f t="shared" si="286"/>
        <v>0</v>
      </c>
      <c r="R410" s="721" t="b">
        <f t="shared" si="266"/>
        <v>0</v>
      </c>
      <c r="S410" s="721" t="b">
        <f t="shared" si="282"/>
        <v>0</v>
      </c>
      <c r="T410" s="721" t="b">
        <f t="shared" ref="T410:T413" si="291">TRUE()</f>
        <v>1</v>
      </c>
      <c r="U410" s="721" t="b">
        <f t="shared" si="270"/>
        <v>0</v>
      </c>
      <c r="V410" s="721" t="b">
        <f t="shared" ref="V410:V439" si="292">FALSE()</f>
        <v>0</v>
      </c>
      <c r="W410" s="721" t="b">
        <f t="shared" ref="W410:W414" si="293">FALSE()</f>
        <v>0</v>
      </c>
      <c r="X410" s="721" t="b">
        <f t="shared" si="290"/>
        <v>0</v>
      </c>
      <c r="Y410" s="721" t="b">
        <f t="shared" si="273"/>
        <v>0</v>
      </c>
      <c r="Z410" s="721" t="b">
        <f t="shared" si="246"/>
        <v>0</v>
      </c>
      <c r="AA410" s="721" t="b">
        <f t="shared" si="275"/>
        <v>0</v>
      </c>
      <c r="AB410" s="17"/>
      <c r="AC410" s="17"/>
      <c r="AD410" s="17"/>
      <c r="AE410" s="17"/>
      <c r="AF410" s="17"/>
      <c r="AG410" s="17"/>
      <c r="AH410" s="17"/>
      <c r="AI410" s="17"/>
      <c r="AJ410" s="17"/>
      <c r="AK410" s="17"/>
      <c r="AL410" s="17"/>
      <c r="AM410" s="17"/>
      <c r="AN410" s="17"/>
      <c r="AO410" s="17"/>
      <c r="AP410" s="17"/>
      <c r="AQ410" s="17"/>
    </row>
    <row r="411" spans="1:43" hidden="1">
      <c r="A411">
        <f t="shared" si="252"/>
        <v>408</v>
      </c>
      <c r="B411" s="407">
        <v>1</v>
      </c>
      <c r="C411" s="407" t="s">
        <v>517</v>
      </c>
      <c r="D411" s="407" t="s">
        <v>545</v>
      </c>
      <c r="E411" s="407"/>
      <c r="F411" s="408" t="s">
        <v>1377</v>
      </c>
      <c r="G411" s="409">
        <v>10.67</v>
      </c>
      <c r="H411" s="410"/>
      <c r="I411" s="409">
        <f t="shared" si="250"/>
        <v>10.67</v>
      </c>
      <c r="K411" s="417"/>
      <c r="L411" s="17" t="s">
        <v>1158</v>
      </c>
      <c r="M411" s="720">
        <v>44559</v>
      </c>
      <c r="N411" s="721" t="b">
        <f t="shared" si="287"/>
        <v>0</v>
      </c>
      <c r="O411" s="721" t="b">
        <f t="shared" si="277"/>
        <v>0</v>
      </c>
      <c r="P411" s="721" t="b">
        <f t="shared" si="285"/>
        <v>0</v>
      </c>
      <c r="Q411" s="721" t="b">
        <f t="shared" si="286"/>
        <v>0</v>
      </c>
      <c r="R411" s="721" t="b">
        <f t="shared" si="266"/>
        <v>0</v>
      </c>
      <c r="S411" s="721" t="b">
        <f t="shared" si="282"/>
        <v>0</v>
      </c>
      <c r="T411" s="721" t="b">
        <f t="shared" si="291"/>
        <v>1</v>
      </c>
      <c r="U411" s="721" t="b">
        <f t="shared" si="270"/>
        <v>0</v>
      </c>
      <c r="V411" s="721" t="b">
        <f t="shared" si="292"/>
        <v>0</v>
      </c>
      <c r="W411" s="721" t="b">
        <f t="shared" si="293"/>
        <v>0</v>
      </c>
      <c r="X411" s="721" t="b">
        <f t="shared" si="290"/>
        <v>0</v>
      </c>
      <c r="Y411" s="721" t="b">
        <f t="shared" si="273"/>
        <v>0</v>
      </c>
      <c r="Z411" s="721" t="b">
        <f t="shared" si="246"/>
        <v>0</v>
      </c>
      <c r="AA411" s="721" t="b">
        <f t="shared" si="275"/>
        <v>0</v>
      </c>
      <c r="AB411" s="17"/>
      <c r="AC411" s="17"/>
      <c r="AD411" s="17"/>
      <c r="AE411" s="17"/>
      <c r="AF411" s="17"/>
      <c r="AG411" s="17"/>
      <c r="AH411" s="17"/>
      <c r="AI411" s="17"/>
      <c r="AJ411" s="17"/>
      <c r="AK411" s="17"/>
      <c r="AL411" s="17"/>
      <c r="AM411" s="17"/>
      <c r="AN411" s="17"/>
      <c r="AO411" s="17"/>
      <c r="AP411" s="17"/>
      <c r="AQ411" s="17"/>
    </row>
    <row r="412" spans="1:43" hidden="1">
      <c r="A412">
        <f t="shared" si="252"/>
        <v>409</v>
      </c>
      <c r="B412" s="407">
        <v>1</v>
      </c>
      <c r="C412" s="407" t="s">
        <v>517</v>
      </c>
      <c r="D412" s="407" t="s">
        <v>545</v>
      </c>
      <c r="E412" s="407"/>
      <c r="F412" s="408" t="s">
        <v>1378</v>
      </c>
      <c r="G412" s="409">
        <v>11.95</v>
      </c>
      <c r="H412" s="410"/>
      <c r="I412" s="409">
        <f t="shared" si="250"/>
        <v>11.95</v>
      </c>
      <c r="K412" s="417"/>
      <c r="L412" s="17" t="s">
        <v>1158</v>
      </c>
      <c r="M412" s="720">
        <v>44559</v>
      </c>
      <c r="N412" s="721" t="b">
        <f t="shared" si="287"/>
        <v>0</v>
      </c>
      <c r="O412" s="721" t="b">
        <f t="shared" si="277"/>
        <v>0</v>
      </c>
      <c r="P412" s="721" t="b">
        <f t="shared" si="285"/>
        <v>0</v>
      </c>
      <c r="Q412" s="721" t="b">
        <f t="shared" si="286"/>
        <v>0</v>
      </c>
      <c r="R412" s="721" t="b">
        <f t="shared" si="266"/>
        <v>0</v>
      </c>
      <c r="S412" s="721" t="b">
        <f t="shared" si="282"/>
        <v>0</v>
      </c>
      <c r="T412" s="721" t="b">
        <f t="shared" si="291"/>
        <v>1</v>
      </c>
      <c r="U412" s="721" t="b">
        <f t="shared" si="270"/>
        <v>0</v>
      </c>
      <c r="V412" s="721" t="b">
        <f t="shared" si="292"/>
        <v>0</v>
      </c>
      <c r="W412" s="721" t="b">
        <f t="shared" si="293"/>
        <v>0</v>
      </c>
      <c r="X412" s="721" t="b">
        <f t="shared" si="290"/>
        <v>0</v>
      </c>
      <c r="Y412" s="721" t="b">
        <f t="shared" si="273"/>
        <v>0</v>
      </c>
      <c r="Z412" s="721" t="b">
        <f t="shared" si="246"/>
        <v>0</v>
      </c>
      <c r="AA412" s="721" t="b">
        <f t="shared" si="275"/>
        <v>0</v>
      </c>
      <c r="AB412" s="17"/>
      <c r="AC412" s="17"/>
      <c r="AD412" s="17"/>
      <c r="AE412" s="17"/>
      <c r="AF412" s="17"/>
      <c r="AG412" s="17"/>
      <c r="AH412" s="17"/>
      <c r="AI412" s="17"/>
      <c r="AJ412" s="17"/>
      <c r="AK412" s="17"/>
      <c r="AL412" s="17"/>
      <c r="AM412" s="17"/>
      <c r="AN412" s="17"/>
      <c r="AO412" s="17"/>
      <c r="AP412" s="17"/>
      <c r="AQ412" s="17"/>
    </row>
    <row r="413" spans="1:43" hidden="1">
      <c r="A413">
        <f t="shared" si="252"/>
        <v>410</v>
      </c>
      <c r="B413" s="407">
        <v>1</v>
      </c>
      <c r="C413" s="407" t="s">
        <v>517</v>
      </c>
      <c r="D413" s="407" t="s">
        <v>545</v>
      </c>
      <c r="E413" s="407"/>
      <c r="F413" s="408" t="s">
        <v>1379</v>
      </c>
      <c r="G413" s="409">
        <v>12.15</v>
      </c>
      <c r="H413" s="410"/>
      <c r="I413" s="409">
        <f t="shared" si="250"/>
        <v>12.15</v>
      </c>
      <c r="K413" s="417"/>
      <c r="L413" s="17" t="s">
        <v>1158</v>
      </c>
      <c r="M413" s="720">
        <v>44559</v>
      </c>
      <c r="N413" s="721" t="b">
        <f t="shared" si="287"/>
        <v>0</v>
      </c>
      <c r="O413" s="721" t="b">
        <f t="shared" si="277"/>
        <v>0</v>
      </c>
      <c r="P413" s="721" t="b">
        <f t="shared" si="285"/>
        <v>0</v>
      </c>
      <c r="Q413" s="721" t="b">
        <f t="shared" si="286"/>
        <v>0</v>
      </c>
      <c r="R413" s="721" t="b">
        <f t="shared" si="266"/>
        <v>0</v>
      </c>
      <c r="S413" s="721" t="b">
        <f t="shared" si="282"/>
        <v>0</v>
      </c>
      <c r="T413" s="721" t="b">
        <f t="shared" si="291"/>
        <v>1</v>
      </c>
      <c r="U413" s="721" t="b">
        <f t="shared" si="270"/>
        <v>0</v>
      </c>
      <c r="V413" s="721" t="b">
        <f t="shared" si="292"/>
        <v>0</v>
      </c>
      <c r="W413" s="721" t="b">
        <f t="shared" si="293"/>
        <v>0</v>
      </c>
      <c r="X413" s="721" t="b">
        <f t="shared" si="290"/>
        <v>0</v>
      </c>
      <c r="Y413" s="721" t="b">
        <f t="shared" si="273"/>
        <v>0</v>
      </c>
      <c r="Z413" s="721" t="b">
        <f t="shared" si="246"/>
        <v>0</v>
      </c>
      <c r="AA413" s="721" t="b">
        <f t="shared" si="275"/>
        <v>0</v>
      </c>
      <c r="AB413" s="17"/>
      <c r="AC413" s="17"/>
      <c r="AD413" s="17"/>
      <c r="AE413" s="17"/>
      <c r="AF413" s="17"/>
      <c r="AG413" s="17"/>
      <c r="AH413" s="17"/>
      <c r="AI413" s="17"/>
      <c r="AJ413" s="17"/>
      <c r="AK413" s="17"/>
      <c r="AL413" s="17"/>
      <c r="AM413" s="17"/>
      <c r="AN413" s="17"/>
      <c r="AO413" s="17"/>
      <c r="AP413" s="17"/>
      <c r="AQ413" s="17"/>
    </row>
    <row r="414" spans="1:43" hidden="1">
      <c r="A414">
        <f t="shared" si="252"/>
        <v>411</v>
      </c>
      <c r="B414" s="407">
        <v>1</v>
      </c>
      <c r="C414" s="407" t="s">
        <v>563</v>
      </c>
      <c r="D414" s="408" t="s">
        <v>545</v>
      </c>
      <c r="E414" s="407"/>
      <c r="F414" s="408" t="s">
        <v>564</v>
      </c>
      <c r="G414" s="409">
        <v>47.85</v>
      </c>
      <c r="H414" s="410"/>
      <c r="I414" s="409">
        <f t="shared" si="250"/>
        <v>47.85</v>
      </c>
      <c r="K414" s="417"/>
      <c r="L414" s="17" t="s">
        <v>1158</v>
      </c>
      <c r="M414" s="720">
        <v>44563</v>
      </c>
      <c r="N414" s="721" t="b">
        <f t="shared" si="287"/>
        <v>0</v>
      </c>
      <c r="O414" s="721" t="b">
        <f t="shared" si="277"/>
        <v>0</v>
      </c>
      <c r="P414" s="721" t="b">
        <f t="shared" si="285"/>
        <v>0</v>
      </c>
      <c r="Q414" s="721" t="b">
        <f t="shared" si="286"/>
        <v>0</v>
      </c>
      <c r="R414" s="721" t="b">
        <f t="shared" si="266"/>
        <v>0</v>
      </c>
      <c r="S414" s="721" t="b">
        <f t="shared" si="282"/>
        <v>0</v>
      </c>
      <c r="T414" s="721" t="b">
        <f t="shared" ref="T414:T431" si="294">FALSE()</f>
        <v>0</v>
      </c>
      <c r="U414" s="721" t="b">
        <f t="shared" si="270"/>
        <v>0</v>
      </c>
      <c r="V414" s="721" t="b">
        <f t="shared" si="292"/>
        <v>0</v>
      </c>
      <c r="W414" s="721" t="b">
        <f t="shared" si="293"/>
        <v>0</v>
      </c>
      <c r="X414" s="721" t="b">
        <f t="shared" si="290"/>
        <v>0</v>
      </c>
      <c r="Y414" s="721" t="b">
        <f t="shared" si="273"/>
        <v>0</v>
      </c>
      <c r="Z414" s="721" t="b">
        <f>TRUE()</f>
        <v>1</v>
      </c>
      <c r="AA414" s="721" t="b">
        <f t="shared" si="275"/>
        <v>0</v>
      </c>
      <c r="AB414" s="17"/>
      <c r="AC414" s="17"/>
      <c r="AD414" s="17"/>
      <c r="AE414" s="17"/>
      <c r="AF414" s="17"/>
      <c r="AG414" s="17"/>
      <c r="AH414" s="17"/>
      <c r="AI414" s="17"/>
      <c r="AJ414" s="17"/>
      <c r="AK414" s="17"/>
      <c r="AL414" s="17"/>
      <c r="AM414" s="17"/>
      <c r="AN414" s="17"/>
      <c r="AO414" s="17"/>
      <c r="AP414" s="17"/>
      <c r="AQ414" s="17"/>
    </row>
    <row r="415" spans="1:43" hidden="1">
      <c r="A415">
        <f t="shared" si="252"/>
        <v>412</v>
      </c>
      <c r="B415" s="487">
        <v>1</v>
      </c>
      <c r="C415" s="487" t="s">
        <v>539</v>
      </c>
      <c r="D415" s="487" t="s">
        <v>552</v>
      </c>
      <c r="E415" s="407"/>
      <c r="F415" s="408" t="s">
        <v>568</v>
      </c>
      <c r="G415" s="409">
        <f>19.78/1.2</f>
        <v>16.483333333333334</v>
      </c>
      <c r="H415" s="410"/>
      <c r="I415" s="430">
        <f t="shared" si="250"/>
        <v>16.483333333333334</v>
      </c>
      <c r="K415" s="17"/>
      <c r="L415" s="17" t="s">
        <v>1061</v>
      </c>
      <c r="M415" s="720">
        <v>44563</v>
      </c>
      <c r="N415" s="721" t="b">
        <f t="shared" si="287"/>
        <v>0</v>
      </c>
      <c r="O415" s="721" t="b">
        <f t="shared" si="277"/>
        <v>0</v>
      </c>
      <c r="P415" s="721" t="b">
        <f t="shared" si="285"/>
        <v>0</v>
      </c>
      <c r="Q415" s="721" t="b">
        <f t="shared" si="286"/>
        <v>0</v>
      </c>
      <c r="R415" s="721" t="b">
        <f t="shared" si="266"/>
        <v>0</v>
      </c>
      <c r="S415" s="721" t="b">
        <f t="shared" si="282"/>
        <v>0</v>
      </c>
      <c r="T415" s="721" t="b">
        <f t="shared" si="294"/>
        <v>0</v>
      </c>
      <c r="U415" s="721" t="b">
        <f t="shared" si="270"/>
        <v>0</v>
      </c>
      <c r="V415" s="721" t="b">
        <f t="shared" si="292"/>
        <v>0</v>
      </c>
      <c r="W415" s="721" t="b">
        <f t="shared" ref="W415:W416" si="295">TRUE()</f>
        <v>1</v>
      </c>
      <c r="X415" s="721" t="b">
        <f t="shared" si="290"/>
        <v>0</v>
      </c>
      <c r="Y415" s="721" t="b">
        <f t="shared" si="273"/>
        <v>0</v>
      </c>
      <c r="Z415" s="721" t="b">
        <f t="shared" ref="Z415:Z426" si="296">FALSE()</f>
        <v>0</v>
      </c>
      <c r="AA415" s="721" t="b">
        <f t="shared" si="275"/>
        <v>0</v>
      </c>
      <c r="AB415" s="17"/>
      <c r="AC415" s="17"/>
      <c r="AD415" s="17"/>
      <c r="AE415" s="17"/>
      <c r="AF415" s="17"/>
      <c r="AG415" s="17"/>
      <c r="AH415" s="17"/>
      <c r="AI415" s="17"/>
      <c r="AJ415" s="17"/>
      <c r="AK415" s="17"/>
      <c r="AL415" s="17"/>
      <c r="AM415" s="17"/>
      <c r="AN415" s="17"/>
      <c r="AO415" s="17"/>
      <c r="AP415" s="17"/>
      <c r="AQ415" s="17"/>
    </row>
    <row r="416" spans="1:43" hidden="1">
      <c r="A416">
        <f t="shared" si="252"/>
        <v>413</v>
      </c>
      <c r="B416" s="487">
        <v>1</v>
      </c>
      <c r="C416" s="487" t="s">
        <v>539</v>
      </c>
      <c r="D416" s="487" t="s">
        <v>552</v>
      </c>
      <c r="E416" s="407"/>
      <c r="F416" s="408" t="s">
        <v>1380</v>
      </c>
      <c r="G416" s="409">
        <f>23.27/1.2</f>
        <v>19.391666666666666</v>
      </c>
      <c r="H416" s="410"/>
      <c r="I416" s="430">
        <f t="shared" si="250"/>
        <v>19.391666666666666</v>
      </c>
      <c r="K416" s="17"/>
      <c r="L416" s="17" t="s">
        <v>1061</v>
      </c>
      <c r="M416" s="720">
        <v>44563</v>
      </c>
      <c r="N416" s="721" t="b">
        <f t="shared" si="287"/>
        <v>0</v>
      </c>
      <c r="O416" s="721" t="b">
        <f t="shared" si="277"/>
        <v>0</v>
      </c>
      <c r="P416" s="721" t="b">
        <f t="shared" si="285"/>
        <v>0</v>
      </c>
      <c r="Q416" s="721" t="b">
        <f t="shared" si="286"/>
        <v>0</v>
      </c>
      <c r="R416" s="721" t="b">
        <f t="shared" si="266"/>
        <v>0</v>
      </c>
      <c r="S416" s="721" t="b">
        <f t="shared" si="282"/>
        <v>0</v>
      </c>
      <c r="T416" s="721" t="b">
        <f t="shared" si="294"/>
        <v>0</v>
      </c>
      <c r="U416" s="721" t="b">
        <f t="shared" si="270"/>
        <v>0</v>
      </c>
      <c r="V416" s="721" t="b">
        <f t="shared" si="292"/>
        <v>0</v>
      </c>
      <c r="W416" s="721" t="b">
        <f t="shared" si="295"/>
        <v>1</v>
      </c>
      <c r="X416" s="721" t="b">
        <f t="shared" si="290"/>
        <v>0</v>
      </c>
      <c r="Y416" s="721" t="b">
        <f t="shared" si="273"/>
        <v>0</v>
      </c>
      <c r="Z416" s="721" t="b">
        <f t="shared" si="296"/>
        <v>0</v>
      </c>
      <c r="AA416" s="721" t="b">
        <f t="shared" si="275"/>
        <v>0</v>
      </c>
      <c r="AB416" s="17"/>
      <c r="AC416" s="17"/>
      <c r="AD416" s="17"/>
      <c r="AE416" s="17"/>
      <c r="AF416" s="17"/>
      <c r="AG416" s="17"/>
      <c r="AH416" s="17"/>
      <c r="AI416" s="17"/>
      <c r="AJ416" s="17"/>
      <c r="AK416" s="17"/>
      <c r="AL416" s="17"/>
      <c r="AM416" s="17"/>
      <c r="AN416" s="17"/>
      <c r="AO416" s="17"/>
      <c r="AP416" s="17"/>
      <c r="AQ416" s="17"/>
    </row>
    <row r="417" spans="1:66" hidden="1">
      <c r="A417">
        <f t="shared" si="252"/>
        <v>414</v>
      </c>
      <c r="B417" s="487">
        <v>1</v>
      </c>
      <c r="C417" s="487" t="s">
        <v>539</v>
      </c>
      <c r="D417" s="487" t="s">
        <v>1381</v>
      </c>
      <c r="E417" s="407"/>
      <c r="F417" s="408" t="s">
        <v>1382</v>
      </c>
      <c r="G417" s="409">
        <v>1829</v>
      </c>
      <c r="H417" s="410"/>
      <c r="I417" s="430">
        <f t="shared" si="250"/>
        <v>1829</v>
      </c>
      <c r="K417" s="17"/>
      <c r="L417" s="17" t="s">
        <v>1383</v>
      </c>
      <c r="M417" s="720">
        <v>44563</v>
      </c>
      <c r="N417" s="721" t="b">
        <f t="shared" si="287"/>
        <v>0</v>
      </c>
      <c r="O417" s="721" t="b">
        <f t="shared" si="277"/>
        <v>0</v>
      </c>
      <c r="P417" s="721" t="b">
        <f t="shared" si="285"/>
        <v>0</v>
      </c>
      <c r="Q417" s="721" t="b">
        <f t="shared" si="286"/>
        <v>0</v>
      </c>
      <c r="R417" s="721" t="b">
        <f t="shared" si="266"/>
        <v>0</v>
      </c>
      <c r="S417" s="721" t="b">
        <f>TRUE()</f>
        <v>1</v>
      </c>
      <c r="T417" s="721" t="b">
        <f t="shared" si="294"/>
        <v>0</v>
      </c>
      <c r="U417" s="721" t="b">
        <f t="shared" si="270"/>
        <v>0</v>
      </c>
      <c r="V417" s="721" t="b">
        <f t="shared" si="292"/>
        <v>0</v>
      </c>
      <c r="W417" s="721" t="b">
        <f t="shared" ref="W417:W424" si="297">FALSE()</f>
        <v>0</v>
      </c>
      <c r="X417" s="721" t="b">
        <f t="shared" si="290"/>
        <v>0</v>
      </c>
      <c r="Y417" s="721" t="b">
        <f t="shared" si="273"/>
        <v>0</v>
      </c>
      <c r="Z417" s="721" t="b">
        <f t="shared" si="296"/>
        <v>0</v>
      </c>
      <c r="AA417" s="721" t="b">
        <f t="shared" si="275"/>
        <v>0</v>
      </c>
      <c r="AB417" s="17"/>
      <c r="AC417" s="17"/>
      <c r="AD417" s="17"/>
      <c r="AE417" s="17"/>
      <c r="AF417" s="17"/>
      <c r="AG417" s="17"/>
      <c r="AH417" s="17"/>
      <c r="AI417" s="17"/>
      <c r="AJ417" s="17"/>
      <c r="AK417" s="17"/>
      <c r="AL417" s="17"/>
      <c r="AM417" s="17"/>
      <c r="AN417" s="17"/>
      <c r="AO417" s="17"/>
      <c r="AP417" s="17"/>
      <c r="AQ417" s="17"/>
    </row>
    <row r="418" spans="1:66" hidden="1">
      <c r="A418">
        <f t="shared" si="252"/>
        <v>415</v>
      </c>
      <c r="B418" s="407">
        <v>1</v>
      </c>
      <c r="C418" s="407" t="s">
        <v>505</v>
      </c>
      <c r="D418" s="407" t="s">
        <v>1384</v>
      </c>
      <c r="E418" s="407"/>
      <c r="F418" s="408" t="s">
        <v>1385</v>
      </c>
      <c r="G418" s="409">
        <v>109</v>
      </c>
      <c r="H418" s="410"/>
      <c r="I418" s="409">
        <f t="shared" si="250"/>
        <v>109</v>
      </c>
      <c r="J418" s="58">
        <v>375</v>
      </c>
      <c r="K418" s="417">
        <f t="shared" si="272"/>
        <v>0.29066666666666668</v>
      </c>
      <c r="L418" s="17" t="s">
        <v>966</v>
      </c>
      <c r="M418" s="720">
        <v>44322</v>
      </c>
      <c r="N418" s="721" t="b">
        <f>TRUE()</f>
        <v>1</v>
      </c>
      <c r="O418" s="721" t="b">
        <f t="shared" si="277"/>
        <v>0</v>
      </c>
      <c r="P418" s="721" t="b">
        <f t="shared" si="285"/>
        <v>0</v>
      </c>
      <c r="Q418" s="721" t="b">
        <f t="shared" si="286"/>
        <v>0</v>
      </c>
      <c r="R418" s="721" t="b">
        <f t="shared" si="266"/>
        <v>0</v>
      </c>
      <c r="S418" s="721" t="b">
        <f t="shared" ref="S418:S438" si="298">FALSE()</f>
        <v>0</v>
      </c>
      <c r="T418" s="721" t="b">
        <f t="shared" si="294"/>
        <v>0</v>
      </c>
      <c r="U418" s="721" t="b">
        <f t="shared" si="270"/>
        <v>0</v>
      </c>
      <c r="V418" s="721" t="b">
        <f t="shared" si="292"/>
        <v>0</v>
      </c>
      <c r="W418" s="721" t="b">
        <f t="shared" si="297"/>
        <v>0</v>
      </c>
      <c r="X418" s="721"/>
      <c r="Y418" s="721" t="b">
        <f t="shared" si="273"/>
        <v>0</v>
      </c>
      <c r="Z418" s="721" t="b">
        <f t="shared" si="296"/>
        <v>0</v>
      </c>
      <c r="AA418" s="721" t="b">
        <f t="shared" si="275"/>
        <v>0</v>
      </c>
      <c r="AB418" s="17"/>
      <c r="AC418" s="17"/>
      <c r="AD418" s="17"/>
      <c r="AE418" s="17"/>
      <c r="AF418" s="17"/>
      <c r="AG418" s="17"/>
      <c r="AH418" s="17"/>
      <c r="AI418" s="17"/>
      <c r="AJ418" s="17"/>
      <c r="AK418" s="17"/>
      <c r="AL418" s="17"/>
      <c r="AM418" s="17"/>
      <c r="AN418" s="17"/>
      <c r="AO418" s="17"/>
      <c r="AP418" s="17"/>
      <c r="AQ418" s="17"/>
    </row>
    <row r="419" spans="1:66" ht="44.55" hidden="1">
      <c r="A419">
        <f t="shared" si="252"/>
        <v>416</v>
      </c>
      <c r="B419" s="487">
        <v>1</v>
      </c>
      <c r="C419" s="487" t="s">
        <v>522</v>
      </c>
      <c r="D419" s="407" t="s">
        <v>742</v>
      </c>
      <c r="E419" s="487"/>
      <c r="F419" s="408" t="s">
        <v>1386</v>
      </c>
      <c r="G419" s="409">
        <v>4609.3599999999997</v>
      </c>
      <c r="H419" s="410"/>
      <c r="I419" s="409">
        <f t="shared" si="250"/>
        <v>4609.3599999999997</v>
      </c>
      <c r="J419" s="58">
        <v>50000</v>
      </c>
      <c r="K419" s="417">
        <f t="shared" si="272"/>
        <v>9.2187199999999997E-2</v>
      </c>
      <c r="L419" s="17" t="s">
        <v>966</v>
      </c>
      <c r="M419" s="720">
        <v>44568</v>
      </c>
      <c r="N419" s="721" t="b">
        <f t="shared" ref="N419:N428" si="299">FALSE()</f>
        <v>0</v>
      </c>
      <c r="O419" s="721" t="b">
        <f t="shared" si="277"/>
        <v>0</v>
      </c>
      <c r="P419" s="721" t="b">
        <f t="shared" ref="P419:P424" si="300">TRUE()</f>
        <v>1</v>
      </c>
      <c r="Q419" s="721" t="b">
        <f t="shared" si="286"/>
        <v>0</v>
      </c>
      <c r="R419" s="721" t="b">
        <f t="shared" si="266"/>
        <v>0</v>
      </c>
      <c r="S419" s="721" t="b">
        <f t="shared" si="298"/>
        <v>0</v>
      </c>
      <c r="T419" s="721" t="b">
        <f t="shared" si="294"/>
        <v>0</v>
      </c>
      <c r="U419" s="721" t="b">
        <f t="shared" si="270"/>
        <v>0</v>
      </c>
      <c r="V419" s="721" t="b">
        <f t="shared" si="292"/>
        <v>0</v>
      </c>
      <c r="W419" s="721" t="b">
        <f t="shared" si="297"/>
        <v>0</v>
      </c>
      <c r="X419" s="721" t="b">
        <f t="shared" si="290"/>
        <v>0</v>
      </c>
      <c r="Y419" s="721" t="b">
        <f t="shared" si="273"/>
        <v>0</v>
      </c>
      <c r="Z419" s="721" t="b">
        <f t="shared" si="296"/>
        <v>0</v>
      </c>
      <c r="AA419" s="721" t="b">
        <f t="shared" si="275"/>
        <v>0</v>
      </c>
      <c r="AB419" s="17"/>
      <c r="AC419" s="17"/>
      <c r="AD419" s="17"/>
      <c r="AE419" s="17"/>
      <c r="AF419" s="17"/>
      <c r="AG419" s="17"/>
      <c r="AH419" s="17"/>
      <c r="AI419" s="17"/>
      <c r="AJ419" s="17"/>
      <c r="AK419" s="17"/>
      <c r="AL419" s="17"/>
      <c r="AM419" s="17"/>
      <c r="AN419" s="17"/>
      <c r="AO419" s="17"/>
      <c r="AP419" s="17"/>
      <c r="AQ419" s="17"/>
    </row>
    <row r="420" spans="1:66" ht="44.55" hidden="1">
      <c r="A420">
        <f t="shared" si="252"/>
        <v>417</v>
      </c>
      <c r="B420" s="487">
        <v>1</v>
      </c>
      <c r="C420" s="487" t="s">
        <v>522</v>
      </c>
      <c r="D420" s="407" t="s">
        <v>742</v>
      </c>
      <c r="E420" s="487"/>
      <c r="F420" s="408" t="s">
        <v>1387</v>
      </c>
      <c r="G420" s="409">
        <v>3572.58</v>
      </c>
      <c r="H420" s="410"/>
      <c r="I420" s="409">
        <f t="shared" ref="I420:I467" si="301">G420*(1-H420)</f>
        <v>3572.58</v>
      </c>
      <c r="J420" s="58">
        <v>50000</v>
      </c>
      <c r="K420" s="417">
        <f t="shared" si="272"/>
        <v>7.1451600000000004E-2</v>
      </c>
      <c r="L420" s="17" t="s">
        <v>966</v>
      </c>
      <c r="M420" s="720">
        <v>44568</v>
      </c>
      <c r="N420" s="721" t="b">
        <f t="shared" si="299"/>
        <v>0</v>
      </c>
      <c r="O420" s="721" t="b">
        <f t="shared" si="277"/>
        <v>0</v>
      </c>
      <c r="P420" s="721" t="b">
        <f t="shared" si="300"/>
        <v>1</v>
      </c>
      <c r="Q420" s="721" t="b">
        <f t="shared" si="286"/>
        <v>0</v>
      </c>
      <c r="R420" s="721" t="b">
        <f t="shared" si="266"/>
        <v>0</v>
      </c>
      <c r="S420" s="721" t="b">
        <f t="shared" si="298"/>
        <v>0</v>
      </c>
      <c r="T420" s="721" t="b">
        <f t="shared" si="294"/>
        <v>0</v>
      </c>
      <c r="U420" s="721" t="b">
        <f t="shared" si="270"/>
        <v>0</v>
      </c>
      <c r="V420" s="721" t="b">
        <f t="shared" si="292"/>
        <v>0</v>
      </c>
      <c r="W420" s="721" t="b">
        <f t="shared" si="297"/>
        <v>0</v>
      </c>
      <c r="X420" s="721" t="b">
        <f t="shared" si="290"/>
        <v>0</v>
      </c>
      <c r="Y420" s="721" t="b">
        <f t="shared" si="273"/>
        <v>0</v>
      </c>
      <c r="Z420" s="721" t="b">
        <f t="shared" si="296"/>
        <v>0</v>
      </c>
      <c r="AA420" s="721" t="b">
        <f t="shared" si="275"/>
        <v>0</v>
      </c>
      <c r="AB420" s="17"/>
      <c r="AC420" s="17"/>
      <c r="AD420" s="17"/>
      <c r="AE420" s="17"/>
      <c r="AF420" s="17"/>
      <c r="AG420" s="17"/>
      <c r="AH420" s="17"/>
      <c r="AI420" s="17"/>
      <c r="AJ420" s="17"/>
      <c r="AK420" s="17"/>
      <c r="AL420" s="17"/>
      <c r="AM420" s="17"/>
      <c r="AN420" s="17"/>
      <c r="AO420" s="17"/>
      <c r="AP420" s="17"/>
      <c r="AQ420" s="17"/>
    </row>
    <row r="421" spans="1:66" ht="44.55">
      <c r="A421">
        <f t="shared" ref="A421:A484" si="302">A420+1</f>
        <v>418</v>
      </c>
      <c r="B421" s="487">
        <v>1</v>
      </c>
      <c r="C421" s="487" t="s">
        <v>522</v>
      </c>
      <c r="D421" s="407" t="s">
        <v>742</v>
      </c>
      <c r="E421" s="487"/>
      <c r="F421" s="408" t="s">
        <v>1388</v>
      </c>
      <c r="G421" s="409">
        <v>4909.0200000000004</v>
      </c>
      <c r="H421" s="410"/>
      <c r="I421" s="409">
        <f t="shared" si="301"/>
        <v>4909.0200000000004</v>
      </c>
      <c r="J421" s="58">
        <v>100000</v>
      </c>
      <c r="K421" s="417">
        <f t="shared" si="272"/>
        <v>4.9090200000000007E-2</v>
      </c>
      <c r="L421" s="17" t="s">
        <v>966</v>
      </c>
      <c r="M421" s="720">
        <v>44568</v>
      </c>
      <c r="N421" s="721" t="b">
        <f t="shared" si="299"/>
        <v>0</v>
      </c>
      <c r="O421" s="721" t="b">
        <f t="shared" si="277"/>
        <v>0</v>
      </c>
      <c r="P421" s="721" t="b">
        <f t="shared" si="300"/>
        <v>1</v>
      </c>
      <c r="Q421" s="721" t="b">
        <f t="shared" si="286"/>
        <v>0</v>
      </c>
      <c r="R421" s="721" t="b">
        <f t="shared" si="266"/>
        <v>0</v>
      </c>
      <c r="S421" s="721" t="b">
        <f t="shared" si="298"/>
        <v>0</v>
      </c>
      <c r="T421" s="721" t="b">
        <f t="shared" si="294"/>
        <v>0</v>
      </c>
      <c r="U421" s="721" t="b">
        <f t="shared" si="270"/>
        <v>0</v>
      </c>
      <c r="V421" s="721" t="b">
        <f t="shared" si="292"/>
        <v>0</v>
      </c>
      <c r="W421" s="721" t="b">
        <f t="shared" si="297"/>
        <v>0</v>
      </c>
      <c r="X421" s="721" t="b">
        <f t="shared" si="290"/>
        <v>0</v>
      </c>
      <c r="Y421" s="721" t="b">
        <f t="shared" si="273"/>
        <v>0</v>
      </c>
      <c r="Z421" s="721" t="b">
        <f t="shared" si="296"/>
        <v>0</v>
      </c>
      <c r="AA421" s="721" t="b">
        <f t="shared" si="275"/>
        <v>0</v>
      </c>
      <c r="AB421" s="17"/>
      <c r="AC421" s="17"/>
      <c r="AD421" s="17"/>
      <c r="AE421" s="17"/>
      <c r="AF421" s="17"/>
      <c r="AG421" s="17"/>
      <c r="AH421" s="17"/>
      <c r="AI421" s="17"/>
      <c r="AJ421" s="17"/>
      <c r="AK421" s="17"/>
      <c r="AL421" s="17"/>
      <c r="AM421" s="17"/>
      <c r="AN421" s="17"/>
      <c r="AO421" s="17"/>
      <c r="AP421" s="17"/>
      <c r="AQ421" s="17"/>
    </row>
    <row r="422" spans="1:66" ht="33.4" hidden="1">
      <c r="A422">
        <f t="shared" si="302"/>
        <v>419</v>
      </c>
      <c r="B422" s="487">
        <v>1</v>
      </c>
      <c r="C422" s="487" t="s">
        <v>522</v>
      </c>
      <c r="D422" s="407" t="s">
        <v>742</v>
      </c>
      <c r="E422" s="487"/>
      <c r="F422" s="408" t="s">
        <v>1389</v>
      </c>
      <c r="G422" s="409">
        <v>4377.8900000000003</v>
      </c>
      <c r="H422" s="410"/>
      <c r="I422" s="409">
        <f t="shared" si="301"/>
        <v>4377.8900000000003</v>
      </c>
      <c r="J422" s="58">
        <v>50000</v>
      </c>
      <c r="K422" s="417">
        <f t="shared" si="272"/>
        <v>8.7557800000000005E-2</v>
      </c>
      <c r="L422" s="17" t="s">
        <v>966</v>
      </c>
      <c r="M422" s="720">
        <v>44568</v>
      </c>
      <c r="N422" s="721" t="b">
        <f t="shared" si="299"/>
        <v>0</v>
      </c>
      <c r="O422" s="721" t="b">
        <f t="shared" si="277"/>
        <v>0</v>
      </c>
      <c r="P422" s="721" t="b">
        <f t="shared" si="300"/>
        <v>1</v>
      </c>
      <c r="Q422" s="721" t="b">
        <f t="shared" si="286"/>
        <v>0</v>
      </c>
      <c r="R422" s="721" t="b">
        <f t="shared" si="266"/>
        <v>0</v>
      </c>
      <c r="S422" s="721" t="b">
        <f t="shared" si="298"/>
        <v>0</v>
      </c>
      <c r="T422" s="721" t="b">
        <f t="shared" si="294"/>
        <v>0</v>
      </c>
      <c r="U422" s="721" t="b">
        <f t="shared" si="270"/>
        <v>0</v>
      </c>
      <c r="V422" s="721" t="b">
        <f t="shared" si="292"/>
        <v>0</v>
      </c>
      <c r="W422" s="721" t="b">
        <f t="shared" si="297"/>
        <v>0</v>
      </c>
      <c r="X422" s="721" t="b">
        <f t="shared" si="290"/>
        <v>0</v>
      </c>
      <c r="Y422" s="721" t="b">
        <f t="shared" si="273"/>
        <v>0</v>
      </c>
      <c r="Z422" s="721" t="b">
        <f t="shared" si="296"/>
        <v>0</v>
      </c>
      <c r="AA422" s="721" t="b">
        <f t="shared" si="275"/>
        <v>0</v>
      </c>
      <c r="AB422" s="17"/>
      <c r="AC422" s="17"/>
      <c r="AD422" s="17"/>
      <c r="AE422" s="17"/>
      <c r="AF422" s="17"/>
      <c r="AG422" s="17"/>
      <c r="AH422" s="17"/>
      <c r="AI422" s="17"/>
      <c r="AJ422" s="17"/>
      <c r="AK422" s="17"/>
      <c r="AL422" s="17"/>
      <c r="AM422" s="17"/>
      <c r="AN422" s="17"/>
      <c r="AO422" s="17"/>
      <c r="AP422" s="17"/>
      <c r="AQ422" s="17"/>
    </row>
    <row r="423" spans="1:66" ht="33.4" hidden="1">
      <c r="A423">
        <f t="shared" si="302"/>
        <v>420</v>
      </c>
      <c r="B423" s="487">
        <v>1</v>
      </c>
      <c r="C423" s="487" t="s">
        <v>522</v>
      </c>
      <c r="D423" s="407" t="s">
        <v>742</v>
      </c>
      <c r="E423" s="487"/>
      <c r="F423" s="408" t="s">
        <v>1390</v>
      </c>
      <c r="G423" s="409">
        <v>3327.33</v>
      </c>
      <c r="H423" s="410"/>
      <c r="I423" s="409">
        <f t="shared" si="301"/>
        <v>3327.33</v>
      </c>
      <c r="J423" s="58">
        <v>50000</v>
      </c>
      <c r="K423" s="417">
        <f t="shared" si="272"/>
        <v>6.6546599999999997E-2</v>
      </c>
      <c r="L423" s="17" t="s">
        <v>966</v>
      </c>
      <c r="M423" s="720">
        <v>44568</v>
      </c>
      <c r="N423" s="721" t="b">
        <f t="shared" si="299"/>
        <v>0</v>
      </c>
      <c r="O423" s="721" t="b">
        <f t="shared" si="277"/>
        <v>0</v>
      </c>
      <c r="P423" s="721" t="b">
        <f t="shared" si="300"/>
        <v>1</v>
      </c>
      <c r="Q423" s="721" t="b">
        <f t="shared" si="286"/>
        <v>0</v>
      </c>
      <c r="R423" s="721" t="b">
        <f t="shared" si="266"/>
        <v>0</v>
      </c>
      <c r="S423" s="721" t="b">
        <f t="shared" si="298"/>
        <v>0</v>
      </c>
      <c r="T423" s="721" t="b">
        <f t="shared" si="294"/>
        <v>0</v>
      </c>
      <c r="U423" s="721" t="b">
        <f t="shared" si="270"/>
        <v>0</v>
      </c>
      <c r="V423" s="721" t="b">
        <f t="shared" si="292"/>
        <v>0</v>
      </c>
      <c r="W423" s="721" t="b">
        <f t="shared" si="297"/>
        <v>0</v>
      </c>
      <c r="X423" s="721" t="b">
        <f t="shared" si="290"/>
        <v>0</v>
      </c>
      <c r="Y423" s="721" t="b">
        <f t="shared" si="273"/>
        <v>0</v>
      </c>
      <c r="Z423" s="721" t="b">
        <f t="shared" si="296"/>
        <v>0</v>
      </c>
      <c r="AA423" s="721" t="b">
        <f t="shared" si="275"/>
        <v>0</v>
      </c>
      <c r="AB423" s="17"/>
      <c r="AC423" s="17"/>
      <c r="AD423" s="17"/>
      <c r="AE423" s="17"/>
      <c r="AF423" s="17"/>
      <c r="AG423" s="17"/>
      <c r="AH423" s="17"/>
      <c r="AI423" s="17"/>
      <c r="AJ423" s="17"/>
      <c r="AK423" s="17"/>
      <c r="AL423" s="17"/>
      <c r="AM423" s="17"/>
      <c r="AN423" s="17"/>
      <c r="AO423" s="17"/>
      <c r="AP423" s="17"/>
      <c r="AQ423" s="17"/>
    </row>
    <row r="424" spans="1:66">
      <c r="A424">
        <f t="shared" si="302"/>
        <v>421</v>
      </c>
      <c r="B424" s="487">
        <v>1</v>
      </c>
      <c r="C424" s="487" t="s">
        <v>522</v>
      </c>
      <c r="D424" s="407" t="s">
        <v>742</v>
      </c>
      <c r="E424" s="487"/>
      <c r="F424" s="408" t="s">
        <v>519</v>
      </c>
      <c r="G424" s="409">
        <v>4450.22</v>
      </c>
      <c r="H424" s="410"/>
      <c r="I424" s="409">
        <f t="shared" si="301"/>
        <v>4450.22</v>
      </c>
      <c r="J424" s="58">
        <v>100000</v>
      </c>
      <c r="K424" s="417">
        <f t="shared" si="272"/>
        <v>4.4502200000000006E-2</v>
      </c>
      <c r="L424" s="17" t="s">
        <v>966</v>
      </c>
      <c r="M424" s="720">
        <v>44568</v>
      </c>
      <c r="N424" s="721" t="b">
        <f t="shared" si="299"/>
        <v>0</v>
      </c>
      <c r="O424" s="721" t="b">
        <f t="shared" si="277"/>
        <v>0</v>
      </c>
      <c r="P424" s="721" t="b">
        <f t="shared" si="300"/>
        <v>1</v>
      </c>
      <c r="Q424" s="721" t="b">
        <f t="shared" si="286"/>
        <v>0</v>
      </c>
      <c r="R424" s="721" t="b">
        <f t="shared" si="266"/>
        <v>0</v>
      </c>
      <c r="S424" s="721" t="b">
        <f t="shared" si="298"/>
        <v>0</v>
      </c>
      <c r="T424" s="721" t="b">
        <f t="shared" si="294"/>
        <v>0</v>
      </c>
      <c r="U424" s="721" t="b">
        <f t="shared" si="270"/>
        <v>0</v>
      </c>
      <c r="V424" s="721" t="b">
        <f t="shared" si="292"/>
        <v>0</v>
      </c>
      <c r="W424" s="721" t="b">
        <f t="shared" si="297"/>
        <v>0</v>
      </c>
      <c r="X424" s="721" t="b">
        <f t="shared" si="290"/>
        <v>0</v>
      </c>
      <c r="Y424" s="721" t="b">
        <f t="shared" si="273"/>
        <v>0</v>
      </c>
      <c r="Z424" s="721" t="b">
        <f t="shared" si="296"/>
        <v>0</v>
      </c>
      <c r="AA424" s="721" t="b">
        <f t="shared" si="275"/>
        <v>0</v>
      </c>
      <c r="AB424" s="17"/>
      <c r="AC424" s="17"/>
      <c r="AD424" s="17"/>
      <c r="AE424" s="17"/>
      <c r="AF424" s="17"/>
      <c r="AG424" s="17"/>
      <c r="AH424" s="17"/>
      <c r="AI424" s="17"/>
      <c r="AJ424" s="17"/>
      <c r="AK424" s="17"/>
      <c r="AL424" s="17"/>
      <c r="AM424" s="17"/>
      <c r="AN424" s="17"/>
      <c r="AO424" s="17"/>
      <c r="AP424" s="17"/>
      <c r="AQ424" s="17"/>
    </row>
    <row r="425" spans="1:66" hidden="1">
      <c r="A425">
        <f t="shared" si="302"/>
        <v>422</v>
      </c>
      <c r="B425" s="487">
        <v>1</v>
      </c>
      <c r="C425" s="407" t="s">
        <v>539</v>
      </c>
      <c r="D425" s="407" t="s">
        <v>552</v>
      </c>
      <c r="E425" s="407"/>
      <c r="F425" s="407" t="s">
        <v>772</v>
      </c>
      <c r="G425" s="409">
        <f>16.07/1.2</f>
        <v>13.391666666666667</v>
      </c>
      <c r="H425" s="428"/>
      <c r="I425" s="430">
        <f t="shared" si="301"/>
        <v>13.391666666666667</v>
      </c>
      <c r="K425" s="17"/>
      <c r="L425" s="17" t="s">
        <v>1061</v>
      </c>
      <c r="M425" s="720">
        <v>44572</v>
      </c>
      <c r="N425" s="721" t="b">
        <f t="shared" si="299"/>
        <v>0</v>
      </c>
      <c r="O425" s="721" t="b">
        <f t="shared" si="277"/>
        <v>0</v>
      </c>
      <c r="P425" s="721" t="b">
        <f t="shared" ref="P425:P430" si="303">FALSE()</f>
        <v>0</v>
      </c>
      <c r="Q425" s="721" t="b">
        <f t="shared" si="286"/>
        <v>0</v>
      </c>
      <c r="R425" s="721" t="b">
        <f t="shared" si="266"/>
        <v>0</v>
      </c>
      <c r="S425" s="721" t="b">
        <f t="shared" si="298"/>
        <v>0</v>
      </c>
      <c r="T425" s="721" t="b">
        <f t="shared" si="294"/>
        <v>0</v>
      </c>
      <c r="U425" s="721" t="b">
        <f t="shared" si="270"/>
        <v>0</v>
      </c>
      <c r="V425" s="721" t="b">
        <f t="shared" si="292"/>
        <v>0</v>
      </c>
      <c r="W425" s="721" t="b">
        <f t="shared" ref="W425:W426" si="304">TRUE()</f>
        <v>1</v>
      </c>
      <c r="X425" s="721" t="b">
        <f t="shared" si="290"/>
        <v>0</v>
      </c>
      <c r="Y425" s="721" t="b">
        <f t="shared" si="273"/>
        <v>0</v>
      </c>
      <c r="Z425" s="721" t="b">
        <f t="shared" si="296"/>
        <v>0</v>
      </c>
      <c r="AA425" s="721" t="b">
        <f t="shared" si="275"/>
        <v>0</v>
      </c>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row>
    <row r="426" spans="1:66" hidden="1">
      <c r="A426">
        <f t="shared" si="302"/>
        <v>423</v>
      </c>
      <c r="B426" s="487">
        <v>1</v>
      </c>
      <c r="C426" s="407" t="s">
        <v>539</v>
      </c>
      <c r="D426" s="407" t="s">
        <v>552</v>
      </c>
      <c r="E426" s="407"/>
      <c r="F426" s="407" t="s">
        <v>770</v>
      </c>
      <c r="G426" s="409">
        <f>19.78/1.2</f>
        <v>16.483333333333334</v>
      </c>
      <c r="H426" s="428"/>
      <c r="I426" s="430">
        <f t="shared" si="301"/>
        <v>16.483333333333334</v>
      </c>
      <c r="K426" s="17"/>
      <c r="L426" s="17" t="s">
        <v>1061</v>
      </c>
      <c r="M426" s="720">
        <v>44572</v>
      </c>
      <c r="N426" s="721" t="b">
        <f t="shared" si="299"/>
        <v>0</v>
      </c>
      <c r="O426" s="721" t="b">
        <f t="shared" si="277"/>
        <v>0</v>
      </c>
      <c r="P426" s="721" t="b">
        <f t="shared" si="303"/>
        <v>0</v>
      </c>
      <c r="Q426" s="721" t="b">
        <f t="shared" si="286"/>
        <v>0</v>
      </c>
      <c r="R426" s="721" t="b">
        <f t="shared" si="266"/>
        <v>0</v>
      </c>
      <c r="S426" s="721" t="b">
        <f t="shared" si="298"/>
        <v>0</v>
      </c>
      <c r="T426" s="721" t="b">
        <f t="shared" si="294"/>
        <v>0</v>
      </c>
      <c r="U426" s="721" t="b">
        <f t="shared" si="270"/>
        <v>0</v>
      </c>
      <c r="V426" s="721" t="b">
        <f t="shared" si="292"/>
        <v>0</v>
      </c>
      <c r="W426" s="721" t="b">
        <f t="shared" si="304"/>
        <v>1</v>
      </c>
      <c r="X426" s="721" t="b">
        <f t="shared" si="290"/>
        <v>0</v>
      </c>
      <c r="Y426" s="721" t="b">
        <f t="shared" si="273"/>
        <v>0</v>
      </c>
      <c r="Z426" s="721" t="b">
        <f t="shared" si="296"/>
        <v>0</v>
      </c>
      <c r="AA426" s="721" t="b">
        <f t="shared" si="275"/>
        <v>0</v>
      </c>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row>
    <row r="427" spans="1:66" hidden="1">
      <c r="A427">
        <f t="shared" si="302"/>
        <v>424</v>
      </c>
      <c r="B427" s="407">
        <v>1</v>
      </c>
      <c r="C427" s="407" t="s">
        <v>517</v>
      </c>
      <c r="D427" s="408" t="s">
        <v>545</v>
      </c>
      <c r="E427" s="407" t="s">
        <v>1391</v>
      </c>
      <c r="F427" s="408" t="s">
        <v>1392</v>
      </c>
      <c r="G427" s="409">
        <v>6.02</v>
      </c>
      <c r="H427" s="410"/>
      <c r="I427" s="409">
        <f t="shared" si="301"/>
        <v>6.02</v>
      </c>
      <c r="K427" s="417"/>
      <c r="L427" s="17" t="s">
        <v>1158</v>
      </c>
      <c r="M427" s="720">
        <v>44572</v>
      </c>
      <c r="N427" s="721" t="b">
        <f t="shared" si="299"/>
        <v>0</v>
      </c>
      <c r="O427" s="721" t="b">
        <f t="shared" si="277"/>
        <v>0</v>
      </c>
      <c r="P427" s="721" t="b">
        <f t="shared" si="303"/>
        <v>0</v>
      </c>
      <c r="Q427" s="721" t="b">
        <f t="shared" si="286"/>
        <v>0</v>
      </c>
      <c r="R427" s="721" t="b">
        <f t="shared" si="266"/>
        <v>0</v>
      </c>
      <c r="S427" s="721" t="b">
        <f t="shared" si="298"/>
        <v>0</v>
      </c>
      <c r="T427" s="721" t="b">
        <f t="shared" si="294"/>
        <v>0</v>
      </c>
      <c r="U427" s="721" t="b">
        <f t="shared" si="270"/>
        <v>0</v>
      </c>
      <c r="V427" s="721" t="b">
        <f t="shared" si="292"/>
        <v>0</v>
      </c>
      <c r="W427" s="721" t="b">
        <f t="shared" ref="W427:W455" si="305">FALSE()</f>
        <v>0</v>
      </c>
      <c r="X427" s="721" t="b">
        <f t="shared" si="290"/>
        <v>0</v>
      </c>
      <c r="Y427" s="721" t="b">
        <f t="shared" si="273"/>
        <v>0</v>
      </c>
      <c r="Z427" s="721" t="b">
        <f t="shared" ref="Z427:Z428" si="306">TRUE()</f>
        <v>1</v>
      </c>
      <c r="AA427" s="721" t="b">
        <f t="shared" si="275"/>
        <v>0</v>
      </c>
      <c r="AB427" s="17"/>
      <c r="AC427" s="17"/>
      <c r="AD427" s="17"/>
      <c r="AE427" s="17"/>
      <c r="AF427" s="17"/>
      <c r="AG427" s="17"/>
      <c r="AH427" s="17"/>
      <c r="AI427" s="17"/>
      <c r="AJ427" s="17"/>
      <c r="AK427" s="17"/>
      <c r="AL427" s="17"/>
      <c r="AM427" s="17"/>
      <c r="AN427" s="17"/>
      <c r="AO427" s="17"/>
      <c r="AP427" s="17"/>
      <c r="AQ427" s="17"/>
    </row>
    <row r="428" spans="1:66" hidden="1">
      <c r="A428">
        <f t="shared" si="302"/>
        <v>425</v>
      </c>
      <c r="B428" s="407">
        <v>1</v>
      </c>
      <c r="C428" s="407" t="s">
        <v>517</v>
      </c>
      <c r="D428" s="408" t="s">
        <v>545</v>
      </c>
      <c r="E428" s="407" t="s">
        <v>1393</v>
      </c>
      <c r="F428" s="408" t="s">
        <v>1394</v>
      </c>
      <c r="G428" s="409">
        <v>21.19</v>
      </c>
      <c r="H428" s="410"/>
      <c r="I428" s="409">
        <f t="shared" si="301"/>
        <v>21.19</v>
      </c>
      <c r="K428" s="417"/>
      <c r="L428" s="17" t="s">
        <v>1158</v>
      </c>
      <c r="M428" s="720">
        <v>44572</v>
      </c>
      <c r="N428" s="721" t="b">
        <f t="shared" si="299"/>
        <v>0</v>
      </c>
      <c r="O428" s="721" t="b">
        <f t="shared" si="277"/>
        <v>0</v>
      </c>
      <c r="P428" s="721" t="b">
        <f t="shared" si="303"/>
        <v>0</v>
      </c>
      <c r="Q428" s="721" t="b">
        <f t="shared" si="286"/>
        <v>0</v>
      </c>
      <c r="R428" s="721" t="b">
        <f t="shared" si="266"/>
        <v>0</v>
      </c>
      <c r="S428" s="721" t="b">
        <f t="shared" si="298"/>
        <v>0</v>
      </c>
      <c r="T428" s="721" t="b">
        <f t="shared" si="294"/>
        <v>0</v>
      </c>
      <c r="U428" s="721" t="b">
        <f t="shared" si="270"/>
        <v>0</v>
      </c>
      <c r="V428" s="721" t="b">
        <f t="shared" si="292"/>
        <v>0</v>
      </c>
      <c r="W428" s="721" t="b">
        <f t="shared" si="305"/>
        <v>0</v>
      </c>
      <c r="X428" s="721" t="b">
        <f t="shared" si="290"/>
        <v>0</v>
      </c>
      <c r="Y428" s="721" t="b">
        <f t="shared" si="273"/>
        <v>0</v>
      </c>
      <c r="Z428" s="721" t="b">
        <f t="shared" si="306"/>
        <v>1</v>
      </c>
      <c r="AA428" s="721" t="b">
        <f t="shared" si="275"/>
        <v>0</v>
      </c>
      <c r="AB428" s="17"/>
      <c r="AC428" s="17"/>
      <c r="AD428" s="17"/>
      <c r="AE428" s="17"/>
      <c r="AF428" s="17"/>
      <c r="AG428" s="17"/>
      <c r="AH428" s="17"/>
      <c r="AI428" s="17"/>
      <c r="AJ428" s="17"/>
      <c r="AK428" s="17"/>
      <c r="AL428" s="17"/>
      <c r="AM428" s="17"/>
      <c r="AN428" s="17"/>
      <c r="AO428" s="17"/>
      <c r="AP428" s="17"/>
      <c r="AQ428" s="17"/>
    </row>
    <row r="429" spans="1:66" ht="22.25" hidden="1">
      <c r="A429">
        <f t="shared" si="302"/>
        <v>426</v>
      </c>
      <c r="B429" s="407">
        <v>1</v>
      </c>
      <c r="C429" s="407" t="s">
        <v>505</v>
      </c>
      <c r="D429" s="408" t="s">
        <v>506</v>
      </c>
      <c r="E429" s="407" t="s">
        <v>507</v>
      </c>
      <c r="F429" s="408" t="s">
        <v>508</v>
      </c>
      <c r="G429" s="409">
        <v>154.56</v>
      </c>
      <c r="H429" s="410"/>
      <c r="I429" s="409">
        <f t="shared" si="301"/>
        <v>154.56</v>
      </c>
      <c r="J429" s="58">
        <v>390</v>
      </c>
      <c r="K429" s="417">
        <f t="shared" si="272"/>
        <v>0.39630769230769231</v>
      </c>
      <c r="L429" s="17" t="s">
        <v>1395</v>
      </c>
      <c r="M429" s="720">
        <v>44606</v>
      </c>
      <c r="N429" s="721" t="b">
        <f t="shared" ref="N429:N430" si="307">TRUE()</f>
        <v>1</v>
      </c>
      <c r="O429" s="721" t="b">
        <f t="shared" si="277"/>
        <v>0</v>
      </c>
      <c r="P429" s="721" t="b">
        <f t="shared" si="303"/>
        <v>0</v>
      </c>
      <c r="Q429" s="721" t="b">
        <f t="shared" si="286"/>
        <v>0</v>
      </c>
      <c r="R429" s="721" t="b">
        <f t="shared" si="266"/>
        <v>0</v>
      </c>
      <c r="S429" s="721" t="b">
        <f t="shared" si="298"/>
        <v>0</v>
      </c>
      <c r="T429" s="721" t="b">
        <f t="shared" si="294"/>
        <v>0</v>
      </c>
      <c r="U429" s="721" t="b">
        <f t="shared" si="270"/>
        <v>0</v>
      </c>
      <c r="V429" s="721" t="b">
        <f t="shared" si="292"/>
        <v>0</v>
      </c>
      <c r="W429" s="721" t="b">
        <f t="shared" si="305"/>
        <v>0</v>
      </c>
      <c r="X429" s="721"/>
      <c r="Y429" s="721" t="b">
        <f t="shared" si="273"/>
        <v>0</v>
      </c>
      <c r="Z429" s="721" t="b">
        <f t="shared" ref="Z429:Z467" si="308">FALSE()</f>
        <v>0</v>
      </c>
      <c r="AA429" s="721" t="b">
        <f t="shared" si="275"/>
        <v>0</v>
      </c>
      <c r="AB429" s="17"/>
      <c r="AC429" s="17"/>
      <c r="AD429" s="17"/>
      <c r="AE429" s="17"/>
      <c r="AF429" s="17"/>
      <c r="AG429" s="17"/>
      <c r="AH429" s="17"/>
      <c r="AI429" s="17"/>
      <c r="AJ429" s="17"/>
      <c r="AK429" s="17"/>
      <c r="AL429" s="17"/>
      <c r="AM429" s="17"/>
      <c r="AN429" s="17"/>
      <c r="AO429" s="17"/>
      <c r="AP429" s="17"/>
      <c r="AQ429" s="17"/>
    </row>
    <row r="430" spans="1:66" hidden="1">
      <c r="A430">
        <f t="shared" si="302"/>
        <v>427</v>
      </c>
      <c r="B430" s="407">
        <v>1</v>
      </c>
      <c r="C430" s="407" t="s">
        <v>505</v>
      </c>
      <c r="D430" s="408" t="s">
        <v>506</v>
      </c>
      <c r="E430" s="407" t="s">
        <v>511</v>
      </c>
      <c r="F430" s="408" t="s">
        <v>512</v>
      </c>
      <c r="G430" s="409">
        <v>0.5</v>
      </c>
      <c r="H430" s="410"/>
      <c r="I430" s="409">
        <f t="shared" si="301"/>
        <v>0.5</v>
      </c>
      <c r="J430" s="58">
        <v>390</v>
      </c>
      <c r="K430" s="417">
        <f t="shared" si="272"/>
        <v>1.2820512820512821E-3</v>
      </c>
      <c r="L430" s="17" t="s">
        <v>1395</v>
      </c>
      <c r="M430" s="720">
        <v>44606</v>
      </c>
      <c r="N430" s="721" t="b">
        <f t="shared" si="307"/>
        <v>1</v>
      </c>
      <c r="O430" s="721" t="b">
        <f t="shared" si="277"/>
        <v>0</v>
      </c>
      <c r="P430" s="721" t="b">
        <f t="shared" si="303"/>
        <v>0</v>
      </c>
      <c r="Q430" s="721" t="b">
        <f t="shared" si="286"/>
        <v>0</v>
      </c>
      <c r="R430" s="721" t="b">
        <f t="shared" si="266"/>
        <v>0</v>
      </c>
      <c r="S430" s="721" t="b">
        <f t="shared" si="298"/>
        <v>0</v>
      </c>
      <c r="T430" s="721" t="b">
        <f t="shared" si="294"/>
        <v>0</v>
      </c>
      <c r="U430" s="721" t="b">
        <f t="shared" si="270"/>
        <v>0</v>
      </c>
      <c r="V430" s="721" t="b">
        <f t="shared" si="292"/>
        <v>0</v>
      </c>
      <c r="W430" s="721" t="b">
        <f t="shared" si="305"/>
        <v>0</v>
      </c>
      <c r="X430" s="721"/>
      <c r="Y430" s="721" t="b">
        <f t="shared" si="273"/>
        <v>0</v>
      </c>
      <c r="Z430" s="721" t="b">
        <f t="shared" si="308"/>
        <v>0</v>
      </c>
      <c r="AA430" s="721" t="b">
        <f t="shared" si="275"/>
        <v>0</v>
      </c>
      <c r="AB430" s="17"/>
      <c r="AC430" s="17"/>
      <c r="AD430" s="17"/>
      <c r="AE430" s="17"/>
      <c r="AF430" s="17"/>
      <c r="AG430" s="17"/>
      <c r="AH430" s="17"/>
      <c r="AI430" s="17"/>
      <c r="AJ430" s="17"/>
      <c r="AK430" s="17"/>
      <c r="AL430" s="17"/>
      <c r="AM430" s="17"/>
      <c r="AN430" s="17"/>
      <c r="AO430" s="17"/>
      <c r="AP430" s="17"/>
      <c r="AQ430" s="17"/>
    </row>
    <row r="431" spans="1:66">
      <c r="A431">
        <f t="shared" si="302"/>
        <v>428</v>
      </c>
      <c r="B431" s="407">
        <v>1</v>
      </c>
      <c r="C431" s="407" t="s">
        <v>505</v>
      </c>
      <c r="D431" s="408" t="s">
        <v>506</v>
      </c>
      <c r="E431" s="407"/>
      <c r="F431" s="408" t="s">
        <v>1396</v>
      </c>
      <c r="G431" s="409">
        <v>4730.5</v>
      </c>
      <c r="H431" s="410"/>
      <c r="I431" s="409">
        <f t="shared" si="301"/>
        <v>4730.5</v>
      </c>
      <c r="J431" s="58">
        <v>100000</v>
      </c>
      <c r="K431" s="417">
        <f t="shared" si="272"/>
        <v>4.7305E-2</v>
      </c>
      <c r="L431" s="17" t="s">
        <v>1395</v>
      </c>
      <c r="M431" s="720">
        <v>44606</v>
      </c>
      <c r="N431" s="721" t="b">
        <f t="shared" ref="N431:N460" si="309">FALSE()</f>
        <v>0</v>
      </c>
      <c r="O431" s="721" t="b">
        <f t="shared" si="277"/>
        <v>0</v>
      </c>
      <c r="P431" s="721" t="b">
        <f>TRUE()</f>
        <v>1</v>
      </c>
      <c r="Q431" s="721" t="b">
        <f t="shared" si="286"/>
        <v>0</v>
      </c>
      <c r="R431" s="721" t="b">
        <f t="shared" si="266"/>
        <v>0</v>
      </c>
      <c r="S431" s="721" t="b">
        <f t="shared" si="298"/>
        <v>0</v>
      </c>
      <c r="T431" s="721" t="b">
        <f t="shared" si="294"/>
        <v>0</v>
      </c>
      <c r="U431" s="721" t="b">
        <f t="shared" si="270"/>
        <v>0</v>
      </c>
      <c r="V431" s="721" t="b">
        <f t="shared" si="292"/>
        <v>0</v>
      </c>
      <c r="W431" s="721" t="b">
        <f t="shared" si="305"/>
        <v>0</v>
      </c>
      <c r="X431" s="721" t="b">
        <f t="shared" si="290"/>
        <v>0</v>
      </c>
      <c r="Y431" s="721" t="b">
        <f t="shared" si="273"/>
        <v>0</v>
      </c>
      <c r="Z431" s="721" t="b">
        <f t="shared" si="308"/>
        <v>0</v>
      </c>
      <c r="AA431" s="721" t="b">
        <f t="shared" si="275"/>
        <v>0</v>
      </c>
      <c r="AB431" s="17"/>
      <c r="AC431" s="17"/>
      <c r="AD431" s="17"/>
      <c r="AE431" s="17"/>
      <c r="AF431" s="17"/>
      <c r="AG431" s="17"/>
      <c r="AH431" s="17"/>
      <c r="AI431" s="17"/>
      <c r="AJ431" s="17"/>
      <c r="AK431" s="17"/>
      <c r="AL431" s="17"/>
      <c r="AM431" s="17"/>
      <c r="AN431" s="17"/>
      <c r="AO431" s="17"/>
      <c r="AP431" s="17"/>
      <c r="AQ431" s="17"/>
    </row>
    <row r="432" spans="1:66" hidden="1">
      <c r="A432">
        <f t="shared" si="302"/>
        <v>429</v>
      </c>
      <c r="B432" s="407">
        <v>1</v>
      </c>
      <c r="C432" s="407" t="s">
        <v>505</v>
      </c>
      <c r="D432" s="408" t="s">
        <v>506</v>
      </c>
      <c r="E432" s="407"/>
      <c r="F432" s="408" t="s">
        <v>1397</v>
      </c>
      <c r="G432" s="409">
        <v>134.9</v>
      </c>
      <c r="H432" s="410"/>
      <c r="I432" s="409">
        <f t="shared" si="301"/>
        <v>134.9</v>
      </c>
      <c r="K432" s="17"/>
      <c r="L432" s="17" t="s">
        <v>1395</v>
      </c>
      <c r="M432" s="720">
        <v>44606</v>
      </c>
      <c r="N432" s="721" t="b">
        <f t="shared" si="309"/>
        <v>0</v>
      </c>
      <c r="O432" s="721" t="b">
        <f t="shared" si="277"/>
        <v>0</v>
      </c>
      <c r="P432" s="721" t="b">
        <f>FALSE()</f>
        <v>0</v>
      </c>
      <c r="Q432" s="721" t="b">
        <f t="shared" si="286"/>
        <v>0</v>
      </c>
      <c r="R432" s="721" t="b">
        <f t="shared" si="266"/>
        <v>0</v>
      </c>
      <c r="S432" s="721" t="b">
        <f t="shared" si="298"/>
        <v>0</v>
      </c>
      <c r="T432" s="721" t="b">
        <f>TRUE()</f>
        <v>1</v>
      </c>
      <c r="U432" s="721" t="b">
        <f t="shared" si="270"/>
        <v>0</v>
      </c>
      <c r="V432" s="721" t="b">
        <f t="shared" si="292"/>
        <v>0</v>
      </c>
      <c r="W432" s="721" t="b">
        <f t="shared" si="305"/>
        <v>0</v>
      </c>
      <c r="X432" s="721" t="b">
        <f t="shared" si="290"/>
        <v>0</v>
      </c>
      <c r="Y432" s="721" t="b">
        <f t="shared" si="273"/>
        <v>0</v>
      </c>
      <c r="Z432" s="721" t="b">
        <f t="shared" si="308"/>
        <v>0</v>
      </c>
      <c r="AA432" s="721" t="b">
        <f t="shared" si="275"/>
        <v>0</v>
      </c>
      <c r="AB432" s="17"/>
      <c r="AC432" s="17"/>
      <c r="AD432" s="17"/>
      <c r="AE432" s="17"/>
      <c r="AF432" s="17"/>
      <c r="AG432" s="17"/>
      <c r="AH432" s="17"/>
      <c r="AI432" s="17"/>
      <c r="AJ432" s="17"/>
      <c r="AK432" s="17"/>
      <c r="AL432" s="17"/>
      <c r="AM432" s="17"/>
      <c r="AN432" s="17"/>
      <c r="AO432" s="17"/>
      <c r="AP432" s="17"/>
      <c r="AQ432" s="17"/>
    </row>
    <row r="433" spans="1:43" hidden="1">
      <c r="A433">
        <f t="shared" si="302"/>
        <v>430</v>
      </c>
      <c r="B433" s="407">
        <v>1</v>
      </c>
      <c r="C433" s="407" t="s">
        <v>505</v>
      </c>
      <c r="D433" s="408" t="s">
        <v>506</v>
      </c>
      <c r="E433" s="407"/>
      <c r="F433" s="408" t="s">
        <v>1398</v>
      </c>
      <c r="G433" s="409">
        <v>3372.8</v>
      </c>
      <c r="H433" s="410"/>
      <c r="I433" s="409">
        <f t="shared" si="301"/>
        <v>3372.8</v>
      </c>
      <c r="J433" s="58">
        <v>50000</v>
      </c>
      <c r="K433" s="417">
        <f t="shared" si="272"/>
        <v>6.7456000000000002E-2</v>
      </c>
      <c r="L433" s="17" t="s">
        <v>1395</v>
      </c>
      <c r="M433" s="720">
        <v>44606</v>
      </c>
      <c r="N433" s="721" t="b">
        <f t="shared" si="309"/>
        <v>0</v>
      </c>
      <c r="O433" s="721" t="b">
        <f t="shared" si="277"/>
        <v>0</v>
      </c>
      <c r="P433" s="721" t="b">
        <f>TRUE()</f>
        <v>1</v>
      </c>
      <c r="Q433" s="721" t="b">
        <f t="shared" si="286"/>
        <v>0</v>
      </c>
      <c r="R433" s="721" t="b">
        <f t="shared" si="266"/>
        <v>0</v>
      </c>
      <c r="S433" s="721" t="b">
        <f t="shared" si="298"/>
        <v>0</v>
      </c>
      <c r="T433" s="721" t="b">
        <f>FALSE()</f>
        <v>0</v>
      </c>
      <c r="U433" s="721" t="b">
        <f t="shared" si="270"/>
        <v>0</v>
      </c>
      <c r="V433" s="721" t="b">
        <f t="shared" si="292"/>
        <v>0</v>
      </c>
      <c r="W433" s="721" t="b">
        <f t="shared" si="305"/>
        <v>0</v>
      </c>
      <c r="X433" s="721" t="b">
        <f t="shared" si="290"/>
        <v>0</v>
      </c>
      <c r="Y433" s="721" t="b">
        <f t="shared" si="273"/>
        <v>0</v>
      </c>
      <c r="Z433" s="721" t="b">
        <f t="shared" si="308"/>
        <v>0</v>
      </c>
      <c r="AA433" s="721" t="b">
        <f t="shared" si="275"/>
        <v>0</v>
      </c>
      <c r="AB433" s="17"/>
      <c r="AC433" s="17"/>
      <c r="AD433" s="17"/>
      <c r="AE433" s="17"/>
      <c r="AF433" s="17"/>
      <c r="AG433" s="17"/>
      <c r="AH433" s="17"/>
      <c r="AI433" s="17"/>
      <c r="AJ433" s="17"/>
      <c r="AK433" s="17"/>
      <c r="AL433" s="17"/>
      <c r="AM433" s="17"/>
      <c r="AN433" s="17"/>
      <c r="AO433" s="17"/>
      <c r="AP433" s="17"/>
      <c r="AQ433" s="17"/>
    </row>
    <row r="434" spans="1:43" hidden="1">
      <c r="A434">
        <f t="shared" si="302"/>
        <v>431</v>
      </c>
      <c r="B434" s="407">
        <v>1</v>
      </c>
      <c r="C434" s="407" t="s">
        <v>505</v>
      </c>
      <c r="D434" s="408" t="s">
        <v>506</v>
      </c>
      <c r="E434" s="407"/>
      <c r="F434" s="408" t="s">
        <v>802</v>
      </c>
      <c r="G434" s="409">
        <v>86.1</v>
      </c>
      <c r="H434" s="410"/>
      <c r="I434" s="409">
        <f t="shared" si="301"/>
        <v>86.1</v>
      </c>
      <c r="K434" s="17"/>
      <c r="L434" s="17" t="s">
        <v>1395</v>
      </c>
      <c r="M434" s="720">
        <v>44606</v>
      </c>
      <c r="N434" s="721" t="b">
        <f t="shared" si="309"/>
        <v>0</v>
      </c>
      <c r="O434" s="721" t="b">
        <f t="shared" si="277"/>
        <v>0</v>
      </c>
      <c r="P434" s="721" t="b">
        <f>FALSE()</f>
        <v>0</v>
      </c>
      <c r="Q434" s="721" t="b">
        <f t="shared" si="286"/>
        <v>0</v>
      </c>
      <c r="R434" s="721" t="b">
        <f t="shared" ref="R434:R437" si="310">FALSE()</f>
        <v>0</v>
      </c>
      <c r="S434" s="721" t="b">
        <f t="shared" si="298"/>
        <v>0</v>
      </c>
      <c r="T434" s="721" t="b">
        <f>TRUE()</f>
        <v>1</v>
      </c>
      <c r="U434" s="721" t="b">
        <f t="shared" si="270"/>
        <v>0</v>
      </c>
      <c r="V434" s="721" t="b">
        <f t="shared" si="292"/>
        <v>0</v>
      </c>
      <c r="W434" s="721" t="b">
        <f t="shared" si="305"/>
        <v>0</v>
      </c>
      <c r="X434" s="721" t="b">
        <f t="shared" si="290"/>
        <v>0</v>
      </c>
      <c r="Y434" s="721" t="b">
        <f t="shared" si="273"/>
        <v>0</v>
      </c>
      <c r="Z434" s="721" t="b">
        <f t="shared" si="308"/>
        <v>0</v>
      </c>
      <c r="AA434" s="721" t="b">
        <f t="shared" si="275"/>
        <v>0</v>
      </c>
      <c r="AB434" s="17"/>
      <c r="AC434" s="17"/>
      <c r="AD434" s="17"/>
      <c r="AE434" s="17"/>
      <c r="AF434" s="17"/>
      <c r="AG434" s="17"/>
      <c r="AH434" s="17"/>
      <c r="AI434" s="17"/>
      <c r="AJ434" s="17"/>
      <c r="AK434" s="17"/>
      <c r="AL434" s="17"/>
      <c r="AM434" s="17"/>
      <c r="AN434" s="17"/>
      <c r="AO434" s="17"/>
      <c r="AP434" s="17"/>
      <c r="AQ434" s="17"/>
    </row>
    <row r="435" spans="1:43" hidden="1">
      <c r="A435">
        <f t="shared" si="302"/>
        <v>432</v>
      </c>
      <c r="B435" s="407">
        <v>1</v>
      </c>
      <c r="C435" s="407" t="s">
        <v>505</v>
      </c>
      <c r="D435" s="408" t="s">
        <v>506</v>
      </c>
      <c r="E435" s="407"/>
      <c r="F435" s="408" t="s">
        <v>1399</v>
      </c>
      <c r="G435" s="409">
        <v>95.9</v>
      </c>
      <c r="H435" s="410"/>
      <c r="I435" s="409">
        <f t="shared" si="301"/>
        <v>95.9</v>
      </c>
      <c r="K435" s="17"/>
      <c r="L435" s="17" t="s">
        <v>1395</v>
      </c>
      <c r="M435" s="720">
        <v>44606</v>
      </c>
      <c r="N435" s="721" t="b">
        <f t="shared" si="309"/>
        <v>0</v>
      </c>
      <c r="O435" s="721" t="b">
        <f t="shared" si="277"/>
        <v>0</v>
      </c>
      <c r="P435" s="721" t="b">
        <f t="shared" ref="P435:P437" si="311">TRUE()</f>
        <v>1</v>
      </c>
      <c r="Q435" s="721" t="b">
        <f t="shared" si="286"/>
        <v>0</v>
      </c>
      <c r="R435" s="721" t="b">
        <f t="shared" si="310"/>
        <v>0</v>
      </c>
      <c r="S435" s="721" t="b">
        <f t="shared" si="298"/>
        <v>0</v>
      </c>
      <c r="T435" s="721" t="b">
        <f t="shared" ref="T435:T467" si="312">FALSE()</f>
        <v>0</v>
      </c>
      <c r="U435" s="721" t="b">
        <f t="shared" si="270"/>
        <v>0</v>
      </c>
      <c r="V435" s="721" t="b">
        <f t="shared" si="292"/>
        <v>0</v>
      </c>
      <c r="W435" s="721" t="b">
        <f t="shared" si="305"/>
        <v>0</v>
      </c>
      <c r="X435" s="721" t="b">
        <f t="shared" si="290"/>
        <v>0</v>
      </c>
      <c r="Y435" s="721" t="b">
        <f t="shared" si="273"/>
        <v>0</v>
      </c>
      <c r="Z435" s="721" t="b">
        <f t="shared" si="308"/>
        <v>0</v>
      </c>
      <c r="AA435" s="721" t="b">
        <f t="shared" si="275"/>
        <v>0</v>
      </c>
      <c r="AB435" s="17"/>
      <c r="AC435" s="17"/>
      <c r="AD435" s="17"/>
      <c r="AE435" s="17"/>
      <c r="AF435" s="17"/>
      <c r="AG435" s="17"/>
      <c r="AH435" s="17"/>
      <c r="AI435" s="17"/>
      <c r="AJ435" s="17"/>
      <c r="AK435" s="17"/>
      <c r="AL435" s="17"/>
      <c r="AM435" s="17"/>
      <c r="AN435" s="17"/>
      <c r="AO435" s="17"/>
      <c r="AP435" s="17"/>
      <c r="AQ435" s="17"/>
    </row>
    <row r="436" spans="1:43" hidden="1">
      <c r="A436">
        <f t="shared" si="302"/>
        <v>433</v>
      </c>
      <c r="B436" s="407">
        <v>1</v>
      </c>
      <c r="C436" s="407" t="s">
        <v>505</v>
      </c>
      <c r="D436" s="408" t="s">
        <v>506</v>
      </c>
      <c r="E436" s="407"/>
      <c r="F436" s="408" t="s">
        <v>748</v>
      </c>
      <c r="G436" s="409">
        <v>155.19999999999999</v>
      </c>
      <c r="H436" s="410"/>
      <c r="I436" s="409">
        <f t="shared" si="301"/>
        <v>155.19999999999999</v>
      </c>
      <c r="K436" s="17"/>
      <c r="L436" s="17" t="s">
        <v>1395</v>
      </c>
      <c r="M436" s="720">
        <v>44606</v>
      </c>
      <c r="N436" s="721" t="b">
        <f t="shared" si="309"/>
        <v>0</v>
      </c>
      <c r="O436" s="721" t="b">
        <f t="shared" si="277"/>
        <v>0</v>
      </c>
      <c r="P436" s="721" t="b">
        <f t="shared" si="311"/>
        <v>1</v>
      </c>
      <c r="Q436" s="721" t="b">
        <f t="shared" si="286"/>
        <v>0</v>
      </c>
      <c r="R436" s="721" t="b">
        <f t="shared" si="310"/>
        <v>0</v>
      </c>
      <c r="S436" s="721" t="b">
        <f t="shared" si="298"/>
        <v>0</v>
      </c>
      <c r="T436" s="721" t="b">
        <f t="shared" si="312"/>
        <v>0</v>
      </c>
      <c r="U436" s="721" t="b">
        <f t="shared" si="270"/>
        <v>0</v>
      </c>
      <c r="V436" s="721" t="b">
        <f t="shared" si="292"/>
        <v>0</v>
      </c>
      <c r="W436" s="721" t="b">
        <f t="shared" si="305"/>
        <v>0</v>
      </c>
      <c r="X436" s="721" t="b">
        <f t="shared" si="290"/>
        <v>0</v>
      </c>
      <c r="Y436" s="721" t="b">
        <f t="shared" si="273"/>
        <v>0</v>
      </c>
      <c r="Z436" s="721" t="b">
        <f t="shared" si="308"/>
        <v>0</v>
      </c>
      <c r="AA436" s="721" t="b">
        <f t="shared" si="275"/>
        <v>0</v>
      </c>
      <c r="AB436" s="17"/>
      <c r="AC436" s="17"/>
      <c r="AD436" s="17"/>
      <c r="AE436" s="17"/>
      <c r="AF436" s="17"/>
      <c r="AG436" s="17"/>
      <c r="AH436" s="17"/>
      <c r="AI436" s="17"/>
      <c r="AJ436" s="17"/>
      <c r="AK436" s="17"/>
      <c r="AL436" s="17"/>
      <c r="AM436" s="17"/>
      <c r="AN436" s="17"/>
      <c r="AO436" s="17"/>
      <c r="AP436" s="17"/>
      <c r="AQ436" s="17"/>
    </row>
    <row r="437" spans="1:43" hidden="1">
      <c r="A437">
        <f t="shared" si="302"/>
        <v>434</v>
      </c>
      <c r="B437" s="407">
        <v>1</v>
      </c>
      <c r="C437" s="407" t="s">
        <v>505</v>
      </c>
      <c r="D437" s="408" t="s">
        <v>506</v>
      </c>
      <c r="E437" s="407"/>
      <c r="F437" s="408" t="s">
        <v>521</v>
      </c>
      <c r="G437" s="409">
        <v>237.3</v>
      </c>
      <c r="H437" s="410"/>
      <c r="I437" s="409">
        <f t="shared" si="301"/>
        <v>237.3</v>
      </c>
      <c r="K437" s="17"/>
      <c r="L437" s="17" t="s">
        <v>1395</v>
      </c>
      <c r="M437" s="720">
        <v>44606</v>
      </c>
      <c r="N437" s="721" t="b">
        <f t="shared" si="309"/>
        <v>0</v>
      </c>
      <c r="O437" s="721" t="b">
        <f t="shared" si="277"/>
        <v>0</v>
      </c>
      <c r="P437" s="721" t="b">
        <f t="shared" si="311"/>
        <v>1</v>
      </c>
      <c r="Q437" s="721" t="b">
        <f t="shared" si="286"/>
        <v>0</v>
      </c>
      <c r="R437" s="721" t="b">
        <f t="shared" si="310"/>
        <v>0</v>
      </c>
      <c r="S437" s="721" t="b">
        <f t="shared" si="298"/>
        <v>0</v>
      </c>
      <c r="T437" s="721" t="b">
        <f t="shared" si="312"/>
        <v>0</v>
      </c>
      <c r="U437" s="721" t="b">
        <f t="shared" si="270"/>
        <v>0</v>
      </c>
      <c r="V437" s="721" t="b">
        <f t="shared" si="292"/>
        <v>0</v>
      </c>
      <c r="W437" s="721" t="b">
        <f t="shared" si="305"/>
        <v>0</v>
      </c>
      <c r="X437" s="721" t="b">
        <f t="shared" si="290"/>
        <v>0</v>
      </c>
      <c r="Y437" s="721" t="b">
        <f t="shared" si="273"/>
        <v>0</v>
      </c>
      <c r="Z437" s="721" t="b">
        <f t="shared" si="308"/>
        <v>0</v>
      </c>
      <c r="AA437" s="721" t="b">
        <f t="shared" si="275"/>
        <v>0</v>
      </c>
      <c r="AB437" s="17"/>
      <c r="AC437" s="17"/>
      <c r="AD437" s="17"/>
      <c r="AE437" s="17"/>
      <c r="AF437" s="17"/>
      <c r="AG437" s="17"/>
      <c r="AH437" s="17"/>
      <c r="AI437" s="17"/>
      <c r="AJ437" s="17"/>
      <c r="AK437" s="17"/>
      <c r="AL437" s="17"/>
      <c r="AM437" s="17"/>
      <c r="AN437" s="17"/>
      <c r="AO437" s="17"/>
      <c r="AP437" s="17"/>
      <c r="AQ437" s="17"/>
    </row>
    <row r="438" spans="1:43" hidden="1">
      <c r="A438">
        <f t="shared" si="302"/>
        <v>435</v>
      </c>
      <c r="B438" s="407">
        <v>1</v>
      </c>
      <c r="C438" s="407" t="s">
        <v>505</v>
      </c>
      <c r="D438" s="408" t="s">
        <v>506</v>
      </c>
      <c r="E438" s="407"/>
      <c r="F438" s="408" t="s">
        <v>1400</v>
      </c>
      <c r="G438" s="409">
        <v>1762.4</v>
      </c>
      <c r="H438" s="410"/>
      <c r="I438" s="409">
        <f t="shared" si="301"/>
        <v>1762.4</v>
      </c>
      <c r="J438" s="58">
        <v>150000</v>
      </c>
      <c r="K438" s="417">
        <f t="shared" si="272"/>
        <v>1.1749333333333334E-2</v>
      </c>
      <c r="L438" s="17" t="s">
        <v>1395</v>
      </c>
      <c r="M438" s="720">
        <v>44606</v>
      </c>
      <c r="N438" s="721" t="b">
        <f t="shared" si="309"/>
        <v>0</v>
      </c>
      <c r="O438" s="721" t="b">
        <f t="shared" si="277"/>
        <v>0</v>
      </c>
      <c r="P438" s="721" t="b">
        <f t="shared" ref="P438:P445" si="313">FALSE()</f>
        <v>0</v>
      </c>
      <c r="Q438" s="721" t="b">
        <f t="shared" si="286"/>
        <v>0</v>
      </c>
      <c r="R438" s="721" t="b">
        <f>TRUE()</f>
        <v>1</v>
      </c>
      <c r="S438" s="721" t="b">
        <f t="shared" si="298"/>
        <v>0</v>
      </c>
      <c r="T438" s="721" t="b">
        <f t="shared" si="312"/>
        <v>0</v>
      </c>
      <c r="U438" s="721" t="b">
        <f t="shared" ref="U438:U441" si="314">FALSE()</f>
        <v>0</v>
      </c>
      <c r="V438" s="721" t="b">
        <f t="shared" si="292"/>
        <v>0</v>
      </c>
      <c r="W438" s="721" t="b">
        <f t="shared" si="305"/>
        <v>0</v>
      </c>
      <c r="X438" s="721" t="b">
        <f t="shared" si="290"/>
        <v>0</v>
      </c>
      <c r="Y438" s="721" t="b">
        <f t="shared" si="273"/>
        <v>0</v>
      </c>
      <c r="Z438" s="721" t="b">
        <f t="shared" si="308"/>
        <v>0</v>
      </c>
      <c r="AA438" s="721" t="b">
        <f t="shared" si="275"/>
        <v>0</v>
      </c>
      <c r="AB438" s="17"/>
      <c r="AC438" s="17"/>
      <c r="AD438" s="17"/>
      <c r="AE438" s="17"/>
      <c r="AF438" s="17"/>
      <c r="AG438" s="17"/>
      <c r="AH438" s="17"/>
      <c r="AI438" s="17"/>
      <c r="AJ438" s="17"/>
      <c r="AK438" s="17"/>
      <c r="AL438" s="17"/>
      <c r="AM438" s="17"/>
      <c r="AN438" s="17"/>
      <c r="AO438" s="17"/>
      <c r="AP438" s="17"/>
      <c r="AQ438" s="17"/>
    </row>
    <row r="439" spans="1:43" hidden="1">
      <c r="A439">
        <f t="shared" si="302"/>
        <v>436</v>
      </c>
      <c r="B439" s="407">
        <v>1</v>
      </c>
      <c r="C439" s="407" t="s">
        <v>505</v>
      </c>
      <c r="D439" s="408" t="s">
        <v>506</v>
      </c>
      <c r="E439" s="407" t="s">
        <v>560</v>
      </c>
      <c r="F439" s="408" t="s">
        <v>561</v>
      </c>
      <c r="G439" s="409">
        <v>696.5</v>
      </c>
      <c r="H439" s="410"/>
      <c r="I439" s="409">
        <f t="shared" si="301"/>
        <v>696.5</v>
      </c>
      <c r="J439" s="58">
        <v>160000</v>
      </c>
      <c r="K439" s="417">
        <f t="shared" si="272"/>
        <v>4.3531250000000002E-3</v>
      </c>
      <c r="L439" s="17" t="s">
        <v>1395</v>
      </c>
      <c r="M439" s="720">
        <v>44606</v>
      </c>
      <c r="N439" s="721" t="b">
        <f t="shared" si="309"/>
        <v>0</v>
      </c>
      <c r="O439" s="721" t="b">
        <f t="shared" si="277"/>
        <v>0</v>
      </c>
      <c r="P439" s="721" t="b">
        <f t="shared" si="313"/>
        <v>0</v>
      </c>
      <c r="Q439" s="721" t="b">
        <f t="shared" si="286"/>
        <v>0</v>
      </c>
      <c r="R439" s="721" t="b">
        <f t="shared" ref="R439:R457" si="315">FALSE()</f>
        <v>0</v>
      </c>
      <c r="S439" s="721" t="b">
        <f>TRUE()</f>
        <v>1</v>
      </c>
      <c r="T439" s="721" t="b">
        <f t="shared" si="312"/>
        <v>0</v>
      </c>
      <c r="U439" s="721" t="b">
        <f t="shared" si="314"/>
        <v>0</v>
      </c>
      <c r="V439" s="721" t="b">
        <f t="shared" si="292"/>
        <v>0</v>
      </c>
      <c r="W439" s="721" t="b">
        <f t="shared" si="305"/>
        <v>0</v>
      </c>
      <c r="X439" s="721" t="b">
        <f t="shared" si="290"/>
        <v>0</v>
      </c>
      <c r="Y439" s="721" t="b">
        <f t="shared" si="273"/>
        <v>0</v>
      </c>
      <c r="Z439" s="721" t="b">
        <f t="shared" si="308"/>
        <v>0</v>
      </c>
      <c r="AA439" s="721" t="b">
        <f t="shared" si="275"/>
        <v>0</v>
      </c>
      <c r="AB439" s="17"/>
      <c r="AC439" s="17"/>
      <c r="AD439" s="17"/>
      <c r="AE439" s="17"/>
      <c r="AF439" s="17"/>
      <c r="AG439" s="17"/>
      <c r="AH439" s="17"/>
      <c r="AI439" s="17"/>
      <c r="AJ439" s="17"/>
      <c r="AK439" s="17"/>
      <c r="AL439" s="17"/>
      <c r="AM439" s="17"/>
      <c r="AN439" s="17"/>
      <c r="AO439" s="17"/>
      <c r="AP439" s="17"/>
      <c r="AQ439" s="17"/>
    </row>
    <row r="440" spans="1:43" hidden="1">
      <c r="A440">
        <f t="shared" si="302"/>
        <v>437</v>
      </c>
      <c r="B440" s="407">
        <v>1</v>
      </c>
      <c r="C440" s="407" t="s">
        <v>505</v>
      </c>
      <c r="D440" s="408" t="s">
        <v>506</v>
      </c>
      <c r="E440" s="407" t="s">
        <v>1401</v>
      </c>
      <c r="F440" s="408" t="s">
        <v>1402</v>
      </c>
      <c r="G440" s="409">
        <v>399</v>
      </c>
      <c r="H440" s="410"/>
      <c r="I440" s="409">
        <f t="shared" si="301"/>
        <v>399</v>
      </c>
      <c r="K440" s="17"/>
      <c r="L440" s="17" t="s">
        <v>1395</v>
      </c>
      <c r="M440" s="720">
        <v>44606</v>
      </c>
      <c r="N440" s="721" t="b">
        <f t="shared" si="309"/>
        <v>0</v>
      </c>
      <c r="O440" s="721" t="b">
        <f t="shared" si="277"/>
        <v>0</v>
      </c>
      <c r="P440" s="721" t="b">
        <f t="shared" si="313"/>
        <v>0</v>
      </c>
      <c r="Q440" s="721" t="b">
        <f t="shared" si="286"/>
        <v>0</v>
      </c>
      <c r="R440" s="721" t="b">
        <f t="shared" si="315"/>
        <v>0</v>
      </c>
      <c r="S440" s="721" t="b">
        <f t="shared" ref="S440:S446" si="316">FALSE()</f>
        <v>0</v>
      </c>
      <c r="T440" s="721" t="b">
        <f t="shared" si="312"/>
        <v>0</v>
      </c>
      <c r="U440" s="721" t="b">
        <f t="shared" si="314"/>
        <v>0</v>
      </c>
      <c r="V440" s="721" t="b">
        <f t="shared" ref="V440:V441" si="317">TRUE()</f>
        <v>1</v>
      </c>
      <c r="W440" s="721" t="b">
        <f t="shared" si="305"/>
        <v>0</v>
      </c>
      <c r="X440" s="721" t="b">
        <f t="shared" si="290"/>
        <v>0</v>
      </c>
      <c r="Y440" s="721" t="b">
        <f t="shared" si="273"/>
        <v>0</v>
      </c>
      <c r="Z440" s="721" t="b">
        <f t="shared" si="308"/>
        <v>0</v>
      </c>
      <c r="AA440" s="721" t="b">
        <f t="shared" si="275"/>
        <v>0</v>
      </c>
      <c r="AB440" s="17"/>
      <c r="AC440" s="17"/>
      <c r="AD440" s="17"/>
      <c r="AE440" s="17"/>
      <c r="AF440" s="17"/>
      <c r="AG440" s="17"/>
      <c r="AH440" s="17"/>
      <c r="AI440" s="17"/>
      <c r="AJ440" s="17"/>
      <c r="AK440" s="17"/>
      <c r="AL440" s="17"/>
      <c r="AM440" s="17"/>
      <c r="AN440" s="17"/>
      <c r="AO440" s="17"/>
      <c r="AP440" s="17"/>
      <c r="AQ440" s="17"/>
    </row>
    <row r="441" spans="1:43" hidden="1">
      <c r="A441">
        <f t="shared" si="302"/>
        <v>438</v>
      </c>
      <c r="B441" s="407">
        <v>1</v>
      </c>
      <c r="C441" s="407" t="s">
        <v>505</v>
      </c>
      <c r="D441" s="408" t="s">
        <v>506</v>
      </c>
      <c r="E441" s="407" t="s">
        <v>1403</v>
      </c>
      <c r="F441" s="408" t="s">
        <v>1404</v>
      </c>
      <c r="G441" s="409">
        <v>399</v>
      </c>
      <c r="H441" s="410"/>
      <c r="I441" s="409">
        <f t="shared" si="301"/>
        <v>399</v>
      </c>
      <c r="K441" s="17"/>
      <c r="L441" s="17" t="s">
        <v>1395</v>
      </c>
      <c r="M441" s="720">
        <v>44606</v>
      </c>
      <c r="N441" s="721" t="b">
        <f t="shared" si="309"/>
        <v>0</v>
      </c>
      <c r="O441" s="721" t="b">
        <f t="shared" si="277"/>
        <v>0</v>
      </c>
      <c r="P441" s="721" t="b">
        <f t="shared" si="313"/>
        <v>0</v>
      </c>
      <c r="Q441" s="721" t="b">
        <f t="shared" si="286"/>
        <v>0</v>
      </c>
      <c r="R441" s="721" t="b">
        <f t="shared" si="315"/>
        <v>0</v>
      </c>
      <c r="S441" s="721" t="b">
        <f t="shared" si="316"/>
        <v>0</v>
      </c>
      <c r="T441" s="721" t="b">
        <f t="shared" si="312"/>
        <v>0</v>
      </c>
      <c r="U441" s="721" t="b">
        <f t="shared" si="314"/>
        <v>0</v>
      </c>
      <c r="V441" s="721" t="b">
        <f t="shared" si="317"/>
        <v>1</v>
      </c>
      <c r="W441" s="721" t="b">
        <f t="shared" si="305"/>
        <v>0</v>
      </c>
      <c r="X441" s="721" t="b">
        <f t="shared" si="290"/>
        <v>0</v>
      </c>
      <c r="Y441" s="721" t="b">
        <f t="shared" ref="Y441:Y443" si="318">FALSE()</f>
        <v>0</v>
      </c>
      <c r="Z441" s="721" t="b">
        <f t="shared" si="308"/>
        <v>0</v>
      </c>
      <c r="AA441" s="721" t="b">
        <f t="shared" si="275"/>
        <v>0</v>
      </c>
      <c r="AB441" s="17"/>
      <c r="AC441" s="17"/>
      <c r="AD441" s="17"/>
      <c r="AE441" s="17"/>
      <c r="AF441" s="17"/>
      <c r="AG441" s="17"/>
      <c r="AH441" s="17"/>
      <c r="AI441" s="17"/>
      <c r="AJ441" s="17"/>
      <c r="AK441" s="17"/>
      <c r="AL441" s="17"/>
      <c r="AM441" s="17"/>
      <c r="AN441" s="17"/>
      <c r="AO441" s="17"/>
      <c r="AP441" s="17"/>
      <c r="AQ441" s="17"/>
    </row>
    <row r="442" spans="1:43" hidden="1">
      <c r="A442">
        <f t="shared" si="302"/>
        <v>439</v>
      </c>
      <c r="B442" s="407">
        <v>1</v>
      </c>
      <c r="C442" s="407" t="s">
        <v>505</v>
      </c>
      <c r="D442" s="408" t="s">
        <v>506</v>
      </c>
      <c r="E442" s="407" t="s">
        <v>547</v>
      </c>
      <c r="F442" s="408" t="s">
        <v>548</v>
      </c>
      <c r="G442" s="409">
        <v>1.43</v>
      </c>
      <c r="H442" s="410"/>
      <c r="I442" s="409">
        <f t="shared" si="301"/>
        <v>1.43</v>
      </c>
      <c r="K442" s="17"/>
      <c r="L442" s="17" t="s">
        <v>1395</v>
      </c>
      <c r="M442" s="720">
        <v>44606</v>
      </c>
      <c r="N442" s="721" t="b">
        <f t="shared" si="309"/>
        <v>0</v>
      </c>
      <c r="O442" s="721" t="b">
        <f t="shared" si="277"/>
        <v>0</v>
      </c>
      <c r="P442" s="721" t="b">
        <f t="shared" si="313"/>
        <v>0</v>
      </c>
      <c r="Q442" s="721" t="b">
        <f t="shared" si="286"/>
        <v>0</v>
      </c>
      <c r="R442" s="721" t="b">
        <f t="shared" si="315"/>
        <v>0</v>
      </c>
      <c r="S442" s="721" t="b">
        <f t="shared" si="316"/>
        <v>0</v>
      </c>
      <c r="T442" s="721" t="b">
        <f t="shared" si="312"/>
        <v>0</v>
      </c>
      <c r="U442" s="721" t="b">
        <f t="shared" ref="U442:U443" si="319">TRUE()</f>
        <v>1</v>
      </c>
      <c r="V442" s="721" t="b">
        <f t="shared" ref="V442:V453" si="320">FALSE()</f>
        <v>0</v>
      </c>
      <c r="W442" s="721" t="b">
        <f t="shared" si="305"/>
        <v>0</v>
      </c>
      <c r="X442" s="721" t="b">
        <f t="shared" si="290"/>
        <v>0</v>
      </c>
      <c r="Y442" s="721" t="b">
        <f t="shared" si="318"/>
        <v>0</v>
      </c>
      <c r="Z442" s="721" t="b">
        <f t="shared" si="308"/>
        <v>0</v>
      </c>
      <c r="AA442" s="721" t="b">
        <f t="shared" ref="AA442:AA467" si="321">FALSE()</f>
        <v>0</v>
      </c>
      <c r="AB442" s="17"/>
      <c r="AC442" s="17"/>
      <c r="AD442" s="17"/>
      <c r="AE442" s="17"/>
      <c r="AF442" s="17"/>
      <c r="AG442" s="17"/>
      <c r="AH442" s="17"/>
      <c r="AI442" s="17"/>
      <c r="AJ442" s="17"/>
      <c r="AK442" s="17"/>
      <c r="AL442" s="17"/>
      <c r="AM442" s="17"/>
      <c r="AN442" s="17"/>
      <c r="AO442" s="17"/>
      <c r="AP442" s="17"/>
      <c r="AQ442" s="17"/>
    </row>
    <row r="443" spans="1:43" hidden="1">
      <c r="A443">
        <f t="shared" si="302"/>
        <v>440</v>
      </c>
      <c r="B443" s="407">
        <v>1</v>
      </c>
      <c r="C443" s="407" t="s">
        <v>505</v>
      </c>
      <c r="D443" s="408" t="s">
        <v>506</v>
      </c>
      <c r="E443" s="407" t="s">
        <v>549</v>
      </c>
      <c r="F443" s="408" t="s">
        <v>550</v>
      </c>
      <c r="G443" s="409">
        <v>1.0900000000000001</v>
      </c>
      <c r="H443" s="410"/>
      <c r="I443" s="409">
        <f t="shared" si="301"/>
        <v>1.0900000000000001</v>
      </c>
      <c r="K443" s="17"/>
      <c r="L443" s="17" t="s">
        <v>1395</v>
      </c>
      <c r="M443" s="720">
        <v>44606</v>
      </c>
      <c r="N443" s="721" t="b">
        <f t="shared" si="309"/>
        <v>0</v>
      </c>
      <c r="O443" s="721" t="b">
        <f t="shared" si="277"/>
        <v>0</v>
      </c>
      <c r="P443" s="721" t="b">
        <f t="shared" si="313"/>
        <v>0</v>
      </c>
      <c r="Q443" s="721" t="b">
        <f t="shared" si="286"/>
        <v>0</v>
      </c>
      <c r="R443" s="721" t="b">
        <f t="shared" si="315"/>
        <v>0</v>
      </c>
      <c r="S443" s="721" t="b">
        <f t="shared" si="316"/>
        <v>0</v>
      </c>
      <c r="T443" s="721" t="b">
        <f t="shared" si="312"/>
        <v>0</v>
      </c>
      <c r="U443" s="721" t="b">
        <f t="shared" si="319"/>
        <v>1</v>
      </c>
      <c r="V443" s="721" t="b">
        <f t="shared" si="320"/>
        <v>0</v>
      </c>
      <c r="W443" s="721" t="b">
        <f t="shared" si="305"/>
        <v>0</v>
      </c>
      <c r="X443" s="721" t="b">
        <f t="shared" si="290"/>
        <v>0</v>
      </c>
      <c r="Y443" s="721" t="b">
        <f t="shared" si="318"/>
        <v>0</v>
      </c>
      <c r="Z443" s="721" t="b">
        <f t="shared" si="308"/>
        <v>0</v>
      </c>
      <c r="AA443" s="721" t="b">
        <f t="shared" si="321"/>
        <v>0</v>
      </c>
      <c r="AB443" s="17"/>
      <c r="AC443" s="17"/>
      <c r="AD443" s="17"/>
      <c r="AE443" s="17"/>
      <c r="AF443" s="17"/>
      <c r="AG443" s="17"/>
      <c r="AH443" s="17"/>
      <c r="AI443" s="17"/>
      <c r="AJ443" s="17"/>
      <c r="AK443" s="17"/>
      <c r="AL443" s="17"/>
      <c r="AM443" s="17"/>
      <c r="AN443" s="17"/>
      <c r="AO443" s="17"/>
      <c r="AP443" s="17"/>
      <c r="AQ443" s="17"/>
    </row>
    <row r="444" spans="1:43" ht="33.4" hidden="1">
      <c r="A444">
        <f t="shared" si="302"/>
        <v>441</v>
      </c>
      <c r="B444" s="407">
        <v>1</v>
      </c>
      <c r="C444" s="407" t="s">
        <v>505</v>
      </c>
      <c r="D444" s="736" t="s">
        <v>1405</v>
      </c>
      <c r="E444" s="407" t="s">
        <v>1406</v>
      </c>
      <c r="F444" s="408" t="s">
        <v>1407</v>
      </c>
      <c r="G444" s="409">
        <v>190</v>
      </c>
      <c r="H444" s="410"/>
      <c r="I444" s="409">
        <f t="shared" si="301"/>
        <v>190</v>
      </c>
      <c r="K444" s="17"/>
      <c r="L444" s="17" t="s">
        <v>1408</v>
      </c>
      <c r="M444" s="737">
        <v>44607</v>
      </c>
      <c r="N444" s="721" t="b">
        <f t="shared" si="309"/>
        <v>0</v>
      </c>
      <c r="O444" s="721" t="b">
        <f t="shared" ref="O444:O467" si="322">FALSE()</f>
        <v>0</v>
      </c>
      <c r="P444" s="721" t="b">
        <f t="shared" si="313"/>
        <v>0</v>
      </c>
      <c r="Q444" s="721" t="b">
        <f t="shared" si="286"/>
        <v>0</v>
      </c>
      <c r="R444" s="721" t="b">
        <f t="shared" si="315"/>
        <v>0</v>
      </c>
      <c r="S444" s="721" t="b">
        <f t="shared" si="316"/>
        <v>0</v>
      </c>
      <c r="T444" s="721" t="b">
        <f t="shared" si="312"/>
        <v>0</v>
      </c>
      <c r="U444" s="721" t="b">
        <f t="shared" ref="U444:U447" si="323">FALSE()</f>
        <v>0</v>
      </c>
      <c r="V444" s="721" t="b">
        <f t="shared" si="320"/>
        <v>0</v>
      </c>
      <c r="W444" s="721" t="b">
        <f t="shared" si="305"/>
        <v>0</v>
      </c>
      <c r="X444" s="721" t="b">
        <f t="shared" si="290"/>
        <v>0</v>
      </c>
      <c r="Y444" s="721" t="b">
        <f t="shared" ref="Y444:Y445" si="324">TRUE()</f>
        <v>1</v>
      </c>
      <c r="Z444" s="721" t="b">
        <f t="shared" si="308"/>
        <v>0</v>
      </c>
      <c r="AA444" s="721" t="b">
        <f t="shared" si="321"/>
        <v>0</v>
      </c>
      <c r="AB444" s="17"/>
      <c r="AC444" s="17"/>
      <c r="AD444" s="17"/>
      <c r="AE444" s="17"/>
      <c r="AF444" s="17"/>
      <c r="AG444" s="17"/>
      <c r="AH444" s="17"/>
      <c r="AI444" s="17"/>
      <c r="AJ444" s="17"/>
      <c r="AK444" s="17"/>
      <c r="AL444" s="17"/>
      <c r="AM444" s="17"/>
      <c r="AN444" s="17"/>
      <c r="AO444" s="17"/>
      <c r="AP444" s="17"/>
      <c r="AQ444" s="17"/>
    </row>
    <row r="445" spans="1:43" ht="33.4" hidden="1">
      <c r="A445">
        <f t="shared" si="302"/>
        <v>442</v>
      </c>
      <c r="B445" s="407">
        <v>1</v>
      </c>
      <c r="C445" s="407" t="s">
        <v>505</v>
      </c>
      <c r="D445" s="736" t="s">
        <v>1409</v>
      </c>
      <c r="E445" s="407" t="s">
        <v>1410</v>
      </c>
      <c r="F445" s="408" t="s">
        <v>1407</v>
      </c>
      <c r="G445" s="409">
        <v>210</v>
      </c>
      <c r="H445" s="410"/>
      <c r="I445" s="409">
        <f t="shared" si="301"/>
        <v>210</v>
      </c>
      <c r="K445" s="17"/>
      <c r="L445" s="17" t="s">
        <v>1408</v>
      </c>
      <c r="M445" s="738">
        <v>44607</v>
      </c>
      <c r="N445" s="721" t="b">
        <f t="shared" si="309"/>
        <v>0</v>
      </c>
      <c r="O445" s="721" t="b">
        <f t="shared" si="322"/>
        <v>0</v>
      </c>
      <c r="P445" s="721" t="b">
        <f t="shared" si="313"/>
        <v>0</v>
      </c>
      <c r="Q445" s="721" t="b">
        <f t="shared" si="286"/>
        <v>0</v>
      </c>
      <c r="R445" s="721" t="b">
        <f t="shared" si="315"/>
        <v>0</v>
      </c>
      <c r="S445" s="721" t="b">
        <f t="shared" si="316"/>
        <v>0</v>
      </c>
      <c r="T445" s="721" t="b">
        <f t="shared" si="312"/>
        <v>0</v>
      </c>
      <c r="U445" s="721" t="b">
        <f t="shared" si="323"/>
        <v>0</v>
      </c>
      <c r="V445" s="721" t="b">
        <f t="shared" si="320"/>
        <v>0</v>
      </c>
      <c r="W445" s="721" t="b">
        <f t="shared" si="305"/>
        <v>0</v>
      </c>
      <c r="X445" s="721" t="b">
        <f t="shared" si="290"/>
        <v>0</v>
      </c>
      <c r="Y445" s="721" t="b">
        <f t="shared" si="324"/>
        <v>1</v>
      </c>
      <c r="Z445" s="721" t="b">
        <f t="shared" si="308"/>
        <v>0</v>
      </c>
      <c r="AA445" s="721" t="b">
        <f t="shared" si="321"/>
        <v>0</v>
      </c>
      <c r="AB445" s="17"/>
      <c r="AC445" s="17"/>
      <c r="AD445" s="17"/>
      <c r="AE445" s="17"/>
      <c r="AF445" s="17"/>
      <c r="AG445" s="17"/>
      <c r="AH445" s="17"/>
      <c r="AI445" s="17"/>
      <c r="AJ445" s="17"/>
      <c r="AK445" s="17"/>
      <c r="AL445" s="17"/>
      <c r="AM445" s="17"/>
      <c r="AN445" s="17"/>
      <c r="AO445" s="17"/>
      <c r="AP445" s="17"/>
      <c r="AQ445" s="17"/>
    </row>
    <row r="446" spans="1:43" hidden="1">
      <c r="A446">
        <f t="shared" si="302"/>
        <v>443</v>
      </c>
      <c r="B446" s="407">
        <v>1</v>
      </c>
      <c r="C446" s="407" t="s">
        <v>505</v>
      </c>
      <c r="D446" s="408" t="s">
        <v>747</v>
      </c>
      <c r="E446" s="407"/>
      <c r="F446" s="408" t="s">
        <v>748</v>
      </c>
      <c r="G446" s="409">
        <v>137.78</v>
      </c>
      <c r="H446" s="410"/>
      <c r="I446" s="409">
        <f t="shared" si="301"/>
        <v>137.78</v>
      </c>
      <c r="K446" s="17"/>
      <c r="L446" s="17" t="s">
        <v>966</v>
      </c>
      <c r="M446" s="720">
        <v>44580</v>
      </c>
      <c r="N446" s="721" t="b">
        <f t="shared" si="309"/>
        <v>0</v>
      </c>
      <c r="O446" s="721" t="b">
        <f t="shared" si="322"/>
        <v>0</v>
      </c>
      <c r="P446" s="721" t="b">
        <f>TRUE()</f>
        <v>1</v>
      </c>
      <c r="Q446" s="721" t="b">
        <f t="shared" si="286"/>
        <v>0</v>
      </c>
      <c r="R446" s="721" t="b">
        <f t="shared" si="315"/>
        <v>0</v>
      </c>
      <c r="S446" s="721" t="b">
        <f t="shared" si="316"/>
        <v>0</v>
      </c>
      <c r="T446" s="721" t="b">
        <f t="shared" si="312"/>
        <v>0</v>
      </c>
      <c r="U446" s="721" t="b">
        <f t="shared" si="323"/>
        <v>0</v>
      </c>
      <c r="V446" s="721" t="b">
        <f t="shared" si="320"/>
        <v>0</v>
      </c>
      <c r="W446" s="721" t="b">
        <f t="shared" si="305"/>
        <v>0</v>
      </c>
      <c r="X446" s="721" t="b">
        <f t="shared" si="290"/>
        <v>0</v>
      </c>
      <c r="Y446" s="721" t="b">
        <f t="shared" ref="Y446:Y467" si="325">FALSE()</f>
        <v>0</v>
      </c>
      <c r="Z446" s="721" t="b">
        <f t="shared" si="308"/>
        <v>0</v>
      </c>
      <c r="AA446" s="721" t="b">
        <f t="shared" si="321"/>
        <v>0</v>
      </c>
      <c r="AB446" s="17"/>
      <c r="AC446" s="17"/>
      <c r="AD446" s="17"/>
      <c r="AE446" s="17"/>
      <c r="AF446" s="17"/>
      <c r="AG446" s="17"/>
      <c r="AH446" s="17"/>
      <c r="AI446" s="17"/>
      <c r="AJ446" s="17"/>
      <c r="AK446" s="17"/>
      <c r="AL446" s="17"/>
      <c r="AM446" s="17"/>
      <c r="AN446" s="17"/>
      <c r="AO446" s="17"/>
      <c r="AP446" s="17"/>
      <c r="AQ446" s="17"/>
    </row>
    <row r="447" spans="1:43" hidden="1">
      <c r="A447">
        <f t="shared" si="302"/>
        <v>444</v>
      </c>
      <c r="B447" s="407">
        <v>1</v>
      </c>
      <c r="C447" s="407" t="s">
        <v>505</v>
      </c>
      <c r="D447" s="408" t="s">
        <v>747</v>
      </c>
      <c r="E447" s="407"/>
      <c r="F447" s="408" t="s">
        <v>763</v>
      </c>
      <c r="G447" s="409">
        <v>887.09</v>
      </c>
      <c r="H447" s="410"/>
      <c r="I447" s="409">
        <f t="shared" si="301"/>
        <v>887.09</v>
      </c>
      <c r="J447" s="58">
        <v>160000</v>
      </c>
      <c r="K447" s="417">
        <f t="shared" ref="K447:K467" si="326">G447/J447</f>
        <v>5.5443125000000006E-3</v>
      </c>
      <c r="L447" s="17" t="s">
        <v>966</v>
      </c>
      <c r="M447" s="720">
        <v>44578</v>
      </c>
      <c r="N447" s="721" t="b">
        <f t="shared" si="309"/>
        <v>0</v>
      </c>
      <c r="O447" s="721" t="b">
        <f t="shared" si="322"/>
        <v>0</v>
      </c>
      <c r="P447" s="721" t="b">
        <f t="shared" ref="P447:P467" si="327">FALSE()</f>
        <v>0</v>
      </c>
      <c r="Q447" s="721" t="b">
        <f t="shared" si="286"/>
        <v>0</v>
      </c>
      <c r="R447" s="721" t="b">
        <f t="shared" si="315"/>
        <v>0</v>
      </c>
      <c r="S447" s="721" t="b">
        <f>TRUE()</f>
        <v>1</v>
      </c>
      <c r="T447" s="721" t="b">
        <f t="shared" si="312"/>
        <v>0</v>
      </c>
      <c r="U447" s="721" t="b">
        <f t="shared" si="323"/>
        <v>0</v>
      </c>
      <c r="V447" s="721" t="b">
        <f t="shared" si="320"/>
        <v>0</v>
      </c>
      <c r="W447" s="721" t="b">
        <f t="shared" si="305"/>
        <v>0</v>
      </c>
      <c r="X447" s="721" t="b">
        <f t="shared" si="290"/>
        <v>0</v>
      </c>
      <c r="Y447" s="721" t="b">
        <f t="shared" si="325"/>
        <v>0</v>
      </c>
      <c r="Z447" s="721" t="b">
        <f t="shared" si="308"/>
        <v>0</v>
      </c>
      <c r="AA447" s="721" t="b">
        <f t="shared" si="321"/>
        <v>0</v>
      </c>
      <c r="AB447" s="17"/>
      <c r="AC447" s="17"/>
      <c r="AD447" s="17"/>
      <c r="AE447" s="17"/>
      <c r="AF447" s="17"/>
      <c r="AG447" s="17"/>
      <c r="AH447" s="17"/>
      <c r="AI447" s="17"/>
      <c r="AJ447" s="17"/>
      <c r="AK447" s="17"/>
      <c r="AL447" s="17"/>
      <c r="AM447" s="17"/>
      <c r="AN447" s="17"/>
      <c r="AO447" s="17"/>
      <c r="AP447" s="17"/>
      <c r="AQ447" s="17"/>
    </row>
    <row r="448" spans="1:43" hidden="1">
      <c r="A448">
        <f t="shared" si="302"/>
        <v>445</v>
      </c>
      <c r="B448" s="407">
        <v>1</v>
      </c>
      <c r="C448" s="407" t="s">
        <v>505</v>
      </c>
      <c r="D448" s="408" t="s">
        <v>747</v>
      </c>
      <c r="E448" s="407"/>
      <c r="F448" s="408" t="s">
        <v>759</v>
      </c>
      <c r="G448" s="409">
        <v>0.77</v>
      </c>
      <c r="H448" s="410"/>
      <c r="I448" s="409">
        <f t="shared" si="301"/>
        <v>0.77</v>
      </c>
      <c r="K448" s="417"/>
      <c r="L448" s="17" t="s">
        <v>966</v>
      </c>
      <c r="M448" s="720">
        <v>44489</v>
      </c>
      <c r="N448" s="721" t="b">
        <f t="shared" si="309"/>
        <v>0</v>
      </c>
      <c r="O448" s="721" t="b">
        <f t="shared" si="322"/>
        <v>0</v>
      </c>
      <c r="P448" s="721" t="b">
        <f t="shared" si="327"/>
        <v>0</v>
      </c>
      <c r="Q448" s="721" t="b">
        <f t="shared" si="286"/>
        <v>0</v>
      </c>
      <c r="R448" s="721" t="b">
        <f t="shared" si="315"/>
        <v>0</v>
      </c>
      <c r="S448" s="721" t="b">
        <f t="shared" ref="S448:S449" si="328">FALSE()</f>
        <v>0</v>
      </c>
      <c r="T448" s="721" t="b">
        <f t="shared" si="312"/>
        <v>0</v>
      </c>
      <c r="U448" s="721" t="b">
        <f t="shared" ref="U448:U449" si="329">TRUE()</f>
        <v>1</v>
      </c>
      <c r="V448" s="721" t="b">
        <f t="shared" si="320"/>
        <v>0</v>
      </c>
      <c r="W448" s="721" t="b">
        <f t="shared" si="305"/>
        <v>0</v>
      </c>
      <c r="X448" s="721" t="b">
        <f t="shared" si="290"/>
        <v>0</v>
      </c>
      <c r="Y448" s="721" t="b">
        <f t="shared" si="325"/>
        <v>0</v>
      </c>
      <c r="Z448" s="721" t="b">
        <f t="shared" si="308"/>
        <v>0</v>
      </c>
      <c r="AA448" s="721" t="b">
        <f t="shared" si="321"/>
        <v>0</v>
      </c>
      <c r="AB448" s="17"/>
      <c r="AC448" s="17"/>
      <c r="AD448" s="17"/>
      <c r="AE448" s="17"/>
      <c r="AF448" s="17"/>
      <c r="AG448" s="17"/>
      <c r="AH448" s="17"/>
      <c r="AI448" s="17"/>
      <c r="AJ448" s="17"/>
      <c r="AK448" s="17"/>
      <c r="AL448" s="17"/>
      <c r="AM448" s="17"/>
      <c r="AN448" s="17"/>
      <c r="AO448" s="17"/>
      <c r="AP448" s="17"/>
      <c r="AQ448" s="17"/>
    </row>
    <row r="449" spans="1:66" hidden="1">
      <c r="A449">
        <f t="shared" si="302"/>
        <v>446</v>
      </c>
      <c r="B449" s="407">
        <v>1</v>
      </c>
      <c r="C449" s="407" t="s">
        <v>505</v>
      </c>
      <c r="D449" s="408" t="s">
        <v>747</v>
      </c>
      <c r="E449" s="407"/>
      <c r="F449" s="408" t="s">
        <v>760</v>
      </c>
      <c r="G449" s="409">
        <v>1.02</v>
      </c>
      <c r="H449" s="410"/>
      <c r="I449" s="409">
        <f t="shared" si="301"/>
        <v>1.02</v>
      </c>
      <c r="K449" s="417"/>
      <c r="L449" s="17" t="s">
        <v>966</v>
      </c>
      <c r="M449" s="720">
        <v>44489</v>
      </c>
      <c r="N449" s="721" t="b">
        <f t="shared" si="309"/>
        <v>0</v>
      </c>
      <c r="O449" s="721" t="b">
        <f t="shared" si="322"/>
        <v>0</v>
      </c>
      <c r="P449" s="721" t="b">
        <f t="shared" si="327"/>
        <v>0</v>
      </c>
      <c r="Q449" s="721" t="b">
        <f t="shared" si="286"/>
        <v>0</v>
      </c>
      <c r="R449" s="721" t="b">
        <f t="shared" si="315"/>
        <v>0</v>
      </c>
      <c r="S449" s="721" t="b">
        <f t="shared" si="328"/>
        <v>0</v>
      </c>
      <c r="T449" s="721" t="b">
        <f t="shared" si="312"/>
        <v>0</v>
      </c>
      <c r="U449" s="721" t="b">
        <f t="shared" si="329"/>
        <v>1</v>
      </c>
      <c r="V449" s="721" t="b">
        <f t="shared" si="320"/>
        <v>0</v>
      </c>
      <c r="W449" s="721" t="b">
        <f t="shared" si="305"/>
        <v>0</v>
      </c>
      <c r="X449" s="721" t="b">
        <f t="shared" si="290"/>
        <v>0</v>
      </c>
      <c r="Y449" s="721" t="b">
        <f t="shared" si="325"/>
        <v>0</v>
      </c>
      <c r="Z449" s="721" t="b">
        <f t="shared" si="308"/>
        <v>0</v>
      </c>
      <c r="AA449" s="721" t="b">
        <f t="shared" si="321"/>
        <v>0</v>
      </c>
      <c r="AB449" s="17"/>
      <c r="AC449" s="17"/>
      <c r="AD449" s="17"/>
      <c r="AE449" s="17"/>
      <c r="AF449" s="17"/>
      <c r="AG449" s="17"/>
      <c r="AH449" s="17"/>
      <c r="AI449" s="17"/>
      <c r="AJ449" s="17"/>
      <c r="AK449" s="17"/>
      <c r="AL449" s="17"/>
      <c r="AM449" s="17"/>
      <c r="AN449" s="17"/>
      <c r="AO449" s="17"/>
      <c r="AP449" s="17"/>
      <c r="AQ449" s="17"/>
    </row>
    <row r="450" spans="1:66" hidden="1">
      <c r="A450">
        <f t="shared" si="302"/>
        <v>447</v>
      </c>
      <c r="B450" s="407">
        <v>1</v>
      </c>
      <c r="C450" s="407" t="s">
        <v>505</v>
      </c>
      <c r="D450" s="408" t="s">
        <v>747</v>
      </c>
      <c r="E450" s="407"/>
      <c r="F450" s="408" t="s">
        <v>764</v>
      </c>
      <c r="G450" s="409">
        <v>20.2</v>
      </c>
      <c r="H450" s="410"/>
      <c r="I450" s="409">
        <f t="shared" si="301"/>
        <v>20.2</v>
      </c>
      <c r="K450" s="17"/>
      <c r="L450" s="17" t="s">
        <v>966</v>
      </c>
      <c r="M450" s="720">
        <v>44578</v>
      </c>
      <c r="N450" s="721" t="b">
        <f t="shared" si="309"/>
        <v>0</v>
      </c>
      <c r="O450" s="721" t="b">
        <f t="shared" si="322"/>
        <v>0</v>
      </c>
      <c r="P450" s="721" t="b">
        <f t="shared" si="327"/>
        <v>0</v>
      </c>
      <c r="Q450" s="721" t="b">
        <f t="shared" si="286"/>
        <v>0</v>
      </c>
      <c r="R450" s="721" t="b">
        <f t="shared" si="315"/>
        <v>0</v>
      </c>
      <c r="S450" s="721" t="b">
        <f t="shared" ref="S450:S453" si="330">TRUE()</f>
        <v>1</v>
      </c>
      <c r="T450" s="721" t="b">
        <f t="shared" si="312"/>
        <v>0</v>
      </c>
      <c r="U450" s="721" t="b">
        <f t="shared" ref="U450:U467" si="331">FALSE()</f>
        <v>0</v>
      </c>
      <c r="V450" s="721" t="b">
        <f t="shared" si="320"/>
        <v>0</v>
      </c>
      <c r="W450" s="721" t="b">
        <f t="shared" si="305"/>
        <v>0</v>
      </c>
      <c r="X450" s="721" t="b">
        <f t="shared" si="290"/>
        <v>0</v>
      </c>
      <c r="Y450" s="721" t="b">
        <f t="shared" si="325"/>
        <v>0</v>
      </c>
      <c r="Z450" s="721" t="b">
        <f t="shared" si="308"/>
        <v>0</v>
      </c>
      <c r="AA450" s="721" t="b">
        <f t="shared" si="321"/>
        <v>0</v>
      </c>
      <c r="AB450" s="17"/>
      <c r="AC450" s="17"/>
      <c r="AD450" s="17"/>
      <c r="AE450" s="17"/>
      <c r="AF450" s="17"/>
      <c r="AG450" s="17"/>
      <c r="AH450" s="17"/>
      <c r="AI450" s="17"/>
      <c r="AJ450" s="17"/>
      <c r="AK450" s="17"/>
      <c r="AL450" s="17"/>
      <c r="AM450" s="17"/>
      <c r="AN450" s="17"/>
      <c r="AO450" s="17"/>
      <c r="AP450" s="17"/>
      <c r="AQ450" s="17"/>
    </row>
    <row r="451" spans="1:66" hidden="1">
      <c r="A451">
        <f t="shared" si="302"/>
        <v>448</v>
      </c>
      <c r="B451" s="488">
        <v>1</v>
      </c>
      <c r="C451" s="407" t="s">
        <v>522</v>
      </c>
      <c r="D451" s="408" t="s">
        <v>747</v>
      </c>
      <c r="E451" s="407"/>
      <c r="F451" s="408" t="s">
        <v>765</v>
      </c>
      <c r="G451" s="409">
        <v>19.14</v>
      </c>
      <c r="H451" s="410"/>
      <c r="I451" s="409">
        <f t="shared" si="301"/>
        <v>19.14</v>
      </c>
      <c r="K451" s="204"/>
      <c r="L451" s="204" t="s">
        <v>966</v>
      </c>
      <c r="M451" s="726">
        <v>44578</v>
      </c>
      <c r="N451" s="721" t="b">
        <f t="shared" si="309"/>
        <v>0</v>
      </c>
      <c r="O451" s="721" t="b">
        <f t="shared" si="322"/>
        <v>0</v>
      </c>
      <c r="P451" s="721" t="b">
        <f t="shared" si="327"/>
        <v>0</v>
      </c>
      <c r="Q451" s="721" t="b">
        <f t="shared" si="286"/>
        <v>0</v>
      </c>
      <c r="R451" s="721" t="b">
        <f t="shared" si="315"/>
        <v>0</v>
      </c>
      <c r="S451" s="721" t="b">
        <f t="shared" si="330"/>
        <v>1</v>
      </c>
      <c r="T451" s="721" t="b">
        <f t="shared" si="312"/>
        <v>0</v>
      </c>
      <c r="U451" s="721" t="b">
        <f t="shared" si="331"/>
        <v>0</v>
      </c>
      <c r="V451" s="721" t="b">
        <f t="shared" si="320"/>
        <v>0</v>
      </c>
      <c r="W451" s="721" t="b">
        <f t="shared" si="305"/>
        <v>0</v>
      </c>
      <c r="X451" s="721" t="b">
        <f t="shared" si="290"/>
        <v>0</v>
      </c>
      <c r="Y451" s="721" t="b">
        <f t="shared" si="325"/>
        <v>0</v>
      </c>
      <c r="Z451" s="721" t="b">
        <f t="shared" si="308"/>
        <v>0</v>
      </c>
      <c r="AA451" s="721" t="b">
        <f t="shared" si="321"/>
        <v>0</v>
      </c>
      <c r="AB451" s="17"/>
      <c r="AC451" s="17"/>
      <c r="AD451" s="17"/>
      <c r="AE451" s="17"/>
      <c r="AF451" s="17"/>
      <c r="AG451" s="17"/>
      <c r="AH451" s="17"/>
      <c r="AI451" s="17"/>
      <c r="AJ451" s="17"/>
      <c r="AK451" s="17"/>
      <c r="AL451" s="17"/>
      <c r="AM451" s="17"/>
      <c r="AN451" s="17"/>
      <c r="AO451" s="17"/>
      <c r="AP451" s="17"/>
      <c r="AQ451" s="17"/>
    </row>
    <row r="452" spans="1:66" hidden="1">
      <c r="A452">
        <f t="shared" si="302"/>
        <v>449</v>
      </c>
      <c r="B452" s="488">
        <v>1</v>
      </c>
      <c r="C452" s="407" t="s">
        <v>522</v>
      </c>
      <c r="D452" s="408" t="s">
        <v>747</v>
      </c>
      <c r="E452" s="407"/>
      <c r="F452" s="408" t="s">
        <v>1411</v>
      </c>
      <c r="G452" s="409">
        <v>19.809999999999999</v>
      </c>
      <c r="H452" s="410"/>
      <c r="I452" s="409">
        <f t="shared" si="301"/>
        <v>19.809999999999999</v>
      </c>
      <c r="K452" s="204"/>
      <c r="L452" s="204" t="s">
        <v>966</v>
      </c>
      <c r="M452" s="726">
        <v>44578</v>
      </c>
      <c r="N452" s="721" t="b">
        <f t="shared" si="309"/>
        <v>0</v>
      </c>
      <c r="O452" s="721" t="b">
        <f t="shared" si="322"/>
        <v>0</v>
      </c>
      <c r="P452" s="721" t="b">
        <f t="shared" si="327"/>
        <v>0</v>
      </c>
      <c r="Q452" s="721" t="b">
        <f t="shared" si="286"/>
        <v>0</v>
      </c>
      <c r="R452" s="721" t="b">
        <f t="shared" si="315"/>
        <v>0</v>
      </c>
      <c r="S452" s="721" t="b">
        <f t="shared" si="330"/>
        <v>1</v>
      </c>
      <c r="T452" s="721" t="b">
        <f t="shared" si="312"/>
        <v>0</v>
      </c>
      <c r="U452" s="721" t="b">
        <f t="shared" si="331"/>
        <v>0</v>
      </c>
      <c r="V452" s="721" t="b">
        <f t="shared" si="320"/>
        <v>0</v>
      </c>
      <c r="W452" s="721" t="b">
        <f t="shared" si="305"/>
        <v>0</v>
      </c>
      <c r="X452" s="721" t="b">
        <f t="shared" si="290"/>
        <v>0</v>
      </c>
      <c r="Y452" s="721" t="b">
        <f t="shared" si="325"/>
        <v>0</v>
      </c>
      <c r="Z452" s="721" t="b">
        <f t="shared" si="308"/>
        <v>0</v>
      </c>
      <c r="AA452" s="721" t="b">
        <f t="shared" si="321"/>
        <v>0</v>
      </c>
      <c r="AB452" s="17"/>
      <c r="AC452" s="17"/>
      <c r="AD452" s="17"/>
      <c r="AE452" s="17"/>
      <c r="AF452" s="17"/>
      <c r="AG452" s="17"/>
      <c r="AH452" s="17"/>
      <c r="AI452" s="17"/>
      <c r="AJ452" s="17"/>
      <c r="AK452" s="17"/>
      <c r="AL452" s="17"/>
      <c r="AM452" s="17"/>
      <c r="AN452" s="17"/>
      <c r="AO452" s="17"/>
      <c r="AP452" s="17"/>
      <c r="AQ452" s="17"/>
    </row>
    <row r="453" spans="1:66" hidden="1">
      <c r="A453">
        <f t="shared" si="302"/>
        <v>450</v>
      </c>
      <c r="B453" s="488">
        <v>1</v>
      </c>
      <c r="C453" s="407" t="s">
        <v>522</v>
      </c>
      <c r="D453" s="408" t="s">
        <v>747</v>
      </c>
      <c r="E453" s="407"/>
      <c r="F453" s="408" t="s">
        <v>767</v>
      </c>
      <c r="G453" s="409">
        <v>133.46</v>
      </c>
      <c r="H453" s="410"/>
      <c r="I453" s="409">
        <f t="shared" si="301"/>
        <v>133.46</v>
      </c>
      <c r="K453" s="204"/>
      <c r="L453" s="204" t="s">
        <v>966</v>
      </c>
      <c r="M453" s="726">
        <v>44578</v>
      </c>
      <c r="N453" s="721" t="b">
        <f t="shared" si="309"/>
        <v>0</v>
      </c>
      <c r="O453" s="721" t="b">
        <f t="shared" si="322"/>
        <v>0</v>
      </c>
      <c r="P453" s="721" t="b">
        <f t="shared" si="327"/>
        <v>0</v>
      </c>
      <c r="Q453" s="721" t="b">
        <f t="shared" si="286"/>
        <v>0</v>
      </c>
      <c r="R453" s="721" t="b">
        <f t="shared" si="315"/>
        <v>0</v>
      </c>
      <c r="S453" s="721" t="b">
        <f t="shared" si="330"/>
        <v>1</v>
      </c>
      <c r="T453" s="721" t="b">
        <f t="shared" si="312"/>
        <v>0</v>
      </c>
      <c r="U453" s="721" t="b">
        <f t="shared" si="331"/>
        <v>0</v>
      </c>
      <c r="V453" s="721" t="b">
        <f t="shared" si="320"/>
        <v>0</v>
      </c>
      <c r="W453" s="721" t="b">
        <f t="shared" si="305"/>
        <v>0</v>
      </c>
      <c r="X453" s="721" t="b">
        <f t="shared" si="290"/>
        <v>0</v>
      </c>
      <c r="Y453" s="721" t="b">
        <f t="shared" si="325"/>
        <v>0</v>
      </c>
      <c r="Z453" s="721" t="b">
        <f t="shared" si="308"/>
        <v>0</v>
      </c>
      <c r="AA453" s="721" t="b">
        <f t="shared" si="321"/>
        <v>0</v>
      </c>
      <c r="AB453" s="17"/>
      <c r="AC453" s="17"/>
      <c r="AD453" s="17"/>
      <c r="AE453" s="17"/>
      <c r="AF453" s="17"/>
      <c r="AG453" s="17"/>
      <c r="AH453" s="17"/>
      <c r="AI453" s="17"/>
      <c r="AJ453" s="17"/>
      <c r="AK453" s="17"/>
      <c r="AL453" s="17"/>
      <c r="AM453" s="17"/>
      <c r="AN453" s="17"/>
      <c r="AO453" s="17"/>
      <c r="AP453" s="17"/>
      <c r="AQ453" s="17"/>
    </row>
    <row r="454" spans="1:66" hidden="1">
      <c r="A454">
        <f t="shared" si="302"/>
        <v>451</v>
      </c>
      <c r="B454" s="407">
        <v>1</v>
      </c>
      <c r="C454" s="407" t="s">
        <v>539</v>
      </c>
      <c r="D454" s="408" t="s">
        <v>747</v>
      </c>
      <c r="E454" s="407"/>
      <c r="F454" s="408" t="s">
        <v>1412</v>
      </c>
      <c r="G454" s="409">
        <v>1.57</v>
      </c>
      <c r="H454" s="410"/>
      <c r="I454" s="409">
        <f t="shared" si="301"/>
        <v>1.57</v>
      </c>
      <c r="K454" s="417"/>
      <c r="L454" s="17" t="s">
        <v>966</v>
      </c>
      <c r="M454" s="720">
        <v>44578</v>
      </c>
      <c r="N454" s="721" t="b">
        <f t="shared" si="309"/>
        <v>0</v>
      </c>
      <c r="O454" s="721" t="b">
        <f t="shared" si="322"/>
        <v>0</v>
      </c>
      <c r="P454" s="721" t="b">
        <f t="shared" si="327"/>
        <v>0</v>
      </c>
      <c r="Q454" s="721" t="b">
        <f t="shared" ref="Q454:Q458" si="332">FALSE()</f>
        <v>0</v>
      </c>
      <c r="R454" s="721" t="b">
        <f t="shared" si="315"/>
        <v>0</v>
      </c>
      <c r="S454" s="721" t="b">
        <f t="shared" ref="S454:S467" si="333">FALSE()</f>
        <v>0</v>
      </c>
      <c r="T454" s="721" t="b">
        <f t="shared" si="312"/>
        <v>0</v>
      </c>
      <c r="U454" s="721" t="b">
        <f t="shared" si="331"/>
        <v>0</v>
      </c>
      <c r="V454" s="721" t="b">
        <f t="shared" ref="V454:V455" si="334">TRUE()</f>
        <v>1</v>
      </c>
      <c r="W454" s="721" t="b">
        <f t="shared" si="305"/>
        <v>0</v>
      </c>
      <c r="X454" s="721" t="b">
        <f t="shared" si="290"/>
        <v>0</v>
      </c>
      <c r="Y454" s="721" t="b">
        <f t="shared" si="325"/>
        <v>0</v>
      </c>
      <c r="Z454" s="721" t="b">
        <f t="shared" si="308"/>
        <v>0</v>
      </c>
      <c r="AA454" s="721" t="b">
        <f t="shared" si="321"/>
        <v>0</v>
      </c>
      <c r="AB454" s="17"/>
      <c r="AC454" s="17"/>
      <c r="AD454" s="17"/>
      <c r="AE454" s="17"/>
      <c r="AF454" s="17"/>
      <c r="AG454" s="17"/>
      <c r="AH454" s="17"/>
      <c r="AI454" s="17"/>
      <c r="AJ454" s="17"/>
      <c r="AK454" s="17"/>
      <c r="AL454" s="17"/>
      <c r="AM454" s="17"/>
      <c r="AN454" s="17"/>
      <c r="AO454" s="17"/>
      <c r="AP454" s="17"/>
      <c r="AQ454" s="17"/>
    </row>
    <row r="455" spans="1:66" hidden="1">
      <c r="A455">
        <f t="shared" si="302"/>
        <v>452</v>
      </c>
      <c r="B455" s="407">
        <v>1</v>
      </c>
      <c r="C455" s="407" t="s">
        <v>1363</v>
      </c>
      <c r="D455" s="408" t="s">
        <v>747</v>
      </c>
      <c r="E455" s="407"/>
      <c r="F455" s="408" t="s">
        <v>1413</v>
      </c>
      <c r="G455" s="409">
        <v>362.73</v>
      </c>
      <c r="H455" s="410"/>
      <c r="I455" s="409">
        <f t="shared" si="301"/>
        <v>362.73</v>
      </c>
      <c r="K455" s="417"/>
      <c r="L455" s="17" t="s">
        <v>966</v>
      </c>
      <c r="M455" s="720">
        <v>44578</v>
      </c>
      <c r="N455" s="721" t="b">
        <f t="shared" si="309"/>
        <v>0</v>
      </c>
      <c r="O455" s="721" t="b">
        <f t="shared" si="322"/>
        <v>0</v>
      </c>
      <c r="P455" s="721" t="b">
        <f t="shared" si="327"/>
        <v>0</v>
      </c>
      <c r="Q455" s="721" t="b">
        <f t="shared" si="332"/>
        <v>0</v>
      </c>
      <c r="R455" s="721" t="b">
        <f t="shared" si="315"/>
        <v>0</v>
      </c>
      <c r="S455" s="721" t="b">
        <f t="shared" si="333"/>
        <v>0</v>
      </c>
      <c r="T455" s="721" t="b">
        <f t="shared" si="312"/>
        <v>0</v>
      </c>
      <c r="U455" s="721" t="b">
        <f t="shared" si="331"/>
        <v>0</v>
      </c>
      <c r="V455" s="721" t="b">
        <f t="shared" si="334"/>
        <v>1</v>
      </c>
      <c r="W455" s="721" t="b">
        <f t="shared" si="305"/>
        <v>0</v>
      </c>
      <c r="X455" s="721" t="b">
        <f t="shared" si="290"/>
        <v>0</v>
      </c>
      <c r="Y455" s="721" t="b">
        <f t="shared" si="325"/>
        <v>0</v>
      </c>
      <c r="Z455" s="721" t="b">
        <f t="shared" si="308"/>
        <v>0</v>
      </c>
      <c r="AA455" s="721" t="b">
        <f t="shared" si="321"/>
        <v>0</v>
      </c>
      <c r="AB455" s="17"/>
      <c r="AC455" s="17"/>
      <c r="AD455" s="17"/>
      <c r="AE455" s="17"/>
      <c r="AF455" s="17"/>
      <c r="AG455" s="17"/>
      <c r="AH455" s="17"/>
      <c r="AI455" s="17"/>
      <c r="AJ455" s="17"/>
      <c r="AK455" s="17"/>
      <c r="AL455" s="17"/>
      <c r="AM455" s="17"/>
      <c r="AN455" s="17"/>
      <c r="AO455" s="17"/>
      <c r="AP455" s="17"/>
      <c r="AQ455" s="17"/>
    </row>
    <row r="456" spans="1:66" hidden="1">
      <c r="A456">
        <f t="shared" si="302"/>
        <v>453</v>
      </c>
      <c r="B456" s="487">
        <v>1</v>
      </c>
      <c r="C456" s="407" t="s">
        <v>539</v>
      </c>
      <c r="D456" s="408" t="s">
        <v>747</v>
      </c>
      <c r="E456" s="407"/>
      <c r="F456" s="408" t="s">
        <v>1414</v>
      </c>
      <c r="G456" s="409">
        <v>43.33</v>
      </c>
      <c r="H456" s="428"/>
      <c r="I456" s="430">
        <f t="shared" si="301"/>
        <v>43.33</v>
      </c>
      <c r="K456" s="17"/>
      <c r="L456" s="17" t="s">
        <v>966</v>
      </c>
      <c r="M456" s="720">
        <v>44578</v>
      </c>
      <c r="N456" s="721" t="b">
        <f t="shared" si="309"/>
        <v>0</v>
      </c>
      <c r="O456" s="721" t="b">
        <f t="shared" si="322"/>
        <v>0</v>
      </c>
      <c r="P456" s="721" t="b">
        <f t="shared" si="327"/>
        <v>0</v>
      </c>
      <c r="Q456" s="721" t="b">
        <f t="shared" si="332"/>
        <v>0</v>
      </c>
      <c r="R456" s="721" t="b">
        <f t="shared" si="315"/>
        <v>0</v>
      </c>
      <c r="S456" s="721" t="b">
        <f t="shared" si="333"/>
        <v>0</v>
      </c>
      <c r="T456" s="721" t="b">
        <f t="shared" si="312"/>
        <v>0</v>
      </c>
      <c r="U456" s="721" t="b">
        <f t="shared" si="331"/>
        <v>0</v>
      </c>
      <c r="V456" s="721" t="b">
        <f t="shared" ref="V456:V467" si="335">FALSE()</f>
        <v>0</v>
      </c>
      <c r="W456" s="721" t="b">
        <f t="shared" ref="W456:W457" si="336">TRUE()</f>
        <v>1</v>
      </c>
      <c r="X456" s="721" t="b">
        <f t="shared" si="290"/>
        <v>0</v>
      </c>
      <c r="Y456" s="721" t="b">
        <f t="shared" si="325"/>
        <v>0</v>
      </c>
      <c r="Z456" s="721" t="b">
        <f t="shared" si="308"/>
        <v>0</v>
      </c>
      <c r="AA456" s="721" t="b">
        <f t="shared" si="321"/>
        <v>0</v>
      </c>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row>
    <row r="457" spans="1:66" hidden="1">
      <c r="A457">
        <f t="shared" si="302"/>
        <v>454</v>
      </c>
      <c r="B457" s="487">
        <v>1</v>
      </c>
      <c r="C457" s="407" t="s">
        <v>539</v>
      </c>
      <c r="D457" s="408" t="s">
        <v>747</v>
      </c>
      <c r="E457" s="407"/>
      <c r="F457" s="408" t="s">
        <v>1415</v>
      </c>
      <c r="G457" s="409">
        <v>18.89</v>
      </c>
      <c r="H457" s="428"/>
      <c r="I457" s="430">
        <f t="shared" si="301"/>
        <v>18.89</v>
      </c>
      <c r="K457" s="17"/>
      <c r="L457" s="17" t="s">
        <v>966</v>
      </c>
      <c r="M457" s="720">
        <v>44578</v>
      </c>
      <c r="N457" s="721" t="b">
        <f t="shared" si="309"/>
        <v>0</v>
      </c>
      <c r="O457" s="721" t="b">
        <f t="shared" si="322"/>
        <v>0</v>
      </c>
      <c r="P457" s="721" t="b">
        <f t="shared" si="327"/>
        <v>0</v>
      </c>
      <c r="Q457" s="721" t="b">
        <f t="shared" si="332"/>
        <v>0</v>
      </c>
      <c r="R457" s="721" t="b">
        <f t="shared" si="315"/>
        <v>0</v>
      </c>
      <c r="S457" s="721" t="b">
        <f t="shared" si="333"/>
        <v>0</v>
      </c>
      <c r="T457" s="721" t="b">
        <f t="shared" si="312"/>
        <v>0</v>
      </c>
      <c r="U457" s="721" t="b">
        <f t="shared" si="331"/>
        <v>0</v>
      </c>
      <c r="V457" s="721" t="b">
        <f t="shared" si="335"/>
        <v>0</v>
      </c>
      <c r="W457" s="721" t="b">
        <f t="shared" si="336"/>
        <v>1</v>
      </c>
      <c r="X457" s="721" t="b">
        <f t="shared" ref="X457:X467" si="337">FALSE()</f>
        <v>0</v>
      </c>
      <c r="Y457" s="721" t="b">
        <f t="shared" si="325"/>
        <v>0</v>
      </c>
      <c r="Z457" s="721" t="b">
        <f t="shared" si="308"/>
        <v>0</v>
      </c>
      <c r="AA457" s="721" t="b">
        <f t="shared" si="321"/>
        <v>0</v>
      </c>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row>
    <row r="458" spans="1:66" hidden="1">
      <c r="A458">
        <f t="shared" si="302"/>
        <v>455</v>
      </c>
      <c r="B458" s="407">
        <v>1</v>
      </c>
      <c r="C458" s="407" t="s">
        <v>505</v>
      </c>
      <c r="D458" s="408" t="s">
        <v>747</v>
      </c>
      <c r="E458" s="407"/>
      <c r="F458" s="408" t="s">
        <v>754</v>
      </c>
      <c r="G458" s="409">
        <v>2728.51</v>
      </c>
      <c r="H458" s="410"/>
      <c r="I458" s="409">
        <f t="shared" si="301"/>
        <v>2728.51</v>
      </c>
      <c r="J458" s="58">
        <v>160000</v>
      </c>
      <c r="K458" s="417">
        <f t="shared" si="326"/>
        <v>1.7053187500000001E-2</v>
      </c>
      <c r="L458" s="17" t="s">
        <v>966</v>
      </c>
      <c r="M458" s="720">
        <v>44578</v>
      </c>
      <c r="N458" s="721" t="b">
        <f t="shared" si="309"/>
        <v>0</v>
      </c>
      <c r="O458" s="721" t="b">
        <f t="shared" si="322"/>
        <v>0</v>
      </c>
      <c r="P458" s="721" t="b">
        <f t="shared" si="327"/>
        <v>0</v>
      </c>
      <c r="Q458" s="721" t="b">
        <f t="shared" si="332"/>
        <v>0</v>
      </c>
      <c r="R458" s="721" t="b">
        <f>TRUE()</f>
        <v>1</v>
      </c>
      <c r="S458" s="721" t="b">
        <f t="shared" si="333"/>
        <v>0</v>
      </c>
      <c r="T458" s="721" t="b">
        <f t="shared" si="312"/>
        <v>0</v>
      </c>
      <c r="U458" s="721" t="b">
        <f t="shared" si="331"/>
        <v>0</v>
      </c>
      <c r="V458" s="721" t="b">
        <f t="shared" si="335"/>
        <v>0</v>
      </c>
      <c r="W458" s="721" t="b">
        <f t="shared" ref="W458:W464" si="338">FALSE()</f>
        <v>0</v>
      </c>
      <c r="X458" s="721" t="b">
        <f t="shared" si="337"/>
        <v>0</v>
      </c>
      <c r="Y458" s="721" t="b">
        <f t="shared" si="325"/>
        <v>0</v>
      </c>
      <c r="Z458" s="721" t="b">
        <f t="shared" si="308"/>
        <v>0</v>
      </c>
      <c r="AA458" s="721" t="b">
        <f t="shared" si="321"/>
        <v>0</v>
      </c>
      <c r="AB458" s="17"/>
      <c r="AC458" s="17"/>
      <c r="AD458" s="17"/>
      <c r="AE458" s="17"/>
      <c r="AF458" s="17"/>
      <c r="AG458" s="17"/>
      <c r="AH458" s="17"/>
      <c r="AI458" s="17"/>
      <c r="AJ458" s="17"/>
      <c r="AK458" s="17"/>
      <c r="AL458" s="17"/>
      <c r="AM458" s="17"/>
      <c r="AN458" s="17"/>
      <c r="AO458" s="17"/>
      <c r="AP458" s="17"/>
      <c r="AQ458" s="17"/>
    </row>
    <row r="459" spans="1:66" hidden="1">
      <c r="A459">
        <f t="shared" si="302"/>
        <v>456</v>
      </c>
      <c r="B459" s="487">
        <v>1</v>
      </c>
      <c r="C459" s="487" t="s">
        <v>530</v>
      </c>
      <c r="D459" s="408" t="s">
        <v>747</v>
      </c>
      <c r="E459" s="487"/>
      <c r="F459" s="408" t="s">
        <v>1416</v>
      </c>
      <c r="G459" s="409">
        <v>611.11</v>
      </c>
      <c r="H459" s="410"/>
      <c r="I459" s="409">
        <f t="shared" si="301"/>
        <v>611.11</v>
      </c>
      <c r="K459" s="17"/>
      <c r="L459" s="17" t="s">
        <v>966</v>
      </c>
      <c r="M459" s="720">
        <v>44578</v>
      </c>
      <c r="N459" s="721" t="b">
        <f t="shared" si="309"/>
        <v>0</v>
      </c>
      <c r="O459" s="721" t="b">
        <f t="shared" si="322"/>
        <v>0</v>
      </c>
      <c r="P459" s="721" t="b">
        <f t="shared" si="327"/>
        <v>0</v>
      </c>
      <c r="Q459" s="721" t="b">
        <f t="shared" ref="Q459:Q460" si="339">TRUE()</f>
        <v>1</v>
      </c>
      <c r="R459" s="721" t="b">
        <f t="shared" ref="R459:R463" si="340">FALSE()</f>
        <v>0</v>
      </c>
      <c r="S459" s="721" t="b">
        <f t="shared" si="333"/>
        <v>0</v>
      </c>
      <c r="T459" s="721" t="b">
        <f t="shared" si="312"/>
        <v>0</v>
      </c>
      <c r="U459" s="721" t="b">
        <f t="shared" si="331"/>
        <v>0</v>
      </c>
      <c r="V459" s="721" t="b">
        <f t="shared" si="335"/>
        <v>0</v>
      </c>
      <c r="W459" s="721" t="b">
        <f t="shared" si="338"/>
        <v>0</v>
      </c>
      <c r="X459" s="721" t="b">
        <f t="shared" si="337"/>
        <v>0</v>
      </c>
      <c r="Y459" s="721" t="b">
        <f t="shared" si="325"/>
        <v>0</v>
      </c>
      <c r="Z459" s="721" t="b">
        <f t="shared" si="308"/>
        <v>0</v>
      </c>
      <c r="AA459" s="721" t="b">
        <f t="shared" si="321"/>
        <v>0</v>
      </c>
      <c r="AB459" s="17"/>
      <c r="AC459" s="17"/>
      <c r="AD459" s="17"/>
      <c r="AE459" s="17"/>
      <c r="AF459" s="17"/>
      <c r="AG459" s="17"/>
      <c r="AH459" s="17"/>
      <c r="AI459" s="17"/>
      <c r="AJ459" s="17"/>
      <c r="AK459" s="17"/>
      <c r="AL459" s="17"/>
      <c r="AM459" s="17"/>
      <c r="AN459" s="17"/>
      <c r="AO459" s="17"/>
      <c r="AP459" s="17"/>
      <c r="AQ459" s="17"/>
    </row>
    <row r="460" spans="1:66" hidden="1">
      <c r="A460">
        <f t="shared" si="302"/>
        <v>457</v>
      </c>
      <c r="B460" s="487">
        <v>1</v>
      </c>
      <c r="C460" s="487" t="s">
        <v>530</v>
      </c>
      <c r="D460" s="408" t="s">
        <v>747</v>
      </c>
      <c r="E460" s="487"/>
      <c r="F460" s="408" t="s">
        <v>824</v>
      </c>
      <c r="G460" s="409">
        <v>555.55999999999995</v>
      </c>
      <c r="H460" s="410"/>
      <c r="I460" s="409">
        <f t="shared" si="301"/>
        <v>555.55999999999995</v>
      </c>
      <c r="K460" s="17"/>
      <c r="L460" s="17" t="s">
        <v>966</v>
      </c>
      <c r="M460" s="720">
        <v>44578</v>
      </c>
      <c r="N460" s="721" t="b">
        <f t="shared" si="309"/>
        <v>0</v>
      </c>
      <c r="O460" s="721" t="b">
        <f t="shared" si="322"/>
        <v>0</v>
      </c>
      <c r="P460" s="721" t="b">
        <f t="shared" si="327"/>
        <v>0</v>
      </c>
      <c r="Q460" s="721" t="b">
        <f t="shared" si="339"/>
        <v>1</v>
      </c>
      <c r="R460" s="721" t="b">
        <f t="shared" si="340"/>
        <v>0</v>
      </c>
      <c r="S460" s="721" t="b">
        <f t="shared" si="333"/>
        <v>0</v>
      </c>
      <c r="T460" s="721" t="b">
        <f t="shared" si="312"/>
        <v>0</v>
      </c>
      <c r="U460" s="721" t="b">
        <f t="shared" si="331"/>
        <v>0</v>
      </c>
      <c r="V460" s="721" t="b">
        <f t="shared" si="335"/>
        <v>0</v>
      </c>
      <c r="W460" s="721" t="b">
        <f t="shared" si="338"/>
        <v>0</v>
      </c>
      <c r="X460" s="721" t="b">
        <f t="shared" si="337"/>
        <v>0</v>
      </c>
      <c r="Y460" s="721" t="b">
        <f t="shared" si="325"/>
        <v>0</v>
      </c>
      <c r="Z460" s="721" t="b">
        <f t="shared" si="308"/>
        <v>0</v>
      </c>
      <c r="AA460" s="721" t="b">
        <f t="shared" si="321"/>
        <v>0</v>
      </c>
      <c r="AB460" s="17"/>
      <c r="AC460" s="17"/>
      <c r="AD460" s="17"/>
      <c r="AE460" s="17"/>
      <c r="AF460" s="17"/>
      <c r="AG460" s="17"/>
      <c r="AH460" s="17"/>
      <c r="AI460" s="17"/>
      <c r="AJ460" s="17"/>
      <c r="AK460" s="17"/>
      <c r="AL460" s="17"/>
      <c r="AM460" s="17"/>
      <c r="AN460" s="17"/>
      <c r="AO460" s="17"/>
      <c r="AP460" s="17"/>
      <c r="AQ460" s="17"/>
    </row>
    <row r="461" spans="1:66" hidden="1">
      <c r="A461">
        <f t="shared" si="302"/>
        <v>458</v>
      </c>
      <c r="B461" s="407">
        <v>1</v>
      </c>
      <c r="C461" s="407" t="s">
        <v>505</v>
      </c>
      <c r="D461" s="408" t="s">
        <v>815</v>
      </c>
      <c r="E461" s="407"/>
      <c r="F461" s="408" t="s">
        <v>1417</v>
      </c>
      <c r="G461" s="409">
        <v>145.4</v>
      </c>
      <c r="H461" s="410"/>
      <c r="I461" s="409">
        <f t="shared" si="301"/>
        <v>145.4</v>
      </c>
      <c r="J461" s="58">
        <v>375</v>
      </c>
      <c r="K461" s="417">
        <f t="shared" si="326"/>
        <v>0.38773333333333337</v>
      </c>
      <c r="L461" s="17" t="s">
        <v>966</v>
      </c>
      <c r="M461" s="720">
        <v>44585</v>
      </c>
      <c r="N461" s="721" t="b">
        <f t="shared" ref="N461:N463" si="341">TRUE()</f>
        <v>1</v>
      </c>
      <c r="O461" s="721" t="b">
        <f t="shared" si="322"/>
        <v>0</v>
      </c>
      <c r="P461" s="721" t="b">
        <f t="shared" si="327"/>
        <v>0</v>
      </c>
      <c r="Q461" s="721" t="b">
        <f t="shared" ref="Q461:Q467" si="342">FALSE()</f>
        <v>0</v>
      </c>
      <c r="R461" s="721" t="b">
        <f t="shared" si="340"/>
        <v>0</v>
      </c>
      <c r="S461" s="721" t="b">
        <f t="shared" si="333"/>
        <v>0</v>
      </c>
      <c r="T461" s="721" t="b">
        <f t="shared" si="312"/>
        <v>0</v>
      </c>
      <c r="U461" s="721" t="b">
        <f t="shared" si="331"/>
        <v>0</v>
      </c>
      <c r="V461" s="721" t="b">
        <f t="shared" si="335"/>
        <v>0</v>
      </c>
      <c r="W461" s="721" t="b">
        <f t="shared" si="338"/>
        <v>0</v>
      </c>
      <c r="X461" s="721"/>
      <c r="Y461" s="721" t="b">
        <f t="shared" si="325"/>
        <v>0</v>
      </c>
      <c r="Z461" s="721" t="b">
        <f t="shared" si="308"/>
        <v>0</v>
      </c>
      <c r="AA461" s="721" t="b">
        <f t="shared" si="321"/>
        <v>0</v>
      </c>
      <c r="AB461" s="17"/>
      <c r="AC461" s="17"/>
      <c r="AD461" s="17"/>
      <c r="AE461" s="17"/>
      <c r="AF461" s="17"/>
      <c r="AG461" s="17"/>
      <c r="AH461" s="17"/>
      <c r="AI461" s="17"/>
      <c r="AJ461" s="17"/>
      <c r="AK461" s="17"/>
      <c r="AL461" s="17"/>
      <c r="AM461" s="17"/>
      <c r="AN461" s="17"/>
      <c r="AO461" s="17"/>
      <c r="AP461" s="17"/>
      <c r="AQ461" s="17"/>
    </row>
    <row r="462" spans="1:66" ht="22.25" hidden="1">
      <c r="A462">
        <f t="shared" si="302"/>
        <v>459</v>
      </c>
      <c r="B462" s="407">
        <v>1</v>
      </c>
      <c r="C462" s="407" t="s">
        <v>505</v>
      </c>
      <c r="D462" s="408" t="s">
        <v>815</v>
      </c>
      <c r="E462" s="407"/>
      <c r="F462" s="408" t="s">
        <v>816</v>
      </c>
      <c r="G462" s="409">
        <v>130</v>
      </c>
      <c r="H462" s="410"/>
      <c r="I462" s="409">
        <f t="shared" si="301"/>
        <v>130</v>
      </c>
      <c r="J462" s="58">
        <v>375</v>
      </c>
      <c r="K462" s="417">
        <f t="shared" si="326"/>
        <v>0.34666666666666668</v>
      </c>
      <c r="L462" s="17" t="s">
        <v>966</v>
      </c>
      <c r="M462" s="720">
        <v>44585</v>
      </c>
      <c r="N462" s="721" t="b">
        <f t="shared" si="341"/>
        <v>1</v>
      </c>
      <c r="O462" s="721" t="b">
        <f t="shared" si="322"/>
        <v>0</v>
      </c>
      <c r="P462" s="721" t="b">
        <f t="shared" si="327"/>
        <v>0</v>
      </c>
      <c r="Q462" s="721" t="b">
        <f t="shared" si="342"/>
        <v>0</v>
      </c>
      <c r="R462" s="721" t="b">
        <f t="shared" si="340"/>
        <v>0</v>
      </c>
      <c r="S462" s="721" t="b">
        <f t="shared" si="333"/>
        <v>0</v>
      </c>
      <c r="T462" s="721" t="b">
        <f t="shared" si="312"/>
        <v>0</v>
      </c>
      <c r="U462" s="721" t="b">
        <f t="shared" si="331"/>
        <v>0</v>
      </c>
      <c r="V462" s="721" t="b">
        <f t="shared" si="335"/>
        <v>0</v>
      </c>
      <c r="W462" s="721" t="b">
        <f t="shared" si="338"/>
        <v>0</v>
      </c>
      <c r="X462" s="721"/>
      <c r="Y462" s="721" t="b">
        <f t="shared" si="325"/>
        <v>0</v>
      </c>
      <c r="Z462" s="721" t="b">
        <f t="shared" si="308"/>
        <v>0</v>
      </c>
      <c r="AA462" s="721" t="b">
        <f t="shared" si="321"/>
        <v>0</v>
      </c>
      <c r="AB462" s="17"/>
      <c r="AC462" s="17"/>
      <c r="AD462" s="17"/>
      <c r="AE462" s="17"/>
      <c r="AF462" s="17"/>
      <c r="AG462" s="17"/>
      <c r="AH462" s="17"/>
      <c r="AI462" s="17"/>
      <c r="AJ462" s="17"/>
      <c r="AK462" s="17"/>
      <c r="AL462" s="17"/>
      <c r="AM462" s="17"/>
      <c r="AN462" s="17"/>
      <c r="AO462" s="17"/>
      <c r="AP462" s="17"/>
      <c r="AQ462" s="17"/>
    </row>
    <row r="463" spans="1:66" hidden="1">
      <c r="A463">
        <f t="shared" si="302"/>
        <v>460</v>
      </c>
      <c r="B463" s="407">
        <v>1</v>
      </c>
      <c r="C463" s="407" t="s">
        <v>505</v>
      </c>
      <c r="D463" s="408" t="s">
        <v>815</v>
      </c>
      <c r="E463" s="407"/>
      <c r="F463" s="408" t="s">
        <v>1418</v>
      </c>
      <c r="G463" s="409">
        <v>180</v>
      </c>
      <c r="H463" s="410"/>
      <c r="I463" s="409">
        <f t="shared" si="301"/>
        <v>180</v>
      </c>
      <c r="J463" s="58">
        <v>500</v>
      </c>
      <c r="K463" s="417">
        <f t="shared" si="326"/>
        <v>0.36</v>
      </c>
      <c r="L463" s="17" t="s">
        <v>966</v>
      </c>
      <c r="M463" s="720">
        <v>44585</v>
      </c>
      <c r="N463" s="721" t="b">
        <f t="shared" si="341"/>
        <v>1</v>
      </c>
      <c r="O463" s="721" t="b">
        <f t="shared" si="322"/>
        <v>0</v>
      </c>
      <c r="P463" s="721" t="b">
        <f t="shared" si="327"/>
        <v>0</v>
      </c>
      <c r="Q463" s="721" t="b">
        <f t="shared" si="342"/>
        <v>0</v>
      </c>
      <c r="R463" s="721" t="b">
        <f t="shared" si="340"/>
        <v>0</v>
      </c>
      <c r="S463" s="721" t="b">
        <f t="shared" si="333"/>
        <v>0</v>
      </c>
      <c r="T463" s="721" t="b">
        <f t="shared" si="312"/>
        <v>0</v>
      </c>
      <c r="U463" s="721" t="b">
        <f t="shared" si="331"/>
        <v>0</v>
      </c>
      <c r="V463" s="721" t="b">
        <f t="shared" si="335"/>
        <v>0</v>
      </c>
      <c r="W463" s="721" t="b">
        <f t="shared" si="338"/>
        <v>0</v>
      </c>
      <c r="X463" s="721"/>
      <c r="Y463" s="721" t="b">
        <f t="shared" si="325"/>
        <v>0</v>
      </c>
      <c r="Z463" s="721" t="b">
        <f t="shared" si="308"/>
        <v>0</v>
      </c>
      <c r="AA463" s="721" t="b">
        <f t="shared" si="321"/>
        <v>0</v>
      </c>
      <c r="AB463" s="17"/>
      <c r="AC463" s="17"/>
      <c r="AD463" s="17"/>
      <c r="AE463" s="17"/>
      <c r="AF463" s="17"/>
      <c r="AG463" s="17"/>
      <c r="AH463" s="17"/>
      <c r="AI463" s="17"/>
      <c r="AJ463" s="17"/>
      <c r="AK463" s="17"/>
      <c r="AL463" s="17"/>
      <c r="AM463" s="17"/>
      <c r="AN463" s="17"/>
      <c r="AO463" s="17"/>
      <c r="AP463" s="17"/>
      <c r="AQ463" s="17"/>
    </row>
    <row r="464" spans="1:66" hidden="1">
      <c r="A464">
        <f t="shared" si="302"/>
        <v>461</v>
      </c>
      <c r="B464" s="407">
        <v>1</v>
      </c>
      <c r="C464" s="407" t="s">
        <v>505</v>
      </c>
      <c r="D464" s="408" t="s">
        <v>783</v>
      </c>
      <c r="E464" s="407"/>
      <c r="F464" s="408" t="s">
        <v>1419</v>
      </c>
      <c r="G464" s="409">
        <v>700</v>
      </c>
      <c r="H464" s="410"/>
      <c r="I464" s="409">
        <f t="shared" si="301"/>
        <v>700</v>
      </c>
      <c r="J464" s="58">
        <v>50000</v>
      </c>
      <c r="K464" s="417"/>
      <c r="L464" s="17" t="s">
        <v>972</v>
      </c>
      <c r="M464" s="720">
        <v>44586</v>
      </c>
      <c r="N464" s="721" t="b">
        <f t="shared" ref="N464:N467" si="343">FALSE()</f>
        <v>0</v>
      </c>
      <c r="O464" s="721" t="b">
        <f t="shared" si="322"/>
        <v>0</v>
      </c>
      <c r="P464" s="721" t="b">
        <f t="shared" si="327"/>
        <v>0</v>
      </c>
      <c r="Q464" s="721" t="b">
        <f t="shared" si="342"/>
        <v>0</v>
      </c>
      <c r="R464" s="721" t="b">
        <f>TRUE()</f>
        <v>1</v>
      </c>
      <c r="S464" s="721" t="b">
        <f t="shared" si="333"/>
        <v>0</v>
      </c>
      <c r="T464" s="721" t="b">
        <f t="shared" si="312"/>
        <v>0</v>
      </c>
      <c r="U464" s="721" t="b">
        <f t="shared" si="331"/>
        <v>0</v>
      </c>
      <c r="V464" s="721" t="b">
        <f t="shared" si="335"/>
        <v>0</v>
      </c>
      <c r="W464" s="721" t="b">
        <f t="shared" si="338"/>
        <v>0</v>
      </c>
      <c r="X464" s="721" t="b">
        <f t="shared" si="337"/>
        <v>0</v>
      </c>
      <c r="Y464" s="721" t="b">
        <f t="shared" si="325"/>
        <v>0</v>
      </c>
      <c r="Z464" s="721" t="b">
        <f t="shared" si="308"/>
        <v>0</v>
      </c>
      <c r="AA464" s="721" t="b">
        <f t="shared" si="321"/>
        <v>0</v>
      </c>
      <c r="AB464" s="17"/>
      <c r="AC464" s="17"/>
      <c r="AD464" s="17"/>
      <c r="AE464" s="17"/>
      <c r="AF464" s="17"/>
      <c r="AG464" s="17"/>
      <c r="AH464" s="17"/>
      <c r="AI464" s="17"/>
      <c r="AJ464" s="17"/>
      <c r="AK464" s="17"/>
      <c r="AL464" s="17"/>
      <c r="AM464" s="17"/>
      <c r="AN464" s="17"/>
      <c r="AO464" s="17"/>
      <c r="AP464" s="17"/>
      <c r="AQ464" s="17"/>
    </row>
    <row r="465" spans="1:66" ht="22.25" hidden="1">
      <c r="A465">
        <f t="shared" si="302"/>
        <v>462</v>
      </c>
      <c r="B465" s="487">
        <v>1</v>
      </c>
      <c r="C465" s="407" t="s">
        <v>539</v>
      </c>
      <c r="D465" s="408" t="s">
        <v>552</v>
      </c>
      <c r="E465" s="407"/>
      <c r="F465" s="408" t="s">
        <v>1304</v>
      </c>
      <c r="G465" s="409">
        <f>24.34/1.2</f>
        <v>20.283333333333335</v>
      </c>
      <c r="H465" s="428"/>
      <c r="I465" s="430">
        <f t="shared" si="301"/>
        <v>20.283333333333335</v>
      </c>
      <c r="K465" s="17"/>
      <c r="L465" s="17" t="s">
        <v>1061</v>
      </c>
      <c r="M465" s="720">
        <v>44586</v>
      </c>
      <c r="N465" s="721" t="b">
        <f t="shared" si="343"/>
        <v>0</v>
      </c>
      <c r="O465" s="721" t="b">
        <f t="shared" si="322"/>
        <v>0</v>
      </c>
      <c r="P465" s="721" t="b">
        <f t="shared" si="327"/>
        <v>0</v>
      </c>
      <c r="Q465" s="721" t="b">
        <f t="shared" si="342"/>
        <v>0</v>
      </c>
      <c r="R465" s="721" t="b">
        <f t="shared" ref="R465:R466" si="344">FALSE()</f>
        <v>0</v>
      </c>
      <c r="S465" s="721" t="b">
        <f t="shared" si="333"/>
        <v>0</v>
      </c>
      <c r="T465" s="721" t="b">
        <f t="shared" si="312"/>
        <v>0</v>
      </c>
      <c r="U465" s="721" t="b">
        <f t="shared" si="331"/>
        <v>0</v>
      </c>
      <c r="V465" s="721" t="b">
        <f t="shared" si="335"/>
        <v>0</v>
      </c>
      <c r="W465" s="721" t="b">
        <f t="shared" ref="W465:W466" si="345">TRUE()</f>
        <v>1</v>
      </c>
      <c r="X465" s="721" t="b">
        <f t="shared" si="337"/>
        <v>0</v>
      </c>
      <c r="Y465" s="721" t="b">
        <f t="shared" si="325"/>
        <v>0</v>
      </c>
      <c r="Z465" s="721" t="b">
        <f t="shared" si="308"/>
        <v>0</v>
      </c>
      <c r="AA465" s="721" t="b">
        <f t="shared" si="321"/>
        <v>0</v>
      </c>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row>
    <row r="466" spans="1:66" ht="22.25" hidden="1">
      <c r="A466">
        <f t="shared" si="302"/>
        <v>463</v>
      </c>
      <c r="B466" s="487">
        <v>1</v>
      </c>
      <c r="C466" s="407" t="s">
        <v>539</v>
      </c>
      <c r="D466" s="408" t="s">
        <v>552</v>
      </c>
      <c r="E466" s="407"/>
      <c r="F466" s="408" t="s">
        <v>804</v>
      </c>
      <c r="G466" s="409">
        <f>44/1.2</f>
        <v>36.666666666666671</v>
      </c>
      <c r="H466" s="428"/>
      <c r="I466" s="430">
        <f t="shared" si="301"/>
        <v>36.666666666666671</v>
      </c>
      <c r="K466" s="17"/>
      <c r="L466" s="17" t="s">
        <v>1061</v>
      </c>
      <c r="M466" s="720">
        <v>44310</v>
      </c>
      <c r="N466" s="721" t="b">
        <f t="shared" si="343"/>
        <v>0</v>
      </c>
      <c r="O466" s="721" t="b">
        <f t="shared" si="322"/>
        <v>0</v>
      </c>
      <c r="P466" s="721" t="b">
        <f t="shared" si="327"/>
        <v>0</v>
      </c>
      <c r="Q466" s="721" t="b">
        <f t="shared" si="342"/>
        <v>0</v>
      </c>
      <c r="R466" s="721" t="b">
        <f t="shared" si="344"/>
        <v>0</v>
      </c>
      <c r="S466" s="721" t="b">
        <f t="shared" si="333"/>
        <v>0</v>
      </c>
      <c r="T466" s="721" t="b">
        <f t="shared" si="312"/>
        <v>0</v>
      </c>
      <c r="U466" s="721" t="b">
        <f t="shared" si="331"/>
        <v>0</v>
      </c>
      <c r="V466" s="721" t="b">
        <f t="shared" si="335"/>
        <v>0</v>
      </c>
      <c r="W466" s="721" t="b">
        <f t="shared" si="345"/>
        <v>1</v>
      </c>
      <c r="X466" s="721" t="b">
        <f t="shared" si="337"/>
        <v>0</v>
      </c>
      <c r="Y466" s="721" t="b">
        <f t="shared" si="325"/>
        <v>0</v>
      </c>
      <c r="Z466" s="721" t="b">
        <f t="shared" si="308"/>
        <v>0</v>
      </c>
      <c r="AA466" s="721" t="b">
        <f t="shared" si="321"/>
        <v>0</v>
      </c>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row>
    <row r="467" spans="1:66" hidden="1">
      <c r="A467">
        <f t="shared" si="302"/>
        <v>464</v>
      </c>
      <c r="B467" s="407">
        <v>1</v>
      </c>
      <c r="C467" s="407" t="s">
        <v>505</v>
      </c>
      <c r="D467" s="408" t="s">
        <v>783</v>
      </c>
      <c r="E467" s="407"/>
      <c r="F467" s="408" t="s">
        <v>1420</v>
      </c>
      <c r="G467" s="409">
        <v>1500</v>
      </c>
      <c r="H467" s="410"/>
      <c r="I467" s="409">
        <f t="shared" si="301"/>
        <v>1500</v>
      </c>
      <c r="J467" s="58">
        <v>160000</v>
      </c>
      <c r="K467" s="417">
        <f t="shared" si="326"/>
        <v>9.3749999999999997E-3</v>
      </c>
      <c r="L467" s="17" t="s">
        <v>972</v>
      </c>
      <c r="M467" s="720">
        <v>44578</v>
      </c>
      <c r="N467" s="721" t="b">
        <f t="shared" si="343"/>
        <v>0</v>
      </c>
      <c r="O467" s="721" t="b">
        <f t="shared" si="322"/>
        <v>0</v>
      </c>
      <c r="P467" s="721" t="b">
        <f t="shared" si="327"/>
        <v>0</v>
      </c>
      <c r="Q467" s="721" t="b">
        <f t="shared" si="342"/>
        <v>0</v>
      </c>
      <c r="R467" s="721" t="b">
        <f>TRUE()</f>
        <v>1</v>
      </c>
      <c r="S467" s="721" t="b">
        <f t="shared" si="333"/>
        <v>0</v>
      </c>
      <c r="T467" s="721" t="b">
        <f t="shared" si="312"/>
        <v>0</v>
      </c>
      <c r="U467" s="721" t="b">
        <f t="shared" si="331"/>
        <v>0</v>
      </c>
      <c r="V467" s="721" t="b">
        <f t="shared" si="335"/>
        <v>0</v>
      </c>
      <c r="W467" s="721" t="b">
        <f>FALSE()</f>
        <v>0</v>
      </c>
      <c r="X467" s="721" t="b">
        <f t="shared" si="337"/>
        <v>0</v>
      </c>
      <c r="Y467" s="721" t="b">
        <f t="shared" si="325"/>
        <v>0</v>
      </c>
      <c r="Z467" s="721" t="b">
        <f t="shared" si="308"/>
        <v>0</v>
      </c>
      <c r="AA467" s="721" t="b">
        <f t="shared" si="321"/>
        <v>0</v>
      </c>
      <c r="AB467" s="17"/>
      <c r="AC467" s="17"/>
      <c r="AD467" s="17"/>
      <c r="AE467" s="17"/>
      <c r="AF467" s="17"/>
      <c r="AG467" s="17"/>
      <c r="AH467" s="17"/>
      <c r="AI467" s="17"/>
      <c r="AJ467" s="17"/>
      <c r="AK467" s="17"/>
      <c r="AL467" s="17"/>
      <c r="AM467" s="17"/>
      <c r="AN467" s="17"/>
      <c r="AO467" s="17"/>
      <c r="AP467" s="17"/>
      <c r="AQ467" s="17"/>
    </row>
    <row r="468" spans="1:66" hidden="1">
      <c r="A468">
        <f t="shared" si="302"/>
        <v>465</v>
      </c>
      <c r="B468" s="407"/>
      <c r="C468" s="407"/>
      <c r="D468" s="408"/>
      <c r="E468" s="407"/>
      <c r="F468" s="408"/>
      <c r="G468" s="409"/>
      <c r="H468" s="410"/>
      <c r="I468" s="409"/>
      <c r="K468" s="17"/>
      <c r="L468" s="17"/>
      <c r="M468" s="17"/>
      <c r="N468" s="739"/>
      <c r="O468" s="739"/>
      <c r="P468" s="739"/>
      <c r="Q468" s="739"/>
      <c r="R468" s="739"/>
      <c r="S468" s="739"/>
      <c r="T468" s="739"/>
      <c r="U468" s="739"/>
      <c r="V468" s="739"/>
      <c r="W468" s="739"/>
      <c r="X468" s="739"/>
      <c r="Y468" s="739"/>
      <c r="Z468" s="740"/>
      <c r="AA468" s="740"/>
      <c r="AB468" s="17"/>
      <c r="AC468" s="17"/>
      <c r="AD468" s="17"/>
      <c r="AE468" s="17"/>
      <c r="AF468" s="17"/>
      <c r="AG468" s="17"/>
      <c r="AH468" s="17"/>
      <c r="AI468" s="17"/>
      <c r="AJ468" s="17"/>
      <c r="AK468" s="17"/>
      <c r="AL468" s="17"/>
      <c r="AM468" s="17"/>
      <c r="AN468" s="17"/>
      <c r="AO468" s="17"/>
      <c r="AP468" s="17"/>
      <c r="AQ468" s="17"/>
    </row>
    <row r="469" spans="1:66" hidden="1">
      <c r="A469">
        <f t="shared" si="302"/>
        <v>466</v>
      </c>
      <c r="B469" s="407"/>
      <c r="C469" s="407"/>
      <c r="D469" s="408"/>
      <c r="E469" s="407"/>
      <c r="F469" s="408"/>
      <c r="G469" s="409"/>
      <c r="H469" s="410"/>
      <c r="I469" s="409"/>
      <c r="K469" s="17"/>
      <c r="L469" s="17"/>
      <c r="M469" s="17"/>
      <c r="N469" s="739"/>
      <c r="O469" s="739"/>
      <c r="P469" s="739"/>
      <c r="Q469" s="739"/>
      <c r="R469" s="739"/>
      <c r="S469" s="739"/>
      <c r="T469" s="739"/>
      <c r="U469" s="739"/>
      <c r="V469" s="739"/>
      <c r="W469" s="739"/>
      <c r="X469" s="739"/>
      <c r="Y469" s="739"/>
      <c r="Z469" s="740"/>
      <c r="AA469" s="740"/>
      <c r="AB469" s="17"/>
      <c r="AC469" s="17"/>
      <c r="AD469" s="17"/>
      <c r="AE469" s="17"/>
      <c r="AF469" s="17"/>
      <c r="AG469" s="17"/>
      <c r="AH469" s="17"/>
      <c r="AI469" s="17"/>
      <c r="AJ469" s="17"/>
      <c r="AK469" s="17"/>
      <c r="AL469" s="17"/>
      <c r="AM469" s="17"/>
      <c r="AN469" s="17"/>
      <c r="AO469" s="17"/>
      <c r="AP469" s="17"/>
      <c r="AQ469" s="17"/>
    </row>
    <row r="470" spans="1:66" hidden="1">
      <c r="A470">
        <f t="shared" si="302"/>
        <v>467</v>
      </c>
      <c r="B470" s="407"/>
      <c r="C470" s="407"/>
      <c r="D470" s="408"/>
      <c r="E470" s="407"/>
      <c r="F470" s="408"/>
      <c r="G470" s="409"/>
      <c r="H470" s="410"/>
      <c r="I470" s="409"/>
      <c r="K470" s="17"/>
      <c r="L470" s="17"/>
      <c r="M470" s="17"/>
      <c r="N470" s="739"/>
      <c r="O470" s="739"/>
      <c r="P470" s="739"/>
      <c r="Q470" s="739"/>
      <c r="R470" s="739"/>
      <c r="S470" s="739"/>
      <c r="T470" s="739"/>
      <c r="U470" s="739"/>
      <c r="V470" s="739"/>
      <c r="W470" s="739"/>
      <c r="X470" s="739"/>
      <c r="Y470" s="739"/>
      <c r="Z470" s="740"/>
      <c r="AA470" s="740"/>
      <c r="AB470" s="17"/>
      <c r="AC470" s="17"/>
      <c r="AD470" s="17"/>
      <c r="AE470" s="17"/>
      <c r="AF470" s="17"/>
      <c r="AG470" s="17"/>
      <c r="AH470" s="17"/>
      <c r="AI470" s="17"/>
      <c r="AJ470" s="17"/>
      <c r="AK470" s="17"/>
      <c r="AL470" s="17"/>
      <c r="AM470" s="17"/>
      <c r="AN470" s="17"/>
      <c r="AO470" s="17"/>
      <c r="AP470" s="17"/>
      <c r="AQ470" s="17"/>
    </row>
    <row r="471" spans="1:66" hidden="1">
      <c r="A471">
        <f t="shared" si="302"/>
        <v>468</v>
      </c>
      <c r="B471" s="407"/>
      <c r="C471" s="407"/>
      <c r="D471" s="408"/>
      <c r="E471" s="407"/>
      <c r="F471" s="408"/>
      <c r="G471" s="409"/>
      <c r="H471" s="410"/>
      <c r="I471" s="409"/>
      <c r="K471" s="17"/>
      <c r="L471" s="17"/>
      <c r="M471" s="17"/>
      <c r="N471" s="739"/>
      <c r="O471" s="739"/>
      <c r="P471" s="739"/>
      <c r="Q471" s="739"/>
      <c r="R471" s="739"/>
      <c r="S471" s="739"/>
      <c r="T471" s="739"/>
      <c r="U471" s="739"/>
      <c r="V471" s="739"/>
      <c r="W471" s="739"/>
      <c r="X471" s="739"/>
      <c r="Y471" s="739"/>
      <c r="Z471" s="740"/>
      <c r="AA471" s="740"/>
      <c r="AB471" s="17"/>
      <c r="AC471" s="17"/>
      <c r="AD471" s="17"/>
      <c r="AE471" s="17"/>
      <c r="AF471" s="17"/>
      <c r="AG471" s="17"/>
      <c r="AH471" s="17"/>
      <c r="AI471" s="17"/>
      <c r="AJ471" s="17"/>
      <c r="AK471" s="17"/>
      <c r="AL471" s="17"/>
      <c r="AM471" s="17"/>
      <c r="AN471" s="17"/>
      <c r="AO471" s="17"/>
      <c r="AP471" s="17"/>
      <c r="AQ471" s="17"/>
    </row>
    <row r="472" spans="1:66" hidden="1">
      <c r="A472">
        <f t="shared" si="302"/>
        <v>469</v>
      </c>
      <c r="B472" s="407"/>
      <c r="C472" s="407"/>
      <c r="D472" s="408"/>
      <c r="E472" s="407"/>
      <c r="F472" s="408"/>
      <c r="G472" s="409"/>
      <c r="H472" s="410"/>
      <c r="I472" s="409"/>
      <c r="K472" s="17"/>
      <c r="L472" s="17"/>
      <c r="M472" s="17"/>
      <c r="N472" s="739"/>
      <c r="O472" s="739"/>
      <c r="P472" s="739"/>
      <c r="Q472" s="739"/>
      <c r="R472" s="739"/>
      <c r="S472" s="739"/>
      <c r="T472" s="739"/>
      <c r="U472" s="739"/>
      <c r="V472" s="739"/>
      <c r="W472" s="739"/>
      <c r="X472" s="739"/>
      <c r="Y472" s="739"/>
      <c r="Z472" s="740"/>
      <c r="AA472" s="740"/>
      <c r="AB472" s="17"/>
      <c r="AC472" s="17"/>
      <c r="AD472" s="17"/>
      <c r="AE472" s="17"/>
      <c r="AF472" s="17"/>
      <c r="AG472" s="17"/>
      <c r="AH472" s="17"/>
      <c r="AI472" s="17"/>
      <c r="AJ472" s="17"/>
      <c r="AK472" s="17"/>
      <c r="AL472" s="17"/>
      <c r="AM472" s="17"/>
      <c r="AN472" s="17"/>
      <c r="AO472" s="17"/>
      <c r="AP472" s="17"/>
      <c r="AQ472" s="17"/>
    </row>
    <row r="473" spans="1:66" hidden="1">
      <c r="A473">
        <f t="shared" si="302"/>
        <v>470</v>
      </c>
      <c r="B473" s="407"/>
      <c r="C473" s="407"/>
      <c r="D473" s="408"/>
      <c r="E473" s="407"/>
      <c r="F473" s="408"/>
      <c r="G473" s="409"/>
      <c r="H473" s="410"/>
      <c r="I473" s="409"/>
      <c r="K473" s="17"/>
      <c r="L473" s="17"/>
      <c r="M473" s="17"/>
      <c r="N473" s="739"/>
      <c r="O473" s="739"/>
      <c r="P473" s="739"/>
      <c r="Q473" s="739"/>
      <c r="R473" s="739"/>
      <c r="S473" s="739"/>
      <c r="T473" s="739"/>
      <c r="U473" s="739"/>
      <c r="V473" s="739"/>
      <c r="W473" s="739"/>
      <c r="X473" s="739"/>
      <c r="Y473" s="739"/>
      <c r="Z473" s="740"/>
      <c r="AA473" s="740"/>
      <c r="AB473" s="17"/>
      <c r="AC473" s="17"/>
      <c r="AD473" s="17"/>
      <c r="AE473" s="17"/>
      <c r="AF473" s="17"/>
      <c r="AG473" s="17"/>
      <c r="AH473" s="17"/>
      <c r="AI473" s="17"/>
      <c r="AJ473" s="17"/>
      <c r="AK473" s="17"/>
      <c r="AL473" s="17"/>
      <c r="AM473" s="17"/>
      <c r="AN473" s="17"/>
      <c r="AO473" s="17"/>
      <c r="AP473" s="17"/>
      <c r="AQ473" s="17"/>
    </row>
    <row r="474" spans="1:66" hidden="1">
      <c r="A474">
        <f t="shared" si="302"/>
        <v>471</v>
      </c>
      <c r="B474" s="407"/>
      <c r="C474" s="407"/>
      <c r="D474" s="408"/>
      <c r="E474" s="407"/>
      <c r="F474" s="408"/>
      <c r="G474" s="409"/>
      <c r="H474" s="410"/>
      <c r="I474" s="409"/>
      <c r="K474" s="17"/>
      <c r="L474" s="17"/>
      <c r="M474" s="17"/>
      <c r="N474" s="739"/>
      <c r="O474" s="739"/>
      <c r="P474" s="739"/>
      <c r="Q474" s="739"/>
      <c r="R474" s="739"/>
      <c r="S474" s="739"/>
      <c r="T474" s="739"/>
      <c r="U474" s="739"/>
      <c r="V474" s="739"/>
      <c r="W474" s="739"/>
      <c r="X474" s="739"/>
      <c r="Y474" s="739"/>
      <c r="Z474" s="740"/>
      <c r="AA474" s="740"/>
      <c r="AB474" s="17"/>
      <c r="AC474" s="17"/>
      <c r="AD474" s="17"/>
      <c r="AE474" s="17"/>
      <c r="AF474" s="17"/>
      <c r="AG474" s="17"/>
      <c r="AH474" s="17"/>
      <c r="AI474" s="17"/>
      <c r="AJ474" s="17"/>
      <c r="AK474" s="17"/>
      <c r="AL474" s="17"/>
      <c r="AM474" s="17"/>
      <c r="AN474" s="17"/>
      <c r="AO474" s="17"/>
      <c r="AP474" s="17"/>
      <c r="AQ474" s="17"/>
    </row>
    <row r="475" spans="1:66" hidden="1">
      <c r="A475">
        <f t="shared" si="302"/>
        <v>472</v>
      </c>
      <c r="B475" s="407"/>
      <c r="C475" s="407"/>
      <c r="D475" s="408"/>
      <c r="E475" s="407"/>
      <c r="F475" s="408"/>
      <c r="G475" s="409"/>
      <c r="H475" s="410"/>
      <c r="I475" s="409"/>
      <c r="K475" s="17"/>
      <c r="L475" s="17"/>
      <c r="M475" s="17"/>
      <c r="N475" s="739"/>
      <c r="O475" s="739"/>
      <c r="P475" s="739"/>
      <c r="Q475" s="739"/>
      <c r="R475" s="739"/>
      <c r="S475" s="739"/>
      <c r="T475" s="739"/>
      <c r="U475" s="739"/>
      <c r="V475" s="739"/>
      <c r="W475" s="739"/>
      <c r="X475" s="739"/>
      <c r="Y475" s="739"/>
      <c r="Z475" s="740"/>
      <c r="AA475" s="740"/>
      <c r="AB475" s="17"/>
      <c r="AC475" s="17"/>
      <c r="AD475" s="17"/>
      <c r="AE475" s="17"/>
      <c r="AF475" s="17"/>
      <c r="AG475" s="17"/>
      <c r="AH475" s="17"/>
      <c r="AI475" s="17"/>
      <c r="AJ475" s="17"/>
      <c r="AK475" s="17"/>
      <c r="AL475" s="17"/>
      <c r="AM475" s="17"/>
      <c r="AN475" s="17"/>
      <c r="AO475" s="17"/>
      <c r="AP475" s="17"/>
      <c r="AQ475" s="17"/>
    </row>
    <row r="476" spans="1:66" hidden="1">
      <c r="A476">
        <f t="shared" si="302"/>
        <v>473</v>
      </c>
      <c r="B476" s="407"/>
      <c r="C476" s="407"/>
      <c r="D476" s="408"/>
      <c r="E476" s="407"/>
      <c r="F476" s="408"/>
      <c r="G476" s="409"/>
      <c r="H476" s="410"/>
      <c r="I476" s="409"/>
      <c r="K476" s="17"/>
      <c r="L476" s="17"/>
      <c r="M476" s="17"/>
      <c r="N476" s="739"/>
      <c r="O476" s="739"/>
      <c r="P476" s="739"/>
      <c r="Q476" s="739"/>
      <c r="R476" s="739"/>
      <c r="S476" s="739"/>
      <c r="T476" s="739"/>
      <c r="U476" s="739"/>
      <c r="V476" s="739"/>
      <c r="W476" s="739"/>
      <c r="X476" s="739"/>
      <c r="Y476" s="739"/>
      <c r="Z476" s="740"/>
      <c r="AA476" s="740"/>
      <c r="AB476" s="17"/>
      <c r="AC476" s="17"/>
      <c r="AD476" s="17"/>
      <c r="AE476" s="17"/>
      <c r="AF476" s="17"/>
      <c r="AG476" s="17"/>
      <c r="AH476" s="17"/>
      <c r="AI476" s="17"/>
      <c r="AJ476" s="17"/>
      <c r="AK476" s="17"/>
      <c r="AL476" s="17"/>
      <c r="AM476" s="17"/>
      <c r="AN476" s="17"/>
      <c r="AO476" s="17"/>
      <c r="AP476" s="17"/>
      <c r="AQ476" s="17"/>
    </row>
    <row r="477" spans="1:66" hidden="1">
      <c r="A477">
        <f t="shared" si="302"/>
        <v>474</v>
      </c>
      <c r="B477" s="407"/>
      <c r="C477" s="407"/>
      <c r="D477" s="408"/>
      <c r="E477" s="407"/>
      <c r="F477" s="408"/>
      <c r="G477" s="409"/>
      <c r="H477" s="410"/>
      <c r="I477" s="409"/>
      <c r="K477" s="17"/>
      <c r="L477" s="17"/>
      <c r="M477" s="17"/>
      <c r="N477" s="739"/>
      <c r="O477" s="739"/>
      <c r="P477" s="739"/>
      <c r="Q477" s="739"/>
      <c r="R477" s="739"/>
      <c r="S477" s="739"/>
      <c r="T477" s="739"/>
      <c r="U477" s="739"/>
      <c r="V477" s="739"/>
      <c r="W477" s="739"/>
      <c r="X477" s="739"/>
      <c r="Y477" s="739"/>
      <c r="Z477" s="740"/>
      <c r="AA477" s="740"/>
      <c r="AB477" s="17"/>
      <c r="AC477" s="17"/>
      <c r="AD477" s="17"/>
      <c r="AE477" s="17"/>
      <c r="AF477" s="17"/>
      <c r="AG477" s="17"/>
      <c r="AH477" s="17"/>
      <c r="AI477" s="17"/>
      <c r="AJ477" s="17"/>
      <c r="AK477" s="17"/>
      <c r="AL477" s="17"/>
      <c r="AM477" s="17"/>
      <c r="AN477" s="17"/>
      <c r="AO477" s="17"/>
      <c r="AP477" s="17"/>
      <c r="AQ477" s="17"/>
    </row>
    <row r="478" spans="1:66" hidden="1">
      <c r="A478">
        <f t="shared" si="302"/>
        <v>475</v>
      </c>
      <c r="B478" s="407"/>
      <c r="C478" s="407"/>
      <c r="D478" s="408"/>
      <c r="E478" s="407"/>
      <c r="F478" s="408"/>
      <c r="G478" s="409"/>
      <c r="H478" s="410"/>
      <c r="I478" s="409"/>
      <c r="K478" s="17"/>
      <c r="L478" s="17"/>
      <c r="M478" s="17"/>
      <c r="N478" s="739"/>
      <c r="O478" s="739"/>
      <c r="P478" s="739"/>
      <c r="Q478" s="739"/>
      <c r="R478" s="739"/>
      <c r="S478" s="739"/>
      <c r="T478" s="739"/>
      <c r="U478" s="739"/>
      <c r="V478" s="739"/>
      <c r="W478" s="739"/>
      <c r="X478" s="739"/>
      <c r="Y478" s="739"/>
      <c r="Z478" s="740"/>
      <c r="AA478" s="740"/>
      <c r="AB478" s="17"/>
      <c r="AC478" s="17"/>
      <c r="AD478" s="17"/>
      <c r="AE478" s="17"/>
      <c r="AF478" s="17"/>
      <c r="AG478" s="17"/>
      <c r="AH478" s="17"/>
      <c r="AI478" s="17"/>
      <c r="AJ478" s="17"/>
      <c r="AK478" s="17"/>
      <c r="AL478" s="17"/>
      <c r="AM478" s="17"/>
      <c r="AN478" s="17"/>
      <c r="AO478" s="17"/>
      <c r="AP478" s="17"/>
      <c r="AQ478" s="17"/>
    </row>
    <row r="479" spans="1:66" hidden="1">
      <c r="A479">
        <f t="shared" si="302"/>
        <v>476</v>
      </c>
      <c r="B479" s="407"/>
      <c r="C479" s="407"/>
      <c r="D479" s="408"/>
      <c r="E479" s="407"/>
      <c r="F479" s="408"/>
      <c r="G479" s="409"/>
      <c r="H479" s="410"/>
      <c r="I479" s="409"/>
      <c r="K479" s="17"/>
      <c r="L479" s="17"/>
      <c r="M479" s="17"/>
      <c r="N479" s="739"/>
      <c r="O479" s="739"/>
      <c r="P479" s="739"/>
      <c r="Q479" s="739"/>
      <c r="R479" s="739"/>
      <c r="S479" s="739"/>
      <c r="T479" s="739"/>
      <c r="U479" s="739"/>
      <c r="V479" s="739"/>
      <c r="W479" s="739"/>
      <c r="X479" s="739"/>
      <c r="Y479" s="739"/>
      <c r="Z479" s="740"/>
      <c r="AA479" s="740"/>
      <c r="AB479" s="17"/>
      <c r="AC479" s="17"/>
      <c r="AD479" s="17"/>
      <c r="AE479" s="17"/>
      <c r="AF479" s="17"/>
      <c r="AG479" s="17"/>
      <c r="AH479" s="17"/>
      <c r="AI479" s="17"/>
      <c r="AJ479" s="17"/>
      <c r="AK479" s="17"/>
      <c r="AL479" s="17"/>
      <c r="AM479" s="17"/>
      <c r="AN479" s="17"/>
      <c r="AO479" s="17"/>
      <c r="AP479" s="17"/>
      <c r="AQ479" s="17"/>
    </row>
    <row r="480" spans="1:66" hidden="1">
      <c r="A480">
        <f t="shared" si="302"/>
        <v>477</v>
      </c>
      <c r="B480" s="407"/>
      <c r="C480" s="407"/>
      <c r="D480" s="408"/>
      <c r="E480" s="407"/>
      <c r="F480" s="408"/>
      <c r="G480" s="409"/>
      <c r="H480" s="410"/>
      <c r="I480" s="409"/>
      <c r="K480" s="17"/>
      <c r="L480" s="17"/>
      <c r="M480" s="17"/>
      <c r="N480" s="739"/>
      <c r="O480" s="739"/>
      <c r="P480" s="739"/>
      <c r="Q480" s="739"/>
      <c r="R480" s="739"/>
      <c r="S480" s="739"/>
      <c r="T480" s="739"/>
      <c r="U480" s="739"/>
      <c r="V480" s="739"/>
      <c r="W480" s="739"/>
      <c r="X480" s="739"/>
      <c r="Y480" s="739"/>
      <c r="Z480" s="740"/>
      <c r="AA480" s="740"/>
      <c r="AB480" s="17"/>
      <c r="AC480" s="17"/>
      <c r="AD480" s="17"/>
      <c r="AE480" s="17"/>
      <c r="AF480" s="17"/>
      <c r="AG480" s="17"/>
      <c r="AH480" s="17"/>
      <c r="AI480" s="17"/>
      <c r="AJ480" s="17"/>
      <c r="AK480" s="17"/>
      <c r="AL480" s="17"/>
      <c r="AM480" s="17"/>
      <c r="AN480" s="17"/>
      <c r="AO480" s="17"/>
      <c r="AP480" s="17"/>
      <c r="AQ480" s="17"/>
    </row>
    <row r="481" spans="1:43" hidden="1">
      <c r="A481">
        <f t="shared" si="302"/>
        <v>478</v>
      </c>
      <c r="B481" s="407"/>
      <c r="C481" s="407"/>
      <c r="D481" s="408"/>
      <c r="E481" s="407"/>
      <c r="F481" s="408"/>
      <c r="G481" s="409"/>
      <c r="H481" s="410"/>
      <c r="I481" s="409"/>
      <c r="K481" s="17"/>
      <c r="L481" s="17"/>
      <c r="M481" s="17"/>
      <c r="N481" s="739"/>
      <c r="O481" s="739"/>
      <c r="P481" s="739"/>
      <c r="Q481" s="739"/>
      <c r="R481" s="739"/>
      <c r="S481" s="739"/>
      <c r="T481" s="739"/>
      <c r="U481" s="739"/>
      <c r="V481" s="739"/>
      <c r="W481" s="739"/>
      <c r="X481" s="739"/>
      <c r="Y481" s="739"/>
      <c r="Z481" s="740"/>
      <c r="AA481" s="740"/>
      <c r="AB481" s="17"/>
      <c r="AC481" s="17"/>
      <c r="AD481" s="17"/>
      <c r="AE481" s="17"/>
      <c r="AF481" s="17"/>
      <c r="AG481" s="17"/>
      <c r="AH481" s="17"/>
      <c r="AI481" s="17"/>
      <c r="AJ481" s="17"/>
      <c r="AK481" s="17"/>
      <c r="AL481" s="17"/>
      <c r="AM481" s="17"/>
      <c r="AN481" s="17"/>
      <c r="AO481" s="17"/>
      <c r="AP481" s="17"/>
      <c r="AQ481" s="17"/>
    </row>
    <row r="482" spans="1:43" hidden="1">
      <c r="A482">
        <f t="shared" si="302"/>
        <v>479</v>
      </c>
      <c r="B482" s="407"/>
      <c r="C482" s="407"/>
      <c r="D482" s="408"/>
      <c r="E482" s="407"/>
      <c r="F482" s="408"/>
      <c r="G482" s="409"/>
      <c r="H482" s="410"/>
      <c r="I482" s="409"/>
      <c r="K482" s="17"/>
      <c r="L482" s="17"/>
      <c r="M482" s="17"/>
      <c r="N482" s="739"/>
      <c r="O482" s="739"/>
      <c r="P482" s="739"/>
      <c r="Q482" s="739"/>
      <c r="R482" s="739"/>
      <c r="S482" s="739"/>
      <c r="T482" s="739"/>
      <c r="U482" s="739"/>
      <c r="V482" s="739"/>
      <c r="W482" s="739"/>
      <c r="X482" s="739"/>
      <c r="Y482" s="739"/>
      <c r="Z482" s="740"/>
      <c r="AA482" s="740"/>
      <c r="AB482" s="17"/>
      <c r="AC482" s="17"/>
      <c r="AD482" s="17"/>
      <c r="AE482" s="17"/>
      <c r="AF482" s="17"/>
      <c r="AG482" s="17"/>
      <c r="AH482" s="17"/>
      <c r="AI482" s="17"/>
      <c r="AJ482" s="17"/>
      <c r="AK482" s="17"/>
      <c r="AL482" s="17"/>
      <c r="AM482" s="17"/>
      <c r="AN482" s="17"/>
      <c r="AO482" s="17"/>
      <c r="AP482" s="17"/>
      <c r="AQ482" s="17"/>
    </row>
    <row r="483" spans="1:43" hidden="1">
      <c r="A483">
        <f t="shared" si="302"/>
        <v>480</v>
      </c>
      <c r="B483" s="407"/>
      <c r="C483" s="407"/>
      <c r="D483" s="408"/>
      <c r="E483" s="407"/>
      <c r="F483" s="408"/>
      <c r="G483" s="409"/>
      <c r="H483" s="410"/>
      <c r="I483" s="409"/>
      <c r="K483" s="17"/>
      <c r="L483" s="17"/>
      <c r="M483" s="17"/>
      <c r="N483" s="739"/>
      <c r="O483" s="739"/>
      <c r="P483" s="739"/>
      <c r="Q483" s="739"/>
      <c r="R483" s="739"/>
      <c r="S483" s="739"/>
      <c r="T483" s="739"/>
      <c r="U483" s="739"/>
      <c r="V483" s="739"/>
      <c r="W483" s="739"/>
      <c r="X483" s="739"/>
      <c r="Y483" s="739"/>
      <c r="Z483" s="740"/>
      <c r="AA483" s="740"/>
      <c r="AB483" s="17"/>
      <c r="AC483" s="17"/>
      <c r="AD483" s="17"/>
      <c r="AE483" s="17"/>
      <c r="AF483" s="17"/>
      <c r="AG483" s="17"/>
      <c r="AH483" s="17"/>
      <c r="AI483" s="17"/>
      <c r="AJ483" s="17"/>
      <c r="AK483" s="17"/>
      <c r="AL483" s="17"/>
      <c r="AM483" s="17"/>
      <c r="AN483" s="17"/>
      <c r="AO483" s="17"/>
      <c r="AP483" s="17"/>
      <c r="AQ483" s="17"/>
    </row>
    <row r="484" spans="1:43" hidden="1">
      <c r="A484">
        <f t="shared" si="302"/>
        <v>481</v>
      </c>
      <c r="B484" s="407"/>
      <c r="C484" s="407"/>
      <c r="D484" s="408"/>
      <c r="E484" s="407"/>
      <c r="F484" s="408"/>
      <c r="G484" s="409"/>
      <c r="H484" s="410"/>
      <c r="I484" s="409"/>
      <c r="K484" s="17"/>
      <c r="L484" s="17"/>
      <c r="M484" s="17"/>
      <c r="N484" s="739"/>
      <c r="O484" s="739"/>
      <c r="P484" s="739"/>
      <c r="Q484" s="739"/>
      <c r="R484" s="739"/>
      <c r="S484" s="739"/>
      <c r="T484" s="739"/>
      <c r="U484" s="739"/>
      <c r="V484" s="739"/>
      <c r="W484" s="739"/>
      <c r="X484" s="739"/>
      <c r="Y484" s="739"/>
      <c r="Z484" s="740"/>
      <c r="AA484" s="740"/>
      <c r="AB484" s="17"/>
      <c r="AC484" s="17"/>
      <c r="AD484" s="17"/>
      <c r="AE484" s="17"/>
      <c r="AF484" s="17"/>
      <c r="AG484" s="17"/>
      <c r="AH484" s="17"/>
      <c r="AI484" s="17"/>
      <c r="AJ484" s="17"/>
      <c r="AK484" s="17"/>
      <c r="AL484" s="17"/>
      <c r="AM484" s="17"/>
      <c r="AN484" s="17"/>
      <c r="AO484" s="17"/>
      <c r="AP484" s="17"/>
      <c r="AQ484" s="17"/>
    </row>
    <row r="485" spans="1:43" hidden="1">
      <c r="A485">
        <f t="shared" ref="A485:A548" si="346">A484+1</f>
        <v>482</v>
      </c>
      <c r="B485" s="407"/>
      <c r="C485" s="407"/>
      <c r="D485" s="408"/>
      <c r="E485" s="407"/>
      <c r="F485" s="408"/>
      <c r="G485" s="409"/>
      <c r="H485" s="410"/>
      <c r="I485" s="409"/>
      <c r="K485" s="17"/>
      <c r="L485" s="17"/>
      <c r="M485" s="17"/>
      <c r="N485" s="739"/>
      <c r="O485" s="739"/>
      <c r="P485" s="739"/>
      <c r="Q485" s="739"/>
      <c r="R485" s="739"/>
      <c r="S485" s="739"/>
      <c r="T485" s="739"/>
      <c r="U485" s="739"/>
      <c r="V485" s="739"/>
      <c r="W485" s="739"/>
      <c r="X485" s="739"/>
      <c r="Y485" s="739"/>
      <c r="Z485" s="740"/>
      <c r="AA485" s="740"/>
      <c r="AB485" s="17"/>
      <c r="AC485" s="17"/>
      <c r="AD485" s="17"/>
      <c r="AE485" s="17"/>
      <c r="AF485" s="17"/>
      <c r="AG485" s="17"/>
      <c r="AH485" s="17"/>
      <c r="AI485" s="17"/>
      <c r="AJ485" s="17"/>
      <c r="AK485" s="17"/>
      <c r="AL485" s="17"/>
      <c r="AM485" s="17"/>
      <c r="AN485" s="17"/>
      <c r="AO485" s="17"/>
      <c r="AP485" s="17"/>
      <c r="AQ485" s="17"/>
    </row>
    <row r="486" spans="1:43" hidden="1">
      <c r="A486">
        <f t="shared" si="346"/>
        <v>483</v>
      </c>
      <c r="B486" s="407"/>
      <c r="C486" s="407"/>
      <c r="D486" s="408"/>
      <c r="E486" s="407"/>
      <c r="F486" s="408"/>
      <c r="G486" s="409"/>
      <c r="H486" s="410"/>
      <c r="I486" s="409"/>
      <c r="K486" s="17"/>
      <c r="L486" s="17"/>
      <c r="M486" s="17"/>
      <c r="N486" s="739"/>
      <c r="O486" s="739"/>
      <c r="P486" s="739"/>
      <c r="Q486" s="739"/>
      <c r="R486" s="739"/>
      <c r="S486" s="739"/>
      <c r="T486" s="739"/>
      <c r="U486" s="739"/>
      <c r="V486" s="739"/>
      <c r="W486" s="739"/>
      <c r="X486" s="739"/>
      <c r="Y486" s="739"/>
      <c r="Z486" s="740"/>
      <c r="AA486" s="740"/>
      <c r="AB486" s="17"/>
      <c r="AC486" s="17"/>
      <c r="AD486" s="17"/>
      <c r="AE486" s="17"/>
      <c r="AF486" s="17"/>
      <c r="AG486" s="17"/>
      <c r="AH486" s="17"/>
      <c r="AI486" s="17"/>
      <c r="AJ486" s="17"/>
      <c r="AK486" s="17"/>
      <c r="AL486" s="17"/>
      <c r="AM486" s="17"/>
      <c r="AN486" s="17"/>
      <c r="AO486" s="17"/>
      <c r="AP486" s="17"/>
      <c r="AQ486" s="17"/>
    </row>
    <row r="487" spans="1:43" hidden="1">
      <c r="A487">
        <f t="shared" si="346"/>
        <v>484</v>
      </c>
      <c r="B487" s="407"/>
      <c r="C487" s="407"/>
      <c r="D487" s="408"/>
      <c r="E487" s="407"/>
      <c r="F487" s="408"/>
      <c r="G487" s="409"/>
      <c r="H487" s="410"/>
      <c r="I487" s="409"/>
      <c r="K487" s="17"/>
      <c r="L487" s="17"/>
      <c r="M487" s="17"/>
      <c r="N487" s="739"/>
      <c r="O487" s="739"/>
      <c r="P487" s="739"/>
      <c r="Q487" s="739"/>
      <c r="R487" s="739"/>
      <c r="S487" s="739"/>
      <c r="T487" s="739"/>
      <c r="U487" s="739"/>
      <c r="V487" s="739"/>
      <c r="W487" s="739"/>
      <c r="X487" s="739"/>
      <c r="Y487" s="739"/>
      <c r="Z487" s="740"/>
      <c r="AA487" s="740"/>
      <c r="AB487" s="17"/>
      <c r="AC487" s="17"/>
      <c r="AD487" s="17"/>
      <c r="AE487" s="17"/>
      <c r="AF487" s="17"/>
      <c r="AG487" s="17"/>
      <c r="AH487" s="17"/>
      <c r="AI487" s="17"/>
      <c r="AJ487" s="17"/>
      <c r="AK487" s="17"/>
      <c r="AL487" s="17"/>
      <c r="AM487" s="17"/>
      <c r="AN487" s="17"/>
      <c r="AO487" s="17"/>
      <c r="AP487" s="17"/>
      <c r="AQ487" s="17"/>
    </row>
    <row r="488" spans="1:43" hidden="1">
      <c r="A488">
        <f t="shared" si="346"/>
        <v>485</v>
      </c>
      <c r="B488" s="407"/>
      <c r="C488" s="407"/>
      <c r="D488" s="408"/>
      <c r="E488" s="407"/>
      <c r="F488" s="408"/>
      <c r="G488" s="409"/>
      <c r="H488" s="410"/>
      <c r="I488" s="409"/>
      <c r="K488" s="17"/>
      <c r="L488" s="17"/>
      <c r="M488" s="17"/>
      <c r="N488" s="739"/>
      <c r="O488" s="739"/>
      <c r="P488" s="739"/>
      <c r="Q488" s="739"/>
      <c r="R488" s="739"/>
      <c r="S488" s="739"/>
      <c r="T488" s="739"/>
      <c r="U488" s="739"/>
      <c r="V488" s="739"/>
      <c r="W488" s="739"/>
      <c r="X488" s="739"/>
      <c r="Y488" s="739"/>
      <c r="Z488" s="740"/>
      <c r="AA488" s="740"/>
      <c r="AB488" s="17"/>
      <c r="AC488" s="17"/>
      <c r="AD488" s="17"/>
      <c r="AE488" s="17"/>
      <c r="AF488" s="17"/>
      <c r="AG488" s="17"/>
      <c r="AH488" s="17"/>
      <c r="AI488" s="17"/>
      <c r="AJ488" s="17"/>
      <c r="AK488" s="17"/>
      <c r="AL488" s="17"/>
      <c r="AM488" s="17"/>
      <c r="AN488" s="17"/>
      <c r="AO488" s="17"/>
      <c r="AP488" s="17"/>
      <c r="AQ488" s="17"/>
    </row>
    <row r="489" spans="1:43" hidden="1">
      <c r="A489">
        <f t="shared" si="346"/>
        <v>486</v>
      </c>
      <c r="B489" s="407"/>
      <c r="C489" s="407"/>
      <c r="D489" s="408"/>
      <c r="E489" s="407"/>
      <c r="F489" s="408"/>
      <c r="G489" s="409"/>
      <c r="H489" s="410"/>
      <c r="I489" s="409"/>
      <c r="K489" s="17"/>
      <c r="L489" s="17"/>
      <c r="M489" s="17"/>
      <c r="N489" s="739"/>
      <c r="O489" s="739"/>
      <c r="P489" s="739"/>
      <c r="Q489" s="739"/>
      <c r="R489" s="739"/>
      <c r="S489" s="739"/>
      <c r="T489" s="739"/>
      <c r="U489" s="739"/>
      <c r="V489" s="739"/>
      <c r="W489" s="739"/>
      <c r="X489" s="739"/>
      <c r="Y489" s="739"/>
      <c r="Z489" s="740"/>
      <c r="AA489" s="740"/>
      <c r="AB489" s="17"/>
      <c r="AC489" s="17"/>
      <c r="AD489" s="17"/>
      <c r="AE489" s="17"/>
      <c r="AF489" s="17"/>
      <c r="AG489" s="17"/>
      <c r="AH489" s="17"/>
      <c r="AI489" s="17"/>
      <c r="AJ489" s="17"/>
      <c r="AK489" s="17"/>
      <c r="AL489" s="17"/>
      <c r="AM489" s="17"/>
      <c r="AN489" s="17"/>
      <c r="AO489" s="17"/>
      <c r="AP489" s="17"/>
      <c r="AQ489" s="17"/>
    </row>
    <row r="490" spans="1:43" hidden="1">
      <c r="A490">
        <f t="shared" si="346"/>
        <v>487</v>
      </c>
      <c r="B490" s="407"/>
      <c r="C490" s="407"/>
      <c r="D490" s="408"/>
      <c r="E490" s="407"/>
      <c r="F490" s="408"/>
      <c r="G490" s="409"/>
      <c r="H490" s="410"/>
      <c r="I490" s="409"/>
      <c r="K490" s="17"/>
      <c r="L490" s="17"/>
      <c r="M490" s="17"/>
      <c r="N490" s="739"/>
      <c r="O490" s="739"/>
      <c r="P490" s="739"/>
      <c r="Q490" s="739"/>
      <c r="R490" s="739"/>
      <c r="S490" s="739"/>
      <c r="T490" s="739"/>
      <c r="U490" s="739"/>
      <c r="V490" s="739"/>
      <c r="W490" s="739"/>
      <c r="X490" s="739"/>
      <c r="Y490" s="739"/>
      <c r="Z490" s="740"/>
      <c r="AA490" s="740"/>
      <c r="AB490" s="17"/>
      <c r="AC490" s="17"/>
      <c r="AD490" s="17"/>
      <c r="AE490" s="17"/>
      <c r="AF490" s="17"/>
      <c r="AG490" s="17"/>
      <c r="AH490" s="17"/>
      <c r="AI490" s="17"/>
      <c r="AJ490" s="17"/>
      <c r="AK490" s="17"/>
      <c r="AL490" s="17"/>
      <c r="AM490" s="17"/>
      <c r="AN490" s="17"/>
      <c r="AO490" s="17"/>
      <c r="AP490" s="17"/>
      <c r="AQ490" s="17"/>
    </row>
    <row r="491" spans="1:43" hidden="1">
      <c r="A491">
        <f t="shared" si="346"/>
        <v>488</v>
      </c>
      <c r="B491" s="407"/>
      <c r="C491" s="407"/>
      <c r="D491" s="408"/>
      <c r="E491" s="407"/>
      <c r="F491" s="408"/>
      <c r="G491" s="409"/>
      <c r="H491" s="410"/>
      <c r="I491" s="409"/>
      <c r="K491" s="17"/>
      <c r="L491" s="17"/>
      <c r="M491" s="17"/>
      <c r="N491" s="739"/>
      <c r="O491" s="739"/>
      <c r="P491" s="739"/>
      <c r="Q491" s="739"/>
      <c r="R491" s="739"/>
      <c r="S491" s="739"/>
      <c r="T491" s="739"/>
      <c r="U491" s="739"/>
      <c r="V491" s="739"/>
      <c r="W491" s="739"/>
      <c r="X491" s="739"/>
      <c r="Y491" s="739"/>
      <c r="Z491" s="740"/>
      <c r="AA491" s="740"/>
      <c r="AB491" s="17"/>
      <c r="AC491" s="17"/>
      <c r="AD491" s="17"/>
      <c r="AE491" s="17"/>
      <c r="AF491" s="17"/>
      <c r="AG491" s="17"/>
      <c r="AH491" s="17"/>
      <c r="AI491" s="17"/>
      <c r="AJ491" s="17"/>
      <c r="AK491" s="17"/>
      <c r="AL491" s="17"/>
      <c r="AM491" s="17"/>
      <c r="AN491" s="17"/>
      <c r="AO491" s="17"/>
      <c r="AP491" s="17"/>
      <c r="AQ491" s="17"/>
    </row>
    <row r="492" spans="1:43" hidden="1">
      <c r="A492">
        <f t="shared" si="346"/>
        <v>489</v>
      </c>
      <c r="B492" s="407"/>
      <c r="C492" s="407"/>
      <c r="D492" s="408"/>
      <c r="E492" s="407"/>
      <c r="F492" s="408"/>
      <c r="G492" s="409"/>
      <c r="H492" s="410"/>
      <c r="I492" s="409"/>
      <c r="K492" s="17"/>
      <c r="L492" s="17"/>
      <c r="M492" s="17"/>
      <c r="N492" s="739"/>
      <c r="O492" s="739"/>
      <c r="P492" s="739"/>
      <c r="Q492" s="739"/>
      <c r="R492" s="739"/>
      <c r="S492" s="739"/>
      <c r="T492" s="739"/>
      <c r="U492" s="739"/>
      <c r="V492" s="739"/>
      <c r="W492" s="739"/>
      <c r="X492" s="739"/>
      <c r="Y492" s="739"/>
      <c r="Z492" s="740"/>
      <c r="AA492" s="740"/>
      <c r="AB492" s="17"/>
      <c r="AC492" s="17"/>
      <c r="AD492" s="17"/>
      <c r="AE492" s="17"/>
      <c r="AF492" s="17"/>
      <c r="AG492" s="17"/>
      <c r="AH492" s="17"/>
      <c r="AI492" s="17"/>
      <c r="AJ492" s="17"/>
      <c r="AK492" s="17"/>
      <c r="AL492" s="17"/>
      <c r="AM492" s="17"/>
      <c r="AN492" s="17"/>
      <c r="AO492" s="17"/>
      <c r="AP492" s="17"/>
      <c r="AQ492" s="17"/>
    </row>
    <row r="493" spans="1:43" hidden="1">
      <c r="A493">
        <f t="shared" si="346"/>
        <v>490</v>
      </c>
      <c r="B493" s="407"/>
      <c r="C493" s="407"/>
      <c r="D493" s="408"/>
      <c r="E493" s="407"/>
      <c r="F493" s="408"/>
      <c r="G493" s="409"/>
      <c r="H493" s="410"/>
      <c r="I493" s="409"/>
      <c r="K493" s="17"/>
      <c r="L493" s="17"/>
      <c r="M493" s="17"/>
      <c r="N493" s="739"/>
      <c r="O493" s="739"/>
      <c r="P493" s="739"/>
      <c r="Q493" s="739"/>
      <c r="R493" s="739"/>
      <c r="S493" s="739"/>
      <c r="T493" s="739"/>
      <c r="U493" s="739"/>
      <c r="V493" s="739"/>
      <c r="W493" s="739"/>
      <c r="X493" s="739"/>
      <c r="Y493" s="739"/>
      <c r="Z493" s="740"/>
      <c r="AA493" s="740"/>
      <c r="AB493" s="17"/>
      <c r="AC493" s="17"/>
      <c r="AD493" s="17"/>
      <c r="AE493" s="17"/>
      <c r="AF493" s="17"/>
      <c r="AG493" s="17"/>
      <c r="AH493" s="17"/>
      <c r="AI493" s="17"/>
      <c r="AJ493" s="17"/>
      <c r="AK493" s="17"/>
      <c r="AL493" s="17"/>
      <c r="AM493" s="17"/>
      <c r="AN493" s="17"/>
      <c r="AO493" s="17"/>
      <c r="AP493" s="17"/>
      <c r="AQ493" s="17"/>
    </row>
    <row r="494" spans="1:43" hidden="1">
      <c r="A494">
        <f t="shared" si="346"/>
        <v>491</v>
      </c>
      <c r="B494" s="407"/>
      <c r="C494" s="407"/>
      <c r="D494" s="408"/>
      <c r="E494" s="407"/>
      <c r="F494" s="408"/>
      <c r="G494" s="409"/>
      <c r="H494" s="410"/>
      <c r="I494" s="409"/>
      <c r="K494" s="17"/>
      <c r="L494" s="17"/>
      <c r="M494" s="17"/>
      <c r="N494" s="739"/>
      <c r="O494" s="739"/>
      <c r="P494" s="739"/>
      <c r="Q494" s="739"/>
      <c r="R494" s="739"/>
      <c r="S494" s="739"/>
      <c r="T494" s="739"/>
      <c r="U494" s="739"/>
      <c r="V494" s="739"/>
      <c r="W494" s="739"/>
      <c r="X494" s="739"/>
      <c r="Y494" s="739"/>
      <c r="Z494" s="740"/>
      <c r="AA494" s="740"/>
      <c r="AB494" s="17"/>
      <c r="AC494" s="17"/>
      <c r="AD494" s="17"/>
      <c r="AE494" s="17"/>
      <c r="AF494" s="17"/>
      <c r="AG494" s="17"/>
      <c r="AH494" s="17"/>
      <c r="AI494" s="17"/>
      <c r="AJ494" s="17"/>
      <c r="AK494" s="17"/>
      <c r="AL494" s="17"/>
      <c r="AM494" s="17"/>
      <c r="AN494" s="17"/>
      <c r="AO494" s="17"/>
      <c r="AP494" s="17"/>
      <c r="AQ494" s="17"/>
    </row>
    <row r="495" spans="1:43" hidden="1">
      <c r="A495">
        <f t="shared" si="346"/>
        <v>492</v>
      </c>
      <c r="B495" s="407"/>
      <c r="C495" s="407"/>
      <c r="D495" s="408"/>
      <c r="E495" s="407"/>
      <c r="F495" s="408"/>
      <c r="G495" s="409"/>
      <c r="H495" s="410"/>
      <c r="I495" s="409"/>
      <c r="K495" s="17"/>
      <c r="L495" s="17"/>
      <c r="M495" s="17"/>
      <c r="N495" s="739"/>
      <c r="O495" s="739"/>
      <c r="P495" s="739"/>
      <c r="Q495" s="739"/>
      <c r="R495" s="739"/>
      <c r="S495" s="739"/>
      <c r="T495" s="739"/>
      <c r="U495" s="739"/>
      <c r="V495" s="739"/>
      <c r="W495" s="739"/>
      <c r="X495" s="739"/>
      <c r="Y495" s="739"/>
      <c r="Z495" s="740"/>
      <c r="AA495" s="740"/>
      <c r="AB495" s="17"/>
      <c r="AC495" s="17"/>
      <c r="AD495" s="17"/>
      <c r="AE495" s="17"/>
      <c r="AF495" s="17"/>
      <c r="AG495" s="17"/>
      <c r="AH495" s="17"/>
      <c r="AI495" s="17"/>
      <c r="AJ495" s="17"/>
      <c r="AK495" s="17"/>
      <c r="AL495" s="17"/>
      <c r="AM495" s="17"/>
      <c r="AN495" s="17"/>
      <c r="AO495" s="17"/>
      <c r="AP495" s="17"/>
      <c r="AQ495" s="17"/>
    </row>
    <row r="496" spans="1:43" hidden="1">
      <c r="A496">
        <f t="shared" si="346"/>
        <v>493</v>
      </c>
      <c r="B496" s="407"/>
      <c r="C496" s="407"/>
      <c r="D496" s="408"/>
      <c r="E496" s="407"/>
      <c r="F496" s="408"/>
      <c r="G496" s="409"/>
      <c r="H496" s="410"/>
      <c r="I496" s="409"/>
      <c r="K496" s="17"/>
      <c r="L496" s="17"/>
      <c r="M496" s="17"/>
      <c r="N496" s="739"/>
      <c r="O496" s="739"/>
      <c r="P496" s="739"/>
      <c r="Q496" s="739"/>
      <c r="R496" s="739"/>
      <c r="S496" s="739"/>
      <c r="T496" s="739"/>
      <c r="U496" s="739"/>
      <c r="V496" s="739"/>
      <c r="W496" s="739"/>
      <c r="X496" s="739"/>
      <c r="Y496" s="739"/>
      <c r="Z496" s="740"/>
      <c r="AA496" s="740"/>
      <c r="AB496" s="17"/>
      <c r="AC496" s="17"/>
      <c r="AD496" s="17"/>
      <c r="AE496" s="17"/>
      <c r="AF496" s="17"/>
      <c r="AG496" s="17"/>
      <c r="AH496" s="17"/>
      <c r="AI496" s="17"/>
      <c r="AJ496" s="17"/>
      <c r="AK496" s="17"/>
      <c r="AL496" s="17"/>
      <c r="AM496" s="17"/>
      <c r="AN496" s="17"/>
      <c r="AO496" s="17"/>
      <c r="AP496" s="17"/>
      <c r="AQ496" s="17"/>
    </row>
    <row r="497" spans="1:66" hidden="1">
      <c r="A497">
        <f t="shared" si="346"/>
        <v>494</v>
      </c>
      <c r="B497" s="407"/>
      <c r="C497" s="407"/>
      <c r="D497" s="408"/>
      <c r="E497" s="407"/>
      <c r="F497" s="408"/>
      <c r="G497" s="409"/>
      <c r="H497" s="410"/>
      <c r="I497" s="409"/>
      <c r="K497" s="17"/>
      <c r="L497" s="17"/>
      <c r="M497" s="17"/>
      <c r="N497" s="739"/>
      <c r="O497" s="739"/>
      <c r="P497" s="739"/>
      <c r="Q497" s="739"/>
      <c r="R497" s="739"/>
      <c r="S497" s="739"/>
      <c r="T497" s="739"/>
      <c r="U497" s="739"/>
      <c r="V497" s="739"/>
      <c r="W497" s="739"/>
      <c r="X497" s="739"/>
      <c r="Y497" s="739"/>
      <c r="Z497" s="740"/>
      <c r="AA497" s="740"/>
      <c r="AB497" s="17"/>
      <c r="AC497" s="17"/>
      <c r="AD497" s="17"/>
      <c r="AE497" s="17"/>
      <c r="AF497" s="17"/>
      <c r="AG497" s="17"/>
      <c r="AH497" s="17"/>
      <c r="AI497" s="17"/>
      <c r="AJ497" s="17"/>
      <c r="AK497" s="17"/>
      <c r="AL497" s="17"/>
      <c r="AM497" s="17"/>
      <c r="AN497" s="17"/>
      <c r="AO497" s="17"/>
      <c r="AP497" s="17"/>
      <c r="AQ497" s="17"/>
    </row>
    <row r="498" spans="1:66" hidden="1">
      <c r="A498">
        <f t="shared" si="346"/>
        <v>495</v>
      </c>
      <c r="B498" s="407"/>
      <c r="C498" s="407"/>
      <c r="D498" s="408"/>
      <c r="E498" s="407"/>
      <c r="F498" s="408"/>
      <c r="G498" s="409"/>
      <c r="H498" s="410"/>
      <c r="I498" s="409"/>
      <c r="K498" s="17"/>
      <c r="L498" s="17"/>
      <c r="M498" s="17"/>
      <c r="N498" s="739"/>
      <c r="O498" s="739"/>
      <c r="P498" s="739"/>
      <c r="Q498" s="739"/>
      <c r="R498" s="739"/>
      <c r="S498" s="739"/>
      <c r="T498" s="739"/>
      <c r="U498" s="739"/>
      <c r="V498" s="739"/>
      <c r="W498" s="739"/>
      <c r="X498" s="739"/>
      <c r="Y498" s="739"/>
      <c r="Z498" s="740"/>
      <c r="AA498" s="740"/>
      <c r="AB498" s="17"/>
      <c r="AC498" s="17"/>
      <c r="AD498" s="17"/>
      <c r="AE498" s="17"/>
      <c r="AF498" s="17"/>
      <c r="AG498" s="17"/>
      <c r="AH498" s="17"/>
      <c r="AI498" s="17"/>
      <c r="AJ498" s="17"/>
      <c r="AK498" s="17"/>
      <c r="AL498" s="17"/>
      <c r="AM498" s="17"/>
      <c r="AN498" s="17"/>
      <c r="AO498" s="17"/>
      <c r="AP498" s="17"/>
      <c r="AQ498" s="17"/>
    </row>
    <row r="499" spans="1:66" hidden="1">
      <c r="A499">
        <f t="shared" si="346"/>
        <v>496</v>
      </c>
      <c r="B499" s="407"/>
      <c r="C499" s="407"/>
      <c r="D499" s="408"/>
      <c r="E499" s="407"/>
      <c r="F499" s="408"/>
      <c r="G499" s="409"/>
      <c r="H499" s="410"/>
      <c r="I499" s="409"/>
      <c r="K499" s="17"/>
      <c r="L499" s="17"/>
      <c r="M499" s="17"/>
      <c r="N499" s="739"/>
      <c r="O499" s="739"/>
      <c r="P499" s="739"/>
      <c r="Q499" s="739"/>
      <c r="R499" s="739"/>
      <c r="S499" s="739"/>
      <c r="T499" s="739"/>
      <c r="U499" s="739"/>
      <c r="V499" s="739"/>
      <c r="W499" s="739"/>
      <c r="X499" s="739"/>
      <c r="Y499" s="739"/>
      <c r="Z499" s="740"/>
      <c r="AA499" s="740"/>
      <c r="AB499" s="17"/>
      <c r="AC499" s="17"/>
      <c r="AD499" s="17"/>
      <c r="AE499" s="17"/>
      <c r="AF499" s="17"/>
      <c r="AG499" s="17"/>
      <c r="AH499" s="17"/>
      <c r="AI499" s="17"/>
      <c r="AJ499" s="17"/>
      <c r="AK499" s="17"/>
      <c r="AL499" s="17"/>
      <c r="AM499" s="17"/>
      <c r="AN499" s="17"/>
      <c r="AO499" s="17"/>
      <c r="AP499" s="17"/>
      <c r="AQ499" s="17"/>
    </row>
    <row r="500" spans="1:66" hidden="1">
      <c r="A500">
        <f t="shared" si="346"/>
        <v>497</v>
      </c>
      <c r="B500" s="407"/>
      <c r="C500" s="407"/>
      <c r="D500" s="408"/>
      <c r="E500" s="407"/>
      <c r="F500" s="408"/>
      <c r="G500" s="409"/>
      <c r="H500" s="410"/>
      <c r="I500" s="409"/>
      <c r="K500" s="17"/>
      <c r="L500" s="17"/>
      <c r="M500" s="17"/>
      <c r="N500" s="739"/>
      <c r="O500" s="739"/>
      <c r="P500" s="739"/>
      <c r="Q500" s="739"/>
      <c r="R500" s="739"/>
      <c r="S500" s="739"/>
      <c r="T500" s="739"/>
      <c r="U500" s="739"/>
      <c r="V500" s="739"/>
      <c r="W500" s="739"/>
      <c r="X500" s="739"/>
      <c r="Y500" s="739"/>
      <c r="Z500" s="740"/>
      <c r="AA500" s="740"/>
      <c r="AB500" s="17"/>
      <c r="AC500" s="17"/>
      <c r="AD500" s="17"/>
      <c r="AE500" s="17"/>
      <c r="AF500" s="17"/>
      <c r="AG500" s="17"/>
      <c r="AH500" s="17"/>
      <c r="AI500" s="17"/>
      <c r="AJ500" s="17"/>
      <c r="AK500" s="17"/>
      <c r="AL500" s="17"/>
      <c r="AM500" s="17"/>
      <c r="AN500" s="17"/>
      <c r="AO500" s="17"/>
      <c r="AP500" s="17"/>
      <c r="AQ500" s="17"/>
    </row>
    <row r="501" spans="1:66" hidden="1">
      <c r="A501">
        <f t="shared" si="346"/>
        <v>498</v>
      </c>
      <c r="B501" s="407"/>
      <c r="C501" s="407"/>
      <c r="D501" s="408"/>
      <c r="E501" s="407"/>
      <c r="F501" s="408"/>
      <c r="G501" s="409"/>
      <c r="H501" s="410"/>
      <c r="I501" s="409"/>
      <c r="K501" s="17"/>
      <c r="L501" s="17"/>
      <c r="M501" s="17"/>
      <c r="N501" s="739"/>
      <c r="O501" s="739"/>
      <c r="P501" s="739"/>
      <c r="Q501" s="739"/>
      <c r="R501" s="739"/>
      <c r="S501" s="739"/>
      <c r="T501" s="739"/>
      <c r="U501" s="739"/>
      <c r="V501" s="739"/>
      <c r="W501" s="739"/>
      <c r="X501" s="739"/>
      <c r="Y501" s="739"/>
      <c r="Z501" s="740"/>
      <c r="AA501" s="740"/>
      <c r="AB501" s="17"/>
      <c r="AC501" s="17"/>
      <c r="AD501" s="17"/>
      <c r="AE501" s="17"/>
      <c r="AF501" s="17"/>
      <c r="AG501" s="17"/>
      <c r="AH501" s="17"/>
      <c r="AI501" s="17"/>
      <c r="AJ501" s="17"/>
      <c r="AK501" s="17"/>
      <c r="AL501" s="17"/>
      <c r="AM501" s="17"/>
      <c r="AN501" s="17"/>
      <c r="AO501" s="17"/>
      <c r="AP501" s="17"/>
      <c r="AQ501" s="17"/>
    </row>
    <row r="502" spans="1:66" hidden="1">
      <c r="A502">
        <f t="shared" si="346"/>
        <v>499</v>
      </c>
      <c r="B502" s="407"/>
      <c r="C502" s="407"/>
      <c r="D502" s="408"/>
      <c r="E502" s="407"/>
      <c r="F502" s="408"/>
      <c r="G502" s="409"/>
      <c r="H502" s="410"/>
      <c r="I502" s="409"/>
      <c r="K502" s="17"/>
      <c r="L502" s="17"/>
      <c r="M502" s="17"/>
      <c r="N502" s="739"/>
      <c r="O502" s="739"/>
      <c r="P502" s="739"/>
      <c r="Q502" s="739"/>
      <c r="R502" s="739"/>
      <c r="S502" s="739"/>
      <c r="T502" s="739"/>
      <c r="U502" s="739"/>
      <c r="V502" s="739"/>
      <c r="W502" s="739"/>
      <c r="X502" s="739"/>
      <c r="Y502" s="739"/>
      <c r="Z502" s="740"/>
      <c r="AA502" s="740"/>
      <c r="AB502" s="17"/>
      <c r="AC502" s="17"/>
      <c r="AD502" s="17"/>
      <c r="AE502" s="17"/>
      <c r="AF502" s="17"/>
      <c r="AG502" s="17"/>
      <c r="AH502" s="17"/>
      <c r="AI502" s="17"/>
      <c r="AJ502" s="17"/>
      <c r="AK502" s="17"/>
      <c r="AL502" s="17"/>
      <c r="AM502" s="17"/>
      <c r="AN502" s="17"/>
      <c r="AO502" s="17"/>
      <c r="AP502" s="17"/>
      <c r="AQ502" s="17"/>
    </row>
    <row r="503" spans="1:66" hidden="1">
      <c r="A503">
        <f t="shared" si="346"/>
        <v>500</v>
      </c>
      <c r="B503" s="407"/>
      <c r="C503" s="407"/>
      <c r="D503" s="408"/>
      <c r="E503" s="407"/>
      <c r="F503" s="408"/>
      <c r="G503" s="409"/>
      <c r="H503" s="410"/>
      <c r="I503" s="409"/>
      <c r="K503" s="17"/>
      <c r="L503" s="17"/>
      <c r="M503" s="17"/>
      <c r="N503" s="739"/>
      <c r="O503" s="739"/>
      <c r="P503" s="739"/>
      <c r="Q503" s="739"/>
      <c r="R503" s="739"/>
      <c r="S503" s="739"/>
      <c r="T503" s="739"/>
      <c r="U503" s="739"/>
      <c r="V503" s="739"/>
      <c r="W503" s="739"/>
      <c r="X503" s="739"/>
      <c r="Y503" s="739"/>
      <c r="Z503" s="740"/>
      <c r="AA503" s="740"/>
      <c r="AB503" s="17"/>
      <c r="AC503" s="17"/>
      <c r="AD503" s="17"/>
      <c r="AE503" s="17"/>
      <c r="AF503" s="17"/>
      <c r="AG503" s="17"/>
      <c r="AH503" s="17"/>
      <c r="AI503" s="17"/>
      <c r="AJ503" s="17"/>
      <c r="AK503" s="17"/>
      <c r="AL503" s="17"/>
      <c r="AM503" s="17"/>
      <c r="AN503" s="17"/>
      <c r="AO503" s="17"/>
      <c r="AP503" s="17"/>
      <c r="AQ503" s="17"/>
    </row>
    <row r="504" spans="1:66" hidden="1">
      <c r="A504">
        <f t="shared" si="346"/>
        <v>501</v>
      </c>
      <c r="B504" s="407"/>
      <c r="C504" s="407"/>
      <c r="D504" s="408"/>
      <c r="E504" s="407"/>
      <c r="F504" s="408"/>
      <c r="G504" s="409"/>
      <c r="H504" s="410"/>
      <c r="I504" s="409"/>
      <c r="K504" s="17"/>
      <c r="L504" s="17"/>
      <c r="M504" s="17"/>
      <c r="N504" s="739"/>
      <c r="O504" s="739"/>
      <c r="P504" s="739"/>
      <c r="Q504" s="739"/>
      <c r="R504" s="739"/>
      <c r="S504" s="739"/>
      <c r="T504" s="739"/>
      <c r="U504" s="739"/>
      <c r="V504" s="739"/>
      <c r="W504" s="739"/>
      <c r="X504" s="739"/>
      <c r="Y504" s="739"/>
      <c r="Z504" s="740"/>
      <c r="AA504" s="740"/>
      <c r="AB504" s="17"/>
      <c r="AC504" s="17"/>
      <c r="AD504" s="17"/>
      <c r="AE504" s="17"/>
      <c r="AF504" s="17"/>
      <c r="AG504" s="17"/>
      <c r="AH504" s="17"/>
      <c r="AI504" s="17"/>
      <c r="AJ504" s="17"/>
      <c r="AK504" s="17"/>
      <c r="AL504" s="17"/>
      <c r="AM504" s="17"/>
      <c r="AN504" s="17"/>
      <c r="AO504" s="17"/>
      <c r="AP504" s="17"/>
      <c r="AQ504" s="17"/>
    </row>
    <row r="505" spans="1:66" hidden="1">
      <c r="A505">
        <f t="shared" si="346"/>
        <v>502</v>
      </c>
      <c r="B505" s="407"/>
      <c r="C505" s="407"/>
      <c r="D505" s="408"/>
      <c r="E505" s="407"/>
      <c r="F505" s="408"/>
      <c r="G505" s="409"/>
      <c r="H505" s="410"/>
      <c r="I505" s="409"/>
      <c r="K505" s="17"/>
      <c r="L505" s="17"/>
      <c r="M505" s="17"/>
      <c r="N505" s="739"/>
      <c r="O505" s="739"/>
      <c r="P505" s="739"/>
      <c r="Q505" s="739"/>
      <c r="R505" s="739"/>
      <c r="S505" s="739"/>
      <c r="T505" s="739"/>
      <c r="U505" s="739"/>
      <c r="V505" s="739"/>
      <c r="W505" s="739"/>
      <c r="X505" s="739"/>
      <c r="Y505" s="739"/>
      <c r="Z505" s="740"/>
      <c r="AA505" s="740"/>
      <c r="AB505" s="17"/>
      <c r="AC505" s="17"/>
      <c r="AD505" s="17"/>
      <c r="AE505" s="17"/>
      <c r="AF505" s="17"/>
      <c r="AG505" s="17"/>
      <c r="AH505" s="17"/>
      <c r="AI505" s="17"/>
      <c r="AJ505" s="17"/>
      <c r="AK505" s="17"/>
      <c r="AL505" s="17"/>
      <c r="AM505" s="17"/>
      <c r="AN505" s="17"/>
      <c r="AO505" s="17"/>
      <c r="AP505" s="17"/>
      <c r="AQ505" s="17"/>
    </row>
    <row r="506" spans="1:66" hidden="1">
      <c r="A506">
        <f t="shared" si="346"/>
        <v>503</v>
      </c>
      <c r="B506" s="407"/>
      <c r="C506" s="407"/>
      <c r="D506" s="408"/>
      <c r="E506" s="407"/>
      <c r="F506" s="408"/>
      <c r="G506" s="409"/>
      <c r="H506" s="410"/>
      <c r="I506" s="409"/>
      <c r="K506" s="17"/>
      <c r="L506" s="17"/>
      <c r="M506" s="17"/>
      <c r="N506" s="739"/>
      <c r="O506" s="739"/>
      <c r="P506" s="739"/>
      <c r="Q506" s="739"/>
      <c r="R506" s="739"/>
      <c r="S506" s="739"/>
      <c r="T506" s="739"/>
      <c r="U506" s="739"/>
      <c r="V506" s="739"/>
      <c r="W506" s="739"/>
      <c r="X506" s="739"/>
      <c r="Y506" s="739"/>
      <c r="Z506" s="740"/>
      <c r="AA506" s="740"/>
      <c r="AB506" s="17"/>
      <c r="AC506" s="17"/>
      <c r="AD506" s="17"/>
      <c r="AE506" s="17"/>
      <c r="AF506" s="17"/>
      <c r="AG506" s="17"/>
      <c r="AH506" s="17"/>
      <c r="AI506" s="17"/>
      <c r="AJ506" s="17"/>
      <c r="AK506" s="17"/>
      <c r="AL506" s="17"/>
      <c r="AM506" s="17"/>
      <c r="AN506" s="17"/>
      <c r="AO506" s="17"/>
      <c r="AP506" s="17"/>
      <c r="AQ506" s="17"/>
    </row>
    <row r="507" spans="1:66" hidden="1">
      <c r="A507">
        <f t="shared" si="346"/>
        <v>504</v>
      </c>
      <c r="B507" s="407"/>
      <c r="C507" s="407"/>
      <c r="D507" s="408"/>
      <c r="E507" s="407"/>
      <c r="F507" s="408"/>
      <c r="G507" s="409"/>
      <c r="H507" s="410"/>
      <c r="I507" s="409"/>
      <c r="K507" s="17"/>
      <c r="L507" s="17"/>
      <c r="M507" s="17"/>
      <c r="N507" s="739"/>
      <c r="O507" s="739"/>
      <c r="P507" s="739"/>
      <c r="Q507" s="739"/>
      <c r="R507" s="739"/>
      <c r="S507" s="739"/>
      <c r="T507" s="739"/>
      <c r="U507" s="739"/>
      <c r="V507" s="739"/>
      <c r="W507" s="739"/>
      <c r="X507" s="739"/>
      <c r="Y507" s="739"/>
      <c r="Z507" s="740"/>
      <c r="AA507" s="740"/>
      <c r="AB507" s="17"/>
      <c r="AC507" s="17"/>
      <c r="AD507" s="17"/>
      <c r="AE507" s="17"/>
      <c r="AF507" s="17"/>
      <c r="AG507" s="17"/>
      <c r="AH507" s="17"/>
      <c r="AI507" s="17"/>
      <c r="AJ507" s="17"/>
      <c r="AK507" s="17"/>
      <c r="AL507" s="17"/>
      <c r="AM507" s="17"/>
      <c r="AN507" s="17"/>
      <c r="AO507" s="17"/>
      <c r="AP507" s="17"/>
      <c r="AQ507" s="17"/>
    </row>
    <row r="508" spans="1:66" hidden="1">
      <c r="A508">
        <f t="shared" si="346"/>
        <v>505</v>
      </c>
      <c r="B508" s="407"/>
      <c r="C508" s="407"/>
      <c r="D508" s="408"/>
      <c r="E508" s="407"/>
      <c r="F508" s="408"/>
      <c r="G508" s="409"/>
      <c r="H508" s="410"/>
      <c r="I508" s="409"/>
      <c r="K508" s="17"/>
      <c r="L508" s="17"/>
      <c r="M508" s="17"/>
      <c r="N508" s="739"/>
      <c r="O508" s="739"/>
      <c r="P508" s="739"/>
      <c r="Q508" s="739"/>
      <c r="R508" s="739"/>
      <c r="S508" s="739"/>
      <c r="T508" s="739"/>
      <c r="U508" s="739"/>
      <c r="V508" s="739"/>
      <c r="W508" s="739"/>
      <c r="X508" s="739"/>
      <c r="Y508" s="739"/>
      <c r="Z508" s="740"/>
      <c r="AA508" s="740"/>
      <c r="AB508" s="17"/>
      <c r="AC508" s="17"/>
      <c r="AD508" s="17"/>
      <c r="AE508" s="17"/>
      <c r="AF508" s="17"/>
      <c r="AG508" s="17"/>
      <c r="AH508" s="17"/>
      <c r="AI508" s="17"/>
      <c r="AJ508" s="17"/>
      <c r="AK508" s="17"/>
      <c r="AL508" s="17"/>
      <c r="AM508" s="17"/>
      <c r="AN508" s="17"/>
      <c r="AO508" s="17"/>
      <c r="AP508" s="17"/>
      <c r="AQ508" s="17"/>
    </row>
    <row r="509" spans="1:66" hidden="1">
      <c r="A509">
        <f t="shared" si="346"/>
        <v>506</v>
      </c>
      <c r="B509" s="407"/>
      <c r="C509" s="407"/>
      <c r="D509" s="408"/>
      <c r="E509" s="407"/>
      <c r="F509" s="408"/>
      <c r="G509" s="409"/>
      <c r="H509" s="410"/>
      <c r="I509" s="409"/>
      <c r="K509" s="17"/>
      <c r="L509" s="17"/>
      <c r="M509" s="17"/>
      <c r="N509" s="739"/>
      <c r="O509" s="739"/>
      <c r="P509" s="739"/>
      <c r="Q509" s="739"/>
      <c r="R509" s="739"/>
      <c r="S509" s="739"/>
      <c r="T509" s="739"/>
      <c r="U509" s="739"/>
      <c r="V509" s="739"/>
      <c r="W509" s="739"/>
      <c r="X509" s="739"/>
      <c r="Y509" s="739"/>
      <c r="Z509" s="740"/>
      <c r="AA509" s="740"/>
      <c r="AB509" s="17"/>
      <c r="AC509" s="17"/>
      <c r="AD509" s="17"/>
      <c r="AE509" s="17"/>
      <c r="AF509" s="17"/>
      <c r="AG509" s="17"/>
      <c r="AH509" s="17"/>
      <c r="AI509" s="17"/>
      <c r="AJ509" s="17"/>
      <c r="AK509" s="17"/>
      <c r="AL509" s="17"/>
      <c r="AM509" s="17"/>
      <c r="AN509" s="17"/>
      <c r="AO509" s="17"/>
      <c r="AP509" s="17"/>
      <c r="AQ509" s="17"/>
    </row>
    <row r="510" spans="1:66" hidden="1">
      <c r="A510">
        <f t="shared" si="346"/>
        <v>507</v>
      </c>
      <c r="B510" s="407"/>
      <c r="C510" s="407"/>
      <c r="D510" s="408"/>
      <c r="E510" s="407"/>
      <c r="F510" s="408"/>
      <c r="G510" s="409"/>
      <c r="H510" s="410"/>
      <c r="I510" s="409"/>
      <c r="K510" s="17"/>
      <c r="L510" s="17"/>
      <c r="M510" s="720"/>
      <c r="N510" s="721"/>
      <c r="O510" s="721"/>
      <c r="P510" s="721"/>
      <c r="Q510" s="721"/>
      <c r="R510" s="721"/>
      <c r="S510" s="721"/>
      <c r="T510" s="721"/>
      <c r="U510" s="721"/>
      <c r="V510" s="721"/>
      <c r="W510" s="721"/>
      <c r="X510" s="721"/>
      <c r="Y510" s="721"/>
      <c r="Z510" s="721"/>
      <c r="AA510" s="721"/>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row>
    <row r="511" spans="1:66" hidden="1">
      <c r="A511">
        <f t="shared" si="346"/>
        <v>508</v>
      </c>
      <c r="B511" s="407"/>
      <c r="C511" s="407"/>
      <c r="D511" s="408"/>
      <c r="E511" s="407"/>
      <c r="F511" s="408"/>
      <c r="G511" s="409"/>
      <c r="H511" s="410"/>
      <c r="I511" s="409"/>
      <c r="AB511" s="17"/>
      <c r="AC511" s="17"/>
      <c r="AD511" s="17"/>
      <c r="AE511" s="17"/>
      <c r="AF511" s="17"/>
      <c r="AG511" s="17"/>
      <c r="AH511" s="17"/>
      <c r="AI511" s="17"/>
      <c r="AJ511" s="17"/>
      <c r="AK511" s="17"/>
      <c r="AL511" s="17"/>
      <c r="AM511" s="17"/>
      <c r="AN511" s="17"/>
      <c r="AO511" s="17"/>
      <c r="AP511" s="17"/>
      <c r="AQ511" s="17"/>
    </row>
    <row r="512" spans="1:66" hidden="1">
      <c r="A512">
        <f t="shared" si="346"/>
        <v>509</v>
      </c>
      <c r="B512" s="407"/>
      <c r="C512" s="407"/>
      <c r="D512" s="408"/>
      <c r="E512" s="407"/>
      <c r="F512" s="408"/>
      <c r="G512" s="409"/>
      <c r="H512" s="410"/>
      <c r="I512" s="409"/>
      <c r="AB512" s="17"/>
      <c r="AC512" s="17"/>
      <c r="AD512" s="17"/>
      <c r="AE512" s="17"/>
      <c r="AF512" s="17"/>
      <c r="AG512" s="17"/>
      <c r="AH512" s="17"/>
      <c r="AI512" s="17"/>
      <c r="AJ512" s="17"/>
      <c r="AK512" s="17"/>
      <c r="AL512" s="17"/>
      <c r="AM512" s="17"/>
      <c r="AN512" s="17"/>
      <c r="AO512" s="17"/>
      <c r="AP512" s="17"/>
      <c r="AQ512" s="17"/>
    </row>
    <row r="513" spans="1:43" hidden="1">
      <c r="A513">
        <f t="shared" si="346"/>
        <v>510</v>
      </c>
      <c r="B513" s="407"/>
      <c r="C513" s="407"/>
      <c r="D513" s="408"/>
      <c r="E513" s="407"/>
      <c r="F513" s="408"/>
      <c r="G513" s="409"/>
      <c r="H513" s="410"/>
      <c r="I513" s="409"/>
      <c r="AB513" s="17"/>
      <c r="AC513" s="17"/>
      <c r="AD513" s="17"/>
      <c r="AE513" s="17"/>
      <c r="AF513" s="17"/>
      <c r="AG513" s="17"/>
      <c r="AH513" s="17"/>
      <c r="AI513" s="17"/>
      <c r="AJ513" s="17"/>
      <c r="AK513" s="17"/>
      <c r="AL513" s="17"/>
      <c r="AM513" s="17"/>
      <c r="AN513" s="17"/>
      <c r="AO513" s="17"/>
      <c r="AP513" s="17"/>
      <c r="AQ513" s="17"/>
    </row>
    <row r="514" spans="1:43" hidden="1">
      <c r="A514">
        <f t="shared" si="346"/>
        <v>511</v>
      </c>
      <c r="B514" s="407"/>
      <c r="C514" s="407"/>
      <c r="D514" s="408"/>
      <c r="E514" s="407"/>
      <c r="F514" s="408"/>
      <c r="G514" s="409"/>
      <c r="H514" s="410"/>
      <c r="I514" s="409"/>
    </row>
    <row r="515" spans="1:43" hidden="1">
      <c r="A515">
        <f t="shared" si="346"/>
        <v>512</v>
      </c>
      <c r="B515" s="407"/>
      <c r="C515" s="407"/>
      <c r="D515" s="408"/>
      <c r="E515" s="407"/>
      <c r="F515" s="408"/>
      <c r="G515" s="409"/>
      <c r="H515" s="410"/>
      <c r="I515" s="409"/>
    </row>
    <row r="516" spans="1:43" hidden="1">
      <c r="A516">
        <f t="shared" si="346"/>
        <v>513</v>
      </c>
      <c r="B516" s="407"/>
      <c r="C516" s="407"/>
      <c r="D516" s="408"/>
      <c r="E516" s="407"/>
      <c r="F516" s="408"/>
      <c r="G516" s="409"/>
      <c r="H516" s="410"/>
      <c r="I516" s="409"/>
    </row>
    <row r="517" spans="1:43" hidden="1">
      <c r="A517">
        <f t="shared" si="346"/>
        <v>514</v>
      </c>
      <c r="B517" s="407"/>
      <c r="C517" s="407"/>
      <c r="D517" s="408"/>
      <c r="E517" s="407"/>
      <c r="F517" s="408"/>
      <c r="G517" s="409"/>
      <c r="H517" s="410"/>
      <c r="I517" s="409"/>
    </row>
    <row r="518" spans="1:43" hidden="1">
      <c r="A518">
        <f t="shared" si="346"/>
        <v>515</v>
      </c>
      <c r="B518" s="407"/>
      <c r="C518" s="407"/>
      <c r="D518" s="408"/>
      <c r="E518" s="407"/>
      <c r="F518" s="408"/>
      <c r="G518" s="409"/>
      <c r="H518" s="410"/>
      <c r="I518" s="409"/>
    </row>
    <row r="519" spans="1:43" hidden="1">
      <c r="A519">
        <f t="shared" si="346"/>
        <v>516</v>
      </c>
      <c r="B519" s="407"/>
      <c r="C519" s="407"/>
      <c r="D519" s="408"/>
      <c r="E519" s="407"/>
      <c r="F519" s="408"/>
      <c r="G519" s="409"/>
      <c r="H519" s="410"/>
      <c r="I519" s="409"/>
      <c r="K519" s="417"/>
      <c r="L519" s="17"/>
      <c r="M519" s="720"/>
      <c r="N519" s="721"/>
      <c r="O519" s="721"/>
      <c r="P519" s="721"/>
      <c r="Q519" s="721"/>
      <c r="R519" s="721"/>
      <c r="S519" s="721"/>
      <c r="T519" s="721"/>
      <c r="U519" s="721"/>
      <c r="V519" s="721"/>
      <c r="W519" s="721"/>
      <c r="X519" s="721"/>
      <c r="Y519" s="721"/>
      <c r="Z519" s="721"/>
      <c r="AA519" s="721"/>
      <c r="AB519" s="17"/>
      <c r="AC519" s="17"/>
      <c r="AD519" s="17"/>
      <c r="AE519" s="17"/>
      <c r="AF519" s="17"/>
      <c r="AG519" s="17"/>
      <c r="AH519" s="17"/>
      <c r="AI519" s="17"/>
      <c r="AJ519" s="17"/>
      <c r="AK519" s="17"/>
      <c r="AL519" s="17"/>
      <c r="AM519" s="17"/>
      <c r="AN519" s="17"/>
      <c r="AO519" s="17"/>
      <c r="AP519" s="17"/>
      <c r="AQ519" s="17"/>
    </row>
    <row r="520" spans="1:43" hidden="1">
      <c r="A520">
        <f t="shared" si="346"/>
        <v>517</v>
      </c>
      <c r="B520" s="407"/>
      <c r="C520" s="407"/>
      <c r="D520" s="408"/>
      <c r="E520" s="407"/>
      <c r="F520" s="408"/>
      <c r="G520" s="409"/>
      <c r="H520" s="410"/>
      <c r="I520" s="409"/>
    </row>
    <row r="521" spans="1:43" hidden="1">
      <c r="A521">
        <f t="shared" si="346"/>
        <v>518</v>
      </c>
      <c r="B521" s="407"/>
      <c r="C521" s="407"/>
      <c r="D521" s="408"/>
      <c r="E521" s="407"/>
      <c r="F521" s="408"/>
      <c r="G521" s="409"/>
      <c r="H521" s="410"/>
      <c r="I521" s="409"/>
      <c r="K521" s="17"/>
      <c r="L521" s="17"/>
      <c r="M521" s="17"/>
      <c r="N521" s="739"/>
      <c r="O521" s="739"/>
      <c r="P521" s="739"/>
      <c r="Q521" s="739"/>
      <c r="R521" s="739"/>
      <c r="S521" s="739"/>
      <c r="T521" s="739"/>
      <c r="U521" s="739"/>
      <c r="V521" s="739"/>
      <c r="W521" s="739"/>
      <c r="X521" s="739"/>
      <c r="Y521" s="739"/>
      <c r="Z521" s="740"/>
      <c r="AA521" s="740"/>
      <c r="AB521" s="17"/>
      <c r="AC521" s="17"/>
      <c r="AD521" s="17"/>
      <c r="AE521" s="17"/>
      <c r="AF521" s="17"/>
      <c r="AG521" s="17"/>
      <c r="AH521" s="17"/>
      <c r="AI521" s="17"/>
      <c r="AJ521" s="17"/>
      <c r="AK521" s="17"/>
      <c r="AL521" s="17"/>
      <c r="AM521" s="17"/>
      <c r="AN521" s="17"/>
      <c r="AO521" s="17"/>
      <c r="AP521" s="17"/>
      <c r="AQ521" s="17"/>
    </row>
    <row r="522" spans="1:43" hidden="1">
      <c r="A522">
        <f t="shared" si="346"/>
        <v>519</v>
      </c>
      <c r="B522" s="407"/>
      <c r="C522" s="407"/>
      <c r="D522" s="408"/>
      <c r="E522" s="407"/>
      <c r="F522" s="408"/>
      <c r="G522" s="409"/>
      <c r="H522" s="410"/>
      <c r="I522" s="409"/>
      <c r="K522" s="17"/>
      <c r="L522" s="17"/>
      <c r="M522" s="17"/>
      <c r="N522" s="739"/>
      <c r="O522" s="739"/>
      <c r="P522" s="739"/>
      <c r="Q522" s="739"/>
      <c r="R522" s="739"/>
      <c r="S522" s="739"/>
      <c r="T522" s="739"/>
      <c r="U522" s="739"/>
      <c r="V522" s="739"/>
      <c r="W522" s="739"/>
      <c r="X522" s="739"/>
      <c r="Y522" s="739"/>
      <c r="Z522" s="740"/>
      <c r="AA522" s="740"/>
      <c r="AB522" s="17"/>
      <c r="AC522" s="17"/>
      <c r="AD522" s="17"/>
      <c r="AE522" s="17"/>
      <c r="AF522" s="17"/>
      <c r="AG522" s="17"/>
      <c r="AH522" s="17"/>
      <c r="AI522" s="17"/>
      <c r="AJ522" s="17"/>
      <c r="AK522" s="17"/>
      <c r="AL522" s="17"/>
      <c r="AM522" s="17"/>
      <c r="AN522" s="17"/>
      <c r="AO522" s="17"/>
      <c r="AP522" s="17"/>
      <c r="AQ522" s="17"/>
    </row>
    <row r="523" spans="1:43" hidden="1">
      <c r="A523">
        <f t="shared" si="346"/>
        <v>520</v>
      </c>
      <c r="B523" s="407"/>
      <c r="C523" s="407"/>
      <c r="D523" s="408"/>
      <c r="E523" s="407"/>
      <c r="F523" s="408"/>
      <c r="G523" s="409"/>
      <c r="H523" s="410"/>
      <c r="I523" s="409"/>
    </row>
    <row r="524" spans="1:43" hidden="1">
      <c r="A524">
        <f t="shared" si="346"/>
        <v>521</v>
      </c>
      <c r="B524" s="407"/>
      <c r="C524" s="407"/>
      <c r="D524" s="408"/>
      <c r="E524" s="407"/>
      <c r="F524" s="408"/>
      <c r="G524" s="409"/>
      <c r="H524" s="410"/>
      <c r="I524" s="409"/>
    </row>
    <row r="525" spans="1:43" hidden="1">
      <c r="A525">
        <f t="shared" si="346"/>
        <v>522</v>
      </c>
      <c r="B525" s="407"/>
      <c r="C525" s="407"/>
      <c r="D525" s="408"/>
      <c r="E525" s="407"/>
      <c r="F525" s="408"/>
      <c r="G525" s="409"/>
      <c r="H525" s="410"/>
      <c r="I525" s="409"/>
    </row>
    <row r="526" spans="1:43" hidden="1">
      <c r="A526">
        <f t="shared" si="346"/>
        <v>523</v>
      </c>
      <c r="B526" s="407"/>
      <c r="C526" s="407"/>
      <c r="D526" s="408"/>
      <c r="E526" s="407"/>
      <c r="F526" s="408"/>
      <c r="G526" s="409"/>
      <c r="H526" s="410"/>
      <c r="I526" s="409"/>
      <c r="K526" s="17"/>
      <c r="L526" s="17"/>
      <c r="M526" s="17"/>
      <c r="N526" s="739"/>
      <c r="O526" s="739"/>
      <c r="P526" s="739"/>
      <c r="Q526" s="739"/>
      <c r="R526" s="739"/>
      <c r="S526" s="739"/>
      <c r="T526" s="739"/>
      <c r="U526" s="739"/>
      <c r="V526" s="739"/>
      <c r="W526" s="739"/>
      <c r="X526" s="739"/>
      <c r="Y526" s="739"/>
      <c r="Z526" s="740"/>
      <c r="AA526" s="740"/>
      <c r="AB526" s="17"/>
      <c r="AC526" s="17"/>
      <c r="AD526" s="17"/>
      <c r="AE526" s="17"/>
      <c r="AF526" s="17"/>
      <c r="AG526" s="17"/>
      <c r="AH526" s="17"/>
      <c r="AI526" s="17"/>
      <c r="AJ526" s="17"/>
      <c r="AK526" s="17"/>
      <c r="AL526" s="17"/>
      <c r="AM526" s="17"/>
      <c r="AN526" s="17"/>
      <c r="AO526" s="17"/>
      <c r="AP526" s="17"/>
      <c r="AQ526" s="17"/>
    </row>
    <row r="527" spans="1:43" hidden="1">
      <c r="A527">
        <f t="shared" si="346"/>
        <v>524</v>
      </c>
      <c r="B527" s="407"/>
      <c r="C527" s="407"/>
      <c r="D527" s="408"/>
      <c r="E527" s="407"/>
      <c r="F527" s="408"/>
      <c r="G527" s="409"/>
      <c r="H527" s="410"/>
      <c r="I527" s="409"/>
      <c r="K527" s="17"/>
      <c r="L527" s="17"/>
      <c r="M527" s="17"/>
      <c r="N527" s="739"/>
      <c r="O527" s="739"/>
      <c r="P527" s="739"/>
      <c r="Q527" s="739"/>
      <c r="R527" s="739"/>
      <c r="S527" s="739"/>
      <c r="T527" s="739"/>
      <c r="U527" s="739"/>
      <c r="V527" s="739"/>
      <c r="W527" s="739"/>
      <c r="X527" s="739"/>
      <c r="Y527" s="739"/>
      <c r="Z527" s="740"/>
      <c r="AA527" s="740"/>
      <c r="AB527" s="17"/>
      <c r="AC527" s="17"/>
      <c r="AD527" s="17"/>
      <c r="AE527" s="17"/>
      <c r="AF527" s="17"/>
      <c r="AG527" s="17"/>
      <c r="AH527" s="17"/>
      <c r="AI527" s="17"/>
      <c r="AJ527" s="17"/>
      <c r="AK527" s="17"/>
      <c r="AL527" s="17"/>
      <c r="AM527" s="17"/>
      <c r="AN527" s="17"/>
      <c r="AO527" s="17"/>
      <c r="AP527" s="17"/>
      <c r="AQ527" s="17"/>
    </row>
    <row r="528" spans="1:43" hidden="1">
      <c r="A528">
        <f t="shared" si="346"/>
        <v>525</v>
      </c>
      <c r="B528" s="407"/>
      <c r="C528" s="407"/>
      <c r="D528" s="408"/>
      <c r="E528" s="407"/>
      <c r="F528" s="408"/>
      <c r="G528" s="409"/>
      <c r="H528" s="410"/>
      <c r="I528" s="409"/>
      <c r="K528" s="17"/>
      <c r="L528" s="17"/>
      <c r="M528" s="17"/>
      <c r="N528" s="739"/>
      <c r="O528" s="739"/>
      <c r="P528" s="739"/>
      <c r="Q528" s="739"/>
      <c r="R528" s="739"/>
      <c r="S528" s="739"/>
      <c r="T528" s="739"/>
      <c r="U528" s="739"/>
      <c r="V528" s="739"/>
      <c r="W528" s="739"/>
      <c r="X528" s="739"/>
      <c r="Y528" s="739"/>
      <c r="Z528" s="740"/>
      <c r="AA528" s="740"/>
      <c r="AB528" s="17"/>
      <c r="AC528" s="17"/>
      <c r="AD528" s="17"/>
      <c r="AE528" s="17"/>
      <c r="AF528" s="17"/>
      <c r="AG528" s="17"/>
      <c r="AH528" s="17"/>
      <c r="AI528" s="17"/>
      <c r="AJ528" s="17"/>
      <c r="AK528" s="17"/>
      <c r="AL528" s="17"/>
      <c r="AM528" s="17"/>
      <c r="AN528" s="17"/>
      <c r="AO528" s="17"/>
      <c r="AP528" s="17"/>
      <c r="AQ528" s="17"/>
    </row>
    <row r="529" spans="1:43" hidden="1">
      <c r="A529">
        <f t="shared" si="346"/>
        <v>526</v>
      </c>
      <c r="B529" s="407"/>
      <c r="C529" s="407"/>
      <c r="D529" s="408"/>
      <c r="E529" s="407"/>
      <c r="F529" s="408"/>
      <c r="G529" s="409"/>
      <c r="H529" s="410"/>
      <c r="I529" s="409"/>
      <c r="K529" s="17"/>
      <c r="L529" s="17"/>
      <c r="M529" s="17"/>
      <c r="N529" s="739"/>
      <c r="O529" s="739"/>
      <c r="P529" s="739"/>
      <c r="Q529" s="739"/>
      <c r="R529" s="739"/>
      <c r="S529" s="739"/>
      <c r="T529" s="739"/>
      <c r="U529" s="739"/>
      <c r="V529" s="739"/>
      <c r="W529" s="739"/>
      <c r="X529" s="739"/>
      <c r="Y529" s="739"/>
      <c r="Z529" s="740"/>
      <c r="AA529" s="740"/>
      <c r="AB529" s="17"/>
      <c r="AC529" s="17"/>
      <c r="AD529" s="17"/>
      <c r="AE529" s="17"/>
      <c r="AF529" s="17"/>
      <c r="AG529" s="17"/>
      <c r="AH529" s="17"/>
      <c r="AI529" s="17"/>
      <c r="AJ529" s="17"/>
      <c r="AK529" s="17"/>
      <c r="AL529" s="17"/>
      <c r="AM529" s="17"/>
      <c r="AN529" s="17"/>
      <c r="AO529" s="17"/>
      <c r="AP529" s="17"/>
      <c r="AQ529" s="17"/>
    </row>
    <row r="530" spans="1:43" hidden="1">
      <c r="A530">
        <f t="shared" si="346"/>
        <v>527</v>
      </c>
      <c r="B530" s="407"/>
      <c r="C530" s="407"/>
      <c r="D530" s="408"/>
      <c r="E530" s="407"/>
      <c r="F530" s="408"/>
      <c r="G530" s="409"/>
      <c r="H530" s="410"/>
      <c r="I530" s="409"/>
      <c r="K530" s="17"/>
      <c r="L530" s="17"/>
      <c r="M530" s="17"/>
      <c r="N530" s="739"/>
      <c r="O530" s="739"/>
      <c r="P530" s="739"/>
      <c r="Q530" s="739"/>
      <c r="R530" s="739"/>
      <c r="S530" s="739"/>
      <c r="T530" s="739"/>
      <c r="U530" s="739"/>
      <c r="V530" s="739"/>
      <c r="W530" s="739"/>
      <c r="X530" s="739"/>
      <c r="Y530" s="739"/>
      <c r="Z530" s="740"/>
      <c r="AA530" s="740"/>
      <c r="AB530" s="17"/>
      <c r="AC530" s="17"/>
      <c r="AD530" s="17"/>
      <c r="AE530" s="17"/>
      <c r="AF530" s="17"/>
      <c r="AG530" s="17"/>
      <c r="AH530" s="17"/>
      <c r="AI530" s="17"/>
      <c r="AJ530" s="17"/>
      <c r="AK530" s="17"/>
      <c r="AL530" s="17"/>
      <c r="AM530" s="17"/>
      <c r="AN530" s="17"/>
      <c r="AO530" s="17"/>
      <c r="AP530" s="17"/>
      <c r="AQ530" s="17"/>
    </row>
    <row r="531" spans="1:43" hidden="1">
      <c r="A531">
        <f t="shared" si="346"/>
        <v>528</v>
      </c>
      <c r="B531" s="407"/>
      <c r="C531" s="407"/>
      <c r="D531" s="408"/>
      <c r="E531" s="407"/>
      <c r="F531" s="408"/>
      <c r="G531" s="409"/>
      <c r="H531" s="410"/>
      <c r="I531" s="409"/>
      <c r="K531" s="17"/>
      <c r="L531" s="17"/>
      <c r="M531" s="17"/>
      <c r="N531" s="739"/>
      <c r="O531" s="739"/>
      <c r="P531" s="739"/>
      <c r="Q531" s="739"/>
      <c r="R531" s="739"/>
      <c r="S531" s="739"/>
      <c r="T531" s="739"/>
      <c r="U531" s="739"/>
      <c r="V531" s="739"/>
      <c r="W531" s="739"/>
      <c r="X531" s="739"/>
      <c r="Y531" s="739"/>
      <c r="Z531" s="740"/>
      <c r="AA531" s="740"/>
      <c r="AB531" s="17"/>
      <c r="AC531" s="17"/>
      <c r="AD531" s="17"/>
      <c r="AE531" s="17"/>
      <c r="AF531" s="17"/>
      <c r="AG531" s="17"/>
      <c r="AH531" s="17"/>
      <c r="AI531" s="17"/>
      <c r="AJ531" s="17"/>
      <c r="AK531" s="17"/>
      <c r="AL531" s="17"/>
      <c r="AM531" s="17"/>
      <c r="AN531" s="17"/>
      <c r="AO531" s="17"/>
      <c r="AP531" s="17"/>
      <c r="AQ531" s="17"/>
    </row>
    <row r="532" spans="1:43" hidden="1">
      <c r="A532">
        <f t="shared" si="346"/>
        <v>529</v>
      </c>
      <c r="B532" s="407"/>
      <c r="C532" s="407"/>
      <c r="D532" s="408"/>
      <c r="E532" s="407"/>
      <c r="F532" s="408"/>
      <c r="G532" s="409"/>
      <c r="H532" s="410"/>
      <c r="I532" s="409"/>
      <c r="K532" s="17"/>
      <c r="L532" s="17"/>
      <c r="M532" s="17"/>
      <c r="N532" s="739"/>
      <c r="O532" s="739"/>
      <c r="P532" s="739"/>
      <c r="Q532" s="739"/>
      <c r="R532" s="739"/>
      <c r="S532" s="739"/>
      <c r="T532" s="739"/>
      <c r="U532" s="739"/>
      <c r="V532" s="739"/>
      <c r="W532" s="739"/>
      <c r="X532" s="739"/>
      <c r="Y532" s="739"/>
      <c r="Z532" s="740"/>
      <c r="AA532" s="740"/>
      <c r="AB532" s="17"/>
      <c r="AC532" s="17"/>
      <c r="AD532" s="17"/>
      <c r="AE532" s="17"/>
      <c r="AF532" s="17"/>
      <c r="AG532" s="17"/>
      <c r="AH532" s="17"/>
      <c r="AI532" s="17"/>
      <c r="AJ532" s="17"/>
      <c r="AK532" s="17"/>
      <c r="AL532" s="17"/>
      <c r="AM532" s="17"/>
      <c r="AN532" s="17"/>
      <c r="AO532" s="17"/>
      <c r="AP532" s="17"/>
      <c r="AQ532" s="17"/>
    </row>
    <row r="533" spans="1:43" hidden="1">
      <c r="A533">
        <f t="shared" si="346"/>
        <v>530</v>
      </c>
      <c r="B533" s="407"/>
      <c r="C533" s="407"/>
      <c r="D533" s="408"/>
      <c r="E533" s="407"/>
      <c r="F533" s="408"/>
      <c r="G533" s="409"/>
      <c r="H533" s="410"/>
      <c r="I533" s="409"/>
      <c r="K533" s="17"/>
      <c r="L533" s="17"/>
      <c r="M533" s="17"/>
      <c r="N533" s="739"/>
      <c r="O533" s="739"/>
      <c r="P533" s="739"/>
      <c r="Q533" s="739"/>
      <c r="R533" s="739"/>
      <c r="S533" s="739"/>
      <c r="T533" s="739"/>
      <c r="U533" s="739"/>
      <c r="V533" s="739"/>
      <c r="W533" s="739"/>
      <c r="X533" s="739"/>
      <c r="Y533" s="739"/>
      <c r="Z533" s="740"/>
      <c r="AA533" s="740"/>
      <c r="AB533" s="17"/>
      <c r="AC533" s="17"/>
      <c r="AD533" s="17"/>
      <c r="AE533" s="17"/>
      <c r="AF533" s="17"/>
      <c r="AG533" s="17"/>
      <c r="AH533" s="17"/>
      <c r="AI533" s="17"/>
      <c r="AJ533" s="17"/>
      <c r="AK533" s="17"/>
      <c r="AL533" s="17"/>
      <c r="AM533" s="17"/>
      <c r="AN533" s="17"/>
      <c r="AO533" s="17"/>
      <c r="AP533" s="17"/>
      <c r="AQ533" s="17"/>
    </row>
    <row r="534" spans="1:43" hidden="1">
      <c r="A534">
        <f t="shared" si="346"/>
        <v>531</v>
      </c>
      <c r="B534" s="407"/>
      <c r="C534" s="407"/>
      <c r="D534" s="408"/>
      <c r="E534" s="407"/>
      <c r="F534" s="408"/>
      <c r="G534" s="409"/>
      <c r="H534" s="410"/>
      <c r="I534" s="409"/>
      <c r="K534" s="17"/>
      <c r="L534" s="17"/>
      <c r="M534" s="17"/>
      <c r="N534" s="739"/>
      <c r="O534" s="739"/>
      <c r="P534" s="739"/>
      <c r="Q534" s="739"/>
      <c r="R534" s="739"/>
      <c r="S534" s="739"/>
      <c r="T534" s="739"/>
      <c r="U534" s="739"/>
      <c r="V534" s="739"/>
      <c r="W534" s="739"/>
      <c r="X534" s="739"/>
      <c r="Y534" s="739"/>
      <c r="Z534" s="740"/>
      <c r="AA534" s="740"/>
      <c r="AB534" s="17"/>
      <c r="AC534" s="17"/>
      <c r="AD534" s="17"/>
      <c r="AE534" s="17"/>
      <c r="AF534" s="17"/>
      <c r="AG534" s="17"/>
      <c r="AH534" s="17"/>
      <c r="AI534" s="17"/>
      <c r="AJ534" s="17"/>
      <c r="AK534" s="17"/>
      <c r="AL534" s="17"/>
      <c r="AM534" s="17"/>
      <c r="AN534" s="17"/>
      <c r="AO534" s="17"/>
      <c r="AP534" s="17"/>
      <c r="AQ534" s="17"/>
    </row>
    <row r="535" spans="1:43" hidden="1">
      <c r="A535">
        <f t="shared" si="346"/>
        <v>532</v>
      </c>
      <c r="B535" s="407"/>
      <c r="C535" s="407"/>
      <c r="D535" s="408"/>
      <c r="E535" s="407"/>
      <c r="F535" s="408"/>
      <c r="G535" s="409"/>
      <c r="H535" s="410"/>
      <c r="I535" s="409"/>
      <c r="K535" s="17"/>
      <c r="L535" s="17"/>
      <c r="M535" s="17"/>
      <c r="N535" s="739"/>
      <c r="O535" s="739"/>
      <c r="P535" s="739"/>
      <c r="Q535" s="739"/>
      <c r="R535" s="739"/>
      <c r="S535" s="739"/>
      <c r="T535" s="739"/>
      <c r="U535" s="739"/>
      <c r="V535" s="739"/>
      <c r="W535" s="739"/>
      <c r="X535" s="739"/>
      <c r="Y535" s="739"/>
      <c r="Z535" s="740"/>
      <c r="AA535" s="740"/>
      <c r="AB535" s="17"/>
      <c r="AC535" s="17"/>
      <c r="AD535" s="17"/>
      <c r="AE535" s="17"/>
      <c r="AF535" s="17"/>
      <c r="AG535" s="17"/>
      <c r="AH535" s="17"/>
      <c r="AI535" s="17"/>
      <c r="AJ535" s="17"/>
      <c r="AK535" s="17"/>
      <c r="AL535" s="17"/>
      <c r="AM535" s="17"/>
      <c r="AN535" s="17"/>
      <c r="AO535" s="17"/>
      <c r="AP535" s="17"/>
      <c r="AQ535" s="17"/>
    </row>
    <row r="536" spans="1:43" hidden="1">
      <c r="A536">
        <f t="shared" si="346"/>
        <v>533</v>
      </c>
      <c r="B536" s="407"/>
      <c r="C536" s="407"/>
      <c r="D536" s="408"/>
      <c r="E536" s="407"/>
      <c r="F536" s="408"/>
      <c r="G536" s="409"/>
      <c r="H536" s="410"/>
      <c r="I536" s="409"/>
      <c r="K536" s="17"/>
      <c r="L536" s="17"/>
      <c r="M536" s="17"/>
      <c r="N536" s="739"/>
      <c r="O536" s="739"/>
      <c r="P536" s="739"/>
      <c r="Q536" s="739"/>
      <c r="R536" s="739"/>
      <c r="S536" s="739"/>
      <c r="T536" s="739"/>
      <c r="U536" s="739"/>
      <c r="V536" s="739"/>
      <c r="W536" s="739"/>
      <c r="X536" s="739"/>
      <c r="Y536" s="739"/>
      <c r="Z536" s="740"/>
      <c r="AA536" s="740"/>
      <c r="AB536" s="17"/>
      <c r="AC536" s="17"/>
      <c r="AD536" s="17"/>
      <c r="AE536" s="17"/>
      <c r="AF536" s="17"/>
      <c r="AG536" s="17"/>
      <c r="AH536" s="17"/>
      <c r="AI536" s="17"/>
      <c r="AJ536" s="17"/>
      <c r="AK536" s="17"/>
      <c r="AL536" s="17"/>
      <c r="AM536" s="17"/>
      <c r="AN536" s="17"/>
      <c r="AO536" s="17"/>
      <c r="AP536" s="17"/>
      <c r="AQ536" s="17"/>
    </row>
    <row r="537" spans="1:43" hidden="1">
      <c r="A537">
        <f t="shared" si="346"/>
        <v>534</v>
      </c>
      <c r="B537" s="407"/>
      <c r="C537" s="407"/>
      <c r="D537" s="408"/>
      <c r="E537" s="407"/>
      <c r="F537" s="408"/>
      <c r="G537" s="409"/>
      <c r="H537" s="410"/>
      <c r="I537" s="409"/>
      <c r="K537" s="17"/>
      <c r="L537" s="17"/>
      <c r="M537" s="17"/>
      <c r="N537" s="739"/>
      <c r="O537" s="739"/>
      <c r="P537" s="739"/>
      <c r="Q537" s="739"/>
      <c r="R537" s="739"/>
      <c r="S537" s="739"/>
      <c r="T537" s="739"/>
      <c r="U537" s="739"/>
      <c r="V537" s="739"/>
      <c r="W537" s="739"/>
      <c r="X537" s="739"/>
      <c r="Y537" s="739"/>
      <c r="Z537" s="740"/>
      <c r="AA537" s="740"/>
      <c r="AB537" s="17"/>
      <c r="AC537" s="17"/>
      <c r="AD537" s="17"/>
      <c r="AE537" s="17"/>
      <c r="AF537" s="17"/>
      <c r="AG537" s="17"/>
      <c r="AH537" s="17"/>
      <c r="AI537" s="17"/>
      <c r="AJ537" s="17"/>
      <c r="AK537" s="17"/>
      <c r="AL537" s="17"/>
      <c r="AM537" s="17"/>
      <c r="AN537" s="17"/>
      <c r="AO537" s="17"/>
      <c r="AP537" s="17"/>
      <c r="AQ537" s="17"/>
    </row>
    <row r="538" spans="1:43" hidden="1">
      <c r="A538">
        <f t="shared" si="346"/>
        <v>535</v>
      </c>
      <c r="B538" s="407"/>
      <c r="C538" s="407"/>
      <c r="D538" s="408"/>
      <c r="E538" s="407"/>
      <c r="F538" s="408"/>
      <c r="G538" s="409"/>
      <c r="H538" s="410"/>
      <c r="I538" s="409"/>
      <c r="K538" s="17"/>
      <c r="L538" s="17"/>
      <c r="M538" s="17"/>
      <c r="N538" s="739"/>
      <c r="O538" s="739"/>
      <c r="P538" s="739"/>
      <c r="Q538" s="739"/>
      <c r="R538" s="739"/>
      <c r="S538" s="739"/>
      <c r="T538" s="739"/>
      <c r="U538" s="739"/>
      <c r="V538" s="739"/>
      <c r="W538" s="739"/>
      <c r="X538" s="739"/>
      <c r="Y538" s="739"/>
      <c r="Z538" s="740"/>
      <c r="AA538" s="740"/>
      <c r="AB538" s="17"/>
      <c r="AC538" s="17"/>
      <c r="AD538" s="17"/>
      <c r="AE538" s="17"/>
      <c r="AF538" s="17"/>
      <c r="AG538" s="17"/>
      <c r="AH538" s="17"/>
      <c r="AI538" s="17"/>
      <c r="AJ538" s="17"/>
      <c r="AK538" s="17"/>
      <c r="AL538" s="17"/>
      <c r="AM538" s="17"/>
      <c r="AN538" s="17"/>
      <c r="AO538" s="17"/>
      <c r="AP538" s="17"/>
      <c r="AQ538" s="17"/>
    </row>
    <row r="539" spans="1:43" hidden="1">
      <c r="A539">
        <f t="shared" si="346"/>
        <v>536</v>
      </c>
      <c r="B539" s="407"/>
      <c r="C539" s="407"/>
      <c r="D539" s="408"/>
      <c r="E539" s="407"/>
      <c r="F539" s="408"/>
      <c r="G539" s="409"/>
      <c r="H539" s="410"/>
      <c r="I539" s="409"/>
      <c r="K539" s="17"/>
      <c r="L539" s="17"/>
      <c r="M539" s="17"/>
      <c r="N539" s="739"/>
      <c r="O539" s="739"/>
      <c r="P539" s="739"/>
      <c r="Q539" s="739"/>
      <c r="R539" s="739"/>
      <c r="S539" s="739"/>
      <c r="T539" s="739"/>
      <c r="U539" s="739"/>
      <c r="V539" s="739"/>
      <c r="W539" s="739"/>
      <c r="X539" s="739"/>
      <c r="Y539" s="739"/>
      <c r="Z539" s="740"/>
      <c r="AA539" s="740"/>
      <c r="AB539" s="17"/>
      <c r="AC539" s="17"/>
      <c r="AD539" s="17"/>
      <c r="AE539" s="17"/>
      <c r="AF539" s="17"/>
      <c r="AG539" s="17"/>
      <c r="AH539" s="17"/>
      <c r="AI539" s="17"/>
      <c r="AJ539" s="17"/>
      <c r="AK539" s="17"/>
      <c r="AL539" s="17"/>
      <c r="AM539" s="17"/>
      <c r="AN539" s="17"/>
      <c r="AO539" s="17"/>
      <c r="AP539" s="17"/>
      <c r="AQ539" s="17"/>
    </row>
    <row r="540" spans="1:43" hidden="1">
      <c r="A540">
        <f t="shared" si="346"/>
        <v>537</v>
      </c>
      <c r="B540" s="407"/>
      <c r="C540" s="407"/>
      <c r="D540" s="408"/>
      <c r="E540" s="407"/>
      <c r="F540" s="408"/>
      <c r="G540" s="409"/>
      <c r="H540" s="410"/>
      <c r="I540" s="409"/>
      <c r="K540" s="17"/>
      <c r="L540" s="17"/>
      <c r="M540" s="17"/>
      <c r="N540" s="739"/>
      <c r="O540" s="739"/>
      <c r="P540" s="739"/>
      <c r="Q540" s="739"/>
      <c r="R540" s="739"/>
      <c r="S540" s="739"/>
      <c r="T540" s="739"/>
      <c r="U540" s="739"/>
      <c r="V540" s="739"/>
      <c r="W540" s="739"/>
      <c r="X540" s="739"/>
      <c r="Y540" s="739"/>
      <c r="Z540" s="740"/>
      <c r="AA540" s="740"/>
      <c r="AB540" s="17"/>
      <c r="AC540" s="17"/>
      <c r="AD540" s="17"/>
      <c r="AE540" s="17"/>
      <c r="AF540" s="17"/>
      <c r="AG540" s="17"/>
      <c r="AH540" s="17"/>
      <c r="AI540" s="17"/>
      <c r="AJ540" s="17"/>
      <c r="AK540" s="17"/>
      <c r="AL540" s="17"/>
      <c r="AM540" s="17"/>
      <c r="AN540" s="17"/>
      <c r="AO540" s="17"/>
      <c r="AP540" s="17"/>
      <c r="AQ540" s="17"/>
    </row>
    <row r="541" spans="1:43" hidden="1">
      <c r="A541">
        <f t="shared" si="346"/>
        <v>538</v>
      </c>
      <c r="B541" s="407"/>
      <c r="C541" s="407"/>
      <c r="D541" s="408"/>
      <c r="E541" s="407"/>
      <c r="F541" s="408"/>
      <c r="G541" s="409"/>
      <c r="H541" s="410"/>
      <c r="I541" s="409"/>
      <c r="K541" s="17"/>
      <c r="L541" s="17"/>
      <c r="M541" s="17"/>
      <c r="N541" s="739"/>
      <c r="O541" s="739"/>
      <c r="P541" s="739"/>
      <c r="Q541" s="739"/>
      <c r="R541" s="739"/>
      <c r="S541" s="739"/>
      <c r="T541" s="739"/>
      <c r="U541" s="739"/>
      <c r="V541" s="739"/>
      <c r="W541" s="739"/>
      <c r="X541" s="739"/>
      <c r="Y541" s="739"/>
      <c r="Z541" s="740"/>
      <c r="AA541" s="740"/>
      <c r="AB541" s="17"/>
      <c r="AC541" s="17"/>
      <c r="AD541" s="17"/>
      <c r="AE541" s="17"/>
      <c r="AF541" s="17"/>
      <c r="AG541" s="17"/>
      <c r="AH541" s="17"/>
      <c r="AI541" s="17"/>
      <c r="AJ541" s="17"/>
      <c r="AK541" s="17"/>
      <c r="AL541" s="17"/>
      <c r="AM541" s="17"/>
      <c r="AN541" s="17"/>
      <c r="AO541" s="17"/>
      <c r="AP541" s="17"/>
      <c r="AQ541" s="17"/>
    </row>
    <row r="542" spans="1:43" hidden="1">
      <c r="A542">
        <f t="shared" si="346"/>
        <v>539</v>
      </c>
      <c r="B542" s="407"/>
      <c r="C542" s="407"/>
      <c r="D542" s="408"/>
      <c r="E542" s="407"/>
      <c r="F542" s="408"/>
      <c r="G542" s="409"/>
      <c r="H542" s="410"/>
      <c r="I542" s="409"/>
      <c r="K542" s="17"/>
      <c r="L542" s="17"/>
      <c r="M542" s="17"/>
      <c r="N542" s="739"/>
      <c r="O542" s="739"/>
      <c r="P542" s="739"/>
      <c r="Q542" s="739"/>
      <c r="R542" s="739"/>
      <c r="S542" s="739"/>
      <c r="T542" s="739"/>
      <c r="U542" s="739"/>
      <c r="V542" s="739"/>
      <c r="W542" s="739"/>
      <c r="X542" s="739"/>
      <c r="Y542" s="739"/>
      <c r="Z542" s="740"/>
      <c r="AA542" s="740"/>
      <c r="AB542" s="17"/>
      <c r="AC542" s="17"/>
      <c r="AD542" s="17"/>
      <c r="AE542" s="17"/>
      <c r="AF542" s="17"/>
      <c r="AG542" s="17"/>
      <c r="AH542" s="17"/>
      <c r="AI542" s="17"/>
      <c r="AJ542" s="17"/>
      <c r="AK542" s="17"/>
      <c r="AL542" s="17"/>
      <c r="AM542" s="17"/>
      <c r="AN542" s="17"/>
      <c r="AO542" s="17"/>
      <c r="AP542" s="17"/>
      <c r="AQ542" s="17"/>
    </row>
    <row r="543" spans="1:43" hidden="1">
      <c r="A543">
        <f t="shared" si="346"/>
        <v>540</v>
      </c>
      <c r="B543" s="407"/>
      <c r="C543" s="407"/>
      <c r="D543" s="408"/>
      <c r="E543" s="407"/>
      <c r="F543" s="408"/>
      <c r="G543" s="409"/>
      <c r="H543" s="410"/>
      <c r="I543" s="409"/>
      <c r="K543" s="17"/>
      <c r="L543" s="17"/>
      <c r="M543" s="17"/>
      <c r="N543" s="739"/>
      <c r="O543" s="739"/>
      <c r="P543" s="739"/>
      <c r="Q543" s="739"/>
      <c r="R543" s="739"/>
      <c r="S543" s="739"/>
      <c r="T543" s="739"/>
      <c r="U543" s="739"/>
      <c r="V543" s="739"/>
      <c r="W543" s="739"/>
      <c r="X543" s="739"/>
      <c r="Y543" s="739"/>
      <c r="Z543" s="740"/>
      <c r="AA543" s="740"/>
      <c r="AB543" s="17"/>
      <c r="AC543" s="17"/>
      <c r="AD543" s="17"/>
      <c r="AE543" s="17"/>
      <c r="AF543" s="17"/>
      <c r="AG543" s="17"/>
      <c r="AH543" s="17"/>
      <c r="AI543" s="17"/>
      <c r="AJ543" s="17"/>
      <c r="AK543" s="17"/>
      <c r="AL543" s="17"/>
      <c r="AM543" s="17"/>
      <c r="AN543" s="17"/>
      <c r="AO543" s="17"/>
      <c r="AP543" s="17"/>
      <c r="AQ543" s="17"/>
    </row>
    <row r="544" spans="1:43" hidden="1">
      <c r="A544">
        <f t="shared" si="346"/>
        <v>541</v>
      </c>
      <c r="B544" s="407"/>
      <c r="C544" s="407"/>
      <c r="D544" s="408"/>
      <c r="E544" s="407"/>
      <c r="F544" s="408"/>
      <c r="G544" s="409"/>
      <c r="H544" s="410"/>
      <c r="I544" s="409"/>
      <c r="K544" s="17"/>
      <c r="L544" s="17"/>
      <c r="M544" s="17"/>
      <c r="N544" s="739"/>
      <c r="O544" s="739"/>
      <c r="P544" s="739"/>
      <c r="Q544" s="739"/>
      <c r="R544" s="739"/>
      <c r="S544" s="739"/>
      <c r="T544" s="739"/>
      <c r="U544" s="739"/>
      <c r="V544" s="739"/>
      <c r="W544" s="739"/>
      <c r="X544" s="739"/>
      <c r="Y544" s="739"/>
      <c r="Z544" s="740"/>
      <c r="AA544" s="740"/>
      <c r="AB544" s="17"/>
      <c r="AC544" s="17"/>
      <c r="AD544" s="17"/>
      <c r="AE544" s="17"/>
      <c r="AF544" s="17"/>
      <c r="AG544" s="17"/>
      <c r="AH544" s="17"/>
      <c r="AI544" s="17"/>
      <c r="AJ544" s="17"/>
      <c r="AK544" s="17"/>
      <c r="AL544" s="17"/>
      <c r="AM544" s="17"/>
      <c r="AN544" s="17"/>
      <c r="AO544" s="17"/>
      <c r="AP544" s="17"/>
      <c r="AQ544" s="17"/>
    </row>
    <row r="545" spans="1:43" hidden="1">
      <c r="A545">
        <f t="shared" si="346"/>
        <v>542</v>
      </c>
      <c r="B545" s="407"/>
      <c r="C545" s="407"/>
      <c r="D545" s="408"/>
      <c r="E545" s="407"/>
      <c r="F545" s="408"/>
      <c r="G545" s="409"/>
      <c r="H545" s="410"/>
      <c r="I545" s="409"/>
      <c r="K545" s="17"/>
      <c r="L545" s="17"/>
      <c r="M545" s="17"/>
      <c r="N545" s="739"/>
      <c r="O545" s="739"/>
      <c r="P545" s="739"/>
      <c r="Q545" s="739"/>
      <c r="R545" s="739"/>
      <c r="S545" s="739"/>
      <c r="T545" s="739"/>
      <c r="U545" s="739"/>
      <c r="V545" s="739"/>
      <c r="W545" s="739"/>
      <c r="X545" s="739"/>
      <c r="Y545" s="739"/>
      <c r="Z545" s="740"/>
      <c r="AA545" s="740"/>
      <c r="AB545" s="17"/>
      <c r="AC545" s="17"/>
      <c r="AD545" s="17"/>
      <c r="AE545" s="17"/>
      <c r="AF545" s="17"/>
      <c r="AG545" s="17"/>
      <c r="AH545" s="17"/>
      <c r="AI545" s="17"/>
      <c r="AJ545" s="17"/>
      <c r="AK545" s="17"/>
      <c r="AL545" s="17"/>
      <c r="AM545" s="17"/>
      <c r="AN545" s="17"/>
      <c r="AO545" s="17"/>
      <c r="AP545" s="17"/>
      <c r="AQ545" s="17"/>
    </row>
    <row r="546" spans="1:43" hidden="1">
      <c r="A546">
        <f t="shared" si="346"/>
        <v>543</v>
      </c>
      <c r="B546" s="407"/>
      <c r="C546" s="407"/>
      <c r="D546" s="408"/>
      <c r="E546" s="407"/>
      <c r="F546" s="408"/>
      <c r="G546" s="409"/>
      <c r="H546" s="410"/>
      <c r="I546" s="409"/>
      <c r="K546" s="17"/>
      <c r="L546" s="17"/>
      <c r="M546" s="17"/>
      <c r="N546" s="739"/>
      <c r="O546" s="739"/>
      <c r="P546" s="739"/>
      <c r="Q546" s="739"/>
      <c r="R546" s="739"/>
      <c r="S546" s="739"/>
      <c r="T546" s="739"/>
      <c r="U546" s="739"/>
      <c r="V546" s="739"/>
      <c r="W546" s="739"/>
      <c r="X546" s="739"/>
      <c r="Y546" s="739"/>
      <c r="Z546" s="740"/>
      <c r="AA546" s="740"/>
      <c r="AB546" s="17"/>
      <c r="AC546" s="17"/>
      <c r="AD546" s="17"/>
      <c r="AE546" s="17"/>
      <c r="AF546" s="17"/>
      <c r="AG546" s="17"/>
      <c r="AH546" s="17"/>
      <c r="AI546" s="17"/>
      <c r="AJ546" s="17"/>
      <c r="AK546" s="17"/>
      <c r="AL546" s="17"/>
      <c r="AM546" s="17"/>
      <c r="AN546" s="17"/>
      <c r="AO546" s="17"/>
      <c r="AP546" s="17"/>
      <c r="AQ546" s="17"/>
    </row>
    <row r="547" spans="1:43" hidden="1">
      <c r="A547">
        <f t="shared" si="346"/>
        <v>544</v>
      </c>
      <c r="B547" s="407"/>
      <c r="C547" s="407"/>
      <c r="D547" s="408"/>
      <c r="E547" s="407"/>
      <c r="F547" s="408"/>
      <c r="G547" s="409"/>
      <c r="H547" s="410"/>
      <c r="I547" s="409"/>
      <c r="K547" s="17"/>
      <c r="L547" s="17"/>
      <c r="M547" s="17"/>
      <c r="N547" s="739"/>
      <c r="O547" s="739"/>
      <c r="P547" s="739"/>
      <c r="Q547" s="739"/>
      <c r="R547" s="739"/>
      <c r="S547" s="739"/>
      <c r="T547" s="739"/>
      <c r="U547" s="739"/>
      <c r="V547" s="739"/>
      <c r="W547" s="739"/>
      <c r="X547" s="739"/>
      <c r="Y547" s="739"/>
      <c r="Z547" s="740"/>
      <c r="AA547" s="740"/>
      <c r="AB547" s="17"/>
      <c r="AC547" s="17"/>
      <c r="AD547" s="17"/>
      <c r="AE547" s="17"/>
      <c r="AF547" s="17"/>
      <c r="AG547" s="17"/>
      <c r="AH547" s="17"/>
      <c r="AI547" s="17"/>
      <c r="AJ547" s="17"/>
      <c r="AK547" s="17"/>
      <c r="AL547" s="17"/>
      <c r="AM547" s="17"/>
      <c r="AN547" s="17"/>
      <c r="AO547" s="17"/>
      <c r="AP547" s="17"/>
      <c r="AQ547" s="17"/>
    </row>
    <row r="548" spans="1:43" hidden="1">
      <c r="A548">
        <f t="shared" si="346"/>
        <v>545</v>
      </c>
      <c r="B548" s="407"/>
      <c r="C548" s="407"/>
      <c r="D548" s="408"/>
      <c r="E548" s="407"/>
      <c r="F548" s="408"/>
      <c r="G548" s="409"/>
      <c r="H548" s="410"/>
      <c r="I548" s="409"/>
      <c r="K548" s="17"/>
      <c r="L548" s="17"/>
      <c r="M548" s="17"/>
      <c r="N548" s="739"/>
      <c r="O548" s="739"/>
      <c r="P548" s="739"/>
      <c r="Q548" s="739"/>
      <c r="R548" s="739"/>
      <c r="S548" s="739"/>
      <c r="T548" s="739"/>
      <c r="U548" s="739"/>
      <c r="V548" s="739"/>
      <c r="W548" s="739"/>
      <c r="X548" s="739"/>
      <c r="Y548" s="739"/>
      <c r="Z548" s="740"/>
      <c r="AA548" s="740"/>
      <c r="AB548" s="17"/>
      <c r="AC548" s="17"/>
      <c r="AD548" s="17"/>
      <c r="AE548" s="17"/>
      <c r="AF548" s="17"/>
      <c r="AG548" s="17"/>
      <c r="AH548" s="17"/>
      <c r="AI548" s="17"/>
      <c r="AJ548" s="17"/>
      <c r="AK548" s="17"/>
      <c r="AL548" s="17"/>
      <c r="AM548" s="17"/>
      <c r="AN548" s="17"/>
      <c r="AO548" s="17"/>
      <c r="AP548" s="17"/>
      <c r="AQ548" s="17"/>
    </row>
    <row r="549" spans="1:43" hidden="1">
      <c r="A549">
        <f t="shared" ref="A549:A612" si="347">A548+1</f>
        <v>546</v>
      </c>
      <c r="B549" s="407"/>
      <c r="C549" s="407"/>
      <c r="D549" s="408"/>
      <c r="E549" s="407"/>
      <c r="F549" s="408"/>
      <c r="G549" s="409"/>
      <c r="H549" s="410"/>
      <c r="I549" s="409"/>
      <c r="K549" s="17"/>
      <c r="L549" s="17"/>
      <c r="M549" s="17"/>
      <c r="N549" s="739"/>
      <c r="O549" s="739"/>
      <c r="P549" s="739"/>
      <c r="Q549" s="739"/>
      <c r="R549" s="739"/>
      <c r="S549" s="739"/>
      <c r="T549" s="739"/>
      <c r="U549" s="739"/>
      <c r="V549" s="739"/>
      <c r="W549" s="739"/>
      <c r="X549" s="739"/>
      <c r="Y549" s="739"/>
      <c r="Z549" s="740"/>
      <c r="AA549" s="740"/>
      <c r="AB549" s="17"/>
      <c r="AC549" s="17"/>
      <c r="AD549" s="17"/>
      <c r="AE549" s="17"/>
      <c r="AF549" s="17"/>
      <c r="AG549" s="17"/>
      <c r="AH549" s="17"/>
      <c r="AI549" s="17"/>
      <c r="AJ549" s="17"/>
      <c r="AK549" s="17"/>
      <c r="AL549" s="17"/>
      <c r="AM549" s="17"/>
      <c r="AN549" s="17"/>
      <c r="AO549" s="17"/>
      <c r="AP549" s="17"/>
      <c r="AQ549" s="17"/>
    </row>
    <row r="550" spans="1:43" hidden="1">
      <c r="A550">
        <f t="shared" si="347"/>
        <v>547</v>
      </c>
      <c r="B550" s="407"/>
      <c r="C550" s="407"/>
      <c r="D550" s="408"/>
      <c r="E550" s="407"/>
      <c r="F550" s="408"/>
      <c r="G550" s="409"/>
      <c r="H550" s="410"/>
      <c r="I550" s="409"/>
      <c r="K550" s="17"/>
      <c r="L550" s="17"/>
      <c r="M550" s="17"/>
      <c r="N550" s="739"/>
      <c r="O550" s="739"/>
      <c r="P550" s="739"/>
      <c r="Q550" s="739"/>
      <c r="R550" s="739"/>
      <c r="S550" s="739"/>
      <c r="T550" s="739"/>
      <c r="U550" s="739"/>
      <c r="V550" s="739"/>
      <c r="W550" s="739"/>
      <c r="X550" s="739"/>
      <c r="Y550" s="739"/>
      <c r="Z550" s="740"/>
      <c r="AA550" s="740"/>
      <c r="AB550" s="17"/>
      <c r="AC550" s="17"/>
      <c r="AD550" s="17"/>
      <c r="AE550" s="17"/>
      <c r="AF550" s="17"/>
      <c r="AG550" s="17"/>
      <c r="AH550" s="17"/>
      <c r="AI550" s="17"/>
      <c r="AJ550" s="17"/>
      <c r="AK550" s="17"/>
      <c r="AL550" s="17"/>
      <c r="AM550" s="17"/>
      <c r="AN550" s="17"/>
      <c r="AO550" s="17"/>
      <c r="AP550" s="17"/>
      <c r="AQ550" s="17"/>
    </row>
    <row r="551" spans="1:43" hidden="1">
      <c r="A551">
        <f t="shared" si="347"/>
        <v>548</v>
      </c>
      <c r="B551" s="407"/>
      <c r="C551" s="407"/>
      <c r="D551" s="408"/>
      <c r="E551" s="407"/>
      <c r="F551" s="408"/>
      <c r="G551" s="409"/>
      <c r="H551" s="410"/>
      <c r="I551" s="409"/>
      <c r="K551" s="17"/>
      <c r="L551" s="17"/>
      <c r="M551" s="17"/>
      <c r="N551" s="739"/>
      <c r="O551" s="739"/>
      <c r="P551" s="739"/>
      <c r="Q551" s="739"/>
      <c r="R551" s="739"/>
      <c r="S551" s="739"/>
      <c r="T551" s="739"/>
      <c r="U551" s="739"/>
      <c r="V551" s="739"/>
      <c r="W551" s="739"/>
      <c r="X551" s="739"/>
      <c r="Y551" s="739"/>
      <c r="Z551" s="740"/>
      <c r="AA551" s="740"/>
      <c r="AB551" s="17"/>
      <c r="AC551" s="17"/>
      <c r="AD551" s="17"/>
      <c r="AE551" s="17"/>
      <c r="AF551" s="17"/>
      <c r="AG551" s="17"/>
      <c r="AH551" s="17"/>
      <c r="AI551" s="17"/>
      <c r="AJ551" s="17"/>
      <c r="AK551" s="17"/>
      <c r="AL551" s="17"/>
      <c r="AM551" s="17"/>
      <c r="AN551" s="17"/>
      <c r="AO551" s="17"/>
      <c r="AP551" s="17"/>
      <c r="AQ551" s="17"/>
    </row>
    <row r="552" spans="1:43" hidden="1">
      <c r="A552">
        <f t="shared" si="347"/>
        <v>549</v>
      </c>
      <c r="B552" s="407"/>
      <c r="C552" s="407"/>
      <c r="D552" s="408"/>
      <c r="E552" s="407"/>
      <c r="F552" s="408"/>
      <c r="G552" s="409"/>
      <c r="H552" s="410"/>
      <c r="I552" s="409"/>
      <c r="K552" s="17"/>
      <c r="L552" s="17"/>
      <c r="M552" s="17"/>
      <c r="N552" s="739"/>
      <c r="O552" s="739"/>
      <c r="P552" s="739"/>
      <c r="Q552" s="739"/>
      <c r="R552" s="739"/>
      <c r="S552" s="739"/>
      <c r="T552" s="739"/>
      <c r="U552" s="739"/>
      <c r="V552" s="739"/>
      <c r="W552" s="739"/>
      <c r="X552" s="739"/>
      <c r="Y552" s="739"/>
      <c r="Z552" s="740"/>
      <c r="AA552" s="740"/>
      <c r="AB552" s="17"/>
      <c r="AC552" s="17"/>
      <c r="AD552" s="17"/>
      <c r="AE552" s="17"/>
      <c r="AF552" s="17"/>
      <c r="AG552" s="17"/>
      <c r="AH552" s="17"/>
      <c r="AI552" s="17"/>
      <c r="AJ552" s="17"/>
      <c r="AK552" s="17"/>
      <c r="AL552" s="17"/>
      <c r="AM552" s="17"/>
      <c r="AN552" s="17"/>
      <c r="AO552" s="17"/>
      <c r="AP552" s="17"/>
      <c r="AQ552" s="17"/>
    </row>
    <row r="553" spans="1:43" hidden="1">
      <c r="A553">
        <f t="shared" si="347"/>
        <v>550</v>
      </c>
      <c r="B553" s="407"/>
      <c r="C553" s="407"/>
      <c r="D553" s="408"/>
      <c r="E553" s="407"/>
      <c r="F553" s="408"/>
      <c r="G553" s="409"/>
      <c r="H553" s="410"/>
      <c r="I553" s="409"/>
      <c r="K553" s="17"/>
      <c r="L553" s="17"/>
      <c r="M553" s="17"/>
      <c r="N553" s="739"/>
      <c r="O553" s="739"/>
      <c r="P553" s="739"/>
      <c r="Q553" s="739"/>
      <c r="R553" s="739"/>
      <c r="S553" s="739"/>
      <c r="T553" s="739"/>
      <c r="U553" s="739"/>
      <c r="V553" s="739"/>
      <c r="W553" s="739"/>
      <c r="X553" s="739"/>
      <c r="Y553" s="739"/>
      <c r="Z553" s="740"/>
      <c r="AA553" s="740"/>
      <c r="AB553" s="17"/>
      <c r="AC553" s="17"/>
      <c r="AD553" s="17"/>
      <c r="AE553" s="17"/>
      <c r="AF553" s="17"/>
      <c r="AG553" s="17"/>
      <c r="AH553" s="17"/>
      <c r="AI553" s="17"/>
      <c r="AJ553" s="17"/>
      <c r="AK553" s="17"/>
      <c r="AL553" s="17"/>
      <c r="AM553" s="17"/>
      <c r="AN553" s="17"/>
      <c r="AO553" s="17"/>
      <c r="AP553" s="17"/>
      <c r="AQ553" s="17"/>
    </row>
    <row r="554" spans="1:43" hidden="1">
      <c r="A554">
        <f t="shared" si="347"/>
        <v>551</v>
      </c>
      <c r="B554" s="407"/>
      <c r="C554" s="407"/>
      <c r="D554" s="408"/>
      <c r="E554" s="407"/>
      <c r="F554" s="408"/>
      <c r="G554" s="409"/>
      <c r="H554" s="410"/>
      <c r="I554" s="409"/>
      <c r="K554" s="17"/>
      <c r="L554" s="17"/>
      <c r="M554" s="17"/>
      <c r="N554" s="739"/>
      <c r="O554" s="739"/>
      <c r="P554" s="739"/>
      <c r="Q554" s="739"/>
      <c r="R554" s="739"/>
      <c r="S554" s="739"/>
      <c r="T554" s="739"/>
      <c r="U554" s="739"/>
      <c r="V554" s="739"/>
      <c r="W554" s="739"/>
      <c r="X554" s="739"/>
      <c r="Y554" s="739"/>
      <c r="Z554" s="740"/>
      <c r="AA554" s="740"/>
      <c r="AB554" s="17"/>
      <c r="AC554" s="17"/>
      <c r="AD554" s="17"/>
      <c r="AE554" s="17"/>
      <c r="AF554" s="17"/>
      <c r="AG554" s="17"/>
      <c r="AH554" s="17"/>
      <c r="AI554" s="17"/>
      <c r="AJ554" s="17"/>
      <c r="AK554" s="17"/>
      <c r="AL554" s="17"/>
      <c r="AM554" s="17"/>
      <c r="AN554" s="17"/>
      <c r="AO554" s="17"/>
      <c r="AP554" s="17"/>
      <c r="AQ554" s="17"/>
    </row>
    <row r="555" spans="1:43" hidden="1">
      <c r="A555">
        <f t="shared" si="347"/>
        <v>552</v>
      </c>
      <c r="B555" s="407"/>
      <c r="C555" s="407"/>
      <c r="D555" s="408"/>
      <c r="E555" s="407"/>
      <c r="F555" s="408"/>
      <c r="G555" s="409"/>
      <c r="H555" s="410"/>
      <c r="I555" s="409"/>
      <c r="K555" s="17"/>
      <c r="L555" s="17"/>
      <c r="M555" s="17"/>
      <c r="N555" s="739"/>
      <c r="O555" s="739"/>
      <c r="P555" s="739"/>
      <c r="Q555" s="739"/>
      <c r="R555" s="739"/>
      <c r="S555" s="739"/>
      <c r="T555" s="739"/>
      <c r="U555" s="739"/>
      <c r="V555" s="739"/>
      <c r="W555" s="739"/>
      <c r="X555" s="739"/>
      <c r="Y555" s="739"/>
      <c r="Z555" s="740"/>
      <c r="AA555" s="740"/>
      <c r="AB555" s="17"/>
      <c r="AC555" s="17"/>
      <c r="AD555" s="17"/>
      <c r="AE555" s="17"/>
      <c r="AF555" s="17"/>
      <c r="AG555" s="17"/>
      <c r="AH555" s="17"/>
      <c r="AI555" s="17"/>
      <c r="AJ555" s="17"/>
      <c r="AK555" s="17"/>
      <c r="AL555" s="17"/>
      <c r="AM555" s="17"/>
      <c r="AN555" s="17"/>
      <c r="AO555" s="17"/>
      <c r="AP555" s="17"/>
      <c r="AQ555" s="17"/>
    </row>
    <row r="556" spans="1:43" hidden="1">
      <c r="A556">
        <f t="shared" si="347"/>
        <v>553</v>
      </c>
      <c r="B556" s="407"/>
      <c r="C556" s="407"/>
      <c r="D556" s="408"/>
      <c r="E556" s="407"/>
      <c r="F556" s="408"/>
      <c r="G556" s="409"/>
      <c r="H556" s="410"/>
      <c r="I556" s="409"/>
      <c r="K556" s="17"/>
      <c r="L556" s="17"/>
      <c r="M556" s="17"/>
      <c r="N556" s="739"/>
      <c r="O556" s="739"/>
      <c r="P556" s="739"/>
      <c r="Q556" s="739"/>
      <c r="R556" s="739"/>
      <c r="S556" s="739"/>
      <c r="T556" s="739"/>
      <c r="U556" s="739"/>
      <c r="V556" s="739"/>
      <c r="W556" s="739"/>
      <c r="X556" s="739"/>
      <c r="Y556" s="739"/>
      <c r="Z556" s="740"/>
      <c r="AA556" s="740"/>
      <c r="AB556" s="17"/>
      <c r="AC556" s="17"/>
      <c r="AD556" s="17"/>
      <c r="AE556" s="17"/>
      <c r="AF556" s="17"/>
      <c r="AG556" s="17"/>
      <c r="AH556" s="17"/>
      <c r="AI556" s="17"/>
      <c r="AJ556" s="17"/>
      <c r="AK556" s="17"/>
      <c r="AL556" s="17"/>
      <c r="AM556" s="17"/>
      <c r="AN556" s="17"/>
      <c r="AO556" s="17"/>
      <c r="AP556" s="17"/>
      <c r="AQ556" s="17"/>
    </row>
    <row r="557" spans="1:43" hidden="1">
      <c r="A557">
        <f t="shared" si="347"/>
        <v>554</v>
      </c>
      <c r="B557" s="407"/>
      <c r="C557" s="407"/>
      <c r="D557" s="408"/>
      <c r="E557" s="407"/>
      <c r="F557" s="408"/>
      <c r="G557" s="409"/>
      <c r="H557" s="410"/>
      <c r="I557" s="409"/>
      <c r="K557" s="17"/>
      <c r="L557" s="17"/>
      <c r="M557" s="17"/>
      <c r="N557" s="739"/>
      <c r="O557" s="739"/>
      <c r="P557" s="739"/>
      <c r="Q557" s="739"/>
      <c r="R557" s="739"/>
      <c r="S557" s="739"/>
      <c r="T557" s="739"/>
      <c r="U557" s="739"/>
      <c r="V557" s="739"/>
      <c r="W557" s="739"/>
      <c r="X557" s="739"/>
      <c r="Y557" s="739"/>
      <c r="Z557" s="740"/>
      <c r="AA557" s="740"/>
      <c r="AB557" s="17"/>
      <c r="AC557" s="17"/>
      <c r="AD557" s="17"/>
      <c r="AE557" s="17"/>
      <c r="AF557" s="17"/>
      <c r="AG557" s="17"/>
      <c r="AH557" s="17"/>
      <c r="AI557" s="17"/>
      <c r="AJ557" s="17"/>
      <c r="AK557" s="17"/>
      <c r="AL557" s="17"/>
      <c r="AM557" s="17"/>
      <c r="AN557" s="17"/>
      <c r="AO557" s="17"/>
      <c r="AP557" s="17"/>
      <c r="AQ557" s="17"/>
    </row>
    <row r="558" spans="1:43" hidden="1">
      <c r="A558">
        <f t="shared" si="347"/>
        <v>555</v>
      </c>
      <c r="B558" s="407"/>
      <c r="C558" s="407"/>
      <c r="D558" s="408"/>
      <c r="E558" s="407"/>
      <c r="F558" s="408"/>
      <c r="G558" s="409"/>
      <c r="H558" s="410"/>
      <c r="I558" s="409"/>
      <c r="K558" s="17"/>
      <c r="L558" s="17"/>
      <c r="M558" s="17"/>
      <c r="N558" s="739"/>
      <c r="O558" s="739"/>
      <c r="P558" s="739"/>
      <c r="Q558" s="739"/>
      <c r="R558" s="739"/>
      <c r="S558" s="739"/>
      <c r="T558" s="739"/>
      <c r="U558" s="739"/>
      <c r="V558" s="739"/>
      <c r="W558" s="739"/>
      <c r="X558" s="739"/>
      <c r="Y558" s="739"/>
      <c r="Z558" s="740"/>
      <c r="AA558" s="740"/>
      <c r="AB558" s="17"/>
      <c r="AC558" s="17"/>
      <c r="AD558" s="17"/>
      <c r="AE558" s="17"/>
      <c r="AF558" s="17"/>
      <c r="AG558" s="17"/>
      <c r="AH558" s="17"/>
      <c r="AI558" s="17"/>
      <c r="AJ558" s="17"/>
      <c r="AK558" s="17"/>
      <c r="AL558" s="17"/>
      <c r="AM558" s="17"/>
      <c r="AN558" s="17"/>
      <c r="AO558" s="17"/>
      <c r="AP558" s="17"/>
      <c r="AQ558" s="17"/>
    </row>
    <row r="559" spans="1:43" hidden="1">
      <c r="A559">
        <f t="shared" si="347"/>
        <v>556</v>
      </c>
      <c r="B559" s="407"/>
      <c r="C559" s="407"/>
      <c r="D559" s="408"/>
      <c r="E559" s="407"/>
      <c r="F559" s="408"/>
      <c r="G559" s="409"/>
      <c r="H559" s="410"/>
      <c r="I559" s="409"/>
      <c r="K559" s="17"/>
      <c r="L559" s="17"/>
      <c r="M559" s="17"/>
      <c r="N559" s="739"/>
      <c r="O559" s="739"/>
      <c r="P559" s="739"/>
      <c r="Q559" s="739"/>
      <c r="R559" s="739"/>
      <c r="S559" s="739"/>
      <c r="T559" s="739"/>
      <c r="U559" s="739"/>
      <c r="V559" s="739"/>
      <c r="W559" s="739"/>
      <c r="X559" s="739"/>
      <c r="Y559" s="739"/>
      <c r="Z559" s="740"/>
      <c r="AA559" s="740"/>
      <c r="AB559" s="17"/>
      <c r="AC559" s="17"/>
      <c r="AD559" s="17"/>
      <c r="AE559" s="17"/>
      <c r="AF559" s="17"/>
      <c r="AG559" s="17"/>
      <c r="AH559" s="17"/>
      <c r="AI559" s="17"/>
      <c r="AJ559" s="17"/>
      <c r="AK559" s="17"/>
      <c r="AL559" s="17"/>
      <c r="AM559" s="17"/>
      <c r="AN559" s="17"/>
      <c r="AO559" s="17"/>
      <c r="AP559" s="17"/>
      <c r="AQ559" s="17"/>
    </row>
    <row r="560" spans="1:43" hidden="1">
      <c r="A560">
        <f t="shared" si="347"/>
        <v>557</v>
      </c>
      <c r="B560" s="407"/>
      <c r="C560" s="407"/>
      <c r="D560" s="408"/>
      <c r="E560" s="407"/>
      <c r="F560" s="408"/>
      <c r="G560" s="409"/>
      <c r="H560" s="410"/>
      <c r="I560" s="409"/>
      <c r="K560" s="17"/>
      <c r="L560" s="17"/>
      <c r="M560" s="17"/>
      <c r="N560" s="739"/>
      <c r="O560" s="739"/>
      <c r="P560" s="739"/>
      <c r="Q560" s="739"/>
      <c r="R560" s="739"/>
      <c r="S560" s="739"/>
      <c r="T560" s="739"/>
      <c r="U560" s="739"/>
      <c r="V560" s="739"/>
      <c r="W560" s="739"/>
      <c r="X560" s="739"/>
      <c r="Y560" s="739"/>
      <c r="Z560" s="740"/>
      <c r="AA560" s="740"/>
      <c r="AB560" s="17"/>
      <c r="AC560" s="17"/>
      <c r="AD560" s="17"/>
      <c r="AE560" s="17"/>
      <c r="AF560" s="17"/>
      <c r="AG560" s="17"/>
      <c r="AH560" s="17"/>
      <c r="AI560" s="17"/>
      <c r="AJ560" s="17"/>
      <c r="AK560" s="17"/>
      <c r="AL560" s="17"/>
      <c r="AM560" s="17"/>
      <c r="AN560" s="17"/>
      <c r="AO560" s="17"/>
      <c r="AP560" s="17"/>
      <c r="AQ560" s="17"/>
    </row>
    <row r="561" spans="1:43" hidden="1">
      <c r="A561">
        <f t="shared" si="347"/>
        <v>558</v>
      </c>
      <c r="B561" s="407"/>
      <c r="C561" s="407"/>
      <c r="D561" s="408"/>
      <c r="E561" s="407"/>
      <c r="F561" s="408"/>
      <c r="G561" s="409"/>
      <c r="H561" s="410"/>
      <c r="I561" s="409"/>
      <c r="K561" s="17"/>
      <c r="L561" s="17"/>
      <c r="M561" s="17"/>
      <c r="N561" s="739"/>
      <c r="O561" s="739"/>
      <c r="P561" s="739"/>
      <c r="Q561" s="739"/>
      <c r="R561" s="739"/>
      <c r="S561" s="739"/>
      <c r="T561" s="739"/>
      <c r="U561" s="739"/>
      <c r="V561" s="739"/>
      <c r="W561" s="739"/>
      <c r="X561" s="739"/>
      <c r="Y561" s="739"/>
      <c r="Z561" s="740"/>
      <c r="AA561" s="740"/>
      <c r="AB561" s="17"/>
      <c r="AC561" s="17"/>
      <c r="AD561" s="17"/>
      <c r="AE561" s="17"/>
      <c r="AF561" s="17"/>
      <c r="AG561" s="17"/>
      <c r="AH561" s="17"/>
      <c r="AI561" s="17"/>
      <c r="AJ561" s="17"/>
      <c r="AK561" s="17"/>
      <c r="AL561" s="17"/>
      <c r="AM561" s="17"/>
      <c r="AN561" s="17"/>
      <c r="AO561" s="17"/>
      <c r="AP561" s="17"/>
      <c r="AQ561" s="17"/>
    </row>
    <row r="562" spans="1:43" hidden="1">
      <c r="A562">
        <f t="shared" si="347"/>
        <v>559</v>
      </c>
      <c r="B562" s="407"/>
      <c r="C562" s="407"/>
      <c r="D562" s="408"/>
      <c r="E562" s="407"/>
      <c r="F562" s="408"/>
      <c r="G562" s="409"/>
      <c r="H562" s="410"/>
      <c r="I562" s="409"/>
      <c r="K562" s="17"/>
      <c r="L562" s="17"/>
      <c r="M562" s="17"/>
      <c r="N562" s="739"/>
      <c r="O562" s="739"/>
      <c r="P562" s="739"/>
      <c r="Q562" s="739"/>
      <c r="R562" s="739"/>
      <c r="S562" s="739"/>
      <c r="T562" s="739"/>
      <c r="U562" s="739"/>
      <c r="V562" s="739"/>
      <c r="W562" s="739"/>
      <c r="X562" s="739"/>
      <c r="Y562" s="739"/>
      <c r="Z562" s="740"/>
      <c r="AA562" s="740"/>
      <c r="AB562" s="17"/>
      <c r="AC562" s="17"/>
      <c r="AD562" s="17"/>
      <c r="AE562" s="17"/>
      <c r="AF562" s="17"/>
      <c r="AG562" s="17"/>
      <c r="AH562" s="17"/>
      <c r="AI562" s="17"/>
      <c r="AJ562" s="17"/>
      <c r="AK562" s="17"/>
      <c r="AL562" s="17"/>
      <c r="AM562" s="17"/>
      <c r="AN562" s="17"/>
      <c r="AO562" s="17"/>
      <c r="AP562" s="17"/>
      <c r="AQ562" s="17"/>
    </row>
    <row r="563" spans="1:43" hidden="1">
      <c r="A563">
        <f t="shared" si="347"/>
        <v>560</v>
      </c>
      <c r="B563" s="407"/>
      <c r="C563" s="407"/>
      <c r="D563" s="408"/>
      <c r="E563" s="407"/>
      <c r="F563" s="408"/>
      <c r="G563" s="409"/>
      <c r="H563" s="410"/>
      <c r="I563" s="409"/>
      <c r="K563" s="17"/>
      <c r="L563" s="17"/>
      <c r="M563" s="17"/>
      <c r="N563" s="739"/>
      <c r="O563" s="739"/>
      <c r="P563" s="739"/>
      <c r="Q563" s="739"/>
      <c r="R563" s="739"/>
      <c r="S563" s="739"/>
      <c r="T563" s="739"/>
      <c r="U563" s="739"/>
      <c r="V563" s="739"/>
      <c r="W563" s="739"/>
      <c r="X563" s="739"/>
      <c r="Y563" s="739"/>
      <c r="Z563" s="740"/>
      <c r="AA563" s="740"/>
      <c r="AB563" s="17"/>
      <c r="AC563" s="17"/>
      <c r="AD563" s="17"/>
      <c r="AE563" s="17"/>
      <c r="AF563" s="17"/>
      <c r="AG563" s="17"/>
      <c r="AH563" s="17"/>
      <c r="AI563" s="17"/>
      <c r="AJ563" s="17"/>
      <c r="AK563" s="17"/>
      <c r="AL563" s="17"/>
      <c r="AM563" s="17"/>
      <c r="AN563" s="17"/>
      <c r="AO563" s="17"/>
      <c r="AP563" s="17"/>
      <c r="AQ563" s="17"/>
    </row>
    <row r="564" spans="1:43" hidden="1">
      <c r="A564">
        <f t="shared" si="347"/>
        <v>561</v>
      </c>
      <c r="B564" s="407"/>
      <c r="C564" s="407"/>
      <c r="D564" s="408"/>
      <c r="E564" s="407"/>
      <c r="F564" s="408"/>
      <c r="G564" s="409"/>
      <c r="H564" s="410"/>
      <c r="I564" s="409"/>
      <c r="K564" s="17"/>
      <c r="L564" s="17"/>
      <c r="M564" s="17"/>
      <c r="N564" s="739"/>
      <c r="O564" s="739"/>
      <c r="P564" s="739"/>
      <c r="Q564" s="739"/>
      <c r="R564" s="739"/>
      <c r="S564" s="739"/>
      <c r="T564" s="739"/>
      <c r="U564" s="739"/>
      <c r="V564" s="739"/>
      <c r="W564" s="739"/>
      <c r="X564" s="739"/>
      <c r="Y564" s="739"/>
      <c r="Z564" s="740"/>
      <c r="AA564" s="740"/>
      <c r="AB564" s="17"/>
      <c r="AC564" s="17"/>
      <c r="AD564" s="17"/>
      <c r="AE564" s="17"/>
      <c r="AF564" s="17"/>
      <c r="AG564" s="17"/>
      <c r="AH564" s="17"/>
      <c r="AI564" s="17"/>
      <c r="AJ564" s="17"/>
      <c r="AK564" s="17"/>
      <c r="AL564" s="17"/>
      <c r="AM564" s="17"/>
      <c r="AN564" s="17"/>
      <c r="AO564" s="17"/>
      <c r="AP564" s="17"/>
      <c r="AQ564" s="17"/>
    </row>
    <row r="565" spans="1:43" hidden="1">
      <c r="A565">
        <f t="shared" si="347"/>
        <v>562</v>
      </c>
      <c r="B565" s="407"/>
      <c r="C565" s="407"/>
      <c r="D565" s="408"/>
      <c r="E565" s="407"/>
      <c r="F565" s="408"/>
      <c r="G565" s="409"/>
      <c r="H565" s="410"/>
      <c r="I565" s="409"/>
      <c r="K565" s="17"/>
      <c r="L565" s="17"/>
      <c r="M565" s="17"/>
      <c r="N565" s="739"/>
      <c r="O565" s="739"/>
      <c r="P565" s="739"/>
      <c r="Q565" s="739"/>
      <c r="R565" s="739"/>
      <c r="S565" s="739"/>
      <c r="T565" s="739"/>
      <c r="U565" s="739"/>
      <c r="V565" s="739"/>
      <c r="W565" s="739"/>
      <c r="X565" s="739"/>
      <c r="Y565" s="739"/>
      <c r="Z565" s="740"/>
      <c r="AA565" s="740"/>
      <c r="AB565" s="17"/>
      <c r="AC565" s="17"/>
      <c r="AD565" s="17"/>
      <c r="AE565" s="17"/>
      <c r="AF565" s="17"/>
      <c r="AG565" s="17"/>
      <c r="AH565" s="17"/>
      <c r="AI565" s="17"/>
      <c r="AJ565" s="17"/>
      <c r="AK565" s="17"/>
      <c r="AL565" s="17"/>
      <c r="AM565" s="17"/>
      <c r="AN565" s="17"/>
      <c r="AO565" s="17"/>
      <c r="AP565" s="17"/>
      <c r="AQ565" s="17"/>
    </row>
    <row r="566" spans="1:43" hidden="1">
      <c r="A566">
        <f t="shared" si="347"/>
        <v>563</v>
      </c>
      <c r="B566" s="407"/>
      <c r="C566" s="407"/>
      <c r="D566" s="408"/>
      <c r="E566" s="407"/>
      <c r="F566" s="408"/>
      <c r="G566" s="409"/>
      <c r="H566" s="410"/>
      <c r="I566" s="409"/>
      <c r="K566" s="17"/>
      <c r="L566" s="17"/>
      <c r="M566" s="17"/>
      <c r="N566" s="739"/>
      <c r="O566" s="739"/>
      <c r="P566" s="739"/>
      <c r="Q566" s="739"/>
      <c r="R566" s="739"/>
      <c r="S566" s="739"/>
      <c r="T566" s="739"/>
      <c r="U566" s="739"/>
      <c r="V566" s="739"/>
      <c r="W566" s="739"/>
      <c r="X566" s="739"/>
      <c r="Y566" s="739"/>
      <c r="Z566" s="740"/>
      <c r="AA566" s="740"/>
      <c r="AB566" s="17"/>
      <c r="AC566" s="17"/>
      <c r="AD566" s="17"/>
      <c r="AE566" s="17"/>
      <c r="AF566" s="17"/>
      <c r="AG566" s="17"/>
      <c r="AH566" s="17"/>
      <c r="AI566" s="17"/>
      <c r="AJ566" s="17"/>
      <c r="AK566" s="17"/>
      <c r="AL566" s="17"/>
      <c r="AM566" s="17"/>
      <c r="AN566" s="17"/>
      <c r="AO566" s="17"/>
      <c r="AP566" s="17"/>
      <c r="AQ566" s="17"/>
    </row>
    <row r="567" spans="1:43" hidden="1">
      <c r="A567">
        <f t="shared" si="347"/>
        <v>564</v>
      </c>
      <c r="B567" s="407"/>
      <c r="C567" s="407"/>
      <c r="D567" s="408"/>
      <c r="E567" s="407"/>
      <c r="F567" s="408"/>
      <c r="G567" s="409"/>
      <c r="H567" s="410"/>
      <c r="I567" s="409"/>
      <c r="K567" s="17"/>
      <c r="L567" s="17"/>
      <c r="M567" s="17"/>
      <c r="N567" s="739"/>
      <c r="O567" s="739"/>
      <c r="P567" s="739"/>
      <c r="Q567" s="739"/>
      <c r="R567" s="739"/>
      <c r="S567" s="739"/>
      <c r="T567" s="739"/>
      <c r="U567" s="739"/>
      <c r="V567" s="739"/>
      <c r="W567" s="739"/>
      <c r="X567" s="739"/>
      <c r="Y567" s="739"/>
      <c r="Z567" s="740"/>
      <c r="AA567" s="740"/>
      <c r="AB567" s="17"/>
      <c r="AC567" s="17"/>
      <c r="AD567" s="17"/>
      <c r="AE567" s="17"/>
      <c r="AF567" s="17"/>
      <c r="AG567" s="17"/>
      <c r="AH567" s="17"/>
      <c r="AI567" s="17"/>
      <c r="AJ567" s="17"/>
      <c r="AK567" s="17"/>
      <c r="AL567" s="17"/>
      <c r="AM567" s="17"/>
      <c r="AN567" s="17"/>
      <c r="AO567" s="17"/>
      <c r="AP567" s="17"/>
      <c r="AQ567" s="17"/>
    </row>
    <row r="568" spans="1:43" hidden="1">
      <c r="A568">
        <f t="shared" si="347"/>
        <v>565</v>
      </c>
      <c r="B568" s="407"/>
      <c r="C568" s="407"/>
      <c r="D568" s="408"/>
      <c r="E568" s="407"/>
      <c r="F568" s="408"/>
      <c r="G568" s="409"/>
      <c r="H568" s="410"/>
      <c r="I568" s="409"/>
      <c r="K568" s="17"/>
      <c r="L568" s="17"/>
      <c r="M568" s="17"/>
      <c r="N568" s="739"/>
      <c r="O568" s="739"/>
      <c r="P568" s="739"/>
      <c r="Q568" s="739"/>
      <c r="R568" s="739"/>
      <c r="S568" s="739"/>
      <c r="T568" s="739"/>
      <c r="U568" s="739"/>
      <c r="V568" s="739"/>
      <c r="W568" s="739"/>
      <c r="X568" s="739"/>
      <c r="Y568" s="739"/>
      <c r="Z568" s="740"/>
      <c r="AA568" s="740"/>
      <c r="AB568" s="17"/>
      <c r="AC568" s="17"/>
      <c r="AD568" s="17"/>
      <c r="AE568" s="17"/>
      <c r="AF568" s="17"/>
      <c r="AG568" s="17"/>
      <c r="AH568" s="17"/>
      <c r="AI568" s="17"/>
      <c r="AJ568" s="17"/>
      <c r="AK568" s="17"/>
      <c r="AL568" s="17"/>
      <c r="AM568" s="17"/>
      <c r="AN568" s="17"/>
      <c r="AO568" s="17"/>
      <c r="AP568" s="17"/>
      <c r="AQ568" s="17"/>
    </row>
    <row r="569" spans="1:43" hidden="1">
      <c r="A569">
        <f t="shared" si="347"/>
        <v>566</v>
      </c>
      <c r="B569" s="407"/>
      <c r="C569" s="407"/>
      <c r="D569" s="408"/>
      <c r="E569" s="407"/>
      <c r="F569" s="408"/>
      <c r="G569" s="409"/>
      <c r="H569" s="410"/>
      <c r="I569" s="409"/>
      <c r="K569" s="17"/>
      <c r="L569" s="17"/>
      <c r="M569" s="17"/>
      <c r="N569" s="739"/>
      <c r="O569" s="739"/>
      <c r="P569" s="739"/>
      <c r="Q569" s="739"/>
      <c r="R569" s="739"/>
      <c r="S569" s="739"/>
      <c r="T569" s="739"/>
      <c r="U569" s="739"/>
      <c r="V569" s="739"/>
      <c r="W569" s="739"/>
      <c r="X569" s="739"/>
      <c r="Y569" s="739"/>
      <c r="Z569" s="740"/>
      <c r="AA569" s="740"/>
      <c r="AB569" s="17"/>
      <c r="AC569" s="17"/>
      <c r="AD569" s="17"/>
      <c r="AE569" s="17"/>
      <c r="AF569" s="17"/>
      <c r="AG569" s="17"/>
      <c r="AH569" s="17"/>
      <c r="AI569" s="17"/>
      <c r="AJ569" s="17"/>
      <c r="AK569" s="17"/>
      <c r="AL569" s="17"/>
      <c r="AM569" s="17"/>
      <c r="AN569" s="17"/>
      <c r="AO569" s="17"/>
      <c r="AP569" s="17"/>
      <c r="AQ569" s="17"/>
    </row>
    <row r="570" spans="1:43" hidden="1">
      <c r="A570">
        <f t="shared" si="347"/>
        <v>567</v>
      </c>
      <c r="B570" s="407"/>
      <c r="C570" s="407"/>
      <c r="D570" s="408"/>
      <c r="E570" s="407"/>
      <c r="F570" s="408"/>
      <c r="G570" s="409"/>
      <c r="H570" s="410"/>
      <c r="I570" s="409"/>
      <c r="K570" s="17"/>
      <c r="L570" s="17"/>
      <c r="M570" s="17"/>
      <c r="N570" s="739"/>
      <c r="O570" s="739"/>
      <c r="P570" s="739"/>
      <c r="Q570" s="739"/>
      <c r="R570" s="739"/>
      <c r="S570" s="739"/>
      <c r="T570" s="739"/>
      <c r="U570" s="739"/>
      <c r="V570" s="739"/>
      <c r="W570" s="739"/>
      <c r="X570" s="739"/>
      <c r="Y570" s="739"/>
      <c r="Z570" s="740"/>
      <c r="AA570" s="740"/>
      <c r="AB570" s="17"/>
      <c r="AC570" s="17"/>
      <c r="AD570" s="17"/>
      <c r="AE570" s="17"/>
      <c r="AF570" s="17"/>
      <c r="AG570" s="17"/>
      <c r="AH570" s="17"/>
      <c r="AI570" s="17"/>
      <c r="AJ570" s="17"/>
      <c r="AK570" s="17"/>
      <c r="AL570" s="17"/>
      <c r="AM570" s="17"/>
      <c r="AN570" s="17"/>
      <c r="AO570" s="17"/>
      <c r="AP570" s="17"/>
      <c r="AQ570" s="17"/>
    </row>
    <row r="571" spans="1:43" hidden="1">
      <c r="A571">
        <f t="shared" si="347"/>
        <v>568</v>
      </c>
      <c r="B571" s="407"/>
      <c r="C571" s="407"/>
      <c r="D571" s="408"/>
      <c r="E571" s="407"/>
      <c r="F571" s="408"/>
      <c r="G571" s="409"/>
      <c r="H571" s="410"/>
      <c r="I571" s="409"/>
      <c r="K571" s="17"/>
      <c r="L571" s="17"/>
      <c r="M571" s="17"/>
      <c r="N571" s="739"/>
      <c r="O571" s="739"/>
      <c r="P571" s="739"/>
      <c r="Q571" s="739"/>
      <c r="R571" s="739"/>
      <c r="S571" s="739"/>
      <c r="T571" s="739"/>
      <c r="U571" s="739"/>
      <c r="V571" s="739"/>
      <c r="W571" s="739"/>
      <c r="X571" s="739"/>
      <c r="Y571" s="739"/>
      <c r="Z571" s="740"/>
      <c r="AA571" s="740"/>
      <c r="AB571" s="17"/>
      <c r="AC571" s="17"/>
      <c r="AD571" s="17"/>
      <c r="AE571" s="17"/>
      <c r="AF571" s="17"/>
      <c r="AG571" s="17"/>
      <c r="AH571" s="17"/>
      <c r="AI571" s="17"/>
      <c r="AJ571" s="17"/>
      <c r="AK571" s="17"/>
      <c r="AL571" s="17"/>
      <c r="AM571" s="17"/>
      <c r="AN571" s="17"/>
      <c r="AO571" s="17"/>
      <c r="AP571" s="17"/>
      <c r="AQ571" s="17"/>
    </row>
    <row r="572" spans="1:43" hidden="1">
      <c r="A572">
        <f t="shared" si="347"/>
        <v>569</v>
      </c>
      <c r="B572" s="407"/>
      <c r="C572" s="407"/>
      <c r="D572" s="408"/>
      <c r="E572" s="407"/>
      <c r="F572" s="408"/>
      <c r="G572" s="409"/>
      <c r="H572" s="410"/>
      <c r="I572" s="409"/>
      <c r="K572" s="17"/>
      <c r="L572" s="17"/>
      <c r="M572" s="17"/>
      <c r="N572" s="739"/>
      <c r="O572" s="739"/>
      <c r="P572" s="739"/>
      <c r="Q572" s="739"/>
      <c r="R572" s="739"/>
      <c r="S572" s="739"/>
      <c r="T572" s="739"/>
      <c r="U572" s="739"/>
      <c r="V572" s="739"/>
      <c r="W572" s="739"/>
      <c r="X572" s="739"/>
      <c r="Y572" s="739"/>
      <c r="Z572" s="740"/>
      <c r="AA572" s="740"/>
      <c r="AB572" s="17"/>
      <c r="AC572" s="17"/>
      <c r="AD572" s="17"/>
      <c r="AE572" s="17"/>
      <c r="AF572" s="17"/>
      <c r="AG572" s="17"/>
      <c r="AH572" s="17"/>
      <c r="AI572" s="17"/>
      <c r="AJ572" s="17"/>
      <c r="AK572" s="17"/>
      <c r="AL572" s="17"/>
      <c r="AM572" s="17"/>
      <c r="AN572" s="17"/>
      <c r="AO572" s="17"/>
      <c r="AP572" s="17"/>
      <c r="AQ572" s="17"/>
    </row>
    <row r="573" spans="1:43" hidden="1">
      <c r="A573">
        <f t="shared" si="347"/>
        <v>570</v>
      </c>
      <c r="B573" s="407"/>
      <c r="C573" s="407"/>
      <c r="D573" s="408"/>
      <c r="E573" s="407"/>
      <c r="F573" s="408"/>
      <c r="G573" s="409"/>
      <c r="H573" s="410"/>
      <c r="I573" s="409"/>
      <c r="K573" s="17"/>
      <c r="L573" s="17"/>
      <c r="M573" s="17"/>
      <c r="N573" s="739"/>
      <c r="O573" s="739"/>
      <c r="P573" s="739"/>
      <c r="Q573" s="739"/>
      <c r="R573" s="739"/>
      <c r="S573" s="739"/>
      <c r="T573" s="739"/>
      <c r="U573" s="739"/>
      <c r="V573" s="739"/>
      <c r="W573" s="739"/>
      <c r="X573" s="739"/>
      <c r="Y573" s="739"/>
      <c r="Z573" s="740"/>
      <c r="AA573" s="740"/>
      <c r="AB573" s="17"/>
      <c r="AC573" s="17"/>
      <c r="AD573" s="17"/>
      <c r="AE573" s="17"/>
      <c r="AF573" s="17"/>
      <c r="AG573" s="17"/>
      <c r="AH573" s="17"/>
      <c r="AI573" s="17"/>
      <c r="AJ573" s="17"/>
      <c r="AK573" s="17"/>
      <c r="AL573" s="17"/>
      <c r="AM573" s="17"/>
      <c r="AN573" s="17"/>
      <c r="AO573" s="17"/>
      <c r="AP573" s="17"/>
      <c r="AQ573" s="17"/>
    </row>
    <row r="574" spans="1:43" hidden="1">
      <c r="A574">
        <f t="shared" si="347"/>
        <v>571</v>
      </c>
      <c r="B574" s="407"/>
      <c r="C574" s="407"/>
      <c r="D574" s="408"/>
      <c r="E574" s="407"/>
      <c r="F574" s="408"/>
      <c r="G574" s="409"/>
      <c r="H574" s="410"/>
      <c r="I574" s="409"/>
      <c r="K574" s="17"/>
      <c r="L574" s="17"/>
      <c r="M574" s="17"/>
      <c r="N574" s="739"/>
      <c r="O574" s="739"/>
      <c r="P574" s="739"/>
      <c r="Q574" s="739"/>
      <c r="R574" s="739"/>
      <c r="S574" s="739"/>
      <c r="T574" s="739"/>
      <c r="U574" s="739"/>
      <c r="V574" s="739"/>
      <c r="W574" s="739"/>
      <c r="X574" s="739"/>
      <c r="Y574" s="739"/>
      <c r="Z574" s="740"/>
      <c r="AA574" s="740"/>
      <c r="AB574" s="17"/>
      <c r="AC574" s="17"/>
      <c r="AD574" s="17"/>
      <c r="AE574" s="17"/>
      <c r="AF574" s="17"/>
      <c r="AG574" s="17"/>
      <c r="AH574" s="17"/>
      <c r="AI574" s="17"/>
      <c r="AJ574" s="17"/>
      <c r="AK574" s="17"/>
      <c r="AL574" s="17"/>
      <c r="AM574" s="17"/>
      <c r="AN574" s="17"/>
      <c r="AO574" s="17"/>
      <c r="AP574" s="17"/>
      <c r="AQ574" s="17"/>
    </row>
    <row r="575" spans="1:43" hidden="1">
      <c r="A575">
        <f t="shared" si="347"/>
        <v>572</v>
      </c>
      <c r="B575" s="407"/>
      <c r="C575" s="407"/>
      <c r="D575" s="408"/>
      <c r="E575" s="407"/>
      <c r="F575" s="408"/>
      <c r="G575" s="409"/>
      <c r="H575" s="410"/>
      <c r="I575" s="409"/>
      <c r="K575" s="17"/>
      <c r="L575" s="17"/>
      <c r="M575" s="17"/>
      <c r="N575" s="739"/>
      <c r="O575" s="739"/>
      <c r="P575" s="739"/>
      <c r="Q575" s="739"/>
      <c r="R575" s="739"/>
      <c r="S575" s="739"/>
      <c r="T575" s="739"/>
      <c r="U575" s="739"/>
      <c r="V575" s="739"/>
      <c r="W575" s="739"/>
      <c r="X575" s="739"/>
      <c r="Y575" s="739"/>
      <c r="Z575" s="740"/>
      <c r="AA575" s="740"/>
      <c r="AB575" s="17"/>
      <c r="AC575" s="17"/>
      <c r="AD575" s="17"/>
      <c r="AE575" s="17"/>
      <c r="AF575" s="17"/>
      <c r="AG575" s="17"/>
      <c r="AH575" s="17"/>
      <c r="AI575" s="17"/>
      <c r="AJ575" s="17"/>
      <c r="AK575" s="17"/>
      <c r="AL575" s="17"/>
      <c r="AM575" s="17"/>
      <c r="AN575" s="17"/>
      <c r="AO575" s="17"/>
      <c r="AP575" s="17"/>
      <c r="AQ575" s="17"/>
    </row>
    <row r="576" spans="1:43" hidden="1">
      <c r="A576">
        <f t="shared" si="347"/>
        <v>573</v>
      </c>
      <c r="B576" s="407"/>
      <c r="C576" s="407"/>
      <c r="D576" s="408"/>
      <c r="E576" s="407"/>
      <c r="F576" s="408"/>
      <c r="G576" s="409"/>
      <c r="H576" s="410"/>
      <c r="I576" s="409"/>
      <c r="K576" s="17"/>
      <c r="L576" s="17"/>
      <c r="M576" s="17"/>
      <c r="N576" s="739"/>
      <c r="O576" s="739"/>
      <c r="P576" s="739"/>
      <c r="Q576" s="739"/>
      <c r="R576" s="739"/>
      <c r="S576" s="739"/>
      <c r="T576" s="739"/>
      <c r="U576" s="739"/>
      <c r="V576" s="739"/>
      <c r="W576" s="739"/>
      <c r="X576" s="739"/>
      <c r="Y576" s="739"/>
      <c r="Z576" s="740"/>
      <c r="AA576" s="740"/>
      <c r="AB576" s="17"/>
      <c r="AC576" s="17"/>
      <c r="AD576" s="17"/>
      <c r="AE576" s="17"/>
      <c r="AF576" s="17"/>
      <c r="AG576" s="17"/>
      <c r="AH576" s="17"/>
      <c r="AI576" s="17"/>
      <c r="AJ576" s="17"/>
      <c r="AK576" s="17"/>
      <c r="AL576" s="17"/>
      <c r="AM576" s="17"/>
      <c r="AN576" s="17"/>
      <c r="AO576" s="17"/>
      <c r="AP576" s="17"/>
      <c r="AQ576" s="17"/>
    </row>
    <row r="577" spans="1:43" hidden="1">
      <c r="A577">
        <f t="shared" si="347"/>
        <v>574</v>
      </c>
      <c r="B577" s="407"/>
      <c r="C577" s="407"/>
      <c r="D577" s="408"/>
      <c r="E577" s="407"/>
      <c r="F577" s="408"/>
      <c r="G577" s="409"/>
      <c r="H577" s="410"/>
      <c r="I577" s="409"/>
      <c r="K577" s="17"/>
      <c r="L577" s="17"/>
      <c r="M577" s="17"/>
      <c r="N577" s="739"/>
      <c r="O577" s="739"/>
      <c r="P577" s="739"/>
      <c r="Q577" s="739"/>
      <c r="R577" s="739"/>
      <c r="S577" s="739"/>
      <c r="T577" s="739"/>
      <c r="U577" s="739"/>
      <c r="V577" s="739"/>
      <c r="W577" s="739"/>
      <c r="X577" s="739"/>
      <c r="Y577" s="739"/>
      <c r="Z577" s="740"/>
      <c r="AA577" s="740"/>
      <c r="AB577" s="17"/>
      <c r="AC577" s="17"/>
      <c r="AD577" s="17"/>
      <c r="AE577" s="17"/>
      <c r="AF577" s="17"/>
      <c r="AG577" s="17"/>
      <c r="AH577" s="17"/>
      <c r="AI577" s="17"/>
      <c r="AJ577" s="17"/>
      <c r="AK577" s="17"/>
      <c r="AL577" s="17"/>
      <c r="AM577" s="17"/>
      <c r="AN577" s="17"/>
      <c r="AO577" s="17"/>
      <c r="AP577" s="17"/>
      <c r="AQ577" s="17"/>
    </row>
    <row r="578" spans="1:43" hidden="1">
      <c r="A578">
        <f t="shared" si="347"/>
        <v>575</v>
      </c>
      <c r="B578" s="407"/>
      <c r="C578" s="407"/>
      <c r="D578" s="408"/>
      <c r="E578" s="407"/>
      <c r="F578" s="408"/>
      <c r="G578" s="409"/>
      <c r="H578" s="410"/>
      <c r="I578" s="409"/>
      <c r="K578" s="17"/>
      <c r="L578" s="17"/>
      <c r="M578" s="17"/>
      <c r="N578" s="739"/>
      <c r="O578" s="739"/>
      <c r="P578" s="739"/>
      <c r="Q578" s="739"/>
      <c r="R578" s="739"/>
      <c r="S578" s="739"/>
      <c r="T578" s="739"/>
      <c r="U578" s="739"/>
      <c r="V578" s="739"/>
      <c r="W578" s="739"/>
      <c r="X578" s="739"/>
      <c r="Y578" s="739"/>
      <c r="Z578" s="740"/>
      <c r="AA578" s="740"/>
      <c r="AB578" s="17"/>
      <c r="AC578" s="17"/>
      <c r="AD578" s="17"/>
      <c r="AE578" s="17"/>
      <c r="AF578" s="17"/>
      <c r="AG578" s="17"/>
      <c r="AH578" s="17"/>
      <c r="AI578" s="17"/>
      <c r="AJ578" s="17"/>
      <c r="AK578" s="17"/>
      <c r="AL578" s="17"/>
      <c r="AM578" s="17"/>
      <c r="AN578" s="17"/>
      <c r="AO578" s="17"/>
      <c r="AP578" s="17"/>
      <c r="AQ578" s="17"/>
    </row>
    <row r="579" spans="1:43" hidden="1">
      <c r="A579">
        <f t="shared" si="347"/>
        <v>576</v>
      </c>
      <c r="B579" s="407"/>
      <c r="C579" s="407"/>
      <c r="D579" s="408"/>
      <c r="E579" s="407"/>
      <c r="F579" s="408"/>
      <c r="G579" s="409"/>
      <c r="H579" s="410"/>
      <c r="I579" s="409"/>
      <c r="K579" s="17"/>
      <c r="L579" s="17"/>
      <c r="M579" s="17"/>
      <c r="N579" s="739"/>
      <c r="O579" s="739"/>
      <c r="P579" s="739"/>
      <c r="Q579" s="739"/>
      <c r="R579" s="739"/>
      <c r="S579" s="739"/>
      <c r="T579" s="739"/>
      <c r="U579" s="739"/>
      <c r="V579" s="739"/>
      <c r="W579" s="739"/>
      <c r="X579" s="739"/>
      <c r="Y579" s="739"/>
      <c r="Z579" s="740"/>
      <c r="AA579" s="740"/>
      <c r="AB579" s="17"/>
      <c r="AC579" s="17"/>
      <c r="AD579" s="17"/>
      <c r="AE579" s="17"/>
      <c r="AF579" s="17"/>
      <c r="AG579" s="17"/>
      <c r="AH579" s="17"/>
      <c r="AI579" s="17"/>
      <c r="AJ579" s="17"/>
      <c r="AK579" s="17"/>
      <c r="AL579" s="17"/>
      <c r="AM579" s="17"/>
      <c r="AN579" s="17"/>
      <c r="AO579" s="17"/>
      <c r="AP579" s="17"/>
      <c r="AQ579" s="17"/>
    </row>
    <row r="580" spans="1:43" hidden="1">
      <c r="A580">
        <f t="shared" si="347"/>
        <v>577</v>
      </c>
      <c r="B580" s="407"/>
      <c r="C580" s="407"/>
      <c r="D580" s="408"/>
      <c r="E580" s="407"/>
      <c r="F580" s="408"/>
      <c r="G580" s="409"/>
      <c r="H580" s="410"/>
      <c r="I580" s="409"/>
      <c r="K580" s="17"/>
      <c r="L580" s="17"/>
      <c r="M580" s="17"/>
      <c r="N580" s="739"/>
      <c r="O580" s="739"/>
      <c r="P580" s="739"/>
      <c r="Q580" s="739"/>
      <c r="R580" s="739"/>
      <c r="S580" s="739"/>
      <c r="T580" s="739"/>
      <c r="U580" s="739"/>
      <c r="V580" s="739"/>
      <c r="W580" s="739"/>
      <c r="X580" s="739"/>
      <c r="Y580" s="739"/>
      <c r="Z580" s="740"/>
      <c r="AA580" s="740"/>
      <c r="AB580" s="17"/>
      <c r="AC580" s="17"/>
      <c r="AD580" s="17"/>
      <c r="AE580" s="17"/>
      <c r="AF580" s="17"/>
      <c r="AG580" s="17"/>
      <c r="AH580" s="17"/>
      <c r="AI580" s="17"/>
      <c r="AJ580" s="17"/>
      <c r="AK580" s="17"/>
      <c r="AL580" s="17"/>
      <c r="AM580" s="17"/>
      <c r="AN580" s="17"/>
      <c r="AO580" s="17"/>
      <c r="AP580" s="17"/>
      <c r="AQ580" s="17"/>
    </row>
    <row r="581" spans="1:43" hidden="1">
      <c r="A581">
        <f t="shared" si="347"/>
        <v>578</v>
      </c>
      <c r="B581" s="407"/>
      <c r="C581" s="407"/>
      <c r="D581" s="408"/>
      <c r="E581" s="407"/>
      <c r="F581" s="408"/>
      <c r="G581" s="409"/>
      <c r="H581" s="410"/>
      <c r="I581" s="409"/>
      <c r="K581" s="17"/>
      <c r="L581" s="17"/>
      <c r="M581" s="17"/>
      <c r="N581" s="739"/>
      <c r="O581" s="739"/>
      <c r="P581" s="739"/>
      <c r="Q581" s="739"/>
      <c r="R581" s="739"/>
      <c r="S581" s="739"/>
      <c r="T581" s="739"/>
      <c r="U581" s="739"/>
      <c r="V581" s="739"/>
      <c r="W581" s="739"/>
      <c r="X581" s="739"/>
      <c r="Y581" s="739"/>
      <c r="Z581" s="740"/>
      <c r="AA581" s="740"/>
      <c r="AB581" s="17"/>
      <c r="AC581" s="17"/>
      <c r="AD581" s="17"/>
      <c r="AE581" s="17"/>
      <c r="AF581" s="17"/>
      <c r="AG581" s="17"/>
      <c r="AH581" s="17"/>
      <c r="AI581" s="17"/>
      <c r="AJ581" s="17"/>
      <c r="AK581" s="17"/>
      <c r="AL581" s="17"/>
      <c r="AM581" s="17"/>
      <c r="AN581" s="17"/>
      <c r="AO581" s="17"/>
      <c r="AP581" s="17"/>
      <c r="AQ581" s="17"/>
    </row>
    <row r="582" spans="1:43" hidden="1">
      <c r="A582">
        <f t="shared" si="347"/>
        <v>579</v>
      </c>
      <c r="B582" s="407"/>
      <c r="C582" s="407"/>
      <c r="D582" s="408"/>
      <c r="E582" s="407"/>
      <c r="F582" s="408"/>
      <c r="G582" s="409"/>
      <c r="H582" s="410"/>
      <c r="I582" s="409"/>
      <c r="K582" s="17"/>
      <c r="L582" s="17"/>
      <c r="M582" s="17"/>
      <c r="N582" s="739"/>
      <c r="O582" s="739"/>
      <c r="P582" s="739"/>
      <c r="Q582" s="739"/>
      <c r="R582" s="739"/>
      <c r="S582" s="739"/>
      <c r="T582" s="739"/>
      <c r="U582" s="739"/>
      <c r="V582" s="739"/>
      <c r="W582" s="739"/>
      <c r="X582" s="739"/>
      <c r="Y582" s="739"/>
      <c r="Z582" s="740"/>
      <c r="AA582" s="740"/>
      <c r="AB582" s="17"/>
      <c r="AC582" s="17"/>
      <c r="AD582" s="17"/>
      <c r="AE582" s="17"/>
      <c r="AF582" s="17"/>
      <c r="AG582" s="17"/>
      <c r="AH582" s="17"/>
      <c r="AI582" s="17"/>
      <c r="AJ582" s="17"/>
      <c r="AK582" s="17"/>
      <c r="AL582" s="17"/>
      <c r="AM582" s="17"/>
      <c r="AN582" s="17"/>
      <c r="AO582" s="17"/>
      <c r="AP582" s="17"/>
      <c r="AQ582" s="17"/>
    </row>
    <row r="583" spans="1:43" hidden="1">
      <c r="A583">
        <f t="shared" si="347"/>
        <v>580</v>
      </c>
      <c r="B583" s="407"/>
      <c r="C583" s="407"/>
      <c r="D583" s="408"/>
      <c r="E583" s="407"/>
      <c r="F583" s="408"/>
      <c r="G583" s="409"/>
      <c r="H583" s="410"/>
      <c r="I583" s="409"/>
      <c r="K583" s="17"/>
      <c r="L583" s="17"/>
      <c r="M583" s="17"/>
      <c r="N583" s="739"/>
      <c r="O583" s="739"/>
      <c r="P583" s="739"/>
      <c r="Q583" s="739"/>
      <c r="R583" s="739"/>
      <c r="S583" s="739"/>
      <c r="T583" s="739"/>
      <c r="U583" s="739"/>
      <c r="V583" s="739"/>
      <c r="W583" s="739"/>
      <c r="X583" s="739"/>
      <c r="Y583" s="739"/>
      <c r="Z583" s="740"/>
      <c r="AA583" s="740"/>
      <c r="AB583" s="17"/>
      <c r="AC583" s="17"/>
      <c r="AD583" s="17"/>
      <c r="AE583" s="17"/>
      <c r="AF583" s="17"/>
      <c r="AG583" s="17"/>
      <c r="AH583" s="17"/>
      <c r="AI583" s="17"/>
      <c r="AJ583" s="17"/>
      <c r="AK583" s="17"/>
      <c r="AL583" s="17"/>
      <c r="AM583" s="17"/>
      <c r="AN583" s="17"/>
      <c r="AO583" s="17"/>
      <c r="AP583" s="17"/>
      <c r="AQ583" s="17"/>
    </row>
    <row r="584" spans="1:43" hidden="1">
      <c r="A584">
        <f t="shared" si="347"/>
        <v>581</v>
      </c>
      <c r="B584" s="407"/>
      <c r="C584" s="407"/>
      <c r="D584" s="408"/>
      <c r="E584" s="407"/>
      <c r="F584" s="408"/>
      <c r="G584" s="409"/>
      <c r="H584" s="410"/>
      <c r="I584" s="409"/>
      <c r="K584" s="17"/>
      <c r="L584" s="17"/>
      <c r="M584" s="17"/>
      <c r="N584" s="739"/>
      <c r="O584" s="739"/>
      <c r="P584" s="739"/>
      <c r="Q584" s="739"/>
      <c r="R584" s="739"/>
      <c r="S584" s="739"/>
      <c r="T584" s="739"/>
      <c r="U584" s="739"/>
      <c r="V584" s="739"/>
      <c r="W584" s="739"/>
      <c r="X584" s="739"/>
      <c r="Y584" s="739"/>
      <c r="Z584" s="740"/>
      <c r="AA584" s="740"/>
      <c r="AB584" s="17"/>
      <c r="AC584" s="17"/>
      <c r="AD584" s="17"/>
      <c r="AE584" s="17"/>
      <c r="AF584" s="17"/>
      <c r="AG584" s="17"/>
      <c r="AH584" s="17"/>
      <c r="AI584" s="17"/>
      <c r="AJ584" s="17"/>
      <c r="AK584" s="17"/>
      <c r="AL584" s="17"/>
      <c r="AM584" s="17"/>
      <c r="AN584" s="17"/>
      <c r="AO584" s="17"/>
      <c r="AP584" s="17"/>
      <c r="AQ584" s="17"/>
    </row>
    <row r="585" spans="1:43" hidden="1">
      <c r="A585">
        <f t="shared" si="347"/>
        <v>582</v>
      </c>
      <c r="B585" s="407"/>
      <c r="C585" s="407"/>
      <c r="D585" s="408"/>
      <c r="E585" s="407"/>
      <c r="F585" s="408"/>
      <c r="G585" s="409"/>
      <c r="H585" s="410"/>
      <c r="I585" s="409"/>
      <c r="K585" s="17"/>
      <c r="L585" s="17"/>
      <c r="M585" s="17"/>
      <c r="N585" s="739"/>
      <c r="O585" s="739"/>
      <c r="P585" s="739"/>
      <c r="Q585" s="739"/>
      <c r="R585" s="739"/>
      <c r="S585" s="739"/>
      <c r="T585" s="739"/>
      <c r="U585" s="739"/>
      <c r="V585" s="739"/>
      <c r="W585" s="739"/>
      <c r="X585" s="739"/>
      <c r="Y585" s="739"/>
      <c r="Z585" s="740"/>
      <c r="AA585" s="740"/>
      <c r="AB585" s="17"/>
      <c r="AC585" s="17"/>
      <c r="AD585" s="17"/>
      <c r="AE585" s="17"/>
      <c r="AF585" s="17"/>
      <c r="AG585" s="17"/>
      <c r="AH585" s="17"/>
      <c r="AI585" s="17"/>
      <c r="AJ585" s="17"/>
      <c r="AK585" s="17"/>
      <c r="AL585" s="17"/>
      <c r="AM585" s="17"/>
      <c r="AN585" s="17"/>
      <c r="AO585" s="17"/>
      <c r="AP585" s="17"/>
      <c r="AQ585" s="17"/>
    </row>
    <row r="586" spans="1:43" hidden="1">
      <c r="A586">
        <f t="shared" si="347"/>
        <v>583</v>
      </c>
      <c r="B586" s="407"/>
      <c r="C586" s="407"/>
      <c r="D586" s="408"/>
      <c r="E586" s="407"/>
      <c r="F586" s="408"/>
      <c r="G586" s="409"/>
      <c r="H586" s="410"/>
      <c r="I586" s="409"/>
      <c r="K586" s="17"/>
      <c r="L586" s="17"/>
      <c r="M586" s="17"/>
      <c r="N586" s="739"/>
      <c r="O586" s="739"/>
      <c r="P586" s="739"/>
      <c r="Q586" s="739"/>
      <c r="R586" s="739"/>
      <c r="S586" s="739"/>
      <c r="T586" s="739"/>
      <c r="U586" s="739"/>
      <c r="V586" s="739"/>
      <c r="W586" s="739"/>
      <c r="X586" s="739"/>
      <c r="Y586" s="739"/>
      <c r="Z586" s="740"/>
      <c r="AA586" s="740"/>
      <c r="AB586" s="17"/>
      <c r="AC586" s="17"/>
      <c r="AD586" s="17"/>
      <c r="AE586" s="17"/>
      <c r="AF586" s="17"/>
      <c r="AG586" s="17"/>
      <c r="AH586" s="17"/>
      <c r="AI586" s="17"/>
      <c r="AJ586" s="17"/>
      <c r="AK586" s="17"/>
      <c r="AL586" s="17"/>
      <c r="AM586" s="17"/>
      <c r="AN586" s="17"/>
      <c r="AO586" s="17"/>
      <c r="AP586" s="17"/>
      <c r="AQ586" s="17"/>
    </row>
    <row r="587" spans="1:43" hidden="1">
      <c r="A587">
        <f t="shared" si="347"/>
        <v>584</v>
      </c>
      <c r="B587" s="407"/>
      <c r="C587" s="407"/>
      <c r="D587" s="408"/>
      <c r="E587" s="407"/>
      <c r="F587" s="408"/>
      <c r="G587" s="409"/>
      <c r="H587" s="410"/>
      <c r="I587" s="409"/>
      <c r="K587" s="17"/>
      <c r="L587" s="17"/>
      <c r="M587" s="17"/>
      <c r="N587" s="739"/>
      <c r="O587" s="739"/>
      <c r="P587" s="739"/>
      <c r="Q587" s="739"/>
      <c r="R587" s="739"/>
      <c r="S587" s="739"/>
      <c r="T587" s="739"/>
      <c r="U587" s="739"/>
      <c r="V587" s="739"/>
      <c r="W587" s="739"/>
      <c r="X587" s="739"/>
      <c r="Y587" s="739"/>
      <c r="Z587" s="740"/>
      <c r="AA587" s="740"/>
      <c r="AB587" s="17"/>
      <c r="AC587" s="17"/>
      <c r="AD587" s="17"/>
      <c r="AE587" s="17"/>
      <c r="AF587" s="17"/>
      <c r="AG587" s="17"/>
      <c r="AH587" s="17"/>
      <c r="AI587" s="17"/>
      <c r="AJ587" s="17"/>
      <c r="AK587" s="17"/>
      <c r="AL587" s="17"/>
      <c r="AM587" s="17"/>
      <c r="AN587" s="17"/>
      <c r="AO587" s="17"/>
      <c r="AP587" s="17"/>
      <c r="AQ587" s="17"/>
    </row>
    <row r="588" spans="1:43" hidden="1">
      <c r="A588">
        <f t="shared" si="347"/>
        <v>585</v>
      </c>
      <c r="B588" s="407"/>
      <c r="C588" s="407"/>
      <c r="D588" s="408"/>
      <c r="E588" s="407"/>
      <c r="F588" s="408"/>
      <c r="G588" s="409"/>
      <c r="H588" s="410"/>
      <c r="I588" s="409"/>
      <c r="K588" s="17"/>
      <c r="L588" s="17"/>
      <c r="M588" s="17"/>
      <c r="N588" s="739"/>
      <c r="O588" s="739"/>
      <c r="P588" s="739"/>
      <c r="Q588" s="739"/>
      <c r="R588" s="739"/>
      <c r="S588" s="739"/>
      <c r="T588" s="739"/>
      <c r="U588" s="739"/>
      <c r="V588" s="739"/>
      <c r="W588" s="739"/>
      <c r="X588" s="739"/>
      <c r="Y588" s="739"/>
      <c r="Z588" s="740"/>
      <c r="AA588" s="740"/>
      <c r="AB588" s="17"/>
      <c r="AC588" s="17"/>
      <c r="AD588" s="17"/>
      <c r="AE588" s="17"/>
      <c r="AF588" s="17"/>
      <c r="AG588" s="17"/>
      <c r="AH588" s="17"/>
      <c r="AI588" s="17"/>
      <c r="AJ588" s="17"/>
      <c r="AK588" s="17"/>
      <c r="AL588" s="17"/>
      <c r="AM588" s="17"/>
      <c r="AN588" s="17"/>
      <c r="AO588" s="17"/>
      <c r="AP588" s="17"/>
      <c r="AQ588" s="17"/>
    </row>
    <row r="589" spans="1:43" hidden="1">
      <c r="A589">
        <f t="shared" si="347"/>
        <v>586</v>
      </c>
      <c r="B589" s="407"/>
      <c r="C589" s="407"/>
      <c r="D589" s="408"/>
      <c r="E589" s="407"/>
      <c r="F589" s="408"/>
      <c r="G589" s="409"/>
      <c r="H589" s="410"/>
      <c r="I589" s="409"/>
      <c r="K589" s="17"/>
      <c r="L589" s="17"/>
      <c r="M589" s="17"/>
      <c r="N589" s="739"/>
      <c r="O589" s="739"/>
      <c r="P589" s="739"/>
      <c r="Q589" s="739"/>
      <c r="R589" s="739"/>
      <c r="S589" s="739"/>
      <c r="T589" s="739"/>
      <c r="U589" s="739"/>
      <c r="V589" s="739"/>
      <c r="W589" s="739"/>
      <c r="X589" s="739"/>
      <c r="Y589" s="739"/>
      <c r="Z589" s="740"/>
      <c r="AA589" s="740"/>
      <c r="AB589" s="17"/>
      <c r="AC589" s="17"/>
      <c r="AD589" s="17"/>
      <c r="AE589" s="17"/>
      <c r="AF589" s="17"/>
      <c r="AG589" s="17"/>
      <c r="AH589" s="17"/>
      <c r="AI589" s="17"/>
      <c r="AJ589" s="17"/>
      <c r="AK589" s="17"/>
      <c r="AL589" s="17"/>
      <c r="AM589" s="17"/>
      <c r="AN589" s="17"/>
      <c r="AO589" s="17"/>
      <c r="AP589" s="17"/>
      <c r="AQ589" s="17"/>
    </row>
    <row r="590" spans="1:43" hidden="1">
      <c r="A590">
        <f t="shared" si="347"/>
        <v>587</v>
      </c>
      <c r="B590" s="407"/>
      <c r="C590" s="407"/>
      <c r="D590" s="408"/>
      <c r="E590" s="407"/>
      <c r="F590" s="408"/>
      <c r="G590" s="409"/>
      <c r="H590" s="410"/>
      <c r="I590" s="409"/>
      <c r="K590" s="17"/>
      <c r="L590" s="17"/>
      <c r="M590" s="17"/>
      <c r="N590" s="739"/>
      <c r="O590" s="739"/>
      <c r="P590" s="739"/>
      <c r="Q590" s="739"/>
      <c r="R590" s="739"/>
      <c r="S590" s="739"/>
      <c r="T590" s="739"/>
      <c r="U590" s="739"/>
      <c r="V590" s="739"/>
      <c r="W590" s="739"/>
      <c r="X590" s="739"/>
      <c r="Y590" s="739"/>
      <c r="Z590" s="740"/>
      <c r="AA590" s="740"/>
      <c r="AB590" s="17"/>
      <c r="AC590" s="17"/>
      <c r="AD590" s="17"/>
      <c r="AE590" s="17"/>
      <c r="AF590" s="17"/>
      <c r="AG590" s="17"/>
      <c r="AH590" s="17"/>
      <c r="AI590" s="17"/>
      <c r="AJ590" s="17"/>
      <c r="AK590" s="17"/>
      <c r="AL590" s="17"/>
      <c r="AM590" s="17"/>
      <c r="AN590" s="17"/>
      <c r="AO590" s="17"/>
      <c r="AP590" s="17"/>
      <c r="AQ590" s="17"/>
    </row>
    <row r="591" spans="1:43" hidden="1">
      <c r="A591">
        <f t="shared" si="347"/>
        <v>588</v>
      </c>
      <c r="B591" s="407"/>
      <c r="C591" s="407"/>
      <c r="D591" s="408"/>
      <c r="E591" s="407"/>
      <c r="F591" s="408"/>
      <c r="G591" s="409"/>
      <c r="H591" s="410"/>
      <c r="I591" s="409"/>
      <c r="K591" s="17"/>
      <c r="L591" s="17"/>
      <c r="M591" s="17"/>
      <c r="N591" s="739"/>
      <c r="O591" s="739"/>
      <c r="P591" s="739"/>
      <c r="Q591" s="739"/>
      <c r="R591" s="739"/>
      <c r="S591" s="739"/>
      <c r="T591" s="739"/>
      <c r="U591" s="739"/>
      <c r="V591" s="739"/>
      <c r="W591" s="739"/>
      <c r="X591" s="739"/>
      <c r="Y591" s="739"/>
      <c r="Z591" s="740"/>
      <c r="AA591" s="740"/>
      <c r="AB591" s="17"/>
      <c r="AC591" s="17"/>
      <c r="AD591" s="17"/>
      <c r="AE591" s="17"/>
      <c r="AF591" s="17"/>
      <c r="AG591" s="17"/>
      <c r="AH591" s="17"/>
      <c r="AI591" s="17"/>
      <c r="AJ591" s="17"/>
      <c r="AK591" s="17"/>
      <c r="AL591" s="17"/>
      <c r="AM591" s="17"/>
      <c r="AN591" s="17"/>
      <c r="AO591" s="17"/>
      <c r="AP591" s="17"/>
      <c r="AQ591" s="17"/>
    </row>
    <row r="592" spans="1:43" hidden="1">
      <c r="A592">
        <f t="shared" si="347"/>
        <v>589</v>
      </c>
      <c r="B592" s="407"/>
      <c r="C592" s="407"/>
      <c r="D592" s="408"/>
      <c r="E592" s="407"/>
      <c r="F592" s="408"/>
      <c r="G592" s="409"/>
      <c r="H592" s="410"/>
      <c r="I592" s="409"/>
      <c r="K592" s="17"/>
      <c r="L592" s="17"/>
      <c r="M592" s="17"/>
      <c r="N592" s="739"/>
      <c r="O592" s="739"/>
      <c r="P592" s="739"/>
      <c r="Q592" s="739"/>
      <c r="R592" s="739"/>
      <c r="S592" s="739"/>
      <c r="T592" s="739"/>
      <c r="U592" s="739"/>
      <c r="V592" s="739"/>
      <c r="W592" s="739"/>
      <c r="X592" s="739"/>
      <c r="Y592" s="739"/>
      <c r="Z592" s="740"/>
      <c r="AA592" s="740"/>
      <c r="AB592" s="17"/>
      <c r="AC592" s="17"/>
      <c r="AD592" s="17"/>
      <c r="AE592" s="17"/>
      <c r="AF592" s="17"/>
      <c r="AG592" s="17"/>
      <c r="AH592" s="17"/>
      <c r="AI592" s="17"/>
      <c r="AJ592" s="17"/>
      <c r="AK592" s="17"/>
      <c r="AL592" s="17"/>
      <c r="AM592" s="17"/>
      <c r="AN592" s="17"/>
      <c r="AO592" s="17"/>
      <c r="AP592" s="17"/>
      <c r="AQ592" s="17"/>
    </row>
    <row r="593" spans="1:43" hidden="1">
      <c r="A593">
        <f t="shared" si="347"/>
        <v>590</v>
      </c>
      <c r="B593" s="407"/>
      <c r="C593" s="407"/>
      <c r="D593" s="408"/>
      <c r="E593" s="407"/>
      <c r="F593" s="408"/>
      <c r="G593" s="409"/>
      <c r="H593" s="410"/>
      <c r="I593" s="409"/>
      <c r="K593" s="17"/>
      <c r="L593" s="17"/>
      <c r="M593" s="17"/>
      <c r="N593" s="739"/>
      <c r="O593" s="739"/>
      <c r="P593" s="739"/>
      <c r="Q593" s="739"/>
      <c r="R593" s="739"/>
      <c r="S593" s="739"/>
      <c r="T593" s="739"/>
      <c r="U593" s="739"/>
      <c r="V593" s="739"/>
      <c r="W593" s="739"/>
      <c r="X593" s="739"/>
      <c r="Y593" s="739"/>
      <c r="Z593" s="740"/>
      <c r="AA593" s="740"/>
      <c r="AB593" s="17"/>
      <c r="AC593" s="17"/>
      <c r="AD593" s="17"/>
      <c r="AE593" s="17"/>
      <c r="AF593" s="17"/>
      <c r="AG593" s="17"/>
      <c r="AH593" s="17"/>
      <c r="AI593" s="17"/>
      <c r="AJ593" s="17"/>
      <c r="AK593" s="17"/>
      <c r="AL593" s="17"/>
      <c r="AM593" s="17"/>
      <c r="AN593" s="17"/>
      <c r="AO593" s="17"/>
      <c r="AP593" s="17"/>
      <c r="AQ593" s="17"/>
    </row>
    <row r="594" spans="1:43" hidden="1">
      <c r="A594">
        <f t="shared" si="347"/>
        <v>591</v>
      </c>
      <c r="B594" s="407"/>
      <c r="C594" s="407"/>
      <c r="D594" s="408"/>
      <c r="E594" s="407"/>
      <c r="F594" s="408"/>
      <c r="G594" s="409"/>
      <c r="H594" s="410"/>
      <c r="I594" s="409"/>
      <c r="K594" s="17"/>
      <c r="L594" s="17"/>
      <c r="M594" s="17"/>
      <c r="N594" s="739"/>
      <c r="O594" s="739"/>
      <c r="P594" s="739"/>
      <c r="Q594" s="739"/>
      <c r="R594" s="739"/>
      <c r="S594" s="739"/>
      <c r="T594" s="739"/>
      <c r="U594" s="739"/>
      <c r="V594" s="739"/>
      <c r="W594" s="739"/>
      <c r="X594" s="739"/>
      <c r="Y594" s="739"/>
      <c r="Z594" s="740"/>
      <c r="AA594" s="740"/>
      <c r="AB594" s="17"/>
      <c r="AC594" s="17"/>
      <c r="AD594" s="17"/>
      <c r="AE594" s="17"/>
      <c r="AF594" s="17"/>
      <c r="AG594" s="17"/>
      <c r="AH594" s="17"/>
      <c r="AI594" s="17"/>
      <c r="AJ594" s="17"/>
      <c r="AK594" s="17"/>
      <c r="AL594" s="17"/>
      <c r="AM594" s="17"/>
      <c r="AN594" s="17"/>
      <c r="AO594" s="17"/>
      <c r="AP594" s="17"/>
      <c r="AQ594" s="17"/>
    </row>
    <row r="595" spans="1:43" hidden="1">
      <c r="A595">
        <f t="shared" si="347"/>
        <v>592</v>
      </c>
      <c r="B595" s="407"/>
      <c r="C595" s="407"/>
      <c r="D595" s="408"/>
      <c r="E595" s="407"/>
      <c r="F595" s="408"/>
      <c r="G595" s="409"/>
      <c r="H595" s="410"/>
      <c r="I595" s="409"/>
      <c r="K595" s="17"/>
      <c r="L595" s="17"/>
      <c r="M595" s="17"/>
      <c r="N595" s="739"/>
      <c r="O595" s="739"/>
      <c r="P595" s="739"/>
      <c r="Q595" s="739"/>
      <c r="R595" s="739"/>
      <c r="S595" s="739"/>
      <c r="T595" s="739"/>
      <c r="U595" s="739"/>
      <c r="V595" s="739"/>
      <c r="W595" s="739"/>
      <c r="X595" s="739"/>
      <c r="Y595" s="739"/>
      <c r="Z595" s="740"/>
      <c r="AA595" s="740"/>
      <c r="AB595" s="17"/>
      <c r="AC595" s="17"/>
      <c r="AD595" s="17"/>
      <c r="AE595" s="17"/>
      <c r="AF595" s="17"/>
      <c r="AG595" s="17"/>
      <c r="AH595" s="17"/>
      <c r="AI595" s="17"/>
      <c r="AJ595" s="17"/>
      <c r="AK595" s="17"/>
      <c r="AL595" s="17"/>
      <c r="AM595" s="17"/>
      <c r="AN595" s="17"/>
      <c r="AO595" s="17"/>
      <c r="AP595" s="17"/>
      <c r="AQ595" s="17"/>
    </row>
    <row r="596" spans="1:43" hidden="1">
      <c r="A596">
        <f t="shared" si="347"/>
        <v>593</v>
      </c>
      <c r="B596" s="407"/>
      <c r="C596" s="407"/>
      <c r="D596" s="408"/>
      <c r="E596" s="407"/>
      <c r="F596" s="408"/>
      <c r="G596" s="409"/>
      <c r="H596" s="410"/>
      <c r="I596" s="409"/>
      <c r="K596" s="17"/>
      <c r="L596" s="17"/>
      <c r="M596" s="17"/>
      <c r="N596" s="739"/>
      <c r="O596" s="739"/>
      <c r="P596" s="739"/>
      <c r="Q596" s="739"/>
      <c r="R596" s="739"/>
      <c r="S596" s="739"/>
      <c r="T596" s="739"/>
      <c r="U596" s="739"/>
      <c r="V596" s="739"/>
      <c r="W596" s="739"/>
      <c r="X596" s="739"/>
      <c r="Y596" s="739"/>
      <c r="Z596" s="740"/>
      <c r="AA596" s="740"/>
      <c r="AB596" s="17"/>
      <c r="AC596" s="17"/>
      <c r="AD596" s="17"/>
      <c r="AE596" s="17"/>
      <c r="AF596" s="17"/>
      <c r="AG596" s="17"/>
      <c r="AH596" s="17"/>
      <c r="AI596" s="17"/>
      <c r="AJ596" s="17"/>
      <c r="AK596" s="17"/>
      <c r="AL596" s="17"/>
      <c r="AM596" s="17"/>
      <c r="AN596" s="17"/>
      <c r="AO596" s="17"/>
      <c r="AP596" s="17"/>
      <c r="AQ596" s="17"/>
    </row>
    <row r="597" spans="1:43" hidden="1">
      <c r="A597">
        <f t="shared" si="347"/>
        <v>594</v>
      </c>
      <c r="B597" s="407"/>
      <c r="C597" s="407"/>
      <c r="D597" s="408"/>
      <c r="E597" s="407"/>
      <c r="F597" s="408"/>
      <c r="G597" s="409"/>
      <c r="H597" s="410"/>
      <c r="I597" s="409"/>
      <c r="K597" s="17"/>
      <c r="L597" s="17"/>
      <c r="M597" s="17"/>
      <c r="N597" s="739"/>
      <c r="O597" s="739"/>
      <c r="P597" s="739"/>
      <c r="Q597" s="739"/>
      <c r="R597" s="739"/>
      <c r="S597" s="739"/>
      <c r="T597" s="739"/>
      <c r="U597" s="739"/>
      <c r="V597" s="739"/>
      <c r="W597" s="739"/>
      <c r="X597" s="739"/>
      <c r="Y597" s="739"/>
      <c r="Z597" s="740"/>
      <c r="AA597" s="740"/>
      <c r="AB597" s="17"/>
      <c r="AC597" s="17"/>
      <c r="AD597" s="17"/>
      <c r="AE597" s="17"/>
      <c r="AF597" s="17"/>
      <c r="AG597" s="17"/>
      <c r="AH597" s="17"/>
      <c r="AI597" s="17"/>
      <c r="AJ597" s="17"/>
      <c r="AK597" s="17"/>
      <c r="AL597" s="17"/>
      <c r="AM597" s="17"/>
      <c r="AN597" s="17"/>
      <c r="AO597" s="17"/>
      <c r="AP597" s="17"/>
      <c r="AQ597" s="17"/>
    </row>
    <row r="598" spans="1:43" hidden="1">
      <c r="A598">
        <f t="shared" si="347"/>
        <v>595</v>
      </c>
      <c r="B598" s="407"/>
      <c r="C598" s="407"/>
      <c r="D598" s="408"/>
      <c r="E598" s="407"/>
      <c r="F598" s="408"/>
      <c r="G598" s="409"/>
      <c r="H598" s="410"/>
      <c r="I598" s="409"/>
      <c r="K598" s="17"/>
      <c r="L598" s="17"/>
      <c r="M598" s="17"/>
      <c r="N598" s="739"/>
      <c r="O598" s="739"/>
      <c r="P598" s="739"/>
      <c r="Q598" s="739"/>
      <c r="R598" s="739"/>
      <c r="S598" s="739"/>
      <c r="T598" s="739"/>
      <c r="U598" s="739"/>
      <c r="V598" s="739"/>
      <c r="W598" s="739"/>
      <c r="X598" s="739"/>
      <c r="Y598" s="739"/>
      <c r="Z598" s="740"/>
      <c r="AA598" s="740"/>
      <c r="AB598" s="17"/>
      <c r="AC598" s="17"/>
      <c r="AD598" s="17"/>
      <c r="AE598" s="17"/>
      <c r="AF598" s="17"/>
      <c r="AG598" s="17"/>
      <c r="AH598" s="17"/>
      <c r="AI598" s="17"/>
      <c r="AJ598" s="17"/>
      <c r="AK598" s="17"/>
      <c r="AL598" s="17"/>
      <c r="AM598" s="17"/>
      <c r="AN598" s="17"/>
      <c r="AO598" s="17"/>
      <c r="AP598" s="17"/>
      <c r="AQ598" s="17"/>
    </row>
    <row r="599" spans="1:43" hidden="1">
      <c r="A599">
        <f t="shared" si="347"/>
        <v>596</v>
      </c>
      <c r="B599" s="407"/>
      <c r="C599" s="407"/>
      <c r="D599" s="408"/>
      <c r="E599" s="407"/>
      <c r="F599" s="408"/>
      <c r="G599" s="409"/>
      <c r="H599" s="410"/>
      <c r="I599" s="409"/>
      <c r="K599" s="17"/>
      <c r="L599" s="17"/>
      <c r="M599" s="17"/>
      <c r="N599" s="739"/>
      <c r="O599" s="739"/>
      <c r="P599" s="739"/>
      <c r="Q599" s="739"/>
      <c r="R599" s="739"/>
      <c r="S599" s="739"/>
      <c r="T599" s="739"/>
      <c r="U599" s="739"/>
      <c r="V599" s="739"/>
      <c r="W599" s="739"/>
      <c r="X599" s="739"/>
      <c r="Y599" s="739"/>
      <c r="Z599" s="740"/>
      <c r="AA599" s="740"/>
      <c r="AB599" s="17"/>
      <c r="AC599" s="17"/>
      <c r="AD599" s="17"/>
      <c r="AE599" s="17"/>
      <c r="AF599" s="17"/>
      <c r="AG599" s="17"/>
      <c r="AH599" s="17"/>
      <c r="AI599" s="17"/>
      <c r="AJ599" s="17"/>
      <c r="AK599" s="17"/>
      <c r="AL599" s="17"/>
      <c r="AM599" s="17"/>
      <c r="AN599" s="17"/>
      <c r="AO599" s="17"/>
      <c r="AP599" s="17"/>
      <c r="AQ599" s="17"/>
    </row>
    <row r="600" spans="1:43" hidden="1">
      <c r="A600">
        <f t="shared" si="347"/>
        <v>597</v>
      </c>
      <c r="B600" s="407"/>
      <c r="C600" s="407"/>
      <c r="D600" s="408"/>
      <c r="E600" s="407"/>
      <c r="F600" s="408"/>
      <c r="G600" s="409"/>
      <c r="H600" s="410"/>
      <c r="I600" s="409"/>
      <c r="K600" s="17"/>
      <c r="L600" s="17"/>
      <c r="M600" s="17"/>
      <c r="N600" s="739"/>
      <c r="O600" s="739"/>
      <c r="P600" s="739"/>
      <c r="Q600" s="739"/>
      <c r="R600" s="739"/>
      <c r="S600" s="739"/>
      <c r="T600" s="739"/>
      <c r="U600" s="739"/>
      <c r="V600" s="739"/>
      <c r="W600" s="739"/>
      <c r="X600" s="739"/>
      <c r="Y600" s="739"/>
      <c r="Z600" s="740"/>
      <c r="AA600" s="740"/>
      <c r="AB600" s="17"/>
      <c r="AC600" s="17"/>
      <c r="AD600" s="17"/>
      <c r="AE600" s="17"/>
      <c r="AF600" s="17"/>
      <c r="AG600" s="17"/>
      <c r="AH600" s="17"/>
      <c r="AI600" s="17"/>
      <c r="AJ600" s="17"/>
      <c r="AK600" s="17"/>
      <c r="AL600" s="17"/>
      <c r="AM600" s="17"/>
      <c r="AN600" s="17"/>
      <c r="AO600" s="17"/>
      <c r="AP600" s="17"/>
      <c r="AQ600" s="17"/>
    </row>
    <row r="601" spans="1:43" hidden="1">
      <c r="A601">
        <f t="shared" si="347"/>
        <v>598</v>
      </c>
      <c r="B601" s="407"/>
      <c r="C601" s="407"/>
      <c r="D601" s="408"/>
      <c r="E601" s="407"/>
      <c r="F601" s="408"/>
      <c r="G601" s="409"/>
      <c r="H601" s="410"/>
      <c r="I601" s="409"/>
      <c r="K601" s="17"/>
      <c r="L601" s="17"/>
      <c r="M601" s="17"/>
      <c r="N601" s="739"/>
      <c r="O601" s="739"/>
      <c r="P601" s="739"/>
      <c r="Q601" s="739"/>
      <c r="R601" s="739"/>
      <c r="S601" s="739"/>
      <c r="T601" s="739"/>
      <c r="U601" s="739"/>
      <c r="V601" s="739"/>
      <c r="W601" s="739"/>
      <c r="X601" s="739"/>
      <c r="Y601" s="739"/>
      <c r="Z601" s="740"/>
      <c r="AA601" s="740"/>
      <c r="AB601" s="17"/>
      <c r="AC601" s="17"/>
      <c r="AD601" s="17"/>
      <c r="AE601" s="17"/>
      <c r="AF601" s="17"/>
      <c r="AG601" s="17"/>
      <c r="AH601" s="17"/>
      <c r="AI601" s="17"/>
      <c r="AJ601" s="17"/>
      <c r="AK601" s="17"/>
      <c r="AL601" s="17"/>
      <c r="AM601" s="17"/>
      <c r="AN601" s="17"/>
      <c r="AO601" s="17"/>
      <c r="AP601" s="17"/>
      <c r="AQ601" s="17"/>
    </row>
    <row r="602" spans="1:43" hidden="1">
      <c r="A602">
        <f t="shared" si="347"/>
        <v>599</v>
      </c>
      <c r="B602" s="407"/>
      <c r="C602" s="407"/>
      <c r="D602" s="408"/>
      <c r="E602" s="407"/>
      <c r="F602" s="408"/>
      <c r="G602" s="409"/>
      <c r="H602" s="410"/>
      <c r="I602" s="409"/>
      <c r="K602" s="17"/>
      <c r="L602" s="17"/>
      <c r="M602" s="17"/>
      <c r="N602" s="739"/>
      <c r="O602" s="739"/>
      <c r="P602" s="739"/>
      <c r="Q602" s="739"/>
      <c r="R602" s="739"/>
      <c r="S602" s="739"/>
      <c r="T602" s="739"/>
      <c r="U602" s="739"/>
      <c r="V602" s="739"/>
      <c r="W602" s="739"/>
      <c r="X602" s="739"/>
      <c r="Y602" s="739"/>
      <c r="Z602" s="740"/>
      <c r="AA602" s="740"/>
      <c r="AB602" s="17"/>
      <c r="AC602" s="17"/>
      <c r="AD602" s="17"/>
      <c r="AE602" s="17"/>
      <c r="AF602" s="17"/>
      <c r="AG602" s="17"/>
      <c r="AH602" s="17"/>
      <c r="AI602" s="17"/>
      <c r="AJ602" s="17"/>
      <c r="AK602" s="17"/>
      <c r="AL602" s="17"/>
      <c r="AM602" s="17"/>
      <c r="AN602" s="17"/>
      <c r="AO602" s="17"/>
      <c r="AP602" s="17"/>
      <c r="AQ602" s="17"/>
    </row>
    <row r="603" spans="1:43" hidden="1">
      <c r="A603">
        <f t="shared" si="347"/>
        <v>600</v>
      </c>
      <c r="B603" s="407"/>
      <c r="C603" s="407"/>
      <c r="D603" s="408"/>
      <c r="E603" s="407"/>
      <c r="F603" s="408"/>
      <c r="G603" s="409"/>
      <c r="H603" s="410"/>
      <c r="I603" s="409"/>
      <c r="K603" s="17"/>
      <c r="L603" s="17"/>
      <c r="M603" s="17"/>
      <c r="N603" s="739"/>
      <c r="O603" s="739"/>
      <c r="P603" s="739"/>
      <c r="Q603" s="739"/>
      <c r="R603" s="739"/>
      <c r="S603" s="739"/>
      <c r="T603" s="739"/>
      <c r="U603" s="739"/>
      <c r="V603" s="739"/>
      <c r="W603" s="739"/>
      <c r="X603" s="739"/>
      <c r="Y603" s="739"/>
      <c r="Z603" s="740"/>
      <c r="AA603" s="740"/>
      <c r="AB603" s="17"/>
      <c r="AC603" s="17"/>
      <c r="AD603" s="17"/>
      <c r="AE603" s="17"/>
      <c r="AF603" s="17"/>
      <c r="AG603" s="17"/>
      <c r="AH603" s="17"/>
      <c r="AI603" s="17"/>
      <c r="AJ603" s="17"/>
      <c r="AK603" s="17"/>
      <c r="AL603" s="17"/>
      <c r="AM603" s="17"/>
      <c r="AN603" s="17"/>
      <c r="AO603" s="17"/>
      <c r="AP603" s="17"/>
      <c r="AQ603" s="17"/>
    </row>
    <row r="604" spans="1:43" hidden="1">
      <c r="A604">
        <f t="shared" si="347"/>
        <v>601</v>
      </c>
      <c r="B604" s="407"/>
      <c r="C604" s="407"/>
      <c r="D604" s="408"/>
      <c r="E604" s="407"/>
      <c r="F604" s="408"/>
      <c r="G604" s="409"/>
      <c r="H604" s="410"/>
      <c r="I604" s="409"/>
      <c r="K604" s="17"/>
      <c r="L604" s="17"/>
      <c r="M604" s="17"/>
      <c r="N604" s="739"/>
      <c r="O604" s="739"/>
      <c r="P604" s="739"/>
      <c r="Q604" s="739"/>
      <c r="R604" s="739"/>
      <c r="S604" s="739"/>
      <c r="T604" s="739"/>
      <c r="U604" s="739"/>
      <c r="V604" s="739"/>
      <c r="W604" s="739"/>
      <c r="X604" s="739"/>
      <c r="Y604" s="739"/>
      <c r="Z604" s="740"/>
      <c r="AA604" s="740"/>
      <c r="AB604" s="17"/>
      <c r="AC604" s="17"/>
      <c r="AD604" s="17"/>
      <c r="AE604" s="17"/>
      <c r="AF604" s="17"/>
      <c r="AG604" s="17"/>
      <c r="AH604" s="17"/>
      <c r="AI604" s="17"/>
      <c r="AJ604" s="17"/>
      <c r="AK604" s="17"/>
      <c r="AL604" s="17"/>
      <c r="AM604" s="17"/>
      <c r="AN604" s="17"/>
      <c r="AO604" s="17"/>
      <c r="AP604" s="17"/>
      <c r="AQ604" s="17"/>
    </row>
    <row r="605" spans="1:43" hidden="1">
      <c r="A605">
        <f t="shared" si="347"/>
        <v>602</v>
      </c>
      <c r="B605" s="407"/>
      <c r="C605" s="407"/>
      <c r="D605" s="408"/>
      <c r="E605" s="407"/>
      <c r="F605" s="408"/>
      <c r="G605" s="409"/>
      <c r="H605" s="410"/>
      <c r="I605" s="409"/>
      <c r="K605" s="17"/>
      <c r="L605" s="17"/>
      <c r="M605" s="17"/>
      <c r="N605" s="739"/>
      <c r="O605" s="739"/>
      <c r="P605" s="739"/>
      <c r="Q605" s="739"/>
      <c r="R605" s="739"/>
      <c r="S605" s="739"/>
      <c r="T605" s="739"/>
      <c r="U605" s="739"/>
      <c r="V605" s="739"/>
      <c r="W605" s="739"/>
      <c r="X605" s="739"/>
      <c r="Y605" s="739"/>
      <c r="Z605" s="740"/>
      <c r="AA605" s="740"/>
      <c r="AB605" s="17"/>
      <c r="AC605" s="17"/>
      <c r="AD605" s="17"/>
      <c r="AE605" s="17"/>
      <c r="AF605" s="17"/>
      <c r="AG605" s="17"/>
      <c r="AH605" s="17"/>
      <c r="AI605" s="17"/>
      <c r="AJ605" s="17"/>
      <c r="AK605" s="17"/>
      <c r="AL605" s="17"/>
      <c r="AM605" s="17"/>
      <c r="AN605" s="17"/>
      <c r="AO605" s="17"/>
      <c r="AP605" s="17"/>
      <c r="AQ605" s="17"/>
    </row>
    <row r="606" spans="1:43" hidden="1">
      <c r="A606">
        <f t="shared" si="347"/>
        <v>603</v>
      </c>
      <c r="B606" s="407"/>
      <c r="C606" s="407"/>
      <c r="D606" s="408"/>
      <c r="E606" s="407"/>
      <c r="F606" s="408"/>
      <c r="G606" s="409"/>
      <c r="H606" s="410"/>
      <c r="I606" s="409"/>
      <c r="K606" s="17"/>
      <c r="L606" s="17"/>
      <c r="M606" s="17"/>
      <c r="N606" s="739"/>
      <c r="O606" s="739"/>
      <c r="P606" s="739"/>
      <c r="Q606" s="739"/>
      <c r="R606" s="739"/>
      <c r="S606" s="739"/>
      <c r="T606" s="739"/>
      <c r="U606" s="739"/>
      <c r="V606" s="739"/>
      <c r="W606" s="739"/>
      <c r="X606" s="739"/>
      <c r="Y606" s="739"/>
      <c r="Z606" s="740"/>
      <c r="AA606" s="740"/>
      <c r="AB606" s="17"/>
      <c r="AC606" s="17"/>
      <c r="AD606" s="17"/>
      <c r="AE606" s="17"/>
      <c r="AF606" s="17"/>
      <c r="AG606" s="17"/>
      <c r="AH606" s="17"/>
      <c r="AI606" s="17"/>
      <c r="AJ606" s="17"/>
      <c r="AK606" s="17"/>
      <c r="AL606" s="17"/>
      <c r="AM606" s="17"/>
      <c r="AN606" s="17"/>
      <c r="AO606" s="17"/>
      <c r="AP606" s="17"/>
      <c r="AQ606" s="17"/>
    </row>
    <row r="607" spans="1:43" hidden="1">
      <c r="A607">
        <f t="shared" si="347"/>
        <v>604</v>
      </c>
      <c r="B607" s="407"/>
      <c r="C607" s="407"/>
      <c r="D607" s="408"/>
      <c r="E607" s="407"/>
      <c r="F607" s="408"/>
      <c r="G607" s="409"/>
      <c r="H607" s="410"/>
      <c r="I607" s="409"/>
      <c r="K607" s="17"/>
      <c r="L607" s="17"/>
      <c r="M607" s="17"/>
      <c r="N607" s="739"/>
      <c r="O607" s="739"/>
      <c r="P607" s="739"/>
      <c r="Q607" s="739"/>
      <c r="R607" s="739"/>
      <c r="S607" s="739"/>
      <c r="T607" s="739"/>
      <c r="U607" s="739"/>
      <c r="V607" s="739"/>
      <c r="W607" s="739"/>
      <c r="X607" s="739"/>
      <c r="Y607" s="739"/>
      <c r="Z607" s="740"/>
      <c r="AA607" s="740"/>
      <c r="AB607" s="17"/>
      <c r="AC607" s="17"/>
      <c r="AD607" s="17"/>
      <c r="AE607" s="17"/>
      <c r="AF607" s="17"/>
      <c r="AG607" s="17"/>
      <c r="AH607" s="17"/>
      <c r="AI607" s="17"/>
      <c r="AJ607" s="17"/>
      <c r="AK607" s="17"/>
      <c r="AL607" s="17"/>
      <c r="AM607" s="17"/>
      <c r="AN607" s="17"/>
      <c r="AO607" s="17"/>
      <c r="AP607" s="17"/>
      <c r="AQ607" s="17"/>
    </row>
    <row r="608" spans="1:43" hidden="1">
      <c r="A608">
        <f t="shared" si="347"/>
        <v>605</v>
      </c>
      <c r="B608" s="407"/>
      <c r="C608" s="407"/>
      <c r="D608" s="408"/>
      <c r="E608" s="407"/>
      <c r="F608" s="408"/>
      <c r="G608" s="409"/>
      <c r="H608" s="410"/>
      <c r="I608" s="409"/>
      <c r="K608" s="17"/>
      <c r="L608" s="17"/>
      <c r="M608" s="17"/>
      <c r="N608" s="739"/>
      <c r="O608" s="739"/>
      <c r="P608" s="739"/>
      <c r="Q608" s="739"/>
      <c r="R608" s="739"/>
      <c r="S608" s="739"/>
      <c r="T608" s="739"/>
      <c r="U608" s="739"/>
      <c r="V608" s="739"/>
      <c r="W608" s="739"/>
      <c r="X608" s="739"/>
      <c r="Y608" s="739"/>
      <c r="Z608" s="740"/>
      <c r="AA608" s="740"/>
      <c r="AB608" s="17"/>
      <c r="AC608" s="17"/>
      <c r="AD608" s="17"/>
      <c r="AE608" s="17"/>
      <c r="AF608" s="17"/>
      <c r="AG608" s="17"/>
      <c r="AH608" s="17"/>
      <c r="AI608" s="17"/>
      <c r="AJ608" s="17"/>
      <c r="AK608" s="17"/>
      <c r="AL608" s="17"/>
      <c r="AM608" s="17"/>
      <c r="AN608" s="17"/>
      <c r="AO608" s="17"/>
      <c r="AP608" s="17"/>
      <c r="AQ608" s="17"/>
    </row>
    <row r="609" spans="1:43" hidden="1">
      <c r="A609">
        <f t="shared" si="347"/>
        <v>606</v>
      </c>
      <c r="B609" s="407"/>
      <c r="C609" s="407"/>
      <c r="D609" s="408"/>
      <c r="E609" s="407"/>
      <c r="F609" s="408"/>
      <c r="G609" s="409"/>
      <c r="H609" s="410"/>
      <c r="I609" s="409"/>
      <c r="K609" s="17"/>
      <c r="L609" s="17"/>
      <c r="M609" s="17"/>
      <c r="N609" s="739"/>
      <c r="O609" s="739"/>
      <c r="P609" s="739"/>
      <c r="Q609" s="739"/>
      <c r="R609" s="739"/>
      <c r="S609" s="739"/>
      <c r="T609" s="739"/>
      <c r="U609" s="739"/>
      <c r="V609" s="739"/>
      <c r="W609" s="739"/>
      <c r="X609" s="739"/>
      <c r="Y609" s="739"/>
      <c r="Z609" s="740"/>
      <c r="AA609" s="740"/>
      <c r="AB609" s="17"/>
      <c r="AC609" s="17"/>
      <c r="AD609" s="17"/>
      <c r="AE609" s="17"/>
      <c r="AF609" s="17"/>
      <c r="AG609" s="17"/>
      <c r="AH609" s="17"/>
      <c r="AI609" s="17"/>
      <c r="AJ609" s="17"/>
      <c r="AK609" s="17"/>
      <c r="AL609" s="17"/>
      <c r="AM609" s="17"/>
      <c r="AN609" s="17"/>
      <c r="AO609" s="17"/>
      <c r="AP609" s="17"/>
      <c r="AQ609" s="17"/>
    </row>
    <row r="610" spans="1:43" hidden="1">
      <c r="A610">
        <f t="shared" si="347"/>
        <v>607</v>
      </c>
      <c r="B610" s="407"/>
      <c r="C610" s="407"/>
      <c r="D610" s="408"/>
      <c r="E610" s="407"/>
      <c r="F610" s="408"/>
      <c r="G610" s="409"/>
      <c r="H610" s="410"/>
      <c r="I610" s="409"/>
      <c r="K610" s="17"/>
      <c r="L610" s="17"/>
      <c r="M610" s="17"/>
      <c r="N610" s="739"/>
      <c r="O610" s="739"/>
      <c r="P610" s="739"/>
      <c r="Q610" s="739"/>
      <c r="R610" s="739"/>
      <c r="S610" s="739"/>
      <c r="T610" s="739"/>
      <c r="U610" s="739"/>
      <c r="V610" s="739"/>
      <c r="W610" s="739"/>
      <c r="X610" s="739"/>
      <c r="Y610" s="739"/>
      <c r="Z610" s="740"/>
      <c r="AA610" s="740"/>
      <c r="AB610" s="17"/>
      <c r="AC610" s="17"/>
      <c r="AD610" s="17"/>
      <c r="AE610" s="17"/>
      <c r="AF610" s="17"/>
      <c r="AG610" s="17"/>
      <c r="AH610" s="17"/>
      <c r="AI610" s="17"/>
      <c r="AJ610" s="17"/>
      <c r="AK610" s="17"/>
      <c r="AL610" s="17"/>
      <c r="AM610" s="17"/>
      <c r="AN610" s="17"/>
      <c r="AO610" s="17"/>
      <c r="AP610" s="17"/>
      <c r="AQ610" s="17"/>
    </row>
    <row r="611" spans="1:43" hidden="1">
      <c r="A611">
        <f t="shared" si="347"/>
        <v>608</v>
      </c>
      <c r="B611" s="407"/>
      <c r="C611" s="407"/>
      <c r="D611" s="408"/>
      <c r="E611" s="407"/>
      <c r="F611" s="408"/>
      <c r="G611" s="409"/>
      <c r="H611" s="410"/>
      <c r="I611" s="409"/>
      <c r="K611" s="17"/>
      <c r="L611" s="17"/>
      <c r="M611" s="17"/>
      <c r="N611" s="739"/>
      <c r="O611" s="739"/>
      <c r="P611" s="739"/>
      <c r="Q611" s="739"/>
      <c r="R611" s="739"/>
      <c r="S611" s="739"/>
      <c r="T611" s="739"/>
      <c r="U611" s="739"/>
      <c r="V611" s="739"/>
      <c r="W611" s="739"/>
      <c r="X611" s="739"/>
      <c r="Y611" s="739"/>
      <c r="Z611" s="740"/>
      <c r="AA611" s="740"/>
      <c r="AB611" s="17"/>
      <c r="AC611" s="17"/>
      <c r="AD611" s="17"/>
      <c r="AE611" s="17"/>
      <c r="AF611" s="17"/>
      <c r="AG611" s="17"/>
      <c r="AH611" s="17"/>
      <c r="AI611" s="17"/>
      <c r="AJ611" s="17"/>
      <c r="AK611" s="17"/>
      <c r="AL611" s="17"/>
      <c r="AM611" s="17"/>
      <c r="AN611" s="17"/>
      <c r="AO611" s="17"/>
      <c r="AP611" s="17"/>
      <c r="AQ611" s="17"/>
    </row>
    <row r="612" spans="1:43" hidden="1">
      <c r="A612">
        <f t="shared" si="347"/>
        <v>609</v>
      </c>
      <c r="B612" s="407"/>
      <c r="C612" s="407"/>
      <c r="D612" s="408"/>
      <c r="E612" s="407"/>
      <c r="F612" s="408"/>
      <c r="G612" s="409"/>
      <c r="H612" s="410"/>
      <c r="I612" s="409"/>
      <c r="K612" s="17"/>
      <c r="L612" s="17"/>
      <c r="M612" s="17"/>
      <c r="N612" s="739"/>
      <c r="O612" s="739"/>
      <c r="P612" s="739"/>
      <c r="Q612" s="739"/>
      <c r="R612" s="739"/>
      <c r="S612" s="739"/>
      <c r="T612" s="739"/>
      <c r="U612" s="739"/>
      <c r="V612" s="739"/>
      <c r="W612" s="739"/>
      <c r="X612" s="739"/>
      <c r="Y612" s="739"/>
      <c r="Z612" s="740"/>
      <c r="AA612" s="740"/>
      <c r="AB612" s="17"/>
      <c r="AC612" s="17"/>
      <c r="AD612" s="17"/>
      <c r="AE612" s="17"/>
      <c r="AF612" s="17"/>
      <c r="AG612" s="17"/>
      <c r="AH612" s="17"/>
      <c r="AI612" s="17"/>
      <c r="AJ612" s="17"/>
      <c r="AK612" s="17"/>
      <c r="AL612" s="17"/>
      <c r="AM612" s="17"/>
      <c r="AN612" s="17"/>
      <c r="AO612" s="17"/>
      <c r="AP612" s="17"/>
      <c r="AQ612" s="17"/>
    </row>
    <row r="613" spans="1:43" hidden="1">
      <c r="A613">
        <f t="shared" ref="A613:A676" si="348">A612+1</f>
        <v>610</v>
      </c>
      <c r="B613" s="407"/>
      <c r="C613" s="407"/>
      <c r="D613" s="408"/>
      <c r="E613" s="407"/>
      <c r="F613" s="408"/>
      <c r="G613" s="409"/>
      <c r="H613" s="410"/>
      <c r="I613" s="409"/>
      <c r="K613" s="17"/>
      <c r="L613" s="17"/>
      <c r="M613" s="17"/>
      <c r="N613" s="739"/>
      <c r="O613" s="739"/>
      <c r="P613" s="739"/>
      <c r="Q613" s="739"/>
      <c r="R613" s="739"/>
      <c r="S613" s="739"/>
      <c r="T613" s="739"/>
      <c r="U613" s="739"/>
      <c r="V613" s="739"/>
      <c r="W613" s="739"/>
      <c r="X613" s="739"/>
      <c r="Y613" s="739"/>
      <c r="Z613" s="740"/>
      <c r="AA613" s="740"/>
      <c r="AB613" s="17"/>
      <c r="AC613" s="17"/>
      <c r="AD613" s="17"/>
      <c r="AE613" s="17"/>
      <c r="AF613" s="17"/>
      <c r="AG613" s="17"/>
      <c r="AH613" s="17"/>
      <c r="AI613" s="17"/>
      <c r="AJ613" s="17"/>
      <c r="AK613" s="17"/>
      <c r="AL613" s="17"/>
      <c r="AM613" s="17"/>
      <c r="AN613" s="17"/>
      <c r="AO613" s="17"/>
      <c r="AP613" s="17"/>
      <c r="AQ613" s="17"/>
    </row>
    <row r="614" spans="1:43" hidden="1">
      <c r="A614">
        <f t="shared" si="348"/>
        <v>611</v>
      </c>
      <c r="B614" s="407"/>
      <c r="C614" s="407"/>
      <c r="D614" s="408"/>
      <c r="E614" s="407"/>
      <c r="F614" s="408"/>
      <c r="G614" s="409"/>
      <c r="H614" s="410"/>
      <c r="I614" s="409"/>
      <c r="K614" s="17"/>
      <c r="L614" s="17"/>
      <c r="M614" s="17"/>
      <c r="N614" s="739"/>
      <c r="O614" s="739"/>
      <c r="P614" s="739"/>
      <c r="Q614" s="739"/>
      <c r="R614" s="739"/>
      <c r="S614" s="739"/>
      <c r="T614" s="739"/>
      <c r="U614" s="739"/>
      <c r="V614" s="739"/>
      <c r="W614" s="739"/>
      <c r="X614" s="739"/>
      <c r="Y614" s="739"/>
      <c r="Z614" s="740"/>
      <c r="AA614" s="740"/>
      <c r="AB614" s="17"/>
      <c r="AC614" s="17"/>
      <c r="AD614" s="17"/>
      <c r="AE614" s="17"/>
      <c r="AF614" s="17"/>
      <c r="AG614" s="17"/>
      <c r="AH614" s="17"/>
      <c r="AI614" s="17"/>
      <c r="AJ614" s="17"/>
      <c r="AK614" s="17"/>
      <c r="AL614" s="17"/>
      <c r="AM614" s="17"/>
      <c r="AN614" s="17"/>
      <c r="AO614" s="17"/>
      <c r="AP614" s="17"/>
      <c r="AQ614" s="17"/>
    </row>
    <row r="615" spans="1:43" hidden="1">
      <c r="A615">
        <f t="shared" si="348"/>
        <v>612</v>
      </c>
      <c r="B615" s="407"/>
      <c r="C615" s="407"/>
      <c r="D615" s="408"/>
      <c r="E615" s="407"/>
      <c r="F615" s="408"/>
      <c r="G615" s="409"/>
      <c r="H615" s="410"/>
      <c r="I615" s="409"/>
      <c r="K615" s="17"/>
      <c r="L615" s="17"/>
      <c r="M615" s="17"/>
      <c r="N615" s="739"/>
      <c r="O615" s="739"/>
      <c r="P615" s="739"/>
      <c r="Q615" s="739"/>
      <c r="R615" s="739"/>
      <c r="S615" s="739"/>
      <c r="T615" s="739"/>
      <c r="U615" s="739"/>
      <c r="V615" s="739"/>
      <c r="W615" s="739"/>
      <c r="X615" s="739"/>
      <c r="Y615" s="739"/>
      <c r="Z615" s="740"/>
      <c r="AA615" s="740"/>
      <c r="AB615" s="17"/>
      <c r="AC615" s="17"/>
      <c r="AD615" s="17"/>
      <c r="AE615" s="17"/>
      <c r="AF615" s="17"/>
      <c r="AG615" s="17"/>
      <c r="AH615" s="17"/>
      <c r="AI615" s="17"/>
      <c r="AJ615" s="17"/>
      <c r="AK615" s="17"/>
      <c r="AL615" s="17"/>
      <c r="AM615" s="17"/>
      <c r="AN615" s="17"/>
      <c r="AO615" s="17"/>
      <c r="AP615" s="17"/>
      <c r="AQ615" s="17"/>
    </row>
    <row r="616" spans="1:43" hidden="1">
      <c r="A616">
        <f t="shared" si="348"/>
        <v>613</v>
      </c>
      <c r="B616" s="407"/>
      <c r="C616" s="407"/>
      <c r="D616" s="408"/>
      <c r="E616" s="407"/>
      <c r="F616" s="408"/>
      <c r="G616" s="409"/>
      <c r="H616" s="410"/>
      <c r="I616" s="409"/>
      <c r="K616" s="17"/>
      <c r="L616" s="17"/>
      <c r="M616" s="17"/>
      <c r="N616" s="739"/>
      <c r="O616" s="739"/>
      <c r="P616" s="739"/>
      <c r="Q616" s="739"/>
      <c r="R616" s="739"/>
      <c r="S616" s="739"/>
      <c r="T616" s="739"/>
      <c r="U616" s="739"/>
      <c r="V616" s="739"/>
      <c r="W616" s="739"/>
      <c r="X616" s="739"/>
      <c r="Y616" s="739"/>
      <c r="Z616" s="740"/>
      <c r="AA616" s="740"/>
      <c r="AB616" s="17"/>
      <c r="AC616" s="17"/>
      <c r="AD616" s="17"/>
      <c r="AE616" s="17"/>
      <c r="AF616" s="17"/>
      <c r="AG616" s="17"/>
      <c r="AH616" s="17"/>
      <c r="AI616" s="17"/>
      <c r="AJ616" s="17"/>
      <c r="AK616" s="17"/>
      <c r="AL616" s="17"/>
      <c r="AM616" s="17"/>
      <c r="AN616" s="17"/>
      <c r="AO616" s="17"/>
      <c r="AP616" s="17"/>
      <c r="AQ616" s="17"/>
    </row>
    <row r="617" spans="1:43" hidden="1">
      <c r="A617">
        <f t="shared" si="348"/>
        <v>614</v>
      </c>
      <c r="B617" s="407"/>
      <c r="C617" s="407"/>
      <c r="D617" s="408"/>
      <c r="E617" s="407"/>
      <c r="F617" s="408"/>
      <c r="G617" s="409"/>
      <c r="H617" s="410"/>
      <c r="I617" s="409"/>
      <c r="K617" s="17"/>
      <c r="L617" s="17"/>
      <c r="M617" s="17"/>
      <c r="N617" s="739"/>
      <c r="O617" s="739"/>
      <c r="P617" s="739"/>
      <c r="Q617" s="739"/>
      <c r="R617" s="739"/>
      <c r="S617" s="739"/>
      <c r="T617" s="739"/>
      <c r="U617" s="739"/>
      <c r="V617" s="739"/>
      <c r="W617" s="739"/>
      <c r="X617" s="739"/>
      <c r="Y617" s="739"/>
      <c r="Z617" s="740"/>
      <c r="AA617" s="740"/>
      <c r="AB617" s="17"/>
      <c r="AC617" s="17"/>
      <c r="AD617" s="17"/>
      <c r="AE617" s="17"/>
      <c r="AF617" s="17"/>
      <c r="AG617" s="17"/>
      <c r="AH617" s="17"/>
      <c r="AI617" s="17"/>
      <c r="AJ617" s="17"/>
      <c r="AK617" s="17"/>
      <c r="AL617" s="17"/>
      <c r="AM617" s="17"/>
      <c r="AN617" s="17"/>
      <c r="AO617" s="17"/>
      <c r="AP617" s="17"/>
      <c r="AQ617" s="17"/>
    </row>
    <row r="618" spans="1:43" hidden="1">
      <c r="A618">
        <f t="shared" si="348"/>
        <v>615</v>
      </c>
      <c r="B618" s="407"/>
      <c r="C618" s="407"/>
      <c r="D618" s="408"/>
      <c r="E618" s="407"/>
      <c r="F618" s="408"/>
      <c r="G618" s="409"/>
      <c r="H618" s="410"/>
      <c r="I618" s="409"/>
      <c r="K618" s="17"/>
      <c r="L618" s="17"/>
      <c r="M618" s="17"/>
      <c r="N618" s="739"/>
      <c r="O618" s="739"/>
      <c r="P618" s="739"/>
      <c r="Q618" s="739"/>
      <c r="R618" s="739"/>
      <c r="S618" s="739"/>
      <c r="T618" s="739"/>
      <c r="U618" s="739"/>
      <c r="V618" s="739"/>
      <c r="W618" s="739"/>
      <c r="X618" s="739"/>
      <c r="Y618" s="739"/>
      <c r="Z618" s="740"/>
      <c r="AA618" s="740"/>
      <c r="AB618" s="17"/>
      <c r="AC618" s="17"/>
      <c r="AD618" s="17"/>
      <c r="AE618" s="17"/>
      <c r="AF618" s="17"/>
      <c r="AG618" s="17"/>
      <c r="AH618" s="17"/>
      <c r="AI618" s="17"/>
      <c r="AJ618" s="17"/>
      <c r="AK618" s="17"/>
      <c r="AL618" s="17"/>
      <c r="AM618" s="17"/>
      <c r="AN618" s="17"/>
      <c r="AO618" s="17"/>
      <c r="AP618" s="17"/>
      <c r="AQ618" s="17"/>
    </row>
    <row r="619" spans="1:43" hidden="1">
      <c r="A619">
        <f t="shared" si="348"/>
        <v>616</v>
      </c>
      <c r="B619" s="407"/>
      <c r="C619" s="407"/>
      <c r="D619" s="408"/>
      <c r="E619" s="407"/>
      <c r="F619" s="408"/>
      <c r="G619" s="409"/>
      <c r="H619" s="410"/>
      <c r="I619" s="409"/>
      <c r="K619" s="17"/>
      <c r="L619" s="17"/>
      <c r="M619" s="17"/>
      <c r="N619" s="739"/>
      <c r="O619" s="739"/>
      <c r="P619" s="739"/>
      <c r="Q619" s="739"/>
      <c r="R619" s="739"/>
      <c r="S619" s="739"/>
      <c r="T619" s="739"/>
      <c r="U619" s="739"/>
      <c r="V619" s="739"/>
      <c r="W619" s="739"/>
      <c r="X619" s="739"/>
      <c r="Y619" s="739"/>
      <c r="Z619" s="740"/>
      <c r="AA619" s="740"/>
      <c r="AB619" s="17"/>
      <c r="AC619" s="17"/>
      <c r="AD619" s="17"/>
      <c r="AE619" s="17"/>
      <c r="AF619" s="17"/>
      <c r="AG619" s="17"/>
      <c r="AH619" s="17"/>
      <c r="AI619" s="17"/>
      <c r="AJ619" s="17"/>
      <c r="AK619" s="17"/>
      <c r="AL619" s="17"/>
      <c r="AM619" s="17"/>
      <c r="AN619" s="17"/>
      <c r="AO619" s="17"/>
      <c r="AP619" s="17"/>
      <c r="AQ619" s="17"/>
    </row>
    <row r="620" spans="1:43" hidden="1">
      <c r="A620">
        <f t="shared" si="348"/>
        <v>617</v>
      </c>
      <c r="B620" s="407"/>
      <c r="C620" s="407"/>
      <c r="D620" s="408"/>
      <c r="E620" s="407"/>
      <c r="F620" s="408"/>
      <c r="G620" s="409"/>
      <c r="H620" s="410"/>
      <c r="I620" s="409"/>
      <c r="K620" s="17"/>
      <c r="L620" s="17"/>
      <c r="M620" s="17"/>
      <c r="N620" s="739"/>
      <c r="O620" s="739"/>
      <c r="P620" s="739"/>
      <c r="Q620" s="739"/>
      <c r="R620" s="739"/>
      <c r="S620" s="739"/>
      <c r="T620" s="739"/>
      <c r="U620" s="739"/>
      <c r="V620" s="739"/>
      <c r="W620" s="739"/>
      <c r="X620" s="739"/>
      <c r="Y620" s="739"/>
      <c r="Z620" s="740"/>
      <c r="AA620" s="740"/>
      <c r="AB620" s="17"/>
      <c r="AC620" s="17"/>
      <c r="AD620" s="17"/>
      <c r="AE620" s="17"/>
      <c r="AF620" s="17"/>
      <c r="AG620" s="17"/>
      <c r="AH620" s="17"/>
      <c r="AI620" s="17"/>
      <c r="AJ620" s="17"/>
      <c r="AK620" s="17"/>
      <c r="AL620" s="17"/>
      <c r="AM620" s="17"/>
      <c r="AN620" s="17"/>
      <c r="AO620" s="17"/>
      <c r="AP620" s="17"/>
      <c r="AQ620" s="17"/>
    </row>
    <row r="621" spans="1:43" hidden="1">
      <c r="A621">
        <f t="shared" si="348"/>
        <v>618</v>
      </c>
      <c r="B621" s="407"/>
      <c r="C621" s="407"/>
      <c r="D621" s="408"/>
      <c r="E621" s="407"/>
      <c r="F621" s="408"/>
      <c r="G621" s="409"/>
      <c r="H621" s="410"/>
      <c r="I621" s="409"/>
      <c r="K621" s="17"/>
      <c r="L621" s="17"/>
      <c r="M621" s="17"/>
      <c r="N621" s="739"/>
      <c r="O621" s="739"/>
      <c r="P621" s="739"/>
      <c r="Q621" s="739"/>
      <c r="R621" s="739"/>
      <c r="S621" s="739"/>
      <c r="T621" s="739"/>
      <c r="U621" s="739"/>
      <c r="V621" s="739"/>
      <c r="W621" s="739"/>
      <c r="X621" s="739"/>
      <c r="Y621" s="739"/>
      <c r="Z621" s="740"/>
      <c r="AA621" s="740"/>
      <c r="AB621" s="17"/>
      <c r="AC621" s="17"/>
      <c r="AD621" s="17"/>
      <c r="AE621" s="17"/>
      <c r="AF621" s="17"/>
      <c r="AG621" s="17"/>
      <c r="AH621" s="17"/>
      <c r="AI621" s="17"/>
      <c r="AJ621" s="17"/>
      <c r="AK621" s="17"/>
      <c r="AL621" s="17"/>
      <c r="AM621" s="17"/>
      <c r="AN621" s="17"/>
      <c r="AO621" s="17"/>
      <c r="AP621" s="17"/>
      <c r="AQ621" s="17"/>
    </row>
    <row r="622" spans="1:43" hidden="1">
      <c r="A622">
        <f t="shared" si="348"/>
        <v>619</v>
      </c>
      <c r="B622" s="407"/>
      <c r="C622" s="407"/>
      <c r="D622" s="408"/>
      <c r="E622" s="407"/>
      <c r="F622" s="408"/>
      <c r="G622" s="409"/>
      <c r="H622" s="410"/>
      <c r="I622" s="409"/>
      <c r="K622" s="17"/>
      <c r="L622" s="17"/>
      <c r="M622" s="17"/>
      <c r="N622" s="739"/>
      <c r="O622" s="739"/>
      <c r="P622" s="739"/>
      <c r="Q622" s="739"/>
      <c r="R622" s="739"/>
      <c r="S622" s="739"/>
      <c r="T622" s="739"/>
      <c r="U622" s="739"/>
      <c r="V622" s="739"/>
      <c r="W622" s="739"/>
      <c r="X622" s="739"/>
      <c r="Y622" s="739"/>
      <c r="Z622" s="740"/>
      <c r="AA622" s="740"/>
      <c r="AB622" s="17"/>
      <c r="AC622" s="17"/>
      <c r="AD622" s="17"/>
      <c r="AE622" s="17"/>
      <c r="AF622" s="17"/>
      <c r="AG622" s="17"/>
      <c r="AH622" s="17"/>
      <c r="AI622" s="17"/>
      <c r="AJ622" s="17"/>
      <c r="AK622" s="17"/>
      <c r="AL622" s="17"/>
      <c r="AM622" s="17"/>
      <c r="AN622" s="17"/>
      <c r="AO622" s="17"/>
      <c r="AP622" s="17"/>
      <c r="AQ622" s="17"/>
    </row>
    <row r="623" spans="1:43" hidden="1">
      <c r="A623">
        <f t="shared" si="348"/>
        <v>620</v>
      </c>
      <c r="B623" s="407"/>
      <c r="C623" s="407"/>
      <c r="D623" s="408"/>
      <c r="E623" s="407"/>
      <c r="F623" s="408"/>
      <c r="G623" s="409"/>
      <c r="H623" s="410"/>
      <c r="I623" s="409"/>
      <c r="K623" s="17"/>
      <c r="L623" s="17"/>
      <c r="M623" s="17"/>
      <c r="N623" s="739"/>
      <c r="O623" s="739"/>
      <c r="P623" s="739"/>
      <c r="Q623" s="739"/>
      <c r="R623" s="739"/>
      <c r="S623" s="739"/>
      <c r="T623" s="739"/>
      <c r="U623" s="739"/>
      <c r="V623" s="739"/>
      <c r="W623" s="739"/>
      <c r="X623" s="739"/>
      <c r="Y623" s="739"/>
      <c r="Z623" s="740"/>
      <c r="AA623" s="740"/>
      <c r="AB623" s="17"/>
      <c r="AC623" s="17"/>
      <c r="AD623" s="17"/>
      <c r="AE623" s="17"/>
      <c r="AF623" s="17"/>
      <c r="AG623" s="17"/>
      <c r="AH623" s="17"/>
      <c r="AI623" s="17"/>
      <c r="AJ623" s="17"/>
      <c r="AK623" s="17"/>
      <c r="AL623" s="17"/>
      <c r="AM623" s="17"/>
      <c r="AN623" s="17"/>
      <c r="AO623" s="17"/>
      <c r="AP623" s="17"/>
      <c r="AQ623" s="17"/>
    </row>
    <row r="624" spans="1:43" hidden="1">
      <c r="A624">
        <f t="shared" si="348"/>
        <v>621</v>
      </c>
      <c r="B624" s="407"/>
      <c r="C624" s="407"/>
      <c r="D624" s="408"/>
      <c r="E624" s="407"/>
      <c r="F624" s="408"/>
      <c r="G624" s="409"/>
      <c r="H624" s="410"/>
      <c r="I624" s="409"/>
      <c r="K624" s="17"/>
      <c r="L624" s="17"/>
      <c r="M624" s="17"/>
      <c r="N624" s="739"/>
      <c r="O624" s="739"/>
      <c r="P624" s="739"/>
      <c r="Q624" s="739"/>
      <c r="R624" s="739"/>
      <c r="S624" s="739"/>
      <c r="T624" s="739"/>
      <c r="U624" s="739"/>
      <c r="V624" s="739"/>
      <c r="W624" s="739"/>
      <c r="X624" s="739"/>
      <c r="Y624" s="739"/>
      <c r="Z624" s="740"/>
      <c r="AA624" s="740"/>
      <c r="AB624" s="17"/>
      <c r="AC624" s="17"/>
      <c r="AD624" s="17"/>
      <c r="AE624" s="17"/>
      <c r="AF624" s="17"/>
      <c r="AG624" s="17"/>
      <c r="AH624" s="17"/>
      <c r="AI624" s="17"/>
      <c r="AJ624" s="17"/>
      <c r="AK624" s="17"/>
      <c r="AL624" s="17"/>
      <c r="AM624" s="17"/>
      <c r="AN624" s="17"/>
      <c r="AO624" s="17"/>
      <c r="AP624" s="17"/>
      <c r="AQ624" s="17"/>
    </row>
    <row r="625" spans="1:43" hidden="1">
      <c r="A625">
        <f t="shared" si="348"/>
        <v>622</v>
      </c>
      <c r="B625" s="407"/>
      <c r="C625" s="407"/>
      <c r="D625" s="408"/>
      <c r="E625" s="407"/>
      <c r="F625" s="408"/>
      <c r="G625" s="409"/>
      <c r="H625" s="410"/>
      <c r="I625" s="409"/>
      <c r="K625" s="17"/>
      <c r="L625" s="17"/>
      <c r="M625" s="17"/>
      <c r="N625" s="739"/>
      <c r="O625" s="739"/>
      <c r="P625" s="739"/>
      <c r="Q625" s="739"/>
      <c r="R625" s="739"/>
      <c r="S625" s="739"/>
      <c r="T625" s="739"/>
      <c r="U625" s="739"/>
      <c r="V625" s="739"/>
      <c r="W625" s="739"/>
      <c r="X625" s="739"/>
      <c r="Y625" s="739"/>
      <c r="Z625" s="740"/>
      <c r="AA625" s="740"/>
      <c r="AB625" s="17"/>
      <c r="AC625" s="17"/>
      <c r="AD625" s="17"/>
      <c r="AE625" s="17"/>
      <c r="AF625" s="17"/>
      <c r="AG625" s="17"/>
      <c r="AH625" s="17"/>
      <c r="AI625" s="17"/>
      <c r="AJ625" s="17"/>
      <c r="AK625" s="17"/>
      <c r="AL625" s="17"/>
      <c r="AM625" s="17"/>
      <c r="AN625" s="17"/>
      <c r="AO625" s="17"/>
      <c r="AP625" s="17"/>
      <c r="AQ625" s="17"/>
    </row>
    <row r="626" spans="1:43" hidden="1">
      <c r="A626">
        <f t="shared" si="348"/>
        <v>623</v>
      </c>
      <c r="B626" s="407"/>
      <c r="C626" s="407"/>
      <c r="D626" s="408"/>
      <c r="E626" s="407"/>
      <c r="F626" s="408"/>
      <c r="G626" s="409"/>
      <c r="H626" s="410"/>
      <c r="I626" s="409"/>
      <c r="K626" s="17"/>
      <c r="L626" s="17"/>
      <c r="M626" s="17"/>
      <c r="N626" s="739"/>
      <c r="O626" s="739"/>
      <c r="P626" s="739"/>
      <c r="Q626" s="739"/>
      <c r="R626" s="739"/>
      <c r="S626" s="739"/>
      <c r="T626" s="739"/>
      <c r="U626" s="739"/>
      <c r="V626" s="739"/>
      <c r="W626" s="739"/>
      <c r="X626" s="739"/>
      <c r="Y626" s="739"/>
      <c r="Z626" s="740"/>
      <c r="AA626" s="740"/>
      <c r="AB626" s="17"/>
      <c r="AC626" s="17"/>
      <c r="AD626" s="17"/>
      <c r="AE626" s="17"/>
      <c r="AF626" s="17"/>
      <c r="AG626" s="17"/>
      <c r="AH626" s="17"/>
      <c r="AI626" s="17"/>
      <c r="AJ626" s="17"/>
      <c r="AK626" s="17"/>
      <c r="AL626" s="17"/>
      <c r="AM626" s="17"/>
      <c r="AN626" s="17"/>
      <c r="AO626" s="17"/>
      <c r="AP626" s="17"/>
      <c r="AQ626" s="17"/>
    </row>
    <row r="627" spans="1:43" hidden="1">
      <c r="A627">
        <f t="shared" si="348"/>
        <v>624</v>
      </c>
      <c r="B627" s="407"/>
      <c r="C627" s="407"/>
      <c r="D627" s="408"/>
      <c r="E627" s="407"/>
      <c r="F627" s="408"/>
      <c r="G627" s="409"/>
      <c r="H627" s="410"/>
      <c r="I627" s="409"/>
      <c r="K627" s="17"/>
      <c r="L627" s="17"/>
      <c r="M627" s="17"/>
      <c r="N627" s="739"/>
      <c r="O627" s="739"/>
      <c r="P627" s="739"/>
      <c r="Q627" s="739"/>
      <c r="R627" s="739"/>
      <c r="S627" s="739"/>
      <c r="T627" s="739"/>
      <c r="U627" s="739"/>
      <c r="V627" s="739"/>
      <c r="W627" s="739"/>
      <c r="X627" s="739"/>
      <c r="Y627" s="739"/>
      <c r="Z627" s="740"/>
      <c r="AA627" s="740"/>
      <c r="AB627" s="17"/>
      <c r="AC627" s="17"/>
      <c r="AD627" s="17"/>
      <c r="AE627" s="17"/>
      <c r="AF627" s="17"/>
      <c r="AG627" s="17"/>
      <c r="AH627" s="17"/>
      <c r="AI627" s="17"/>
      <c r="AJ627" s="17"/>
      <c r="AK627" s="17"/>
      <c r="AL627" s="17"/>
      <c r="AM627" s="17"/>
      <c r="AN627" s="17"/>
      <c r="AO627" s="17"/>
      <c r="AP627" s="17"/>
      <c r="AQ627" s="17"/>
    </row>
    <row r="628" spans="1:43" hidden="1">
      <c r="A628">
        <f t="shared" si="348"/>
        <v>625</v>
      </c>
      <c r="B628" s="407"/>
      <c r="C628" s="407"/>
      <c r="D628" s="408"/>
      <c r="E628" s="407"/>
      <c r="F628" s="408"/>
      <c r="G628" s="409"/>
      <c r="H628" s="410"/>
      <c r="I628" s="409"/>
      <c r="K628" s="17"/>
      <c r="L628" s="17"/>
      <c r="M628" s="17"/>
      <c r="N628" s="739"/>
      <c r="O628" s="739"/>
      <c r="P628" s="739"/>
      <c r="Q628" s="739"/>
      <c r="R628" s="739"/>
      <c r="S628" s="739"/>
      <c r="T628" s="739"/>
      <c r="U628" s="739"/>
      <c r="V628" s="739"/>
      <c r="W628" s="739"/>
      <c r="X628" s="739"/>
      <c r="Y628" s="739"/>
      <c r="Z628" s="740"/>
      <c r="AA628" s="740"/>
      <c r="AB628" s="17"/>
      <c r="AC628" s="17"/>
      <c r="AD628" s="17"/>
      <c r="AE628" s="17"/>
      <c r="AF628" s="17"/>
      <c r="AG628" s="17"/>
      <c r="AH628" s="17"/>
      <c r="AI628" s="17"/>
      <c r="AJ628" s="17"/>
      <c r="AK628" s="17"/>
      <c r="AL628" s="17"/>
      <c r="AM628" s="17"/>
      <c r="AN628" s="17"/>
      <c r="AO628" s="17"/>
      <c r="AP628" s="17"/>
      <c r="AQ628" s="17"/>
    </row>
    <row r="629" spans="1:43" hidden="1">
      <c r="A629">
        <f t="shared" si="348"/>
        <v>626</v>
      </c>
      <c r="B629" s="407"/>
      <c r="C629" s="407"/>
      <c r="D629" s="408"/>
      <c r="E629" s="407"/>
      <c r="F629" s="408"/>
      <c r="G629" s="409"/>
      <c r="H629" s="410"/>
      <c r="I629" s="409"/>
      <c r="K629" s="17"/>
      <c r="L629" s="17"/>
      <c r="M629" s="17"/>
      <c r="N629" s="739"/>
      <c r="O629" s="739"/>
      <c r="P629" s="739"/>
      <c r="Q629" s="739"/>
      <c r="R629" s="739"/>
      <c r="S629" s="739"/>
      <c r="T629" s="739"/>
      <c r="U629" s="739"/>
      <c r="V629" s="739"/>
      <c r="W629" s="739"/>
      <c r="X629" s="739"/>
      <c r="Y629" s="739"/>
      <c r="Z629" s="740"/>
      <c r="AA629" s="740"/>
      <c r="AB629" s="17"/>
      <c r="AC629" s="17"/>
      <c r="AD629" s="17"/>
      <c r="AE629" s="17"/>
      <c r="AF629" s="17"/>
      <c r="AG629" s="17"/>
      <c r="AH629" s="17"/>
      <c r="AI629" s="17"/>
      <c r="AJ629" s="17"/>
      <c r="AK629" s="17"/>
      <c r="AL629" s="17"/>
      <c r="AM629" s="17"/>
      <c r="AN629" s="17"/>
      <c r="AO629" s="17"/>
      <c r="AP629" s="17"/>
      <c r="AQ629" s="17"/>
    </row>
    <row r="630" spans="1:43" hidden="1">
      <c r="A630">
        <f t="shared" si="348"/>
        <v>627</v>
      </c>
      <c r="B630" s="407"/>
      <c r="C630" s="407"/>
      <c r="D630" s="408"/>
      <c r="E630" s="407"/>
      <c r="F630" s="408"/>
      <c r="G630" s="409"/>
      <c r="H630" s="410"/>
      <c r="I630" s="409"/>
      <c r="K630" s="17"/>
      <c r="L630" s="17"/>
      <c r="M630" s="17"/>
      <c r="N630" s="739"/>
      <c r="O630" s="739"/>
      <c r="P630" s="739"/>
      <c r="Q630" s="739"/>
      <c r="R630" s="739"/>
      <c r="S630" s="739"/>
      <c r="T630" s="739"/>
      <c r="U630" s="739"/>
      <c r="V630" s="739"/>
      <c r="W630" s="739"/>
      <c r="X630" s="739"/>
      <c r="Y630" s="739"/>
      <c r="Z630" s="740"/>
      <c r="AA630" s="740"/>
      <c r="AB630" s="17"/>
      <c r="AC630" s="17"/>
      <c r="AD630" s="17"/>
      <c r="AE630" s="17"/>
      <c r="AF630" s="17"/>
      <c r="AG630" s="17"/>
      <c r="AH630" s="17"/>
      <c r="AI630" s="17"/>
      <c r="AJ630" s="17"/>
      <c r="AK630" s="17"/>
      <c r="AL630" s="17"/>
      <c r="AM630" s="17"/>
      <c r="AN630" s="17"/>
      <c r="AO630" s="17"/>
      <c r="AP630" s="17"/>
      <c r="AQ630" s="17"/>
    </row>
    <row r="631" spans="1:43" hidden="1">
      <c r="A631">
        <f t="shared" si="348"/>
        <v>628</v>
      </c>
      <c r="B631" s="407"/>
      <c r="C631" s="407"/>
      <c r="D631" s="408"/>
      <c r="E631" s="407"/>
      <c r="F631" s="408"/>
      <c r="G631" s="409"/>
      <c r="H631" s="410"/>
      <c r="I631" s="409"/>
      <c r="K631" s="17"/>
      <c r="L631" s="17"/>
      <c r="M631" s="17"/>
      <c r="N631" s="739"/>
      <c r="O631" s="739"/>
      <c r="P631" s="739"/>
      <c r="Q631" s="739"/>
      <c r="R631" s="739"/>
      <c r="S631" s="739"/>
      <c r="T631" s="739"/>
      <c r="U631" s="739"/>
      <c r="V631" s="739"/>
      <c r="W631" s="739"/>
      <c r="X631" s="739"/>
      <c r="Y631" s="739"/>
      <c r="Z631" s="740"/>
      <c r="AA631" s="740"/>
      <c r="AB631" s="17"/>
      <c r="AC631" s="17"/>
      <c r="AD631" s="17"/>
      <c r="AE631" s="17"/>
      <c r="AF631" s="17"/>
      <c r="AG631" s="17"/>
      <c r="AH631" s="17"/>
      <c r="AI631" s="17"/>
      <c r="AJ631" s="17"/>
      <c r="AK631" s="17"/>
      <c r="AL631" s="17"/>
      <c r="AM631" s="17"/>
      <c r="AN631" s="17"/>
      <c r="AO631" s="17"/>
      <c r="AP631" s="17"/>
      <c r="AQ631" s="17"/>
    </row>
    <row r="632" spans="1:43" hidden="1">
      <c r="A632">
        <f t="shared" si="348"/>
        <v>629</v>
      </c>
      <c r="B632" s="407"/>
      <c r="C632" s="407"/>
      <c r="D632" s="408"/>
      <c r="E632" s="407"/>
      <c r="F632" s="408"/>
      <c r="G632" s="409"/>
      <c r="H632" s="410"/>
      <c r="I632" s="409"/>
      <c r="K632" s="17"/>
      <c r="L632" s="17"/>
      <c r="M632" s="17"/>
      <c r="N632" s="739"/>
      <c r="O632" s="739"/>
      <c r="P632" s="739"/>
      <c r="Q632" s="739"/>
      <c r="R632" s="739"/>
      <c r="S632" s="739"/>
      <c r="T632" s="739"/>
      <c r="U632" s="739"/>
      <c r="V632" s="739"/>
      <c r="W632" s="739"/>
      <c r="X632" s="739"/>
      <c r="Y632" s="739"/>
      <c r="Z632" s="740"/>
      <c r="AA632" s="740"/>
      <c r="AB632" s="17"/>
      <c r="AC632" s="17"/>
      <c r="AD632" s="17"/>
      <c r="AE632" s="17"/>
      <c r="AF632" s="17"/>
      <c r="AG632" s="17"/>
      <c r="AH632" s="17"/>
      <c r="AI632" s="17"/>
      <c r="AJ632" s="17"/>
      <c r="AK632" s="17"/>
      <c r="AL632" s="17"/>
      <c r="AM632" s="17"/>
      <c r="AN632" s="17"/>
      <c r="AO632" s="17"/>
      <c r="AP632" s="17"/>
      <c r="AQ632" s="17"/>
    </row>
    <row r="633" spans="1:43" hidden="1">
      <c r="A633">
        <f t="shared" si="348"/>
        <v>630</v>
      </c>
      <c r="B633" s="407"/>
      <c r="C633" s="407"/>
      <c r="D633" s="408"/>
      <c r="E633" s="407"/>
      <c r="F633" s="408"/>
      <c r="G633" s="409"/>
      <c r="H633" s="410"/>
      <c r="I633" s="409"/>
      <c r="K633" s="17"/>
      <c r="L633" s="17"/>
      <c r="M633" s="17"/>
      <c r="N633" s="739"/>
      <c r="O633" s="739"/>
      <c r="P633" s="739"/>
      <c r="Q633" s="739"/>
      <c r="R633" s="739"/>
      <c r="S633" s="739"/>
      <c r="T633" s="739"/>
      <c r="U633" s="739"/>
      <c r="V633" s="739"/>
      <c r="W633" s="739"/>
      <c r="X633" s="739"/>
      <c r="Y633" s="739"/>
      <c r="Z633" s="740"/>
      <c r="AA633" s="740"/>
      <c r="AB633" s="17"/>
      <c r="AC633" s="17"/>
      <c r="AD633" s="17"/>
      <c r="AE633" s="17"/>
      <c r="AF633" s="17"/>
      <c r="AG633" s="17"/>
      <c r="AH633" s="17"/>
      <c r="AI633" s="17"/>
      <c r="AJ633" s="17"/>
      <c r="AK633" s="17"/>
      <c r="AL633" s="17"/>
      <c r="AM633" s="17"/>
      <c r="AN633" s="17"/>
      <c r="AO633" s="17"/>
      <c r="AP633" s="17"/>
      <c r="AQ633" s="17"/>
    </row>
    <row r="634" spans="1:43" hidden="1">
      <c r="A634">
        <f t="shared" si="348"/>
        <v>631</v>
      </c>
      <c r="B634" s="407"/>
      <c r="C634" s="407"/>
      <c r="D634" s="408"/>
      <c r="E634" s="407"/>
      <c r="F634" s="408"/>
      <c r="G634" s="409"/>
      <c r="H634" s="410"/>
      <c r="I634" s="409"/>
      <c r="K634" s="17"/>
      <c r="L634" s="17"/>
      <c r="M634" s="17"/>
      <c r="N634" s="739"/>
      <c r="O634" s="739"/>
      <c r="P634" s="739"/>
      <c r="Q634" s="739"/>
      <c r="R634" s="739"/>
      <c r="S634" s="739"/>
      <c r="T634" s="739"/>
      <c r="U634" s="739"/>
      <c r="V634" s="739"/>
      <c r="W634" s="739"/>
      <c r="X634" s="739"/>
      <c r="Y634" s="739"/>
      <c r="Z634" s="740"/>
      <c r="AA634" s="740"/>
      <c r="AB634" s="17"/>
      <c r="AC634" s="17"/>
      <c r="AD634" s="17"/>
      <c r="AE634" s="17"/>
      <c r="AF634" s="17"/>
      <c r="AG634" s="17"/>
      <c r="AH634" s="17"/>
      <c r="AI634" s="17"/>
      <c r="AJ634" s="17"/>
      <c r="AK634" s="17"/>
      <c r="AL634" s="17"/>
      <c r="AM634" s="17"/>
      <c r="AN634" s="17"/>
      <c r="AO634" s="17"/>
      <c r="AP634" s="17"/>
      <c r="AQ634" s="17"/>
    </row>
    <row r="635" spans="1:43" hidden="1">
      <c r="A635">
        <f t="shared" si="348"/>
        <v>632</v>
      </c>
      <c r="B635" s="407"/>
      <c r="C635" s="407"/>
      <c r="D635" s="408"/>
      <c r="E635" s="407"/>
      <c r="F635" s="408"/>
      <c r="G635" s="409"/>
      <c r="H635" s="410"/>
      <c r="I635" s="409"/>
      <c r="K635" s="17"/>
      <c r="L635" s="17"/>
      <c r="M635" s="17"/>
      <c r="N635" s="739"/>
      <c r="O635" s="739"/>
      <c r="P635" s="739"/>
      <c r="Q635" s="739"/>
      <c r="R635" s="739"/>
      <c r="S635" s="739"/>
      <c r="T635" s="739"/>
      <c r="U635" s="739"/>
      <c r="V635" s="739"/>
      <c r="W635" s="739"/>
      <c r="X635" s="739"/>
      <c r="Y635" s="739"/>
      <c r="Z635" s="740"/>
      <c r="AA635" s="740"/>
      <c r="AB635" s="17"/>
      <c r="AC635" s="17"/>
      <c r="AD635" s="17"/>
      <c r="AE635" s="17"/>
      <c r="AF635" s="17"/>
      <c r="AG635" s="17"/>
      <c r="AH635" s="17"/>
      <c r="AI635" s="17"/>
      <c r="AJ635" s="17"/>
      <c r="AK635" s="17"/>
      <c r="AL635" s="17"/>
      <c r="AM635" s="17"/>
      <c r="AN635" s="17"/>
      <c r="AO635" s="17"/>
      <c r="AP635" s="17"/>
      <c r="AQ635" s="17"/>
    </row>
    <row r="636" spans="1:43" hidden="1">
      <c r="A636">
        <f t="shared" si="348"/>
        <v>633</v>
      </c>
      <c r="B636" s="407"/>
      <c r="C636" s="407"/>
      <c r="D636" s="408"/>
      <c r="E636" s="407"/>
      <c r="F636" s="408"/>
      <c r="G636" s="409"/>
      <c r="H636" s="410"/>
      <c r="I636" s="409"/>
      <c r="K636" s="17"/>
      <c r="L636" s="17"/>
      <c r="M636" s="17"/>
      <c r="N636" s="739"/>
      <c r="O636" s="739"/>
      <c r="P636" s="739"/>
      <c r="Q636" s="739"/>
      <c r="R636" s="739"/>
      <c r="S636" s="739"/>
      <c r="T636" s="739"/>
      <c r="U636" s="739"/>
      <c r="V636" s="739"/>
      <c r="W636" s="739"/>
      <c r="X636" s="739"/>
      <c r="Y636" s="739"/>
      <c r="Z636" s="740"/>
      <c r="AA636" s="740"/>
      <c r="AB636" s="17"/>
      <c r="AC636" s="17"/>
      <c r="AD636" s="17"/>
      <c r="AE636" s="17"/>
      <c r="AF636" s="17"/>
      <c r="AG636" s="17"/>
      <c r="AH636" s="17"/>
      <c r="AI636" s="17"/>
      <c r="AJ636" s="17"/>
      <c r="AK636" s="17"/>
      <c r="AL636" s="17"/>
      <c r="AM636" s="17"/>
      <c r="AN636" s="17"/>
      <c r="AO636" s="17"/>
      <c r="AP636" s="17"/>
      <c r="AQ636" s="17"/>
    </row>
    <row r="637" spans="1:43" hidden="1">
      <c r="A637">
        <f t="shared" si="348"/>
        <v>634</v>
      </c>
      <c r="B637" s="407"/>
      <c r="C637" s="407"/>
      <c r="D637" s="408"/>
      <c r="E637" s="407"/>
      <c r="F637" s="408"/>
      <c r="G637" s="409"/>
      <c r="H637" s="410"/>
      <c r="I637" s="409"/>
      <c r="K637" s="17"/>
      <c r="L637" s="17"/>
      <c r="M637" s="17"/>
      <c r="N637" s="739"/>
      <c r="O637" s="739"/>
      <c r="P637" s="739"/>
      <c r="Q637" s="739"/>
      <c r="R637" s="739"/>
      <c r="S637" s="739"/>
      <c r="T637" s="739"/>
      <c r="U637" s="739"/>
      <c r="V637" s="739"/>
      <c r="W637" s="739"/>
      <c r="X637" s="739"/>
      <c r="Y637" s="739"/>
      <c r="Z637" s="740"/>
      <c r="AA637" s="740"/>
      <c r="AB637" s="17"/>
      <c r="AC637" s="17"/>
      <c r="AD637" s="17"/>
      <c r="AE637" s="17"/>
      <c r="AF637" s="17"/>
      <c r="AG637" s="17"/>
      <c r="AH637" s="17"/>
      <c r="AI637" s="17"/>
      <c r="AJ637" s="17"/>
      <c r="AK637" s="17"/>
      <c r="AL637" s="17"/>
      <c r="AM637" s="17"/>
      <c r="AN637" s="17"/>
      <c r="AO637" s="17"/>
      <c r="AP637" s="17"/>
      <c r="AQ637" s="17"/>
    </row>
    <row r="638" spans="1:43" hidden="1">
      <c r="A638">
        <f t="shared" si="348"/>
        <v>635</v>
      </c>
      <c r="B638" s="407"/>
      <c r="C638" s="407"/>
      <c r="D638" s="408"/>
      <c r="E638" s="407"/>
      <c r="F638" s="408"/>
      <c r="G638" s="409"/>
      <c r="H638" s="410"/>
      <c r="I638" s="409"/>
      <c r="K638" s="17"/>
      <c r="L638" s="17"/>
      <c r="M638" s="17"/>
      <c r="N638" s="739"/>
      <c r="O638" s="739"/>
      <c r="P638" s="739"/>
      <c r="Q638" s="739"/>
      <c r="R638" s="739"/>
      <c r="S638" s="739"/>
      <c r="T638" s="739"/>
      <c r="U638" s="739"/>
      <c r="V638" s="739"/>
      <c r="W638" s="739"/>
      <c r="X638" s="739"/>
      <c r="Y638" s="739"/>
      <c r="Z638" s="740"/>
      <c r="AA638" s="740"/>
      <c r="AB638" s="17"/>
      <c r="AC638" s="17"/>
      <c r="AD638" s="17"/>
      <c r="AE638" s="17"/>
      <c r="AF638" s="17"/>
      <c r="AG638" s="17"/>
      <c r="AH638" s="17"/>
      <c r="AI638" s="17"/>
      <c r="AJ638" s="17"/>
      <c r="AK638" s="17"/>
      <c r="AL638" s="17"/>
      <c r="AM638" s="17"/>
      <c r="AN638" s="17"/>
      <c r="AO638" s="17"/>
      <c r="AP638" s="17"/>
      <c r="AQ638" s="17"/>
    </row>
    <row r="639" spans="1:43" hidden="1">
      <c r="A639">
        <f t="shared" si="348"/>
        <v>636</v>
      </c>
      <c r="B639" s="407"/>
      <c r="C639" s="407"/>
      <c r="D639" s="408"/>
      <c r="E639" s="407"/>
      <c r="F639" s="408"/>
      <c r="G639" s="409"/>
      <c r="H639" s="410"/>
      <c r="I639" s="409"/>
      <c r="K639" s="17"/>
      <c r="L639" s="17"/>
      <c r="M639" s="17"/>
      <c r="N639" s="739"/>
      <c r="O639" s="739"/>
      <c r="P639" s="739"/>
      <c r="Q639" s="739"/>
      <c r="R639" s="739"/>
      <c r="S639" s="739"/>
      <c r="T639" s="739"/>
      <c r="U639" s="739"/>
      <c r="V639" s="739"/>
      <c r="W639" s="739"/>
      <c r="X639" s="739"/>
      <c r="Y639" s="739"/>
      <c r="Z639" s="740"/>
      <c r="AA639" s="740"/>
      <c r="AB639" s="17"/>
      <c r="AC639" s="17"/>
      <c r="AD639" s="17"/>
      <c r="AE639" s="17"/>
      <c r="AF639" s="17"/>
      <c r="AG639" s="17"/>
      <c r="AH639" s="17"/>
      <c r="AI639" s="17"/>
      <c r="AJ639" s="17"/>
      <c r="AK639" s="17"/>
      <c r="AL639" s="17"/>
      <c r="AM639" s="17"/>
      <c r="AN639" s="17"/>
      <c r="AO639" s="17"/>
      <c r="AP639" s="17"/>
      <c r="AQ639" s="17"/>
    </row>
    <row r="640" spans="1:43" hidden="1">
      <c r="A640">
        <f t="shared" si="348"/>
        <v>637</v>
      </c>
      <c r="B640" s="407"/>
      <c r="C640" s="407"/>
      <c r="D640" s="408"/>
      <c r="E640" s="407"/>
      <c r="F640" s="408"/>
      <c r="G640" s="409"/>
      <c r="H640" s="410"/>
      <c r="I640" s="409"/>
      <c r="K640" s="17"/>
      <c r="L640" s="17"/>
      <c r="M640" s="17"/>
      <c r="N640" s="739"/>
      <c r="O640" s="739"/>
      <c r="P640" s="739"/>
      <c r="Q640" s="739"/>
      <c r="R640" s="739"/>
      <c r="S640" s="739"/>
      <c r="T640" s="739"/>
      <c r="U640" s="739"/>
      <c r="V640" s="739"/>
      <c r="W640" s="739"/>
      <c r="X640" s="739"/>
      <c r="Y640" s="739"/>
      <c r="Z640" s="740"/>
      <c r="AA640" s="740"/>
      <c r="AB640" s="17"/>
      <c r="AC640" s="17"/>
      <c r="AD640" s="17"/>
      <c r="AE640" s="17"/>
      <c r="AF640" s="17"/>
      <c r="AG640" s="17"/>
      <c r="AH640" s="17"/>
      <c r="AI640" s="17"/>
      <c r="AJ640" s="17"/>
      <c r="AK640" s="17"/>
      <c r="AL640" s="17"/>
      <c r="AM640" s="17"/>
      <c r="AN640" s="17"/>
      <c r="AO640" s="17"/>
      <c r="AP640" s="17"/>
      <c r="AQ640" s="17"/>
    </row>
    <row r="641" spans="1:43" hidden="1">
      <c r="A641">
        <f t="shared" si="348"/>
        <v>638</v>
      </c>
      <c r="B641" s="407"/>
      <c r="C641" s="407"/>
      <c r="D641" s="408"/>
      <c r="E641" s="407"/>
      <c r="F641" s="408"/>
      <c r="G641" s="409"/>
      <c r="H641" s="410"/>
      <c r="I641" s="409"/>
      <c r="K641" s="17"/>
      <c r="L641" s="17"/>
      <c r="M641" s="17"/>
      <c r="N641" s="739"/>
      <c r="O641" s="739"/>
      <c r="P641" s="739"/>
      <c r="Q641" s="739"/>
      <c r="R641" s="739"/>
      <c r="S641" s="739"/>
      <c r="T641" s="739"/>
      <c r="U641" s="739"/>
      <c r="V641" s="739"/>
      <c r="W641" s="739"/>
      <c r="X641" s="739"/>
      <c r="Y641" s="739"/>
      <c r="Z641" s="740"/>
      <c r="AA641" s="740"/>
      <c r="AB641" s="17"/>
      <c r="AC641" s="17"/>
      <c r="AD641" s="17"/>
      <c r="AE641" s="17"/>
      <c r="AF641" s="17"/>
      <c r="AG641" s="17"/>
      <c r="AH641" s="17"/>
      <c r="AI641" s="17"/>
      <c r="AJ641" s="17"/>
      <c r="AK641" s="17"/>
      <c r="AL641" s="17"/>
      <c r="AM641" s="17"/>
      <c r="AN641" s="17"/>
      <c r="AO641" s="17"/>
      <c r="AP641" s="17"/>
      <c r="AQ641" s="17"/>
    </row>
    <row r="642" spans="1:43" hidden="1">
      <c r="A642">
        <f t="shared" si="348"/>
        <v>639</v>
      </c>
      <c r="B642" s="407"/>
      <c r="C642" s="407"/>
      <c r="D642" s="408"/>
      <c r="E642" s="407"/>
      <c r="F642" s="408"/>
      <c r="G642" s="409"/>
      <c r="H642" s="410"/>
      <c r="I642" s="409"/>
      <c r="K642" s="17"/>
      <c r="L642" s="17"/>
      <c r="M642" s="17"/>
      <c r="N642" s="739"/>
      <c r="O642" s="739"/>
      <c r="P642" s="739"/>
      <c r="Q642" s="739"/>
      <c r="R642" s="739"/>
      <c r="S642" s="739"/>
      <c r="T642" s="739"/>
      <c r="U642" s="739"/>
      <c r="V642" s="739"/>
      <c r="W642" s="739"/>
      <c r="X642" s="739"/>
      <c r="Y642" s="739"/>
      <c r="Z642" s="740"/>
      <c r="AA642" s="740"/>
      <c r="AB642" s="17"/>
      <c r="AC642" s="17"/>
      <c r="AD642" s="17"/>
      <c r="AE642" s="17"/>
      <c r="AF642" s="17"/>
      <c r="AG642" s="17"/>
      <c r="AH642" s="17"/>
      <c r="AI642" s="17"/>
      <c r="AJ642" s="17"/>
      <c r="AK642" s="17"/>
      <c r="AL642" s="17"/>
      <c r="AM642" s="17"/>
      <c r="AN642" s="17"/>
      <c r="AO642" s="17"/>
      <c r="AP642" s="17"/>
      <c r="AQ642" s="17"/>
    </row>
    <row r="643" spans="1:43" hidden="1">
      <c r="A643">
        <f t="shared" si="348"/>
        <v>640</v>
      </c>
      <c r="B643" s="407"/>
      <c r="C643" s="407"/>
      <c r="D643" s="408"/>
      <c r="E643" s="407"/>
      <c r="F643" s="408"/>
      <c r="G643" s="409"/>
      <c r="H643" s="410"/>
      <c r="I643" s="409"/>
      <c r="K643" s="17"/>
      <c r="L643" s="17"/>
      <c r="M643" s="17"/>
      <c r="N643" s="739"/>
      <c r="O643" s="739"/>
      <c r="P643" s="739"/>
      <c r="Q643" s="739"/>
      <c r="R643" s="739"/>
      <c r="S643" s="739"/>
      <c r="T643" s="739"/>
      <c r="U643" s="739"/>
      <c r="V643" s="739"/>
      <c r="W643" s="739"/>
      <c r="X643" s="739"/>
      <c r="Y643" s="739"/>
      <c r="Z643" s="740"/>
      <c r="AA643" s="740"/>
      <c r="AB643" s="17"/>
      <c r="AC643" s="17"/>
      <c r="AD643" s="17"/>
      <c r="AE643" s="17"/>
      <c r="AF643" s="17"/>
      <c r="AG643" s="17"/>
      <c r="AH643" s="17"/>
      <c r="AI643" s="17"/>
      <c r="AJ643" s="17"/>
      <c r="AK643" s="17"/>
      <c r="AL643" s="17"/>
      <c r="AM643" s="17"/>
      <c r="AN643" s="17"/>
      <c r="AO643" s="17"/>
      <c r="AP643" s="17"/>
      <c r="AQ643" s="17"/>
    </row>
    <row r="644" spans="1:43" hidden="1">
      <c r="A644">
        <f t="shared" si="348"/>
        <v>641</v>
      </c>
      <c r="B644" s="407"/>
      <c r="C644" s="407"/>
      <c r="D644" s="408"/>
      <c r="E644" s="407"/>
      <c r="F644" s="408"/>
      <c r="G644" s="409"/>
      <c r="H644" s="410"/>
      <c r="I644" s="409"/>
      <c r="K644" s="17"/>
      <c r="L644" s="17"/>
      <c r="M644" s="17"/>
      <c r="N644" s="739"/>
      <c r="O644" s="739"/>
      <c r="P644" s="739"/>
      <c r="Q644" s="739"/>
      <c r="R644" s="739"/>
      <c r="S644" s="739"/>
      <c r="T644" s="739"/>
      <c r="U644" s="739"/>
      <c r="V644" s="739"/>
      <c r="W644" s="739"/>
      <c r="X644" s="739"/>
      <c r="Y644" s="739"/>
      <c r="Z644" s="740"/>
      <c r="AA644" s="740"/>
      <c r="AB644" s="17"/>
      <c r="AC644" s="17"/>
      <c r="AD644" s="17"/>
      <c r="AE644" s="17"/>
      <c r="AF644" s="17"/>
      <c r="AG644" s="17"/>
      <c r="AH644" s="17"/>
      <c r="AI644" s="17"/>
      <c r="AJ644" s="17"/>
      <c r="AK644" s="17"/>
      <c r="AL644" s="17"/>
      <c r="AM644" s="17"/>
      <c r="AN644" s="17"/>
      <c r="AO644" s="17"/>
      <c r="AP644" s="17"/>
      <c r="AQ644" s="17"/>
    </row>
    <row r="645" spans="1:43" hidden="1">
      <c r="A645">
        <f t="shared" si="348"/>
        <v>642</v>
      </c>
      <c r="B645" s="407"/>
      <c r="C645" s="407"/>
      <c r="D645" s="408"/>
      <c r="E645" s="407"/>
      <c r="F645" s="408"/>
      <c r="G645" s="409"/>
      <c r="H645" s="410"/>
      <c r="I645" s="409"/>
      <c r="K645" s="17"/>
      <c r="L645" s="17"/>
      <c r="M645" s="17"/>
      <c r="N645" s="739"/>
      <c r="O645" s="739"/>
      <c r="P645" s="739"/>
      <c r="Q645" s="739"/>
      <c r="R645" s="739"/>
      <c r="S645" s="739"/>
      <c r="T645" s="739"/>
      <c r="U645" s="739"/>
      <c r="V645" s="739"/>
      <c r="W645" s="739"/>
      <c r="X645" s="739"/>
      <c r="Y645" s="739"/>
      <c r="Z645" s="740"/>
      <c r="AA645" s="740"/>
      <c r="AB645" s="17"/>
      <c r="AC645" s="17"/>
      <c r="AD645" s="17"/>
      <c r="AE645" s="17"/>
      <c r="AF645" s="17"/>
      <c r="AG645" s="17"/>
      <c r="AH645" s="17"/>
      <c r="AI645" s="17"/>
      <c r="AJ645" s="17"/>
      <c r="AK645" s="17"/>
      <c r="AL645" s="17"/>
      <c r="AM645" s="17"/>
      <c r="AN645" s="17"/>
      <c r="AO645" s="17"/>
      <c r="AP645" s="17"/>
      <c r="AQ645" s="17"/>
    </row>
    <row r="646" spans="1:43" hidden="1">
      <c r="A646">
        <f t="shared" si="348"/>
        <v>643</v>
      </c>
      <c r="B646" s="407"/>
      <c r="C646" s="407"/>
      <c r="D646" s="408"/>
      <c r="E646" s="407"/>
      <c r="F646" s="408"/>
      <c r="G646" s="409"/>
      <c r="H646" s="410"/>
      <c r="I646" s="409"/>
      <c r="K646" s="17"/>
      <c r="L646" s="17"/>
      <c r="M646" s="17"/>
      <c r="N646" s="739"/>
      <c r="O646" s="739"/>
      <c r="P646" s="739"/>
      <c r="Q646" s="739"/>
      <c r="R646" s="739"/>
      <c r="S646" s="739"/>
      <c r="T646" s="739"/>
      <c r="U646" s="739"/>
      <c r="V646" s="739"/>
      <c r="W646" s="739"/>
      <c r="X646" s="739"/>
      <c r="Y646" s="739"/>
      <c r="Z646" s="740"/>
      <c r="AA646" s="740"/>
      <c r="AB646" s="17"/>
      <c r="AC646" s="17"/>
      <c r="AD646" s="17"/>
      <c r="AE646" s="17"/>
      <c r="AF646" s="17"/>
      <c r="AG646" s="17"/>
      <c r="AH646" s="17"/>
      <c r="AI646" s="17"/>
      <c r="AJ646" s="17"/>
      <c r="AK646" s="17"/>
      <c r="AL646" s="17"/>
      <c r="AM646" s="17"/>
      <c r="AN646" s="17"/>
      <c r="AO646" s="17"/>
      <c r="AP646" s="17"/>
      <c r="AQ646" s="17"/>
    </row>
    <row r="647" spans="1:43" hidden="1">
      <c r="A647">
        <f t="shared" si="348"/>
        <v>644</v>
      </c>
      <c r="B647" s="407"/>
      <c r="C647" s="407"/>
      <c r="D647" s="408"/>
      <c r="E647" s="407"/>
      <c r="F647" s="408"/>
      <c r="G647" s="409"/>
      <c r="H647" s="410"/>
      <c r="I647" s="409"/>
      <c r="K647" s="17"/>
      <c r="L647" s="17"/>
      <c r="M647" s="17"/>
      <c r="N647" s="739"/>
      <c r="O647" s="739"/>
      <c r="P647" s="739"/>
      <c r="Q647" s="739"/>
      <c r="R647" s="739"/>
      <c r="S647" s="739"/>
      <c r="T647" s="739"/>
      <c r="U647" s="739"/>
      <c r="V647" s="739"/>
      <c r="W647" s="739"/>
      <c r="X647" s="739"/>
      <c r="Y647" s="739"/>
      <c r="Z647" s="740"/>
      <c r="AA647" s="740"/>
      <c r="AB647" s="17"/>
      <c r="AC647" s="17"/>
      <c r="AD647" s="17"/>
      <c r="AE647" s="17"/>
      <c r="AF647" s="17"/>
      <c r="AG647" s="17"/>
      <c r="AH647" s="17"/>
      <c r="AI647" s="17"/>
      <c r="AJ647" s="17"/>
      <c r="AK647" s="17"/>
      <c r="AL647" s="17"/>
      <c r="AM647" s="17"/>
      <c r="AN647" s="17"/>
      <c r="AO647" s="17"/>
      <c r="AP647" s="17"/>
      <c r="AQ647" s="17"/>
    </row>
    <row r="648" spans="1:43" hidden="1">
      <c r="A648">
        <f t="shared" si="348"/>
        <v>645</v>
      </c>
      <c r="B648" s="407"/>
      <c r="C648" s="407"/>
      <c r="D648" s="408"/>
      <c r="E648" s="407"/>
      <c r="F648" s="408"/>
      <c r="G648" s="409"/>
      <c r="H648" s="410"/>
      <c r="I648" s="409"/>
      <c r="K648" s="17"/>
      <c r="L648" s="17"/>
      <c r="M648" s="17"/>
      <c r="N648" s="739"/>
      <c r="O648" s="739"/>
      <c r="P648" s="739"/>
      <c r="Q648" s="739"/>
      <c r="R648" s="739"/>
      <c r="S648" s="739"/>
      <c r="T648" s="739"/>
      <c r="U648" s="739"/>
      <c r="V648" s="739"/>
      <c r="W648" s="739"/>
      <c r="X648" s="739"/>
      <c r="Y648" s="739"/>
      <c r="Z648" s="740"/>
      <c r="AA648" s="740"/>
      <c r="AB648" s="17"/>
      <c r="AC648" s="17"/>
      <c r="AD648" s="17"/>
      <c r="AE648" s="17"/>
      <c r="AF648" s="17"/>
      <c r="AG648" s="17"/>
      <c r="AH648" s="17"/>
      <c r="AI648" s="17"/>
      <c r="AJ648" s="17"/>
      <c r="AK648" s="17"/>
      <c r="AL648" s="17"/>
      <c r="AM648" s="17"/>
      <c r="AN648" s="17"/>
      <c r="AO648" s="17"/>
      <c r="AP648" s="17"/>
      <c r="AQ648" s="17"/>
    </row>
    <row r="649" spans="1:43" hidden="1">
      <c r="A649">
        <f t="shared" si="348"/>
        <v>646</v>
      </c>
      <c r="B649" s="407"/>
      <c r="C649" s="407"/>
      <c r="D649" s="408"/>
      <c r="E649" s="407"/>
      <c r="F649" s="408"/>
      <c r="G649" s="409"/>
      <c r="H649" s="410"/>
      <c r="I649" s="409"/>
      <c r="K649" s="17"/>
      <c r="L649" s="17"/>
      <c r="M649" s="17"/>
      <c r="N649" s="739"/>
      <c r="O649" s="739"/>
      <c r="P649" s="739"/>
      <c r="Q649" s="739"/>
      <c r="R649" s="739"/>
      <c r="S649" s="739"/>
      <c r="T649" s="739"/>
      <c r="U649" s="739"/>
      <c r="V649" s="739"/>
      <c r="W649" s="739"/>
      <c r="X649" s="739"/>
      <c r="Y649" s="739"/>
      <c r="Z649" s="740"/>
      <c r="AA649" s="740"/>
      <c r="AB649" s="17"/>
      <c r="AC649" s="17"/>
      <c r="AD649" s="17"/>
      <c r="AE649" s="17"/>
      <c r="AF649" s="17"/>
      <c r="AG649" s="17"/>
      <c r="AH649" s="17"/>
      <c r="AI649" s="17"/>
      <c r="AJ649" s="17"/>
      <c r="AK649" s="17"/>
      <c r="AL649" s="17"/>
      <c r="AM649" s="17"/>
      <c r="AN649" s="17"/>
      <c r="AO649" s="17"/>
      <c r="AP649" s="17"/>
      <c r="AQ649" s="17"/>
    </row>
    <row r="650" spans="1:43" hidden="1">
      <c r="A650">
        <f t="shared" si="348"/>
        <v>647</v>
      </c>
      <c r="B650" s="407"/>
      <c r="C650" s="407"/>
      <c r="D650" s="408"/>
      <c r="E650" s="407"/>
      <c r="F650" s="408"/>
      <c r="G650" s="409"/>
      <c r="H650" s="410"/>
      <c r="I650" s="409"/>
      <c r="K650" s="17"/>
      <c r="L650" s="17"/>
      <c r="M650" s="17"/>
      <c r="N650" s="739"/>
      <c r="O650" s="739"/>
      <c r="P650" s="739"/>
      <c r="Q650" s="739"/>
      <c r="R650" s="739"/>
      <c r="S650" s="739"/>
      <c r="T650" s="739"/>
      <c r="U650" s="739"/>
      <c r="V650" s="739"/>
      <c r="W650" s="739"/>
      <c r="X650" s="739"/>
      <c r="Y650" s="739"/>
      <c r="Z650" s="740"/>
      <c r="AA650" s="740"/>
      <c r="AB650" s="17"/>
      <c r="AC650" s="17"/>
      <c r="AD650" s="17"/>
      <c r="AE650" s="17"/>
      <c r="AF650" s="17"/>
      <c r="AG650" s="17"/>
      <c r="AH650" s="17"/>
      <c r="AI650" s="17"/>
      <c r="AJ650" s="17"/>
      <c r="AK650" s="17"/>
      <c r="AL650" s="17"/>
      <c r="AM650" s="17"/>
      <c r="AN650" s="17"/>
      <c r="AO650" s="17"/>
      <c r="AP650" s="17"/>
      <c r="AQ650" s="17"/>
    </row>
    <row r="651" spans="1:43" hidden="1">
      <c r="A651">
        <f t="shared" si="348"/>
        <v>648</v>
      </c>
      <c r="B651" s="407"/>
      <c r="C651" s="407"/>
      <c r="D651" s="408"/>
      <c r="E651" s="407"/>
      <c r="F651" s="408"/>
      <c r="G651" s="409"/>
      <c r="H651" s="410"/>
      <c r="I651" s="409"/>
      <c r="K651" s="17"/>
      <c r="L651" s="17"/>
      <c r="M651" s="17"/>
      <c r="N651" s="739"/>
      <c r="O651" s="739"/>
      <c r="P651" s="739"/>
      <c r="Q651" s="739"/>
      <c r="R651" s="739"/>
      <c r="S651" s="739"/>
      <c r="T651" s="739"/>
      <c r="U651" s="739"/>
      <c r="V651" s="739"/>
      <c r="W651" s="739"/>
      <c r="X651" s="739"/>
      <c r="Y651" s="739"/>
      <c r="Z651" s="740"/>
      <c r="AA651" s="740"/>
      <c r="AB651" s="17"/>
      <c r="AC651" s="17"/>
      <c r="AD651" s="17"/>
      <c r="AE651" s="17"/>
      <c r="AF651" s="17"/>
      <c r="AG651" s="17"/>
      <c r="AH651" s="17"/>
      <c r="AI651" s="17"/>
      <c r="AJ651" s="17"/>
      <c r="AK651" s="17"/>
      <c r="AL651" s="17"/>
      <c r="AM651" s="17"/>
      <c r="AN651" s="17"/>
      <c r="AO651" s="17"/>
      <c r="AP651" s="17"/>
      <c r="AQ651" s="17"/>
    </row>
    <row r="652" spans="1:43" hidden="1">
      <c r="A652">
        <f t="shared" si="348"/>
        <v>649</v>
      </c>
      <c r="B652" s="407"/>
      <c r="C652" s="407"/>
      <c r="D652" s="408"/>
      <c r="E652" s="407"/>
      <c r="F652" s="408"/>
      <c r="G652" s="409"/>
      <c r="H652" s="410"/>
      <c r="I652" s="409"/>
      <c r="K652" s="17"/>
      <c r="L652" s="17"/>
      <c r="M652" s="17"/>
      <c r="N652" s="739"/>
      <c r="O652" s="739"/>
      <c r="P652" s="739"/>
      <c r="Q652" s="739"/>
      <c r="R652" s="739"/>
      <c r="S652" s="739"/>
      <c r="T652" s="739"/>
      <c r="U652" s="739"/>
      <c r="V652" s="739"/>
      <c r="W652" s="739"/>
      <c r="X652" s="739"/>
      <c r="Y652" s="739"/>
      <c r="Z652" s="740"/>
      <c r="AA652" s="740"/>
      <c r="AB652" s="17"/>
      <c r="AC652" s="17"/>
      <c r="AD652" s="17"/>
      <c r="AE652" s="17"/>
      <c r="AF652" s="17"/>
      <c r="AG652" s="17"/>
      <c r="AH652" s="17"/>
      <c r="AI652" s="17"/>
      <c r="AJ652" s="17"/>
      <c r="AK652" s="17"/>
      <c r="AL652" s="17"/>
      <c r="AM652" s="17"/>
      <c r="AN652" s="17"/>
      <c r="AO652" s="17"/>
      <c r="AP652" s="17"/>
      <c r="AQ652" s="17"/>
    </row>
    <row r="653" spans="1:43" hidden="1">
      <c r="A653">
        <f t="shared" si="348"/>
        <v>650</v>
      </c>
      <c r="B653" s="407"/>
      <c r="C653" s="407"/>
      <c r="D653" s="408"/>
      <c r="E653" s="407"/>
      <c r="F653" s="408"/>
      <c r="G653" s="409"/>
      <c r="H653" s="410"/>
      <c r="I653" s="409"/>
      <c r="K653" s="17"/>
      <c r="L653" s="17"/>
      <c r="M653" s="17"/>
      <c r="N653" s="739"/>
      <c r="O653" s="739"/>
      <c r="P653" s="739"/>
      <c r="Q653" s="739"/>
      <c r="R653" s="739"/>
      <c r="S653" s="739"/>
      <c r="T653" s="739"/>
      <c r="U653" s="739"/>
      <c r="V653" s="739"/>
      <c r="W653" s="739"/>
      <c r="X653" s="739"/>
      <c r="Y653" s="739"/>
      <c r="Z653" s="740"/>
      <c r="AA653" s="740"/>
      <c r="AB653" s="17"/>
      <c r="AC653" s="17"/>
      <c r="AD653" s="17"/>
      <c r="AE653" s="17"/>
      <c r="AF653" s="17"/>
      <c r="AG653" s="17"/>
      <c r="AH653" s="17"/>
      <c r="AI653" s="17"/>
      <c r="AJ653" s="17"/>
      <c r="AK653" s="17"/>
      <c r="AL653" s="17"/>
      <c r="AM653" s="17"/>
      <c r="AN653" s="17"/>
      <c r="AO653" s="17"/>
      <c r="AP653" s="17"/>
      <c r="AQ653" s="17"/>
    </row>
    <row r="654" spans="1:43" hidden="1">
      <c r="A654">
        <f t="shared" si="348"/>
        <v>651</v>
      </c>
      <c r="B654" s="407"/>
      <c r="C654" s="407"/>
      <c r="D654" s="408"/>
      <c r="E654" s="407"/>
      <c r="F654" s="408"/>
      <c r="G654" s="409"/>
      <c r="H654" s="410"/>
      <c r="I654" s="409"/>
      <c r="K654" s="17"/>
      <c r="L654" s="17"/>
      <c r="M654" s="17"/>
      <c r="N654" s="739"/>
      <c r="O654" s="739"/>
      <c r="P654" s="739"/>
      <c r="Q654" s="739"/>
      <c r="R654" s="739"/>
      <c r="S654" s="739"/>
      <c r="T654" s="739"/>
      <c r="U654" s="739"/>
      <c r="V654" s="739"/>
      <c r="W654" s="739"/>
      <c r="X654" s="739"/>
      <c r="Y654" s="739"/>
      <c r="Z654" s="740"/>
      <c r="AA654" s="740"/>
      <c r="AB654" s="17"/>
      <c r="AC654" s="17"/>
      <c r="AD654" s="17"/>
      <c r="AE654" s="17"/>
      <c r="AF654" s="17"/>
      <c r="AG654" s="17"/>
      <c r="AH654" s="17"/>
      <c r="AI654" s="17"/>
      <c r="AJ654" s="17"/>
      <c r="AK654" s="17"/>
      <c r="AL654" s="17"/>
      <c r="AM654" s="17"/>
      <c r="AN654" s="17"/>
      <c r="AO654" s="17"/>
      <c r="AP654" s="17"/>
      <c r="AQ654" s="17"/>
    </row>
    <row r="655" spans="1:43" hidden="1">
      <c r="A655">
        <f t="shared" si="348"/>
        <v>652</v>
      </c>
      <c r="B655" s="407"/>
      <c r="C655" s="407"/>
      <c r="D655" s="408"/>
      <c r="E655" s="407"/>
      <c r="F655" s="408"/>
      <c r="G655" s="409"/>
      <c r="H655" s="410"/>
      <c r="I655" s="409"/>
      <c r="K655" s="17"/>
      <c r="L655" s="17"/>
      <c r="M655" s="17"/>
      <c r="N655" s="739"/>
      <c r="O655" s="739"/>
      <c r="P655" s="739"/>
      <c r="Q655" s="739"/>
      <c r="R655" s="739"/>
      <c r="S655" s="739"/>
      <c r="T655" s="739"/>
      <c r="U655" s="739"/>
      <c r="V655" s="739"/>
      <c r="W655" s="739"/>
      <c r="X655" s="739"/>
      <c r="Y655" s="739"/>
      <c r="Z655" s="740"/>
      <c r="AA655" s="740"/>
      <c r="AB655" s="17"/>
      <c r="AC655" s="17"/>
      <c r="AD655" s="17"/>
      <c r="AE655" s="17"/>
      <c r="AF655" s="17"/>
      <c r="AG655" s="17"/>
      <c r="AH655" s="17"/>
      <c r="AI655" s="17"/>
      <c r="AJ655" s="17"/>
      <c r="AK655" s="17"/>
      <c r="AL655" s="17"/>
      <c r="AM655" s="17"/>
      <c r="AN655" s="17"/>
      <c r="AO655" s="17"/>
      <c r="AP655" s="17"/>
      <c r="AQ655" s="17"/>
    </row>
    <row r="656" spans="1:43" hidden="1">
      <c r="A656">
        <f t="shared" si="348"/>
        <v>653</v>
      </c>
      <c r="B656" s="407"/>
      <c r="C656" s="407"/>
      <c r="D656" s="408"/>
      <c r="E656" s="407"/>
      <c r="F656" s="408"/>
      <c r="G656" s="409"/>
      <c r="H656" s="410"/>
      <c r="I656" s="409"/>
      <c r="K656" s="17"/>
      <c r="L656" s="17"/>
      <c r="M656" s="17"/>
      <c r="N656" s="739"/>
      <c r="O656" s="739"/>
      <c r="P656" s="739"/>
      <c r="Q656" s="739"/>
      <c r="R656" s="739"/>
      <c r="S656" s="739"/>
      <c r="T656" s="739"/>
      <c r="U656" s="739"/>
      <c r="V656" s="739"/>
      <c r="W656" s="739"/>
      <c r="X656" s="739"/>
      <c r="Y656" s="739"/>
      <c r="Z656" s="740"/>
      <c r="AA656" s="740"/>
      <c r="AB656" s="17"/>
      <c r="AC656" s="17"/>
      <c r="AD656" s="17"/>
      <c r="AE656" s="17"/>
      <c r="AF656" s="17"/>
      <c r="AG656" s="17"/>
      <c r="AH656" s="17"/>
      <c r="AI656" s="17"/>
      <c r="AJ656" s="17"/>
      <c r="AK656" s="17"/>
      <c r="AL656" s="17"/>
      <c r="AM656" s="17"/>
      <c r="AN656" s="17"/>
      <c r="AO656" s="17"/>
      <c r="AP656" s="17"/>
      <c r="AQ656" s="17"/>
    </row>
    <row r="657" spans="1:43" hidden="1">
      <c r="A657">
        <f t="shared" si="348"/>
        <v>654</v>
      </c>
      <c r="B657" s="407"/>
      <c r="C657" s="407"/>
      <c r="D657" s="408"/>
      <c r="E657" s="407"/>
      <c r="F657" s="408"/>
      <c r="G657" s="409"/>
      <c r="H657" s="410"/>
      <c r="I657" s="409"/>
      <c r="K657" s="17"/>
      <c r="L657" s="17"/>
      <c r="M657" s="17"/>
      <c r="N657" s="739"/>
      <c r="O657" s="739"/>
      <c r="P657" s="739"/>
      <c r="Q657" s="739"/>
      <c r="R657" s="739"/>
      <c r="S657" s="739"/>
      <c r="T657" s="739"/>
      <c r="U657" s="739"/>
      <c r="V657" s="739"/>
      <c r="W657" s="739"/>
      <c r="X657" s="739"/>
      <c r="Y657" s="739"/>
      <c r="Z657" s="740"/>
      <c r="AA657" s="740"/>
      <c r="AB657" s="17"/>
      <c r="AC657" s="17"/>
      <c r="AD657" s="17"/>
      <c r="AE657" s="17"/>
      <c r="AF657" s="17"/>
      <c r="AG657" s="17"/>
      <c r="AH657" s="17"/>
      <c r="AI657" s="17"/>
      <c r="AJ657" s="17"/>
      <c r="AK657" s="17"/>
      <c r="AL657" s="17"/>
      <c r="AM657" s="17"/>
      <c r="AN657" s="17"/>
      <c r="AO657" s="17"/>
      <c r="AP657" s="17"/>
      <c r="AQ657" s="17"/>
    </row>
    <row r="658" spans="1:43" hidden="1">
      <c r="A658">
        <f t="shared" si="348"/>
        <v>655</v>
      </c>
      <c r="B658" s="407"/>
      <c r="C658" s="407"/>
      <c r="D658" s="408"/>
      <c r="E658" s="407"/>
      <c r="F658" s="408"/>
      <c r="G658" s="409"/>
      <c r="H658" s="410"/>
      <c r="I658" s="409"/>
      <c r="K658" s="17"/>
      <c r="L658" s="17"/>
      <c r="M658" s="17"/>
      <c r="N658" s="739"/>
      <c r="O658" s="739"/>
      <c r="P658" s="739"/>
      <c r="Q658" s="739"/>
      <c r="R658" s="739"/>
      <c r="S658" s="739"/>
      <c r="T658" s="739"/>
      <c r="U658" s="739"/>
      <c r="V658" s="739"/>
      <c r="W658" s="739"/>
      <c r="X658" s="739"/>
      <c r="Y658" s="739"/>
      <c r="Z658" s="740"/>
      <c r="AA658" s="740"/>
      <c r="AB658" s="17"/>
      <c r="AC658" s="17"/>
      <c r="AD658" s="17"/>
      <c r="AE658" s="17"/>
      <c r="AF658" s="17"/>
      <c r="AG658" s="17"/>
      <c r="AH658" s="17"/>
      <c r="AI658" s="17"/>
      <c r="AJ658" s="17"/>
      <c r="AK658" s="17"/>
      <c r="AL658" s="17"/>
      <c r="AM658" s="17"/>
      <c r="AN658" s="17"/>
      <c r="AO658" s="17"/>
      <c r="AP658" s="17"/>
      <c r="AQ658" s="17"/>
    </row>
    <row r="659" spans="1:43" hidden="1">
      <c r="A659">
        <f t="shared" si="348"/>
        <v>656</v>
      </c>
      <c r="B659" s="407"/>
      <c r="C659" s="407"/>
      <c r="D659" s="408"/>
      <c r="E659" s="407"/>
      <c r="F659" s="408"/>
      <c r="G659" s="409"/>
      <c r="H659" s="410"/>
      <c r="I659" s="409"/>
      <c r="K659" s="17"/>
      <c r="L659" s="17"/>
      <c r="M659" s="17"/>
      <c r="N659" s="739"/>
      <c r="O659" s="739"/>
      <c r="P659" s="739"/>
      <c r="Q659" s="739"/>
      <c r="R659" s="739"/>
      <c r="S659" s="739"/>
      <c r="T659" s="739"/>
      <c r="U659" s="739"/>
      <c r="V659" s="739"/>
      <c r="W659" s="739"/>
      <c r="X659" s="739"/>
      <c r="Y659" s="739"/>
      <c r="Z659" s="740"/>
      <c r="AA659" s="740"/>
      <c r="AB659" s="17"/>
      <c r="AC659" s="17"/>
      <c r="AD659" s="17"/>
      <c r="AE659" s="17"/>
      <c r="AF659" s="17"/>
      <c r="AG659" s="17"/>
      <c r="AH659" s="17"/>
      <c r="AI659" s="17"/>
      <c r="AJ659" s="17"/>
      <c r="AK659" s="17"/>
      <c r="AL659" s="17"/>
      <c r="AM659" s="17"/>
      <c r="AN659" s="17"/>
      <c r="AO659" s="17"/>
      <c r="AP659" s="17"/>
      <c r="AQ659" s="17"/>
    </row>
    <row r="660" spans="1:43" hidden="1">
      <c r="A660">
        <f t="shared" si="348"/>
        <v>657</v>
      </c>
      <c r="B660" s="407"/>
      <c r="C660" s="407"/>
      <c r="D660" s="408"/>
      <c r="E660" s="407"/>
      <c r="F660" s="408"/>
      <c r="G660" s="409"/>
      <c r="H660" s="410"/>
      <c r="I660" s="409"/>
      <c r="K660" s="17"/>
      <c r="L660" s="17"/>
      <c r="M660" s="17"/>
      <c r="N660" s="739"/>
      <c r="O660" s="739"/>
      <c r="P660" s="739"/>
      <c r="Q660" s="739"/>
      <c r="R660" s="739"/>
      <c r="S660" s="739"/>
      <c r="T660" s="739"/>
      <c r="U660" s="739"/>
      <c r="V660" s="739"/>
      <c r="W660" s="739"/>
      <c r="X660" s="739"/>
      <c r="Y660" s="739"/>
      <c r="Z660" s="740"/>
      <c r="AA660" s="740"/>
      <c r="AB660" s="17"/>
      <c r="AC660" s="17"/>
      <c r="AD660" s="17"/>
      <c r="AE660" s="17"/>
      <c r="AF660" s="17"/>
      <c r="AG660" s="17"/>
      <c r="AH660" s="17"/>
      <c r="AI660" s="17"/>
      <c r="AJ660" s="17"/>
      <c r="AK660" s="17"/>
      <c r="AL660" s="17"/>
      <c r="AM660" s="17"/>
      <c r="AN660" s="17"/>
      <c r="AO660" s="17"/>
      <c r="AP660" s="17"/>
      <c r="AQ660" s="17"/>
    </row>
    <row r="661" spans="1:43" hidden="1">
      <c r="A661">
        <f t="shared" si="348"/>
        <v>658</v>
      </c>
      <c r="B661" s="407"/>
      <c r="C661" s="407"/>
      <c r="D661" s="408"/>
      <c r="E661" s="407"/>
      <c r="F661" s="408"/>
      <c r="G661" s="409"/>
      <c r="H661" s="410"/>
      <c r="I661" s="409"/>
      <c r="K661" s="17"/>
      <c r="L661" s="17"/>
      <c r="M661" s="17"/>
      <c r="N661" s="739"/>
      <c r="O661" s="739"/>
      <c r="P661" s="739"/>
      <c r="Q661" s="739"/>
      <c r="R661" s="739"/>
      <c r="S661" s="739"/>
      <c r="T661" s="739"/>
      <c r="U661" s="739"/>
      <c r="V661" s="739"/>
      <c r="W661" s="739"/>
      <c r="X661" s="739"/>
      <c r="Y661" s="739"/>
      <c r="Z661" s="740"/>
      <c r="AA661" s="740"/>
      <c r="AB661" s="17"/>
      <c r="AC661" s="17"/>
      <c r="AD661" s="17"/>
      <c r="AE661" s="17"/>
      <c r="AF661" s="17"/>
      <c r="AG661" s="17"/>
      <c r="AH661" s="17"/>
      <c r="AI661" s="17"/>
      <c r="AJ661" s="17"/>
      <c r="AK661" s="17"/>
      <c r="AL661" s="17"/>
      <c r="AM661" s="17"/>
      <c r="AN661" s="17"/>
      <c r="AO661" s="17"/>
      <c r="AP661" s="17"/>
      <c r="AQ661" s="17"/>
    </row>
    <row r="662" spans="1:43" hidden="1">
      <c r="A662">
        <f t="shared" si="348"/>
        <v>659</v>
      </c>
      <c r="B662" s="407"/>
      <c r="C662" s="407"/>
      <c r="D662" s="408"/>
      <c r="E662" s="407"/>
      <c r="F662" s="408"/>
      <c r="G662" s="409"/>
      <c r="H662" s="410"/>
      <c r="I662" s="409"/>
      <c r="K662" s="17"/>
      <c r="L662" s="17"/>
      <c r="M662" s="17"/>
      <c r="N662" s="739"/>
      <c r="O662" s="739"/>
      <c r="P662" s="739"/>
      <c r="Q662" s="739"/>
      <c r="R662" s="739"/>
      <c r="S662" s="739"/>
      <c r="T662" s="739"/>
      <c r="U662" s="739"/>
      <c r="V662" s="739"/>
      <c r="W662" s="739"/>
      <c r="X662" s="739"/>
      <c r="Y662" s="739"/>
      <c r="Z662" s="740"/>
      <c r="AA662" s="740"/>
      <c r="AB662" s="17"/>
      <c r="AC662" s="17"/>
      <c r="AD662" s="17"/>
      <c r="AE662" s="17"/>
      <c r="AF662" s="17"/>
      <c r="AG662" s="17"/>
      <c r="AH662" s="17"/>
      <c r="AI662" s="17"/>
      <c r="AJ662" s="17"/>
      <c r="AK662" s="17"/>
      <c r="AL662" s="17"/>
      <c r="AM662" s="17"/>
      <c r="AN662" s="17"/>
      <c r="AO662" s="17"/>
      <c r="AP662" s="17"/>
      <c r="AQ662" s="17"/>
    </row>
    <row r="663" spans="1:43" hidden="1">
      <c r="A663">
        <f t="shared" si="348"/>
        <v>660</v>
      </c>
      <c r="B663" s="407"/>
      <c r="C663" s="407"/>
      <c r="D663" s="408"/>
      <c r="E663" s="407"/>
      <c r="F663" s="408"/>
      <c r="G663" s="409"/>
      <c r="H663" s="410"/>
      <c r="I663" s="409"/>
      <c r="K663" s="17"/>
      <c r="L663" s="17"/>
      <c r="M663" s="17"/>
      <c r="N663" s="739"/>
      <c r="O663" s="739"/>
      <c r="P663" s="739"/>
      <c r="Q663" s="739"/>
      <c r="R663" s="739"/>
      <c r="S663" s="739"/>
      <c r="T663" s="739"/>
      <c r="U663" s="739"/>
      <c r="V663" s="739"/>
      <c r="W663" s="739"/>
      <c r="X663" s="739"/>
      <c r="Y663" s="739"/>
      <c r="Z663" s="740"/>
      <c r="AA663" s="740"/>
      <c r="AB663" s="17"/>
      <c r="AC663" s="17"/>
      <c r="AD663" s="17"/>
      <c r="AE663" s="17"/>
      <c r="AF663" s="17"/>
      <c r="AG663" s="17"/>
      <c r="AH663" s="17"/>
      <c r="AI663" s="17"/>
      <c r="AJ663" s="17"/>
      <c r="AK663" s="17"/>
      <c r="AL663" s="17"/>
      <c r="AM663" s="17"/>
      <c r="AN663" s="17"/>
      <c r="AO663" s="17"/>
      <c r="AP663" s="17"/>
      <c r="AQ663" s="17"/>
    </row>
    <row r="664" spans="1:43" hidden="1">
      <c r="A664">
        <f t="shared" si="348"/>
        <v>661</v>
      </c>
      <c r="B664" s="407"/>
      <c r="C664" s="407"/>
      <c r="D664" s="408"/>
      <c r="E664" s="407"/>
      <c r="F664" s="408"/>
      <c r="G664" s="409"/>
      <c r="H664" s="410"/>
      <c r="I664" s="409"/>
      <c r="K664" s="17"/>
      <c r="L664" s="17"/>
      <c r="M664" s="17"/>
      <c r="N664" s="739"/>
      <c r="O664" s="739"/>
      <c r="P664" s="739"/>
      <c r="Q664" s="739"/>
      <c r="R664" s="739"/>
      <c r="S664" s="739"/>
      <c r="T664" s="739"/>
      <c r="U664" s="739"/>
      <c r="V664" s="739"/>
      <c r="W664" s="739"/>
      <c r="X664" s="739"/>
      <c r="Y664" s="739"/>
      <c r="Z664" s="740"/>
      <c r="AA664" s="740"/>
      <c r="AB664" s="17"/>
      <c r="AC664" s="17"/>
      <c r="AD664" s="17"/>
      <c r="AE664" s="17"/>
      <c r="AF664" s="17"/>
      <c r="AG664" s="17"/>
      <c r="AH664" s="17"/>
      <c r="AI664" s="17"/>
      <c r="AJ664" s="17"/>
      <c r="AK664" s="17"/>
      <c r="AL664" s="17"/>
      <c r="AM664" s="17"/>
      <c r="AN664" s="17"/>
      <c r="AO664" s="17"/>
      <c r="AP664" s="17"/>
      <c r="AQ664" s="17"/>
    </row>
    <row r="665" spans="1:43" hidden="1">
      <c r="A665">
        <f t="shared" si="348"/>
        <v>662</v>
      </c>
      <c r="B665" s="407"/>
      <c r="C665" s="407"/>
      <c r="D665" s="408"/>
      <c r="E665" s="407"/>
      <c r="F665" s="408"/>
      <c r="G665" s="409"/>
      <c r="H665" s="410"/>
      <c r="I665" s="409"/>
      <c r="K665" s="17"/>
      <c r="L665" s="17"/>
      <c r="M665" s="17"/>
      <c r="N665" s="739"/>
      <c r="O665" s="739"/>
      <c r="P665" s="739"/>
      <c r="Q665" s="739"/>
      <c r="R665" s="739"/>
      <c r="S665" s="739"/>
      <c r="T665" s="739"/>
      <c r="U665" s="739"/>
      <c r="V665" s="739"/>
      <c r="W665" s="739"/>
      <c r="X665" s="739"/>
      <c r="Y665" s="739"/>
      <c r="Z665" s="740"/>
      <c r="AA665" s="740"/>
      <c r="AB665" s="17"/>
      <c r="AC665" s="17"/>
      <c r="AD665" s="17"/>
      <c r="AE665" s="17"/>
      <c r="AF665" s="17"/>
      <c r="AG665" s="17"/>
      <c r="AH665" s="17"/>
      <c r="AI665" s="17"/>
      <c r="AJ665" s="17"/>
      <c r="AK665" s="17"/>
      <c r="AL665" s="17"/>
      <c r="AM665" s="17"/>
      <c r="AN665" s="17"/>
      <c r="AO665" s="17"/>
      <c r="AP665" s="17"/>
      <c r="AQ665" s="17"/>
    </row>
    <row r="666" spans="1:43" hidden="1">
      <c r="A666">
        <f t="shared" si="348"/>
        <v>663</v>
      </c>
      <c r="B666" s="407"/>
      <c r="C666" s="407"/>
      <c r="D666" s="408"/>
      <c r="E666" s="407"/>
      <c r="F666" s="408"/>
      <c r="G666" s="409"/>
      <c r="H666" s="410"/>
      <c r="I666" s="409"/>
      <c r="K666" s="17"/>
      <c r="L666" s="17"/>
      <c r="M666" s="17"/>
      <c r="N666" s="739"/>
      <c r="O666" s="739"/>
      <c r="P666" s="739"/>
      <c r="Q666" s="739"/>
      <c r="R666" s="739"/>
      <c r="S666" s="739"/>
      <c r="T666" s="739"/>
      <c r="U666" s="739"/>
      <c r="V666" s="739"/>
      <c r="W666" s="739"/>
      <c r="X666" s="739"/>
      <c r="Y666" s="739"/>
      <c r="Z666" s="740"/>
      <c r="AA666" s="740"/>
      <c r="AB666" s="17"/>
      <c r="AC666" s="17"/>
      <c r="AD666" s="17"/>
      <c r="AE666" s="17"/>
      <c r="AF666" s="17"/>
      <c r="AG666" s="17"/>
      <c r="AH666" s="17"/>
      <c r="AI666" s="17"/>
      <c r="AJ666" s="17"/>
      <c r="AK666" s="17"/>
      <c r="AL666" s="17"/>
      <c r="AM666" s="17"/>
      <c r="AN666" s="17"/>
      <c r="AO666" s="17"/>
      <c r="AP666" s="17"/>
      <c r="AQ666" s="17"/>
    </row>
    <row r="667" spans="1:43" hidden="1">
      <c r="A667">
        <f t="shared" si="348"/>
        <v>664</v>
      </c>
      <c r="B667" s="407"/>
      <c r="C667" s="407"/>
      <c r="D667" s="408"/>
      <c r="E667" s="407"/>
      <c r="F667" s="408"/>
      <c r="G667" s="409"/>
      <c r="H667" s="410"/>
      <c r="I667" s="409"/>
      <c r="K667" s="17"/>
      <c r="L667" s="17"/>
      <c r="M667" s="17"/>
      <c r="N667" s="739"/>
      <c r="O667" s="739"/>
      <c r="P667" s="739"/>
      <c r="Q667" s="739"/>
      <c r="R667" s="739"/>
      <c r="S667" s="739"/>
      <c r="T667" s="739"/>
      <c r="U667" s="739"/>
      <c r="V667" s="739"/>
      <c r="W667" s="739"/>
      <c r="X667" s="739"/>
      <c r="Y667" s="739"/>
      <c r="Z667" s="740"/>
      <c r="AA667" s="740"/>
      <c r="AB667" s="17"/>
      <c r="AC667" s="17"/>
      <c r="AD667" s="17"/>
      <c r="AE667" s="17"/>
      <c r="AF667" s="17"/>
      <c r="AG667" s="17"/>
      <c r="AH667" s="17"/>
      <c r="AI667" s="17"/>
      <c r="AJ667" s="17"/>
      <c r="AK667" s="17"/>
      <c r="AL667" s="17"/>
      <c r="AM667" s="17"/>
      <c r="AN667" s="17"/>
      <c r="AO667" s="17"/>
      <c r="AP667" s="17"/>
      <c r="AQ667" s="17"/>
    </row>
    <row r="668" spans="1:43" hidden="1">
      <c r="A668">
        <f t="shared" si="348"/>
        <v>665</v>
      </c>
      <c r="B668" s="407"/>
      <c r="C668" s="407"/>
      <c r="D668" s="408"/>
      <c r="E668" s="407"/>
      <c r="F668" s="408"/>
      <c r="G668" s="409"/>
      <c r="H668" s="410"/>
      <c r="I668" s="409"/>
      <c r="K668" s="17"/>
      <c r="L668" s="17"/>
      <c r="M668" s="17"/>
      <c r="N668" s="739"/>
      <c r="O668" s="739"/>
      <c r="P668" s="739"/>
      <c r="Q668" s="739"/>
      <c r="R668" s="739"/>
      <c r="S668" s="739"/>
      <c r="T668" s="739"/>
      <c r="U668" s="739"/>
      <c r="V668" s="739"/>
      <c r="W668" s="739"/>
      <c r="X668" s="739"/>
      <c r="Y668" s="739"/>
      <c r="Z668" s="740"/>
      <c r="AA668" s="740"/>
      <c r="AB668" s="17"/>
      <c r="AC668" s="17"/>
      <c r="AD668" s="17"/>
      <c r="AE668" s="17"/>
      <c r="AF668" s="17"/>
      <c r="AG668" s="17"/>
      <c r="AH668" s="17"/>
      <c r="AI668" s="17"/>
      <c r="AJ668" s="17"/>
      <c r="AK668" s="17"/>
      <c r="AL668" s="17"/>
      <c r="AM668" s="17"/>
      <c r="AN668" s="17"/>
      <c r="AO668" s="17"/>
      <c r="AP668" s="17"/>
      <c r="AQ668" s="17"/>
    </row>
    <row r="669" spans="1:43" hidden="1">
      <c r="A669">
        <f t="shared" si="348"/>
        <v>666</v>
      </c>
      <c r="B669" s="407"/>
      <c r="C669" s="407"/>
      <c r="D669" s="408"/>
      <c r="E669" s="407"/>
      <c r="F669" s="408"/>
      <c r="G669" s="409"/>
      <c r="H669" s="410"/>
      <c r="I669" s="409"/>
      <c r="K669" s="17"/>
      <c r="L669" s="17"/>
      <c r="M669" s="17"/>
      <c r="N669" s="739"/>
      <c r="O669" s="739"/>
      <c r="P669" s="739"/>
      <c r="Q669" s="739"/>
      <c r="R669" s="739"/>
      <c r="S669" s="739"/>
      <c r="T669" s="739"/>
      <c r="U669" s="739"/>
      <c r="V669" s="739"/>
      <c r="W669" s="739"/>
      <c r="X669" s="739"/>
      <c r="Y669" s="739"/>
      <c r="Z669" s="740"/>
      <c r="AA669" s="740"/>
      <c r="AB669" s="17"/>
      <c r="AC669" s="17"/>
      <c r="AD669" s="17"/>
      <c r="AE669" s="17"/>
      <c r="AF669" s="17"/>
      <c r="AG669" s="17"/>
      <c r="AH669" s="17"/>
      <c r="AI669" s="17"/>
      <c r="AJ669" s="17"/>
      <c r="AK669" s="17"/>
      <c r="AL669" s="17"/>
      <c r="AM669" s="17"/>
      <c r="AN669" s="17"/>
      <c r="AO669" s="17"/>
      <c r="AP669" s="17"/>
      <c r="AQ669" s="17"/>
    </row>
    <row r="670" spans="1:43" hidden="1">
      <c r="A670">
        <f t="shared" si="348"/>
        <v>667</v>
      </c>
      <c r="B670" s="407"/>
      <c r="C670" s="407"/>
      <c r="D670" s="408"/>
      <c r="E670" s="407"/>
      <c r="F670" s="408"/>
      <c r="G670" s="409"/>
      <c r="H670" s="410"/>
      <c r="I670" s="409"/>
      <c r="K670" s="17"/>
      <c r="L670" s="17"/>
      <c r="M670" s="17"/>
      <c r="N670" s="739"/>
      <c r="O670" s="739"/>
      <c r="P670" s="739"/>
      <c r="Q670" s="739"/>
      <c r="R670" s="739"/>
      <c r="S670" s="739"/>
      <c r="T670" s="739"/>
      <c r="U670" s="739"/>
      <c r="V670" s="739"/>
      <c r="W670" s="739"/>
      <c r="X670" s="739"/>
      <c r="Y670" s="739"/>
      <c r="Z670" s="740"/>
      <c r="AA670" s="740"/>
      <c r="AB670" s="17"/>
      <c r="AC670" s="17"/>
      <c r="AD670" s="17"/>
      <c r="AE670" s="17"/>
      <c r="AF670" s="17"/>
      <c r="AG670" s="17"/>
      <c r="AH670" s="17"/>
      <c r="AI670" s="17"/>
      <c r="AJ670" s="17"/>
      <c r="AK670" s="17"/>
      <c r="AL670" s="17"/>
      <c r="AM670" s="17"/>
      <c r="AN670" s="17"/>
      <c r="AO670" s="17"/>
      <c r="AP670" s="17"/>
      <c r="AQ670" s="17"/>
    </row>
    <row r="671" spans="1:43" hidden="1">
      <c r="A671">
        <f t="shared" si="348"/>
        <v>668</v>
      </c>
      <c r="B671" s="407"/>
      <c r="C671" s="407"/>
      <c r="D671" s="408"/>
      <c r="E671" s="407"/>
      <c r="F671" s="408"/>
      <c r="G671" s="409"/>
      <c r="H671" s="410"/>
      <c r="I671" s="409"/>
      <c r="K671" s="17"/>
      <c r="L671" s="17"/>
      <c r="M671" s="17"/>
      <c r="N671" s="739"/>
      <c r="O671" s="739"/>
      <c r="P671" s="739"/>
      <c r="Q671" s="739"/>
      <c r="R671" s="739"/>
      <c r="S671" s="739"/>
      <c r="T671" s="739"/>
      <c r="U671" s="739"/>
      <c r="V671" s="739"/>
      <c r="W671" s="739"/>
      <c r="X671" s="739"/>
      <c r="Y671" s="739"/>
      <c r="Z671" s="740"/>
      <c r="AA671" s="740"/>
      <c r="AB671" s="17"/>
      <c r="AC671" s="17"/>
      <c r="AD671" s="17"/>
      <c r="AE671" s="17"/>
      <c r="AF671" s="17"/>
      <c r="AG671" s="17"/>
      <c r="AH671" s="17"/>
      <c r="AI671" s="17"/>
      <c r="AJ671" s="17"/>
      <c r="AK671" s="17"/>
      <c r="AL671" s="17"/>
      <c r="AM671" s="17"/>
      <c r="AN671" s="17"/>
      <c r="AO671" s="17"/>
      <c r="AP671" s="17"/>
      <c r="AQ671" s="17"/>
    </row>
    <row r="672" spans="1:43" hidden="1">
      <c r="A672">
        <f t="shared" si="348"/>
        <v>669</v>
      </c>
      <c r="B672" s="407"/>
      <c r="C672" s="407"/>
      <c r="D672" s="408"/>
      <c r="E672" s="407"/>
      <c r="F672" s="408"/>
      <c r="G672" s="409"/>
      <c r="H672" s="410"/>
      <c r="I672" s="409"/>
      <c r="K672" s="17"/>
      <c r="L672" s="17"/>
      <c r="M672" s="17"/>
      <c r="N672" s="739"/>
      <c r="O672" s="739"/>
      <c r="P672" s="739"/>
      <c r="Q672" s="739"/>
      <c r="R672" s="739"/>
      <c r="S672" s="739"/>
      <c r="T672" s="739"/>
      <c r="U672" s="739"/>
      <c r="V672" s="739"/>
      <c r="W672" s="739"/>
      <c r="X672" s="739"/>
      <c r="Y672" s="739"/>
      <c r="Z672" s="740"/>
      <c r="AA672" s="740"/>
      <c r="AB672" s="17"/>
      <c r="AC672" s="17"/>
      <c r="AD672" s="17"/>
      <c r="AE672" s="17"/>
      <c r="AF672" s="17"/>
      <c r="AG672" s="17"/>
      <c r="AH672" s="17"/>
      <c r="AI672" s="17"/>
      <c r="AJ672" s="17"/>
      <c r="AK672" s="17"/>
      <c r="AL672" s="17"/>
      <c r="AM672" s="17"/>
      <c r="AN672" s="17"/>
      <c r="AO672" s="17"/>
      <c r="AP672" s="17"/>
      <c r="AQ672" s="17"/>
    </row>
    <row r="673" spans="1:43" hidden="1">
      <c r="A673">
        <f t="shared" si="348"/>
        <v>670</v>
      </c>
      <c r="B673" s="407"/>
      <c r="C673" s="407"/>
      <c r="D673" s="408"/>
      <c r="E673" s="407"/>
      <c r="F673" s="408"/>
      <c r="G673" s="409"/>
      <c r="H673" s="410"/>
      <c r="I673" s="409"/>
      <c r="K673" s="17"/>
      <c r="L673" s="17"/>
      <c r="M673" s="17"/>
      <c r="N673" s="739"/>
      <c r="O673" s="739"/>
      <c r="P673" s="739"/>
      <c r="Q673" s="739"/>
      <c r="R673" s="739"/>
      <c r="S673" s="739"/>
      <c r="T673" s="739"/>
      <c r="U673" s="739"/>
      <c r="V673" s="739"/>
      <c r="W673" s="739"/>
      <c r="X673" s="739"/>
      <c r="Y673" s="739"/>
      <c r="Z673" s="740"/>
      <c r="AA673" s="740"/>
      <c r="AB673" s="17"/>
      <c r="AC673" s="17"/>
      <c r="AD673" s="17"/>
      <c r="AE673" s="17"/>
      <c r="AF673" s="17"/>
      <c r="AG673" s="17"/>
      <c r="AH673" s="17"/>
      <c r="AI673" s="17"/>
      <c r="AJ673" s="17"/>
      <c r="AK673" s="17"/>
      <c r="AL673" s="17"/>
      <c r="AM673" s="17"/>
      <c r="AN673" s="17"/>
      <c r="AO673" s="17"/>
      <c r="AP673" s="17"/>
      <c r="AQ673" s="17"/>
    </row>
    <row r="674" spans="1:43" hidden="1">
      <c r="A674">
        <f t="shared" si="348"/>
        <v>671</v>
      </c>
      <c r="B674" s="407"/>
      <c r="C674" s="407"/>
      <c r="D674" s="408"/>
      <c r="E674" s="407"/>
      <c r="F674" s="408"/>
      <c r="G674" s="409"/>
      <c r="H674" s="410"/>
      <c r="I674" s="409"/>
      <c r="K674" s="17"/>
      <c r="L674" s="17"/>
      <c r="M674" s="17"/>
      <c r="N674" s="739"/>
      <c r="O674" s="739"/>
      <c r="P674" s="739"/>
      <c r="Q674" s="739"/>
      <c r="R674" s="739"/>
      <c r="S674" s="739"/>
      <c r="T674" s="739"/>
      <c r="U674" s="739"/>
      <c r="V674" s="739"/>
      <c r="W674" s="739"/>
      <c r="X674" s="739"/>
      <c r="Y674" s="739"/>
      <c r="Z674" s="740"/>
      <c r="AA674" s="740"/>
      <c r="AB674" s="17"/>
      <c r="AC674" s="17"/>
      <c r="AD674" s="17"/>
      <c r="AE674" s="17"/>
      <c r="AF674" s="17"/>
      <c r="AG674" s="17"/>
      <c r="AH674" s="17"/>
      <c r="AI674" s="17"/>
      <c r="AJ674" s="17"/>
      <c r="AK674" s="17"/>
      <c r="AL674" s="17"/>
      <c r="AM674" s="17"/>
      <c r="AN674" s="17"/>
      <c r="AO674" s="17"/>
      <c r="AP674" s="17"/>
      <c r="AQ674" s="17"/>
    </row>
    <row r="675" spans="1:43" hidden="1">
      <c r="A675">
        <f t="shared" si="348"/>
        <v>672</v>
      </c>
      <c r="B675" s="407"/>
      <c r="C675" s="407"/>
      <c r="D675" s="408"/>
      <c r="E675" s="407"/>
      <c r="F675" s="408"/>
      <c r="G675" s="409"/>
      <c r="H675" s="410"/>
      <c r="I675" s="409"/>
      <c r="K675" s="17"/>
      <c r="L675" s="17"/>
      <c r="M675" s="17"/>
      <c r="N675" s="739"/>
      <c r="O675" s="739"/>
      <c r="P675" s="739"/>
      <c r="Q675" s="739"/>
      <c r="R675" s="739"/>
      <c r="S675" s="739"/>
      <c r="T675" s="739"/>
      <c r="U675" s="739"/>
      <c r="V675" s="739"/>
      <c r="W675" s="739"/>
      <c r="X675" s="739"/>
      <c r="Y675" s="739"/>
      <c r="Z675" s="740"/>
      <c r="AA675" s="740"/>
      <c r="AB675" s="17"/>
      <c r="AC675" s="17"/>
      <c r="AD675" s="17"/>
      <c r="AE675" s="17"/>
      <c r="AF675" s="17"/>
      <c r="AG675" s="17"/>
      <c r="AH675" s="17"/>
      <c r="AI675" s="17"/>
      <c r="AJ675" s="17"/>
      <c r="AK675" s="17"/>
      <c r="AL675" s="17"/>
      <c r="AM675" s="17"/>
      <c r="AN675" s="17"/>
      <c r="AO675" s="17"/>
      <c r="AP675" s="17"/>
      <c r="AQ675" s="17"/>
    </row>
    <row r="676" spans="1:43" hidden="1">
      <c r="A676">
        <f t="shared" si="348"/>
        <v>673</v>
      </c>
      <c r="B676" s="407"/>
      <c r="C676" s="407"/>
      <c r="D676" s="408"/>
      <c r="E676" s="407"/>
      <c r="F676" s="408"/>
      <c r="G676" s="409"/>
      <c r="H676" s="410"/>
      <c r="I676" s="409"/>
      <c r="K676" s="17"/>
      <c r="L676" s="17"/>
      <c r="M676" s="17"/>
      <c r="N676" s="739"/>
      <c r="O676" s="739"/>
      <c r="P676" s="739"/>
      <c r="Q676" s="739"/>
      <c r="R676" s="739"/>
      <c r="S676" s="739"/>
      <c r="T676" s="739"/>
      <c r="U676" s="739"/>
      <c r="V676" s="739"/>
      <c r="W676" s="739"/>
      <c r="X676" s="739"/>
      <c r="Y676" s="739"/>
      <c r="Z676" s="740"/>
      <c r="AA676" s="740"/>
      <c r="AB676" s="17"/>
      <c r="AC676" s="17"/>
      <c r="AD676" s="17"/>
      <c r="AE676" s="17"/>
      <c r="AF676" s="17"/>
      <c r="AG676" s="17"/>
      <c r="AH676" s="17"/>
      <c r="AI676" s="17"/>
      <c r="AJ676" s="17"/>
      <c r="AK676" s="17"/>
      <c r="AL676" s="17"/>
      <c r="AM676" s="17"/>
      <c r="AN676" s="17"/>
      <c r="AO676" s="17"/>
      <c r="AP676" s="17"/>
      <c r="AQ676" s="17"/>
    </row>
    <row r="677" spans="1:43" hidden="1">
      <c r="A677">
        <f t="shared" ref="A677:A723" si="349">A676+1</f>
        <v>674</v>
      </c>
      <c r="B677" s="407"/>
      <c r="C677" s="407"/>
      <c r="D677" s="408"/>
      <c r="E677" s="407"/>
      <c r="F677" s="408"/>
      <c r="G677" s="409"/>
      <c r="H677" s="410"/>
      <c r="I677" s="409"/>
      <c r="K677" s="17"/>
      <c r="L677" s="17"/>
      <c r="M677" s="17"/>
      <c r="N677" s="739"/>
      <c r="O677" s="739"/>
      <c r="P677" s="739"/>
      <c r="Q677" s="739"/>
      <c r="R677" s="739"/>
      <c r="S677" s="739"/>
      <c r="T677" s="739"/>
      <c r="U677" s="739"/>
      <c r="V677" s="739"/>
      <c r="W677" s="739"/>
      <c r="X677" s="739"/>
      <c r="Y677" s="739"/>
      <c r="Z677" s="740"/>
      <c r="AA677" s="740"/>
      <c r="AB677" s="17"/>
      <c r="AC677" s="17"/>
      <c r="AD677" s="17"/>
      <c r="AE677" s="17"/>
      <c r="AF677" s="17"/>
      <c r="AG677" s="17"/>
      <c r="AH677" s="17"/>
      <c r="AI677" s="17"/>
      <c r="AJ677" s="17"/>
      <c r="AK677" s="17"/>
      <c r="AL677" s="17"/>
      <c r="AM677" s="17"/>
      <c r="AN677" s="17"/>
      <c r="AO677" s="17"/>
      <c r="AP677" s="17"/>
      <c r="AQ677" s="17"/>
    </row>
    <row r="678" spans="1:43" hidden="1">
      <c r="A678">
        <f t="shared" si="349"/>
        <v>675</v>
      </c>
      <c r="B678" s="407"/>
      <c r="C678" s="407"/>
      <c r="D678" s="408"/>
      <c r="E678" s="407"/>
      <c r="F678" s="408"/>
      <c r="G678" s="409"/>
      <c r="H678" s="410"/>
      <c r="I678" s="409"/>
      <c r="K678" s="17"/>
      <c r="L678" s="17"/>
      <c r="M678" s="17"/>
      <c r="N678" s="739"/>
      <c r="O678" s="739"/>
      <c r="P678" s="739"/>
      <c r="Q678" s="739"/>
      <c r="R678" s="739"/>
      <c r="S678" s="739"/>
      <c r="T678" s="739"/>
      <c r="U678" s="739"/>
      <c r="V678" s="739"/>
      <c r="W678" s="739"/>
      <c r="X678" s="739"/>
      <c r="Y678" s="739"/>
      <c r="Z678" s="740"/>
      <c r="AA678" s="740"/>
      <c r="AB678" s="17"/>
      <c r="AC678" s="17"/>
      <c r="AD678" s="17"/>
      <c r="AE678" s="17"/>
      <c r="AF678" s="17"/>
      <c r="AG678" s="17"/>
      <c r="AH678" s="17"/>
      <c r="AI678" s="17"/>
      <c r="AJ678" s="17"/>
      <c r="AK678" s="17"/>
      <c r="AL678" s="17"/>
      <c r="AM678" s="17"/>
      <c r="AN678" s="17"/>
      <c r="AO678" s="17"/>
      <c r="AP678" s="17"/>
      <c r="AQ678" s="17"/>
    </row>
    <row r="679" spans="1:43" hidden="1">
      <c r="A679">
        <f t="shared" si="349"/>
        <v>676</v>
      </c>
      <c r="B679" s="407"/>
      <c r="C679" s="407"/>
      <c r="D679" s="408"/>
      <c r="E679" s="407"/>
      <c r="F679" s="408"/>
      <c r="G679" s="409"/>
      <c r="H679" s="410"/>
      <c r="I679" s="409"/>
      <c r="K679" s="17"/>
      <c r="L679" s="17"/>
      <c r="M679" s="17"/>
      <c r="N679" s="739"/>
      <c r="O679" s="739"/>
      <c r="P679" s="739"/>
      <c r="Q679" s="739"/>
      <c r="R679" s="739"/>
      <c r="S679" s="739"/>
      <c r="T679" s="739"/>
      <c r="U679" s="739"/>
      <c r="V679" s="739"/>
      <c r="W679" s="739"/>
      <c r="X679" s="739"/>
      <c r="Y679" s="739"/>
      <c r="Z679" s="740"/>
      <c r="AA679" s="740"/>
      <c r="AB679" s="17"/>
      <c r="AC679" s="17"/>
      <c r="AD679" s="17"/>
      <c r="AE679" s="17"/>
      <c r="AF679" s="17"/>
      <c r="AG679" s="17"/>
      <c r="AH679" s="17"/>
      <c r="AI679" s="17"/>
      <c r="AJ679" s="17"/>
      <c r="AK679" s="17"/>
      <c r="AL679" s="17"/>
      <c r="AM679" s="17"/>
      <c r="AN679" s="17"/>
      <c r="AO679" s="17"/>
      <c r="AP679" s="17"/>
      <c r="AQ679" s="17"/>
    </row>
    <row r="680" spans="1:43" hidden="1">
      <c r="A680">
        <f t="shared" si="349"/>
        <v>677</v>
      </c>
      <c r="B680" s="407"/>
      <c r="C680" s="407"/>
      <c r="D680" s="408"/>
      <c r="E680" s="407"/>
      <c r="F680" s="408"/>
      <c r="G680" s="409"/>
      <c r="H680" s="410"/>
      <c r="I680" s="409"/>
      <c r="K680" s="17"/>
      <c r="L680" s="17"/>
      <c r="M680" s="17"/>
      <c r="N680" s="739"/>
      <c r="O680" s="739"/>
      <c r="P680" s="739"/>
      <c r="Q680" s="739"/>
      <c r="R680" s="739"/>
      <c r="S680" s="739"/>
      <c r="T680" s="739"/>
      <c r="U680" s="739"/>
      <c r="V680" s="739"/>
      <c r="W680" s="739"/>
      <c r="X680" s="739"/>
      <c r="Y680" s="739"/>
      <c r="Z680" s="740"/>
      <c r="AA680" s="740"/>
      <c r="AB680" s="17"/>
      <c r="AC680" s="17"/>
      <c r="AD680" s="17"/>
      <c r="AE680" s="17"/>
      <c r="AF680" s="17"/>
      <c r="AG680" s="17"/>
      <c r="AH680" s="17"/>
      <c r="AI680" s="17"/>
      <c r="AJ680" s="17"/>
      <c r="AK680" s="17"/>
      <c r="AL680" s="17"/>
      <c r="AM680" s="17"/>
      <c r="AN680" s="17"/>
      <c r="AO680" s="17"/>
      <c r="AP680" s="17"/>
      <c r="AQ680" s="17"/>
    </row>
    <row r="681" spans="1:43" hidden="1">
      <c r="A681">
        <f t="shared" si="349"/>
        <v>678</v>
      </c>
      <c r="B681" s="407"/>
      <c r="C681" s="407"/>
      <c r="D681" s="408"/>
      <c r="E681" s="407"/>
      <c r="F681" s="408"/>
      <c r="G681" s="409"/>
      <c r="H681" s="410"/>
      <c r="I681" s="409"/>
      <c r="K681" s="17"/>
      <c r="L681" s="17"/>
      <c r="M681" s="17"/>
      <c r="N681" s="739"/>
      <c r="O681" s="739"/>
      <c r="P681" s="739"/>
      <c r="Q681" s="739"/>
      <c r="R681" s="739"/>
      <c r="S681" s="739"/>
      <c r="T681" s="739"/>
      <c r="U681" s="739"/>
      <c r="V681" s="739"/>
      <c r="W681" s="739"/>
      <c r="X681" s="739"/>
      <c r="Y681" s="739"/>
      <c r="Z681" s="740"/>
      <c r="AA681" s="740"/>
      <c r="AB681" s="17"/>
      <c r="AC681" s="17"/>
      <c r="AD681" s="17"/>
      <c r="AE681" s="17"/>
      <c r="AF681" s="17"/>
      <c r="AG681" s="17"/>
      <c r="AH681" s="17"/>
      <c r="AI681" s="17"/>
      <c r="AJ681" s="17"/>
      <c r="AK681" s="17"/>
      <c r="AL681" s="17"/>
      <c r="AM681" s="17"/>
      <c r="AN681" s="17"/>
      <c r="AO681" s="17"/>
      <c r="AP681" s="17"/>
      <c r="AQ681" s="17"/>
    </row>
    <row r="682" spans="1:43" hidden="1">
      <c r="A682">
        <f t="shared" si="349"/>
        <v>679</v>
      </c>
      <c r="B682" s="407"/>
      <c r="C682" s="407"/>
      <c r="D682" s="408"/>
      <c r="E682" s="407"/>
      <c r="F682" s="408"/>
      <c r="G682" s="409"/>
      <c r="H682" s="410"/>
      <c r="I682" s="409"/>
      <c r="K682" s="17"/>
      <c r="L682" s="17"/>
      <c r="M682" s="17"/>
      <c r="N682" s="739"/>
      <c r="O682" s="739"/>
      <c r="P682" s="739"/>
      <c r="Q682" s="739"/>
      <c r="R682" s="739"/>
      <c r="S682" s="739"/>
      <c r="T682" s="739"/>
      <c r="U682" s="739"/>
      <c r="V682" s="739"/>
      <c r="W682" s="739"/>
      <c r="X682" s="739"/>
      <c r="Y682" s="739"/>
      <c r="Z682" s="740"/>
      <c r="AA682" s="740"/>
      <c r="AB682" s="17"/>
      <c r="AC682" s="17"/>
      <c r="AD682" s="17"/>
      <c r="AE682" s="17"/>
      <c r="AF682" s="17"/>
      <c r="AG682" s="17"/>
      <c r="AH682" s="17"/>
      <c r="AI682" s="17"/>
      <c r="AJ682" s="17"/>
      <c r="AK682" s="17"/>
      <c r="AL682" s="17"/>
      <c r="AM682" s="17"/>
      <c r="AN682" s="17"/>
      <c r="AO682" s="17"/>
      <c r="AP682" s="17"/>
      <c r="AQ682" s="17"/>
    </row>
    <row r="683" spans="1:43" hidden="1">
      <c r="A683">
        <f t="shared" si="349"/>
        <v>680</v>
      </c>
      <c r="B683" s="407"/>
      <c r="C683" s="407"/>
      <c r="D683" s="408"/>
      <c r="E683" s="407"/>
      <c r="F683" s="408"/>
      <c r="G683" s="409"/>
      <c r="H683" s="410"/>
      <c r="I683" s="409"/>
      <c r="K683" s="17"/>
      <c r="L683" s="17"/>
      <c r="M683" s="17"/>
      <c r="N683" s="739"/>
      <c r="O683" s="739"/>
      <c r="P683" s="739"/>
      <c r="Q683" s="739"/>
      <c r="R683" s="739"/>
      <c r="S683" s="739"/>
      <c r="T683" s="739"/>
      <c r="U683" s="739"/>
      <c r="V683" s="739"/>
      <c r="W683" s="739"/>
      <c r="X683" s="739"/>
      <c r="Y683" s="739"/>
      <c r="Z683" s="740"/>
      <c r="AA683" s="740"/>
      <c r="AB683" s="17"/>
      <c r="AC683" s="17"/>
      <c r="AD683" s="17"/>
      <c r="AE683" s="17"/>
      <c r="AF683" s="17"/>
      <c r="AG683" s="17"/>
      <c r="AH683" s="17"/>
      <c r="AI683" s="17"/>
      <c r="AJ683" s="17"/>
      <c r="AK683" s="17"/>
      <c r="AL683" s="17"/>
      <c r="AM683" s="17"/>
      <c r="AN683" s="17"/>
      <c r="AO683" s="17"/>
      <c r="AP683" s="17"/>
      <c r="AQ683" s="17"/>
    </row>
    <row r="684" spans="1:43" hidden="1">
      <c r="A684">
        <f t="shared" si="349"/>
        <v>681</v>
      </c>
      <c r="B684" s="407"/>
      <c r="C684" s="407"/>
      <c r="D684" s="408"/>
      <c r="E684" s="407"/>
      <c r="F684" s="408"/>
      <c r="G684" s="409"/>
      <c r="H684" s="410"/>
      <c r="I684" s="409"/>
      <c r="K684" s="17"/>
      <c r="L684" s="17"/>
      <c r="M684" s="17"/>
      <c r="N684" s="739"/>
      <c r="O684" s="739"/>
      <c r="P684" s="739"/>
      <c r="Q684" s="739"/>
      <c r="R684" s="739"/>
      <c r="S684" s="739"/>
      <c r="T684" s="739"/>
      <c r="U684" s="739"/>
      <c r="V684" s="739"/>
      <c r="W684" s="739"/>
      <c r="X684" s="739"/>
      <c r="Y684" s="739"/>
      <c r="Z684" s="740"/>
      <c r="AA684" s="740"/>
      <c r="AB684" s="17"/>
      <c r="AC684" s="17"/>
      <c r="AD684" s="17"/>
      <c r="AE684" s="17"/>
      <c r="AF684" s="17"/>
      <c r="AG684" s="17"/>
      <c r="AH684" s="17"/>
      <c r="AI684" s="17"/>
      <c r="AJ684" s="17"/>
      <c r="AK684" s="17"/>
      <c r="AL684" s="17"/>
      <c r="AM684" s="17"/>
      <c r="AN684" s="17"/>
      <c r="AO684" s="17"/>
      <c r="AP684" s="17"/>
      <c r="AQ684" s="17"/>
    </row>
    <row r="685" spans="1:43" hidden="1">
      <c r="A685">
        <f t="shared" si="349"/>
        <v>682</v>
      </c>
      <c r="B685" s="407"/>
      <c r="C685" s="407"/>
      <c r="D685" s="408"/>
      <c r="E685" s="407"/>
      <c r="F685" s="408"/>
      <c r="G685" s="409"/>
      <c r="H685" s="410"/>
      <c r="I685" s="409"/>
      <c r="K685" s="17"/>
      <c r="L685" s="17"/>
      <c r="M685" s="17"/>
      <c r="N685" s="739"/>
      <c r="O685" s="739"/>
      <c r="P685" s="739"/>
      <c r="Q685" s="739"/>
      <c r="R685" s="739"/>
      <c r="S685" s="739"/>
      <c r="T685" s="739"/>
      <c r="U685" s="739"/>
      <c r="V685" s="739"/>
      <c r="W685" s="739"/>
      <c r="X685" s="739"/>
      <c r="Y685" s="739"/>
      <c r="Z685" s="740"/>
      <c r="AA685" s="740"/>
      <c r="AB685" s="17"/>
      <c r="AC685" s="17"/>
      <c r="AD685" s="17"/>
      <c r="AE685" s="17"/>
      <c r="AF685" s="17"/>
      <c r="AG685" s="17"/>
      <c r="AH685" s="17"/>
      <c r="AI685" s="17"/>
      <c r="AJ685" s="17"/>
      <c r="AK685" s="17"/>
      <c r="AL685" s="17"/>
      <c r="AM685" s="17"/>
      <c r="AN685" s="17"/>
      <c r="AO685" s="17"/>
      <c r="AP685" s="17"/>
      <c r="AQ685" s="17"/>
    </row>
    <row r="686" spans="1:43" hidden="1">
      <c r="A686">
        <f t="shared" si="349"/>
        <v>683</v>
      </c>
      <c r="B686" s="407"/>
      <c r="C686" s="407"/>
      <c r="D686" s="408"/>
      <c r="E686" s="407"/>
      <c r="F686" s="408"/>
      <c r="G686" s="409"/>
      <c r="H686" s="410"/>
      <c r="I686" s="409"/>
      <c r="K686" s="17"/>
      <c r="L686" s="17"/>
      <c r="M686" s="17"/>
      <c r="N686" s="739"/>
      <c r="O686" s="739"/>
      <c r="P686" s="739"/>
      <c r="Q686" s="739"/>
      <c r="R686" s="739"/>
      <c r="S686" s="739"/>
      <c r="T686" s="739"/>
      <c r="U686" s="739"/>
      <c r="V686" s="739"/>
      <c r="W686" s="739"/>
      <c r="X686" s="739"/>
      <c r="Y686" s="739"/>
      <c r="Z686" s="740"/>
      <c r="AA686" s="740"/>
      <c r="AB686" s="17"/>
      <c r="AC686" s="17"/>
      <c r="AD686" s="17"/>
      <c r="AE686" s="17"/>
      <c r="AF686" s="17"/>
      <c r="AG686" s="17"/>
      <c r="AH686" s="17"/>
      <c r="AI686" s="17"/>
      <c r="AJ686" s="17"/>
      <c r="AK686" s="17"/>
      <c r="AL686" s="17"/>
      <c r="AM686" s="17"/>
      <c r="AN686" s="17"/>
      <c r="AO686" s="17"/>
      <c r="AP686" s="17"/>
      <c r="AQ686" s="17"/>
    </row>
    <row r="687" spans="1:43" hidden="1">
      <c r="A687">
        <f t="shared" si="349"/>
        <v>684</v>
      </c>
      <c r="B687" s="407"/>
      <c r="C687" s="407"/>
      <c r="D687" s="408"/>
      <c r="E687" s="407"/>
      <c r="F687" s="408"/>
      <c r="G687" s="409"/>
      <c r="H687" s="410"/>
      <c r="I687" s="409"/>
      <c r="K687" s="17"/>
      <c r="L687" s="17"/>
      <c r="M687" s="17"/>
      <c r="N687" s="739"/>
      <c r="O687" s="739"/>
      <c r="P687" s="739"/>
      <c r="Q687" s="739"/>
      <c r="R687" s="739"/>
      <c r="S687" s="739"/>
      <c r="T687" s="739"/>
      <c r="U687" s="739"/>
      <c r="V687" s="739"/>
      <c r="W687" s="739"/>
      <c r="X687" s="739"/>
      <c r="Y687" s="739"/>
      <c r="Z687" s="740"/>
      <c r="AA687" s="740"/>
      <c r="AB687" s="17"/>
      <c r="AC687" s="17"/>
      <c r="AD687" s="17"/>
      <c r="AE687" s="17"/>
      <c r="AF687" s="17"/>
      <c r="AG687" s="17"/>
      <c r="AH687" s="17"/>
      <c r="AI687" s="17"/>
      <c r="AJ687" s="17"/>
      <c r="AK687" s="17"/>
      <c r="AL687" s="17"/>
      <c r="AM687" s="17"/>
      <c r="AN687" s="17"/>
      <c r="AO687" s="17"/>
      <c r="AP687" s="17"/>
      <c r="AQ687" s="17"/>
    </row>
    <row r="688" spans="1:43" hidden="1">
      <c r="A688">
        <f t="shared" si="349"/>
        <v>685</v>
      </c>
      <c r="B688" s="407"/>
      <c r="C688" s="407"/>
      <c r="D688" s="408"/>
      <c r="E688" s="407"/>
      <c r="F688" s="408"/>
      <c r="G688" s="409"/>
      <c r="H688" s="410"/>
      <c r="I688" s="409"/>
      <c r="K688" s="17"/>
      <c r="L688" s="17"/>
      <c r="M688" s="17"/>
      <c r="N688" s="739"/>
      <c r="O688" s="739"/>
      <c r="P688" s="739"/>
      <c r="Q688" s="739"/>
      <c r="R688" s="739"/>
      <c r="S688" s="739"/>
      <c r="T688" s="739"/>
      <c r="U688" s="739"/>
      <c r="V688" s="739"/>
      <c r="W688" s="739"/>
      <c r="X688" s="739"/>
      <c r="Y688" s="739"/>
      <c r="Z688" s="740"/>
      <c r="AA688" s="740"/>
      <c r="AB688" s="17"/>
      <c r="AC688" s="17"/>
      <c r="AD688" s="17"/>
      <c r="AE688" s="17"/>
      <c r="AF688" s="17"/>
      <c r="AG688" s="17"/>
      <c r="AH688" s="17"/>
      <c r="AI688" s="17"/>
      <c r="AJ688" s="17"/>
      <c r="AK688" s="17"/>
      <c r="AL688" s="17"/>
      <c r="AM688" s="17"/>
      <c r="AN688" s="17"/>
      <c r="AO688" s="17"/>
      <c r="AP688" s="17"/>
      <c r="AQ688" s="17"/>
    </row>
    <row r="689" spans="1:43" hidden="1">
      <c r="A689">
        <f t="shared" si="349"/>
        <v>686</v>
      </c>
      <c r="B689" s="407"/>
      <c r="C689" s="407"/>
      <c r="D689" s="408"/>
      <c r="E689" s="407"/>
      <c r="F689" s="408"/>
      <c r="G689" s="409"/>
      <c r="H689" s="410"/>
      <c r="I689" s="409"/>
      <c r="K689" s="17"/>
      <c r="L689" s="17"/>
      <c r="M689" s="17"/>
      <c r="N689" s="739"/>
      <c r="O689" s="739"/>
      <c r="P689" s="739"/>
      <c r="Q689" s="739"/>
      <c r="R689" s="739"/>
      <c r="S689" s="739"/>
      <c r="T689" s="739"/>
      <c r="U689" s="739"/>
      <c r="V689" s="739"/>
      <c r="W689" s="739"/>
      <c r="X689" s="739"/>
      <c r="Y689" s="739"/>
      <c r="Z689" s="740"/>
      <c r="AA689" s="740"/>
      <c r="AB689" s="17"/>
      <c r="AC689" s="17"/>
      <c r="AD689" s="17"/>
      <c r="AE689" s="17"/>
      <c r="AF689" s="17"/>
      <c r="AG689" s="17"/>
      <c r="AH689" s="17"/>
      <c r="AI689" s="17"/>
      <c r="AJ689" s="17"/>
      <c r="AK689" s="17"/>
      <c r="AL689" s="17"/>
      <c r="AM689" s="17"/>
      <c r="AN689" s="17"/>
      <c r="AO689" s="17"/>
      <c r="AP689" s="17"/>
      <c r="AQ689" s="17"/>
    </row>
    <row r="690" spans="1:43" hidden="1">
      <c r="A690">
        <f t="shared" si="349"/>
        <v>687</v>
      </c>
      <c r="B690" s="407"/>
      <c r="C690" s="407"/>
      <c r="D690" s="408"/>
      <c r="E690" s="407"/>
      <c r="F690" s="408"/>
      <c r="G690" s="409"/>
      <c r="H690" s="410"/>
      <c r="I690" s="409"/>
      <c r="K690" s="17"/>
      <c r="L690" s="17"/>
      <c r="M690" s="17"/>
      <c r="N690" s="739"/>
      <c r="O690" s="739"/>
      <c r="P690" s="739"/>
      <c r="Q690" s="739"/>
      <c r="R690" s="739"/>
      <c r="S690" s="739"/>
      <c r="T690" s="739"/>
      <c r="U690" s="739"/>
      <c r="V690" s="739"/>
      <c r="W690" s="739"/>
      <c r="X690" s="739"/>
      <c r="Y690" s="739"/>
      <c r="Z690" s="740"/>
      <c r="AA690" s="740"/>
      <c r="AB690" s="17"/>
      <c r="AC690" s="17"/>
      <c r="AD690" s="17"/>
      <c r="AE690" s="17"/>
      <c r="AF690" s="17"/>
      <c r="AG690" s="17"/>
      <c r="AH690" s="17"/>
      <c r="AI690" s="17"/>
      <c r="AJ690" s="17"/>
      <c r="AK690" s="17"/>
      <c r="AL690" s="17"/>
      <c r="AM690" s="17"/>
      <c r="AN690" s="17"/>
      <c r="AO690" s="17"/>
      <c r="AP690" s="17"/>
      <c r="AQ690" s="17"/>
    </row>
    <row r="691" spans="1:43" hidden="1">
      <c r="A691">
        <f t="shared" si="349"/>
        <v>688</v>
      </c>
      <c r="B691" s="407"/>
      <c r="C691" s="407"/>
      <c r="D691" s="408"/>
      <c r="E691" s="407"/>
      <c r="F691" s="408"/>
      <c r="G691" s="409"/>
      <c r="H691" s="410"/>
      <c r="I691" s="409"/>
      <c r="K691" s="17"/>
      <c r="L691" s="17"/>
      <c r="M691" s="17"/>
      <c r="N691" s="739"/>
      <c r="O691" s="739"/>
      <c r="P691" s="739"/>
      <c r="Q691" s="739"/>
      <c r="R691" s="739"/>
      <c r="S691" s="739"/>
      <c r="T691" s="739"/>
      <c r="U691" s="739"/>
      <c r="V691" s="739"/>
      <c r="W691" s="739"/>
      <c r="X691" s="739"/>
      <c r="Y691" s="739"/>
      <c r="Z691" s="740"/>
      <c r="AA691" s="740"/>
      <c r="AB691" s="17"/>
      <c r="AC691" s="17"/>
      <c r="AD691" s="17"/>
      <c r="AE691" s="17"/>
      <c r="AF691" s="17"/>
      <c r="AG691" s="17"/>
      <c r="AH691" s="17"/>
      <c r="AI691" s="17"/>
      <c r="AJ691" s="17"/>
      <c r="AK691" s="17"/>
      <c r="AL691" s="17"/>
      <c r="AM691" s="17"/>
      <c r="AN691" s="17"/>
      <c r="AO691" s="17"/>
      <c r="AP691" s="17"/>
      <c r="AQ691" s="17"/>
    </row>
    <row r="692" spans="1:43" hidden="1">
      <c r="A692">
        <f t="shared" si="349"/>
        <v>689</v>
      </c>
      <c r="B692" s="407"/>
      <c r="C692" s="407"/>
      <c r="D692" s="408"/>
      <c r="E692" s="407"/>
      <c r="F692" s="408"/>
      <c r="G692" s="409"/>
      <c r="H692" s="410"/>
      <c r="I692" s="409"/>
      <c r="K692" s="17"/>
      <c r="L692" s="17"/>
      <c r="M692" s="17"/>
      <c r="N692" s="739"/>
      <c r="O692" s="739"/>
      <c r="P692" s="739"/>
      <c r="Q692" s="739"/>
      <c r="R692" s="739"/>
      <c r="S692" s="739"/>
      <c r="T692" s="739"/>
      <c r="U692" s="739"/>
      <c r="V692" s="739"/>
      <c r="W692" s="739"/>
      <c r="X692" s="739"/>
      <c r="Y692" s="739"/>
      <c r="Z692" s="740"/>
      <c r="AA692" s="740"/>
      <c r="AB692" s="17"/>
      <c r="AC692" s="17"/>
      <c r="AD692" s="17"/>
      <c r="AE692" s="17"/>
      <c r="AF692" s="17"/>
      <c r="AG692" s="17"/>
      <c r="AH692" s="17"/>
      <c r="AI692" s="17"/>
      <c r="AJ692" s="17"/>
      <c r="AK692" s="17"/>
      <c r="AL692" s="17"/>
      <c r="AM692" s="17"/>
      <c r="AN692" s="17"/>
      <c r="AO692" s="17"/>
      <c r="AP692" s="17"/>
      <c r="AQ692" s="17"/>
    </row>
    <row r="693" spans="1:43" hidden="1">
      <c r="A693">
        <f t="shared" si="349"/>
        <v>690</v>
      </c>
      <c r="B693" s="407"/>
      <c r="C693" s="407"/>
      <c r="D693" s="408"/>
      <c r="E693" s="407"/>
      <c r="F693" s="408"/>
      <c r="G693" s="409"/>
      <c r="H693" s="410"/>
      <c r="I693" s="409"/>
      <c r="K693" s="17"/>
      <c r="L693" s="17"/>
      <c r="M693" s="17"/>
      <c r="N693" s="739"/>
      <c r="O693" s="739"/>
      <c r="P693" s="739"/>
      <c r="Q693" s="739"/>
      <c r="R693" s="739"/>
      <c r="S693" s="739"/>
      <c r="T693" s="739"/>
      <c r="U693" s="739"/>
      <c r="V693" s="739"/>
      <c r="W693" s="739"/>
      <c r="X693" s="739"/>
      <c r="Y693" s="739"/>
      <c r="Z693" s="740"/>
      <c r="AA693" s="740"/>
      <c r="AB693" s="17"/>
      <c r="AC693" s="17"/>
      <c r="AD693" s="17"/>
      <c r="AE693" s="17"/>
      <c r="AF693" s="17"/>
      <c r="AG693" s="17"/>
      <c r="AH693" s="17"/>
      <c r="AI693" s="17"/>
      <c r="AJ693" s="17"/>
      <c r="AK693" s="17"/>
      <c r="AL693" s="17"/>
      <c r="AM693" s="17"/>
      <c r="AN693" s="17"/>
      <c r="AO693" s="17"/>
      <c r="AP693" s="17"/>
      <c r="AQ693" s="17"/>
    </row>
    <row r="694" spans="1:43" hidden="1">
      <c r="A694">
        <f t="shared" si="349"/>
        <v>691</v>
      </c>
      <c r="B694" s="407"/>
      <c r="C694" s="407"/>
      <c r="D694" s="408"/>
      <c r="E694" s="407"/>
      <c r="F694" s="408"/>
      <c r="G694" s="409"/>
      <c r="H694" s="410"/>
      <c r="I694" s="409"/>
      <c r="K694" s="17"/>
      <c r="L694" s="17"/>
      <c r="M694" s="17"/>
      <c r="N694" s="739"/>
      <c r="O694" s="739"/>
      <c r="P694" s="739"/>
      <c r="Q694" s="739"/>
      <c r="R694" s="739"/>
      <c r="S694" s="739"/>
      <c r="T694" s="739"/>
      <c r="U694" s="739"/>
      <c r="V694" s="739"/>
      <c r="W694" s="739"/>
      <c r="X694" s="739"/>
      <c r="Y694" s="739"/>
      <c r="Z694" s="740"/>
      <c r="AA694" s="740"/>
      <c r="AB694" s="17"/>
      <c r="AC694" s="17"/>
      <c r="AD694" s="17"/>
      <c r="AE694" s="17"/>
      <c r="AF694" s="17"/>
      <c r="AG694" s="17"/>
      <c r="AH694" s="17"/>
      <c r="AI694" s="17"/>
      <c r="AJ694" s="17"/>
      <c r="AK694" s="17"/>
      <c r="AL694" s="17"/>
      <c r="AM694" s="17"/>
      <c r="AN694" s="17"/>
      <c r="AO694" s="17"/>
      <c r="AP694" s="17"/>
      <c r="AQ694" s="17"/>
    </row>
    <row r="695" spans="1:43" hidden="1">
      <c r="A695">
        <f t="shared" si="349"/>
        <v>692</v>
      </c>
      <c r="B695" s="407"/>
      <c r="C695" s="407"/>
      <c r="D695" s="408"/>
      <c r="E695" s="407"/>
      <c r="F695" s="408"/>
      <c r="G695" s="409"/>
      <c r="H695" s="410"/>
      <c r="I695" s="409"/>
      <c r="K695" s="17"/>
      <c r="L695" s="17"/>
      <c r="M695" s="17"/>
      <c r="N695" s="739"/>
      <c r="O695" s="739"/>
      <c r="P695" s="739"/>
      <c r="Q695" s="739"/>
      <c r="R695" s="739"/>
      <c r="S695" s="739"/>
      <c r="T695" s="739"/>
      <c r="U695" s="739"/>
      <c r="V695" s="739"/>
      <c r="W695" s="739"/>
      <c r="X695" s="739"/>
      <c r="Y695" s="739"/>
      <c r="Z695" s="740"/>
      <c r="AA695" s="740"/>
      <c r="AB695" s="17"/>
      <c r="AC695" s="17"/>
      <c r="AD695" s="17"/>
      <c r="AE695" s="17"/>
      <c r="AF695" s="17"/>
      <c r="AG695" s="17"/>
      <c r="AH695" s="17"/>
      <c r="AI695" s="17"/>
      <c r="AJ695" s="17"/>
      <c r="AK695" s="17"/>
      <c r="AL695" s="17"/>
      <c r="AM695" s="17"/>
      <c r="AN695" s="17"/>
      <c r="AO695" s="17"/>
      <c r="AP695" s="17"/>
      <c r="AQ695" s="17"/>
    </row>
    <row r="696" spans="1:43" hidden="1">
      <c r="A696">
        <f t="shared" si="349"/>
        <v>693</v>
      </c>
      <c r="B696" s="407"/>
      <c r="C696" s="407"/>
      <c r="D696" s="408"/>
      <c r="E696" s="407"/>
      <c r="F696" s="408"/>
      <c r="G696" s="409"/>
      <c r="H696" s="410"/>
      <c r="I696" s="409"/>
      <c r="K696" s="17"/>
      <c r="L696" s="17"/>
      <c r="M696" s="17"/>
      <c r="N696" s="739"/>
      <c r="O696" s="739"/>
      <c r="P696" s="739"/>
      <c r="Q696" s="739"/>
      <c r="R696" s="739"/>
      <c r="S696" s="739"/>
      <c r="T696" s="739"/>
      <c r="U696" s="739"/>
      <c r="V696" s="739"/>
      <c r="W696" s="739"/>
      <c r="X696" s="739"/>
      <c r="Y696" s="739"/>
      <c r="Z696" s="740"/>
      <c r="AA696" s="740"/>
      <c r="AB696" s="17"/>
      <c r="AC696" s="17"/>
      <c r="AD696" s="17"/>
      <c r="AE696" s="17"/>
      <c r="AF696" s="17"/>
      <c r="AG696" s="17"/>
      <c r="AH696" s="17"/>
      <c r="AI696" s="17"/>
      <c r="AJ696" s="17"/>
      <c r="AK696" s="17"/>
      <c r="AL696" s="17"/>
      <c r="AM696" s="17"/>
      <c r="AN696" s="17"/>
      <c r="AO696" s="17"/>
      <c r="AP696" s="17"/>
      <c r="AQ696" s="17"/>
    </row>
    <row r="697" spans="1:43" hidden="1">
      <c r="A697">
        <f t="shared" si="349"/>
        <v>694</v>
      </c>
      <c r="B697" s="407"/>
      <c r="C697" s="407"/>
      <c r="D697" s="408"/>
      <c r="E697" s="407"/>
      <c r="F697" s="408"/>
      <c r="G697" s="409"/>
      <c r="H697" s="410"/>
      <c r="I697" s="409"/>
      <c r="K697" s="17"/>
      <c r="L697" s="17"/>
      <c r="M697" s="17"/>
      <c r="N697" s="739"/>
      <c r="O697" s="739"/>
      <c r="P697" s="739"/>
      <c r="Q697" s="739"/>
      <c r="R697" s="739"/>
      <c r="S697" s="739"/>
      <c r="T697" s="739"/>
      <c r="U697" s="739"/>
      <c r="V697" s="739"/>
      <c r="W697" s="739"/>
      <c r="X697" s="739"/>
      <c r="Y697" s="739"/>
      <c r="Z697" s="740"/>
      <c r="AA697" s="740"/>
      <c r="AB697" s="17"/>
      <c r="AC697" s="17"/>
      <c r="AD697" s="17"/>
      <c r="AE697" s="17"/>
      <c r="AF697" s="17"/>
      <c r="AG697" s="17"/>
      <c r="AH697" s="17"/>
      <c r="AI697" s="17"/>
      <c r="AJ697" s="17"/>
      <c r="AK697" s="17"/>
      <c r="AL697" s="17"/>
      <c r="AM697" s="17"/>
      <c r="AN697" s="17"/>
      <c r="AO697" s="17"/>
      <c r="AP697" s="17"/>
      <c r="AQ697" s="17"/>
    </row>
    <row r="698" spans="1:43" hidden="1">
      <c r="A698">
        <f t="shared" si="349"/>
        <v>695</v>
      </c>
      <c r="B698" s="407"/>
      <c r="C698" s="407"/>
      <c r="D698" s="408"/>
      <c r="E698" s="407"/>
      <c r="F698" s="408"/>
      <c r="G698" s="409"/>
      <c r="H698" s="410"/>
      <c r="I698" s="409"/>
      <c r="K698" s="17"/>
      <c r="L698" s="17"/>
      <c r="M698" s="17"/>
      <c r="N698" s="739"/>
      <c r="O698" s="739"/>
      <c r="P698" s="739"/>
      <c r="Q698" s="739"/>
      <c r="R698" s="739"/>
      <c r="S698" s="739"/>
      <c r="T698" s="739"/>
      <c r="U698" s="739"/>
      <c r="V698" s="739"/>
      <c r="W698" s="739"/>
      <c r="X698" s="739"/>
      <c r="Y698" s="739"/>
      <c r="Z698" s="740"/>
      <c r="AA698" s="740"/>
      <c r="AB698" s="17"/>
      <c r="AC698" s="17"/>
      <c r="AD698" s="17"/>
      <c r="AE698" s="17"/>
      <c r="AF698" s="17"/>
      <c r="AG698" s="17"/>
      <c r="AH698" s="17"/>
      <c r="AI698" s="17"/>
      <c r="AJ698" s="17"/>
      <c r="AK698" s="17"/>
      <c r="AL698" s="17"/>
      <c r="AM698" s="17"/>
      <c r="AN698" s="17"/>
      <c r="AO698" s="17"/>
      <c r="AP698" s="17"/>
      <c r="AQ698" s="17"/>
    </row>
    <row r="699" spans="1:43" hidden="1">
      <c r="A699">
        <f t="shared" si="349"/>
        <v>696</v>
      </c>
      <c r="B699" s="407"/>
      <c r="C699" s="407"/>
      <c r="D699" s="408"/>
      <c r="E699" s="407"/>
      <c r="F699" s="408"/>
      <c r="G699" s="409"/>
      <c r="H699" s="410"/>
      <c r="I699" s="409"/>
      <c r="K699" s="17"/>
      <c r="L699" s="17"/>
      <c r="M699" s="17"/>
      <c r="N699" s="739"/>
      <c r="O699" s="739"/>
      <c r="P699" s="739"/>
      <c r="Q699" s="739"/>
      <c r="R699" s="739"/>
      <c r="S699" s="739"/>
      <c r="T699" s="739"/>
      <c r="U699" s="739"/>
      <c r="V699" s="739"/>
      <c r="W699" s="739"/>
      <c r="X699" s="739"/>
      <c r="Y699" s="739"/>
      <c r="Z699" s="740"/>
      <c r="AA699" s="740"/>
      <c r="AB699" s="17"/>
      <c r="AC699" s="17"/>
      <c r="AD699" s="17"/>
      <c r="AE699" s="17"/>
      <c r="AF699" s="17"/>
      <c r="AG699" s="17"/>
      <c r="AH699" s="17"/>
      <c r="AI699" s="17"/>
      <c r="AJ699" s="17"/>
      <c r="AK699" s="17"/>
      <c r="AL699" s="17"/>
      <c r="AM699" s="17"/>
      <c r="AN699" s="17"/>
      <c r="AO699" s="17"/>
      <c r="AP699" s="17"/>
      <c r="AQ699" s="17"/>
    </row>
    <row r="700" spans="1:43" hidden="1">
      <c r="A700">
        <f t="shared" si="349"/>
        <v>697</v>
      </c>
      <c r="B700" s="407"/>
      <c r="C700" s="407"/>
      <c r="D700" s="408"/>
      <c r="E700" s="407"/>
      <c r="F700" s="408"/>
      <c r="G700" s="409"/>
      <c r="H700" s="410"/>
      <c r="I700" s="409"/>
      <c r="K700" s="17"/>
      <c r="L700" s="17"/>
      <c r="M700" s="17"/>
      <c r="N700" s="739"/>
      <c r="O700" s="739"/>
      <c r="P700" s="739"/>
      <c r="Q700" s="739"/>
      <c r="R700" s="739"/>
      <c r="S700" s="739"/>
      <c r="T700" s="739"/>
      <c r="U700" s="739"/>
      <c r="V700" s="739"/>
      <c r="W700" s="739"/>
      <c r="X700" s="739"/>
      <c r="Y700" s="739"/>
      <c r="Z700" s="740"/>
      <c r="AA700" s="740"/>
      <c r="AB700" s="17"/>
      <c r="AC700" s="17"/>
      <c r="AD700" s="17"/>
      <c r="AE700" s="17"/>
      <c r="AF700" s="17"/>
      <c r="AG700" s="17"/>
      <c r="AH700" s="17"/>
      <c r="AI700" s="17"/>
      <c r="AJ700" s="17"/>
      <c r="AK700" s="17"/>
      <c r="AL700" s="17"/>
      <c r="AM700" s="17"/>
      <c r="AN700" s="17"/>
      <c r="AO700" s="17"/>
      <c r="AP700" s="17"/>
      <c r="AQ700" s="17"/>
    </row>
    <row r="701" spans="1:43" hidden="1">
      <c r="A701">
        <f t="shared" si="349"/>
        <v>698</v>
      </c>
      <c r="B701" s="407"/>
      <c r="C701" s="407"/>
      <c r="D701" s="408"/>
      <c r="E701" s="407"/>
      <c r="F701" s="408"/>
      <c r="G701" s="409"/>
      <c r="H701" s="410"/>
      <c r="I701" s="409"/>
      <c r="K701" s="17"/>
      <c r="L701" s="17"/>
      <c r="M701" s="17"/>
      <c r="N701" s="739"/>
      <c r="O701" s="739"/>
      <c r="P701" s="739"/>
      <c r="Q701" s="739"/>
      <c r="R701" s="739"/>
      <c r="S701" s="739"/>
      <c r="T701" s="739"/>
      <c r="U701" s="739"/>
      <c r="V701" s="739"/>
      <c r="W701" s="739"/>
      <c r="X701" s="739"/>
      <c r="Y701" s="739"/>
      <c r="Z701" s="740"/>
      <c r="AA701" s="740"/>
      <c r="AB701" s="17"/>
      <c r="AC701" s="17"/>
      <c r="AD701" s="17"/>
      <c r="AE701" s="17"/>
      <c r="AF701" s="17"/>
      <c r="AG701" s="17"/>
      <c r="AH701" s="17"/>
      <c r="AI701" s="17"/>
      <c r="AJ701" s="17"/>
      <c r="AK701" s="17"/>
      <c r="AL701" s="17"/>
      <c r="AM701" s="17"/>
      <c r="AN701" s="17"/>
      <c r="AO701" s="17"/>
      <c r="AP701" s="17"/>
      <c r="AQ701" s="17"/>
    </row>
    <row r="702" spans="1:43" hidden="1">
      <c r="A702">
        <f t="shared" si="349"/>
        <v>699</v>
      </c>
      <c r="B702" s="407"/>
      <c r="C702" s="407"/>
      <c r="D702" s="408"/>
      <c r="E702" s="407"/>
      <c r="F702" s="408"/>
      <c r="G702" s="409"/>
      <c r="H702" s="410"/>
      <c r="I702" s="409"/>
      <c r="K702" s="17"/>
      <c r="L702" s="17"/>
      <c r="M702" s="17"/>
      <c r="N702" s="739"/>
      <c r="O702" s="739"/>
      <c r="P702" s="739"/>
      <c r="Q702" s="739"/>
      <c r="R702" s="739"/>
      <c r="S702" s="739"/>
      <c r="T702" s="739"/>
      <c r="U702" s="739"/>
      <c r="V702" s="739"/>
      <c r="W702" s="739"/>
      <c r="X702" s="739"/>
      <c r="Y702" s="739"/>
      <c r="Z702" s="740"/>
      <c r="AA702" s="740"/>
      <c r="AB702" s="17"/>
      <c r="AC702" s="17"/>
      <c r="AD702" s="17"/>
      <c r="AE702" s="17"/>
      <c r="AF702" s="17"/>
      <c r="AG702" s="17"/>
      <c r="AH702" s="17"/>
      <c r="AI702" s="17"/>
      <c r="AJ702" s="17"/>
      <c r="AK702" s="17"/>
      <c r="AL702" s="17"/>
      <c r="AM702" s="17"/>
      <c r="AN702" s="17"/>
      <c r="AO702" s="17"/>
      <c r="AP702" s="17"/>
      <c r="AQ702" s="17"/>
    </row>
    <row r="703" spans="1:43" hidden="1">
      <c r="A703">
        <f t="shared" si="349"/>
        <v>700</v>
      </c>
      <c r="B703" s="407"/>
      <c r="C703" s="407"/>
      <c r="D703" s="408"/>
      <c r="E703" s="407"/>
      <c r="F703" s="408"/>
      <c r="G703" s="409"/>
      <c r="H703" s="410"/>
      <c r="I703" s="409"/>
      <c r="K703" s="17"/>
      <c r="L703" s="17"/>
      <c r="M703" s="17"/>
      <c r="N703" s="739"/>
      <c r="O703" s="739"/>
      <c r="P703" s="739"/>
      <c r="Q703" s="739"/>
      <c r="R703" s="739"/>
      <c r="S703" s="739"/>
      <c r="T703" s="739"/>
      <c r="U703" s="739"/>
      <c r="V703" s="739"/>
      <c r="W703" s="739"/>
      <c r="X703" s="739"/>
      <c r="Y703" s="739"/>
      <c r="Z703" s="740"/>
      <c r="AA703" s="740"/>
      <c r="AB703" s="17"/>
      <c r="AC703" s="17"/>
      <c r="AD703" s="17"/>
      <c r="AE703" s="17"/>
      <c r="AF703" s="17"/>
      <c r="AG703" s="17"/>
      <c r="AH703" s="17"/>
      <c r="AI703" s="17"/>
      <c r="AJ703" s="17"/>
      <c r="AK703" s="17"/>
      <c r="AL703" s="17"/>
      <c r="AM703" s="17"/>
      <c r="AN703" s="17"/>
      <c r="AO703" s="17"/>
      <c r="AP703" s="17"/>
      <c r="AQ703" s="17"/>
    </row>
    <row r="704" spans="1:43" hidden="1">
      <c r="A704">
        <f t="shared" si="349"/>
        <v>701</v>
      </c>
      <c r="B704" s="407"/>
      <c r="C704" s="407"/>
      <c r="D704" s="408"/>
      <c r="E704" s="407"/>
      <c r="F704" s="408"/>
      <c r="G704" s="409"/>
      <c r="H704" s="410"/>
      <c r="I704" s="409"/>
      <c r="K704" s="17"/>
      <c r="L704" s="17"/>
      <c r="M704" s="17"/>
      <c r="N704" s="739"/>
      <c r="O704" s="739"/>
      <c r="P704" s="739"/>
      <c r="Q704" s="739"/>
      <c r="R704" s="739"/>
      <c r="S704" s="739"/>
      <c r="T704" s="739"/>
      <c r="U704" s="739"/>
      <c r="V704" s="739"/>
      <c r="W704" s="739"/>
      <c r="X704" s="739"/>
      <c r="Y704" s="739"/>
      <c r="Z704" s="740"/>
      <c r="AA704" s="740"/>
      <c r="AB704" s="17"/>
      <c r="AC704" s="17"/>
      <c r="AD704" s="17"/>
      <c r="AE704" s="17"/>
      <c r="AF704" s="17"/>
      <c r="AG704" s="17"/>
      <c r="AH704" s="17"/>
      <c r="AI704" s="17"/>
      <c r="AJ704" s="17"/>
      <c r="AK704" s="17"/>
      <c r="AL704" s="17"/>
      <c r="AM704" s="17"/>
      <c r="AN704" s="17"/>
      <c r="AO704" s="17"/>
      <c r="AP704" s="17"/>
      <c r="AQ704" s="17"/>
    </row>
    <row r="705" spans="1:43" hidden="1">
      <c r="A705">
        <f t="shared" si="349"/>
        <v>702</v>
      </c>
      <c r="B705" s="407"/>
      <c r="C705" s="407"/>
      <c r="D705" s="408"/>
      <c r="E705" s="407"/>
      <c r="F705" s="408"/>
      <c r="G705" s="409"/>
      <c r="H705" s="410"/>
      <c r="I705" s="409"/>
      <c r="K705" s="17"/>
      <c r="L705" s="17"/>
      <c r="M705" s="17"/>
      <c r="N705" s="739"/>
      <c r="O705" s="739"/>
      <c r="P705" s="739"/>
      <c r="Q705" s="739"/>
      <c r="R705" s="739"/>
      <c r="S705" s="739"/>
      <c r="T705" s="739"/>
      <c r="U705" s="739"/>
      <c r="V705" s="739"/>
      <c r="W705" s="739"/>
      <c r="X705" s="739"/>
      <c r="Y705" s="739"/>
      <c r="Z705" s="740"/>
      <c r="AA705" s="740"/>
      <c r="AB705" s="17"/>
      <c r="AC705" s="17"/>
      <c r="AD705" s="17"/>
      <c r="AE705" s="17"/>
      <c r="AF705" s="17"/>
      <c r="AG705" s="17"/>
      <c r="AH705" s="17"/>
      <c r="AI705" s="17"/>
      <c r="AJ705" s="17"/>
      <c r="AK705" s="17"/>
      <c r="AL705" s="17"/>
      <c r="AM705" s="17"/>
      <c r="AN705" s="17"/>
      <c r="AO705" s="17"/>
      <c r="AP705" s="17"/>
      <c r="AQ705" s="17"/>
    </row>
    <row r="706" spans="1:43" hidden="1">
      <c r="A706">
        <f t="shared" si="349"/>
        <v>703</v>
      </c>
      <c r="B706" s="407"/>
      <c r="C706" s="407"/>
      <c r="D706" s="408"/>
      <c r="E706" s="407"/>
      <c r="F706" s="408"/>
      <c r="G706" s="409"/>
      <c r="H706" s="410"/>
      <c r="I706" s="409"/>
      <c r="K706" s="17"/>
      <c r="L706" s="17"/>
      <c r="M706" s="17"/>
      <c r="N706" s="739"/>
      <c r="O706" s="739"/>
      <c r="P706" s="739"/>
      <c r="Q706" s="739"/>
      <c r="R706" s="739"/>
      <c r="S706" s="739"/>
      <c r="T706" s="739"/>
      <c r="U706" s="739"/>
      <c r="V706" s="739"/>
      <c r="W706" s="739"/>
      <c r="X706" s="739"/>
      <c r="Y706" s="739"/>
      <c r="Z706" s="740"/>
      <c r="AA706" s="740"/>
      <c r="AB706" s="17"/>
      <c r="AC706" s="17"/>
      <c r="AD706" s="17"/>
      <c r="AE706" s="17"/>
      <c r="AF706" s="17"/>
      <c r="AG706" s="17"/>
      <c r="AH706" s="17"/>
      <c r="AI706" s="17"/>
      <c r="AJ706" s="17"/>
      <c r="AK706" s="17"/>
      <c r="AL706" s="17"/>
      <c r="AM706" s="17"/>
      <c r="AN706" s="17"/>
      <c r="AO706" s="17"/>
      <c r="AP706" s="17"/>
      <c r="AQ706" s="17"/>
    </row>
    <row r="707" spans="1:43" hidden="1">
      <c r="A707">
        <f t="shared" si="349"/>
        <v>704</v>
      </c>
      <c r="B707" s="407"/>
      <c r="C707" s="407"/>
      <c r="D707" s="408"/>
      <c r="E707" s="407"/>
      <c r="F707" s="408"/>
      <c r="G707" s="409"/>
      <c r="H707" s="410"/>
      <c r="I707" s="409"/>
      <c r="K707" s="17"/>
      <c r="L707" s="17"/>
      <c r="M707" s="17"/>
      <c r="N707" s="739"/>
      <c r="O707" s="739"/>
      <c r="P707" s="739"/>
      <c r="Q707" s="739"/>
      <c r="R707" s="739"/>
      <c r="S707" s="739"/>
      <c r="T707" s="739"/>
      <c r="U707" s="739"/>
      <c r="V707" s="739"/>
      <c r="W707" s="739"/>
      <c r="X707" s="739"/>
      <c r="Y707" s="739"/>
      <c r="Z707" s="740"/>
      <c r="AA707" s="740"/>
      <c r="AB707" s="17"/>
      <c r="AC707" s="17"/>
      <c r="AD707" s="17"/>
      <c r="AE707" s="17"/>
      <c r="AF707" s="17"/>
      <c r="AG707" s="17"/>
      <c r="AH707" s="17"/>
      <c r="AI707" s="17"/>
      <c r="AJ707" s="17"/>
      <c r="AK707" s="17"/>
      <c r="AL707" s="17"/>
      <c r="AM707" s="17"/>
      <c r="AN707" s="17"/>
      <c r="AO707" s="17"/>
      <c r="AP707" s="17"/>
      <c r="AQ707" s="17"/>
    </row>
    <row r="708" spans="1:43" hidden="1">
      <c r="A708">
        <f t="shared" si="349"/>
        <v>705</v>
      </c>
      <c r="B708" s="407"/>
      <c r="C708" s="407"/>
      <c r="D708" s="408"/>
      <c r="E708" s="407"/>
      <c r="F708" s="408"/>
      <c r="G708" s="409"/>
      <c r="H708" s="410"/>
      <c r="I708" s="409"/>
      <c r="K708" s="17"/>
      <c r="L708" s="17"/>
      <c r="M708" s="17"/>
      <c r="N708" s="739"/>
      <c r="O708" s="739"/>
      <c r="P708" s="739"/>
      <c r="Q708" s="739"/>
      <c r="R708" s="739"/>
      <c r="S708" s="739"/>
      <c r="T708" s="739"/>
      <c r="U708" s="739"/>
      <c r="V708" s="739"/>
      <c r="W708" s="739"/>
      <c r="X708" s="739"/>
      <c r="Y708" s="739"/>
      <c r="Z708" s="740"/>
      <c r="AA708" s="740"/>
      <c r="AB708" s="17"/>
      <c r="AC708" s="17"/>
      <c r="AD708" s="17"/>
      <c r="AE708" s="17"/>
      <c r="AF708" s="17"/>
      <c r="AG708" s="17"/>
      <c r="AH708" s="17"/>
      <c r="AI708" s="17"/>
      <c r="AJ708" s="17"/>
      <c r="AK708" s="17"/>
      <c r="AL708" s="17"/>
      <c r="AM708" s="17"/>
      <c r="AN708" s="17"/>
      <c r="AO708" s="17"/>
      <c r="AP708" s="17"/>
      <c r="AQ708" s="17"/>
    </row>
    <row r="709" spans="1:43" hidden="1">
      <c r="A709">
        <f t="shared" si="349"/>
        <v>706</v>
      </c>
      <c r="B709" s="407"/>
      <c r="C709" s="407"/>
      <c r="D709" s="408"/>
      <c r="E709" s="407"/>
      <c r="F709" s="408"/>
      <c r="G709" s="409"/>
      <c r="H709" s="410"/>
      <c r="I709" s="409"/>
      <c r="K709" s="17"/>
      <c r="L709" s="17"/>
      <c r="M709" s="17"/>
      <c r="N709" s="739"/>
      <c r="O709" s="739"/>
      <c r="P709" s="739"/>
      <c r="Q709" s="739"/>
      <c r="R709" s="739"/>
      <c r="S709" s="739"/>
      <c r="T709" s="739"/>
      <c r="U709" s="739"/>
      <c r="V709" s="739"/>
      <c r="W709" s="739"/>
      <c r="X709" s="739"/>
      <c r="Y709" s="739"/>
      <c r="Z709" s="740"/>
      <c r="AA709" s="740"/>
      <c r="AB709" s="17"/>
      <c r="AC709" s="17"/>
      <c r="AD709" s="17"/>
      <c r="AE709" s="17"/>
      <c r="AF709" s="17"/>
      <c r="AG709" s="17"/>
      <c r="AH709" s="17"/>
      <c r="AI709" s="17"/>
      <c r="AJ709" s="17"/>
      <c r="AK709" s="17"/>
      <c r="AL709" s="17"/>
      <c r="AM709" s="17"/>
      <c r="AN709" s="17"/>
      <c r="AO709" s="17"/>
      <c r="AP709" s="17"/>
      <c r="AQ709" s="17"/>
    </row>
    <row r="710" spans="1:43" hidden="1">
      <c r="A710">
        <f t="shared" si="349"/>
        <v>707</v>
      </c>
      <c r="B710" s="407"/>
      <c r="C710" s="407"/>
      <c r="D710" s="408"/>
      <c r="E710" s="407"/>
      <c r="F710" s="408"/>
      <c r="G710" s="409"/>
      <c r="H710" s="410"/>
      <c r="I710" s="409"/>
      <c r="K710" s="17"/>
      <c r="L710" s="17"/>
      <c r="M710" s="17"/>
      <c r="N710" s="739"/>
      <c r="O710" s="739"/>
      <c r="P710" s="739"/>
      <c r="Q710" s="739"/>
      <c r="R710" s="739"/>
      <c r="S710" s="739"/>
      <c r="T710" s="739"/>
      <c r="U710" s="739"/>
      <c r="V710" s="739"/>
      <c r="W710" s="739"/>
      <c r="X710" s="739"/>
      <c r="Y710" s="739"/>
      <c r="Z710" s="740"/>
      <c r="AA710" s="740"/>
      <c r="AB710" s="17"/>
      <c r="AC710" s="17"/>
      <c r="AD710" s="17"/>
      <c r="AE710" s="17"/>
      <c r="AF710" s="17"/>
      <c r="AG710" s="17"/>
      <c r="AH710" s="17"/>
      <c r="AI710" s="17"/>
      <c r="AJ710" s="17"/>
      <c r="AK710" s="17"/>
      <c r="AL710" s="17"/>
      <c r="AM710" s="17"/>
      <c r="AN710" s="17"/>
      <c r="AO710" s="17"/>
      <c r="AP710" s="17"/>
      <c r="AQ710" s="17"/>
    </row>
    <row r="711" spans="1:43" hidden="1">
      <c r="A711">
        <f t="shared" si="349"/>
        <v>708</v>
      </c>
      <c r="B711" s="407"/>
      <c r="C711" s="407"/>
      <c r="D711" s="408"/>
      <c r="E711" s="407"/>
      <c r="F711" s="408"/>
      <c r="G711" s="409"/>
      <c r="H711" s="410"/>
      <c r="I711" s="409"/>
      <c r="K711" s="17"/>
      <c r="L711" s="17"/>
      <c r="M711" s="17"/>
      <c r="N711" s="739"/>
      <c r="O711" s="739"/>
      <c r="P711" s="739"/>
      <c r="Q711" s="739"/>
      <c r="R711" s="739"/>
      <c r="S711" s="739"/>
      <c r="T711" s="739"/>
      <c r="U711" s="739"/>
      <c r="V711" s="739"/>
      <c r="W711" s="739"/>
      <c r="X711" s="739"/>
      <c r="Y711" s="739"/>
      <c r="Z711" s="740"/>
      <c r="AA711" s="740"/>
      <c r="AB711" s="17"/>
      <c r="AC711" s="17"/>
      <c r="AD711" s="17"/>
      <c r="AE711" s="17"/>
      <c r="AF711" s="17"/>
      <c r="AG711" s="17"/>
      <c r="AH711" s="17"/>
      <c r="AI711" s="17"/>
      <c r="AJ711" s="17"/>
      <c r="AK711" s="17"/>
      <c r="AL711" s="17"/>
      <c r="AM711" s="17"/>
      <c r="AN711" s="17"/>
      <c r="AO711" s="17"/>
      <c r="AP711" s="17"/>
      <c r="AQ711" s="17"/>
    </row>
    <row r="712" spans="1:43" hidden="1">
      <c r="A712">
        <f t="shared" si="349"/>
        <v>709</v>
      </c>
      <c r="B712" s="407"/>
      <c r="C712" s="407"/>
      <c r="D712" s="408"/>
      <c r="E712" s="407"/>
      <c r="F712" s="408"/>
      <c r="G712" s="409"/>
      <c r="H712" s="410"/>
      <c r="I712" s="409"/>
      <c r="K712" s="17"/>
      <c r="L712" s="17"/>
      <c r="M712" s="17"/>
      <c r="N712" s="739"/>
      <c r="O712" s="739"/>
      <c r="P712" s="739"/>
      <c r="Q712" s="739"/>
      <c r="R712" s="739"/>
      <c r="S712" s="739"/>
      <c r="T712" s="739"/>
      <c r="U712" s="739"/>
      <c r="V712" s="739"/>
      <c r="W712" s="739"/>
      <c r="X712" s="739"/>
      <c r="Y712" s="739"/>
      <c r="Z712" s="740"/>
      <c r="AA712" s="740"/>
      <c r="AB712" s="17"/>
      <c r="AC712" s="17"/>
      <c r="AD712" s="17"/>
      <c r="AE712" s="17"/>
      <c r="AF712" s="17"/>
      <c r="AG712" s="17"/>
      <c r="AH712" s="17"/>
      <c r="AI712" s="17"/>
      <c r="AJ712" s="17"/>
      <c r="AK712" s="17"/>
      <c r="AL712" s="17"/>
      <c r="AM712" s="17"/>
      <c r="AN712" s="17"/>
      <c r="AO712" s="17"/>
      <c r="AP712" s="17"/>
      <c r="AQ712" s="17"/>
    </row>
    <row r="713" spans="1:43" hidden="1">
      <c r="A713">
        <f t="shared" si="349"/>
        <v>710</v>
      </c>
      <c r="B713" s="407"/>
      <c r="C713" s="407"/>
      <c r="D713" s="408"/>
      <c r="E713" s="407"/>
      <c r="F713" s="408"/>
      <c r="G713" s="409"/>
      <c r="H713" s="410"/>
      <c r="I713" s="409"/>
      <c r="K713" s="17"/>
      <c r="L713" s="17"/>
      <c r="M713" s="17"/>
      <c r="N713" s="739"/>
      <c r="O713" s="739"/>
      <c r="P713" s="739"/>
      <c r="Q713" s="739"/>
      <c r="R713" s="739"/>
      <c r="S713" s="739"/>
      <c r="T713" s="739"/>
      <c r="U713" s="739"/>
      <c r="V713" s="739"/>
      <c r="W713" s="739"/>
      <c r="X713" s="739"/>
      <c r="Y713" s="739"/>
      <c r="Z713" s="740"/>
      <c r="AA713" s="740"/>
      <c r="AB713" s="17"/>
      <c r="AC713" s="17"/>
      <c r="AD713" s="17"/>
      <c r="AE713" s="17"/>
      <c r="AF713" s="17"/>
      <c r="AG713" s="17"/>
      <c r="AH713" s="17"/>
      <c r="AI713" s="17"/>
      <c r="AJ713" s="17"/>
      <c r="AK713" s="17"/>
      <c r="AL713" s="17"/>
      <c r="AM713" s="17"/>
      <c r="AN713" s="17"/>
      <c r="AO713" s="17"/>
      <c r="AP713" s="17"/>
      <c r="AQ713" s="17"/>
    </row>
    <row r="714" spans="1:43" hidden="1">
      <c r="A714">
        <f t="shared" si="349"/>
        <v>711</v>
      </c>
      <c r="B714" s="407"/>
      <c r="C714" s="407"/>
      <c r="D714" s="408"/>
      <c r="E714" s="407"/>
      <c r="F714" s="408"/>
      <c r="G714" s="409"/>
      <c r="H714" s="410"/>
      <c r="I714" s="409"/>
      <c r="K714" s="17"/>
      <c r="L714" s="17"/>
      <c r="M714" s="17"/>
      <c r="N714" s="739"/>
      <c r="O714" s="739"/>
      <c r="P714" s="739"/>
      <c r="Q714" s="739"/>
      <c r="R714" s="739"/>
      <c r="S714" s="739"/>
      <c r="T714" s="739"/>
      <c r="U714" s="739"/>
      <c r="V714" s="739"/>
      <c r="W714" s="739"/>
      <c r="X714" s="739"/>
      <c r="Y714" s="739"/>
      <c r="Z714" s="740"/>
      <c r="AA714" s="740"/>
      <c r="AB714" s="17"/>
      <c r="AC714" s="17"/>
      <c r="AD714" s="17"/>
      <c r="AE714" s="17"/>
      <c r="AF714" s="17"/>
      <c r="AG714" s="17"/>
      <c r="AH714" s="17"/>
      <c r="AI714" s="17"/>
      <c r="AJ714" s="17"/>
      <c r="AK714" s="17"/>
      <c r="AL714" s="17"/>
      <c r="AM714" s="17"/>
      <c r="AN714" s="17"/>
      <c r="AO714" s="17"/>
      <c r="AP714" s="17"/>
      <c r="AQ714" s="17"/>
    </row>
    <row r="715" spans="1:43" hidden="1">
      <c r="A715">
        <f t="shared" si="349"/>
        <v>712</v>
      </c>
      <c r="B715" s="407"/>
      <c r="C715" s="407"/>
      <c r="D715" s="408"/>
      <c r="E715" s="407"/>
      <c r="F715" s="408"/>
      <c r="G715" s="409"/>
      <c r="H715" s="410"/>
      <c r="I715" s="409"/>
      <c r="K715" s="17"/>
      <c r="L715" s="17"/>
      <c r="M715" s="17"/>
      <c r="N715" s="739"/>
      <c r="O715" s="739"/>
      <c r="P715" s="739"/>
      <c r="Q715" s="739"/>
      <c r="R715" s="739"/>
      <c r="S715" s="739"/>
      <c r="T715" s="739"/>
      <c r="U715" s="739"/>
      <c r="V715" s="739"/>
      <c r="W715" s="739"/>
      <c r="X715" s="739"/>
      <c r="Y715" s="739"/>
      <c r="Z715" s="740"/>
      <c r="AA715" s="740"/>
      <c r="AB715" s="17"/>
      <c r="AC715" s="17"/>
      <c r="AD715" s="17"/>
      <c r="AE715" s="17"/>
      <c r="AF715" s="17"/>
      <c r="AG715" s="17"/>
      <c r="AH715" s="17"/>
      <c r="AI715" s="17"/>
      <c r="AJ715" s="17"/>
      <c r="AK715" s="17"/>
      <c r="AL715" s="17"/>
      <c r="AM715" s="17"/>
      <c r="AN715" s="17"/>
      <c r="AO715" s="17"/>
      <c r="AP715" s="17"/>
      <c r="AQ715" s="17"/>
    </row>
    <row r="716" spans="1:43" hidden="1">
      <c r="A716">
        <f t="shared" si="349"/>
        <v>713</v>
      </c>
      <c r="B716" s="407"/>
      <c r="C716" s="407"/>
      <c r="D716" s="408"/>
      <c r="E716" s="407"/>
      <c r="F716" s="408"/>
      <c r="G716" s="409"/>
      <c r="H716" s="410"/>
      <c r="I716" s="409"/>
      <c r="K716" s="17"/>
      <c r="L716" s="17"/>
      <c r="M716" s="17"/>
      <c r="N716" s="739"/>
      <c r="O716" s="739"/>
      <c r="P716" s="739"/>
      <c r="Q716" s="739"/>
      <c r="R716" s="739"/>
      <c r="S716" s="739"/>
      <c r="T716" s="739"/>
      <c r="U716" s="739"/>
      <c r="V716" s="739"/>
      <c r="W716" s="739"/>
      <c r="X716" s="739"/>
      <c r="Y716" s="739"/>
      <c r="Z716" s="740"/>
      <c r="AA716" s="740"/>
      <c r="AB716" s="17"/>
      <c r="AC716" s="17"/>
      <c r="AD716" s="17"/>
      <c r="AE716" s="17"/>
      <c r="AF716" s="17"/>
      <c r="AG716" s="17"/>
      <c r="AH716" s="17"/>
      <c r="AI716" s="17"/>
      <c r="AJ716" s="17"/>
      <c r="AK716" s="17"/>
      <c r="AL716" s="17"/>
      <c r="AM716" s="17"/>
      <c r="AN716" s="17"/>
      <c r="AO716" s="17"/>
      <c r="AP716" s="17"/>
      <c r="AQ716" s="17"/>
    </row>
    <row r="717" spans="1:43" hidden="1">
      <c r="A717">
        <f t="shared" si="349"/>
        <v>714</v>
      </c>
      <c r="B717" s="407"/>
      <c r="C717" s="407"/>
      <c r="D717" s="408"/>
      <c r="E717" s="407"/>
      <c r="F717" s="408"/>
      <c r="G717" s="409"/>
      <c r="H717" s="410"/>
      <c r="I717" s="409"/>
      <c r="K717" s="17"/>
      <c r="L717" s="17"/>
      <c r="M717" s="17"/>
      <c r="N717" s="739"/>
      <c r="O717" s="739"/>
      <c r="P717" s="739"/>
      <c r="Q717" s="739"/>
      <c r="R717" s="739"/>
      <c r="S717" s="739"/>
      <c r="T717" s="739"/>
      <c r="U717" s="739"/>
      <c r="V717" s="739"/>
      <c r="W717" s="739"/>
      <c r="X717" s="739"/>
      <c r="Y717" s="739"/>
      <c r="Z717" s="740"/>
      <c r="AA717" s="740"/>
      <c r="AB717" s="17"/>
      <c r="AC717" s="17"/>
      <c r="AD717" s="17"/>
      <c r="AE717" s="17"/>
      <c r="AF717" s="17"/>
      <c r="AG717" s="17"/>
      <c r="AH717" s="17"/>
      <c r="AI717" s="17"/>
      <c r="AJ717" s="17"/>
      <c r="AK717" s="17"/>
      <c r="AL717" s="17"/>
      <c r="AM717" s="17"/>
      <c r="AN717" s="17"/>
      <c r="AO717" s="17"/>
      <c r="AP717" s="17"/>
      <c r="AQ717" s="17"/>
    </row>
    <row r="718" spans="1:43" hidden="1">
      <c r="A718">
        <f t="shared" si="349"/>
        <v>715</v>
      </c>
      <c r="B718" s="407"/>
      <c r="C718" s="407"/>
      <c r="D718" s="408"/>
      <c r="E718" s="407"/>
      <c r="F718" s="408"/>
      <c r="G718" s="409"/>
      <c r="H718" s="410"/>
      <c r="I718" s="409"/>
      <c r="K718" s="17"/>
      <c r="L718" s="17"/>
      <c r="M718" s="17"/>
      <c r="N718" s="739"/>
      <c r="O718" s="739"/>
      <c r="P718" s="739"/>
      <c r="Q718" s="739"/>
      <c r="R718" s="739"/>
      <c r="S718" s="739"/>
      <c r="T718" s="739"/>
      <c r="U718" s="739"/>
      <c r="V718" s="739"/>
      <c r="W718" s="739"/>
      <c r="X718" s="739"/>
      <c r="Y718" s="739"/>
      <c r="Z718" s="740"/>
      <c r="AA718" s="740"/>
      <c r="AB718" s="17"/>
      <c r="AC718" s="17"/>
      <c r="AD718" s="17"/>
      <c r="AE718" s="17"/>
      <c r="AF718" s="17"/>
      <c r="AG718" s="17"/>
      <c r="AH718" s="17"/>
      <c r="AI718" s="17"/>
      <c r="AJ718" s="17"/>
      <c r="AK718" s="17"/>
      <c r="AL718" s="17"/>
      <c r="AM718" s="17"/>
      <c r="AN718" s="17"/>
      <c r="AO718" s="17"/>
      <c r="AP718" s="17"/>
      <c r="AQ718" s="17"/>
    </row>
    <row r="719" spans="1:43" hidden="1">
      <c r="A719">
        <f t="shared" si="349"/>
        <v>716</v>
      </c>
      <c r="B719" s="407"/>
      <c r="C719" s="407"/>
      <c r="D719" s="408"/>
      <c r="E719" s="407"/>
      <c r="F719" s="408"/>
      <c r="G719" s="409"/>
      <c r="H719" s="410"/>
      <c r="I719" s="409"/>
      <c r="K719" s="17"/>
      <c r="L719" s="17"/>
      <c r="M719" s="17"/>
      <c r="N719" s="739"/>
      <c r="O719" s="739"/>
      <c r="P719" s="739"/>
      <c r="Q719" s="739"/>
      <c r="R719" s="739"/>
      <c r="S719" s="739"/>
      <c r="T719" s="739"/>
      <c r="U719" s="739"/>
      <c r="V719" s="739"/>
      <c r="W719" s="739"/>
      <c r="X719" s="739"/>
      <c r="Y719" s="739"/>
      <c r="Z719" s="740"/>
      <c r="AA719" s="740"/>
      <c r="AB719" s="17"/>
      <c r="AC719" s="17"/>
      <c r="AD719" s="17"/>
      <c r="AE719" s="17"/>
      <c r="AF719" s="17"/>
      <c r="AG719" s="17"/>
      <c r="AH719" s="17"/>
      <c r="AI719" s="17"/>
      <c r="AJ719" s="17"/>
      <c r="AK719" s="17"/>
      <c r="AL719" s="17"/>
      <c r="AM719" s="17"/>
      <c r="AN719" s="17"/>
      <c r="AO719" s="17"/>
      <c r="AP719" s="17"/>
      <c r="AQ719" s="17"/>
    </row>
    <row r="720" spans="1:43" hidden="1">
      <c r="A720">
        <f t="shared" si="349"/>
        <v>717</v>
      </c>
      <c r="B720" s="407"/>
      <c r="C720" s="407"/>
      <c r="D720" s="408"/>
      <c r="E720" s="407"/>
      <c r="F720" s="408"/>
      <c r="G720" s="409"/>
      <c r="H720" s="410"/>
      <c r="I720" s="409"/>
      <c r="K720" s="17"/>
      <c r="L720" s="17"/>
      <c r="M720" s="17"/>
      <c r="N720" s="739"/>
      <c r="O720" s="739"/>
      <c r="P720" s="739"/>
      <c r="Q720" s="739"/>
      <c r="R720" s="739"/>
      <c r="S720" s="739"/>
      <c r="T720" s="739"/>
      <c r="U720" s="739"/>
      <c r="V720" s="739"/>
      <c r="W720" s="739"/>
      <c r="X720" s="739"/>
      <c r="Y720" s="739"/>
      <c r="Z720" s="740"/>
      <c r="AA720" s="740"/>
      <c r="AB720" s="17"/>
      <c r="AC720" s="17"/>
      <c r="AD720" s="17"/>
      <c r="AE720" s="17"/>
      <c r="AF720" s="17"/>
      <c r="AG720" s="17"/>
      <c r="AH720" s="17"/>
      <c r="AI720" s="17"/>
      <c r="AJ720" s="17"/>
      <c r="AK720" s="17"/>
      <c r="AL720" s="17"/>
      <c r="AM720" s="17"/>
      <c r="AN720" s="17"/>
      <c r="AO720" s="17"/>
      <c r="AP720" s="17"/>
      <c r="AQ720" s="17"/>
    </row>
    <row r="721" spans="1:43" hidden="1">
      <c r="A721">
        <f t="shared" si="349"/>
        <v>718</v>
      </c>
      <c r="B721" s="407"/>
      <c r="C721" s="407"/>
      <c r="D721" s="408"/>
      <c r="E721" s="407"/>
      <c r="F721" s="408"/>
      <c r="G721" s="409"/>
      <c r="H721" s="410"/>
      <c r="I721" s="409"/>
      <c r="K721" s="17"/>
      <c r="L721" s="17"/>
      <c r="M721" s="17"/>
      <c r="N721" s="739"/>
      <c r="O721" s="739"/>
      <c r="P721" s="739"/>
      <c r="Q721" s="739"/>
      <c r="R721" s="739"/>
      <c r="S721" s="739"/>
      <c r="T721" s="739"/>
      <c r="U721" s="739"/>
      <c r="V721" s="739"/>
      <c r="W721" s="739"/>
      <c r="X721" s="739"/>
      <c r="Y721" s="739"/>
      <c r="Z721" s="740"/>
      <c r="AA721" s="740"/>
      <c r="AB721" s="17"/>
      <c r="AC721" s="17"/>
      <c r="AD721" s="17"/>
      <c r="AE721" s="17"/>
      <c r="AF721" s="17"/>
      <c r="AG721" s="17"/>
      <c r="AH721" s="17"/>
      <c r="AI721" s="17"/>
      <c r="AJ721" s="17"/>
      <c r="AK721" s="17"/>
      <c r="AL721" s="17"/>
      <c r="AM721" s="17"/>
      <c r="AN721" s="17"/>
      <c r="AO721" s="17"/>
      <c r="AP721" s="17"/>
      <c r="AQ721" s="17"/>
    </row>
    <row r="722" spans="1:43" hidden="1">
      <c r="A722">
        <f t="shared" si="349"/>
        <v>719</v>
      </c>
      <c r="B722" s="407"/>
      <c r="C722" s="407"/>
      <c r="D722" s="408"/>
      <c r="E722" s="407"/>
      <c r="F722" s="408"/>
      <c r="G722" s="409"/>
      <c r="H722" s="410"/>
      <c r="I722" s="409"/>
      <c r="K722" s="17"/>
      <c r="L722" s="17"/>
      <c r="M722" s="17"/>
      <c r="N722" s="739"/>
      <c r="O722" s="739"/>
      <c r="P722" s="739"/>
      <c r="Q722" s="739"/>
      <c r="R722" s="739"/>
      <c r="S722" s="739"/>
      <c r="T722" s="739"/>
      <c r="U722" s="739"/>
      <c r="V722" s="739"/>
      <c r="W722" s="739"/>
      <c r="X722" s="739"/>
      <c r="Y722" s="739"/>
      <c r="Z722" s="740"/>
      <c r="AA722" s="740"/>
      <c r="AB722" s="17"/>
      <c r="AC722" s="17"/>
      <c r="AD722" s="17"/>
      <c r="AE722" s="17"/>
      <c r="AF722" s="17"/>
      <c r="AG722" s="17"/>
      <c r="AH722" s="17"/>
      <c r="AI722" s="17"/>
      <c r="AJ722" s="17"/>
      <c r="AK722" s="17"/>
      <c r="AL722" s="17"/>
      <c r="AM722" s="17"/>
      <c r="AN722" s="17"/>
      <c r="AO722" s="17"/>
      <c r="AP722" s="17"/>
      <c r="AQ722" s="17"/>
    </row>
    <row r="723" spans="1:43" hidden="1">
      <c r="A723">
        <f t="shared" si="349"/>
        <v>720</v>
      </c>
      <c r="B723" s="407"/>
      <c r="C723" s="407"/>
      <c r="D723" s="408"/>
      <c r="E723" s="407"/>
      <c r="F723" s="408"/>
      <c r="G723" s="409"/>
      <c r="H723" s="410"/>
      <c r="I723" s="409"/>
      <c r="K723" s="17"/>
      <c r="L723" s="17"/>
      <c r="M723" s="17"/>
      <c r="N723" s="739"/>
      <c r="O723" s="739"/>
      <c r="P723" s="739"/>
      <c r="Q723" s="739"/>
      <c r="R723" s="739"/>
      <c r="S723" s="739"/>
      <c r="T723" s="739"/>
      <c r="U723" s="739"/>
      <c r="V723" s="739"/>
      <c r="W723" s="739"/>
      <c r="X723" s="739"/>
      <c r="Y723" s="739"/>
      <c r="Z723" s="740"/>
      <c r="AA723" s="740"/>
      <c r="AB723" s="17"/>
      <c r="AC723" s="17"/>
      <c r="AD723" s="17"/>
      <c r="AE723" s="17"/>
      <c r="AF723" s="17"/>
      <c r="AG723" s="17"/>
      <c r="AH723" s="17"/>
      <c r="AI723" s="17"/>
      <c r="AJ723" s="17"/>
      <c r="AK723" s="17"/>
      <c r="AL723" s="17"/>
      <c r="AM723" s="17"/>
      <c r="AN723" s="17"/>
      <c r="AO723" s="17"/>
      <c r="AP723" s="17"/>
      <c r="AQ723" s="17"/>
    </row>
    <row r="724" spans="1:43" hidden="1">
      <c r="B724" s="17"/>
      <c r="C724" s="17"/>
      <c r="D724" s="17"/>
      <c r="E724" s="17"/>
      <c r="F724" s="17"/>
      <c r="G724" s="17"/>
      <c r="H724" s="404"/>
      <c r="I724" s="17"/>
      <c r="K724" s="17"/>
      <c r="L724" s="17"/>
      <c r="M724" s="17"/>
      <c r="N724" s="739"/>
      <c r="O724" s="739"/>
      <c r="P724" s="739"/>
      <c r="Q724" s="739"/>
      <c r="R724" s="739"/>
      <c r="S724" s="739"/>
      <c r="T724" s="739"/>
      <c r="U724" s="739"/>
      <c r="V724" s="739"/>
      <c r="W724" s="739"/>
      <c r="X724" s="739"/>
      <c r="Y724" s="739"/>
      <c r="Z724" s="740"/>
      <c r="AA724" s="740"/>
      <c r="AB724" s="17"/>
      <c r="AC724" s="17"/>
      <c r="AD724" s="17"/>
      <c r="AE724" s="17"/>
      <c r="AF724" s="17"/>
      <c r="AG724" s="17"/>
      <c r="AH724" s="17"/>
      <c r="AI724" s="17"/>
      <c r="AJ724" s="17"/>
      <c r="AK724" s="17"/>
      <c r="AL724" s="17"/>
      <c r="AM724" s="17"/>
      <c r="AN724" s="17"/>
      <c r="AO724" s="17"/>
      <c r="AP724" s="17"/>
      <c r="AQ724" s="17"/>
    </row>
    <row r="725" spans="1:43" hidden="1">
      <c r="B725" s="17"/>
      <c r="C725" s="17"/>
      <c r="D725" s="17"/>
      <c r="E725" s="17"/>
      <c r="F725" s="17"/>
      <c r="G725" s="17"/>
      <c r="H725" s="404"/>
      <c r="I725" s="17"/>
      <c r="K725" s="17"/>
      <c r="L725" s="17"/>
      <c r="M725" s="17"/>
      <c r="N725" s="739"/>
      <c r="O725" s="739"/>
      <c r="P725" s="739"/>
      <c r="Q725" s="739"/>
      <c r="R725" s="739"/>
      <c r="S725" s="739"/>
      <c r="T725" s="739"/>
      <c r="U725" s="739"/>
      <c r="V725" s="739"/>
      <c r="W725" s="739"/>
      <c r="X725" s="739"/>
      <c r="Y725" s="739"/>
      <c r="Z725" s="740"/>
      <c r="AA725" s="740"/>
      <c r="AB725" s="17"/>
      <c r="AC725" s="17"/>
      <c r="AD725" s="17"/>
      <c r="AE725" s="17"/>
      <c r="AF725" s="17"/>
      <c r="AG725" s="17"/>
      <c r="AH725" s="17"/>
      <c r="AI725" s="17"/>
      <c r="AJ725" s="17"/>
      <c r="AK725" s="17"/>
      <c r="AL725" s="17"/>
      <c r="AM725" s="17"/>
      <c r="AN725" s="17"/>
      <c r="AO725" s="17"/>
      <c r="AP725" s="17"/>
      <c r="AQ725" s="17"/>
    </row>
    <row r="726" spans="1:43" hidden="1">
      <c r="B726" s="17"/>
      <c r="C726" s="17"/>
      <c r="D726" s="17"/>
      <c r="E726" s="17"/>
      <c r="F726" s="17"/>
      <c r="G726" s="17"/>
      <c r="H726" s="404"/>
      <c r="I726" s="17"/>
      <c r="K726" s="17"/>
      <c r="L726" s="17"/>
      <c r="M726" s="17"/>
      <c r="N726" s="739"/>
      <c r="O726" s="739"/>
      <c r="P726" s="739"/>
      <c r="Q726" s="739"/>
      <c r="R726" s="739"/>
      <c r="S726" s="739"/>
      <c r="T726" s="739"/>
      <c r="U726" s="739"/>
      <c r="V726" s="739"/>
      <c r="W726" s="739"/>
      <c r="X726" s="739"/>
      <c r="Y726" s="739"/>
      <c r="Z726" s="740"/>
      <c r="AA726" s="740"/>
      <c r="AB726" s="17"/>
      <c r="AC726" s="17"/>
      <c r="AD726" s="17"/>
      <c r="AE726" s="17"/>
      <c r="AF726" s="17"/>
      <c r="AG726" s="17"/>
      <c r="AH726" s="17"/>
      <c r="AI726" s="17"/>
      <c r="AJ726" s="17"/>
      <c r="AK726" s="17"/>
      <c r="AL726" s="17"/>
      <c r="AM726" s="17"/>
      <c r="AN726" s="17"/>
      <c r="AO726" s="17"/>
      <c r="AP726" s="17"/>
      <c r="AQ726" s="17"/>
    </row>
    <row r="727" spans="1:43" hidden="1">
      <c r="B727" s="17"/>
      <c r="C727" s="17"/>
      <c r="D727" s="17"/>
      <c r="E727" s="17"/>
      <c r="F727" s="17"/>
      <c r="G727" s="17"/>
      <c r="H727" s="404"/>
      <c r="I727" s="17"/>
      <c r="K727" s="17"/>
      <c r="L727" s="17"/>
      <c r="M727" s="17"/>
      <c r="N727" s="739"/>
      <c r="O727" s="739"/>
      <c r="P727" s="739"/>
      <c r="Q727" s="739"/>
      <c r="R727" s="739"/>
      <c r="S727" s="739"/>
      <c r="T727" s="739"/>
      <c r="U727" s="739"/>
      <c r="V727" s="739"/>
      <c r="W727" s="739"/>
      <c r="X727" s="739"/>
      <c r="Y727" s="739"/>
      <c r="Z727" s="740"/>
      <c r="AA727" s="740"/>
      <c r="AB727" s="17"/>
      <c r="AC727" s="17"/>
      <c r="AD727" s="17"/>
      <c r="AE727" s="17"/>
      <c r="AF727" s="17"/>
      <c r="AG727" s="17"/>
      <c r="AH727" s="17"/>
      <c r="AI727" s="17"/>
      <c r="AJ727" s="17"/>
      <c r="AK727" s="17"/>
      <c r="AL727" s="17"/>
      <c r="AM727" s="17"/>
      <c r="AN727" s="17"/>
      <c r="AO727" s="17"/>
      <c r="AP727" s="17"/>
      <c r="AQ727" s="17"/>
    </row>
    <row r="728" spans="1:43" hidden="1">
      <c r="B728" s="17"/>
      <c r="C728" s="17"/>
      <c r="D728" s="17"/>
      <c r="E728" s="17"/>
      <c r="F728" s="17"/>
      <c r="G728" s="17"/>
      <c r="H728" s="404"/>
      <c r="I728" s="17"/>
      <c r="K728" s="17"/>
      <c r="L728" s="17"/>
      <c r="M728" s="17"/>
      <c r="N728" s="739"/>
      <c r="O728" s="739"/>
      <c r="P728" s="739"/>
      <c r="Q728" s="739"/>
      <c r="R728" s="739"/>
      <c r="S728" s="739"/>
      <c r="T728" s="739"/>
      <c r="U728" s="739"/>
      <c r="V728" s="739"/>
      <c r="W728" s="739"/>
      <c r="X728" s="739"/>
      <c r="Y728" s="739"/>
      <c r="Z728" s="740"/>
      <c r="AA728" s="740"/>
      <c r="AB728" s="17"/>
      <c r="AC728" s="17"/>
      <c r="AD728" s="17"/>
      <c r="AE728" s="17"/>
      <c r="AF728" s="17"/>
      <c r="AG728" s="17"/>
      <c r="AH728" s="17"/>
      <c r="AI728" s="17"/>
      <c r="AJ728" s="17"/>
      <c r="AK728" s="17"/>
      <c r="AL728" s="17"/>
      <c r="AM728" s="17"/>
      <c r="AN728" s="17"/>
      <c r="AO728" s="17"/>
      <c r="AP728" s="17"/>
      <c r="AQ728" s="17"/>
    </row>
    <row r="729" spans="1:43" hidden="1">
      <c r="B729" s="17"/>
      <c r="C729" s="17"/>
      <c r="D729" s="17"/>
      <c r="E729" s="17"/>
      <c r="F729" s="17"/>
      <c r="G729" s="17"/>
      <c r="H729" s="404"/>
      <c r="I729" s="17"/>
      <c r="K729" s="17"/>
      <c r="L729" s="17"/>
      <c r="M729" s="17"/>
      <c r="N729" s="739"/>
      <c r="O729" s="739"/>
      <c r="P729" s="739"/>
      <c r="Q729" s="739"/>
      <c r="R729" s="739"/>
      <c r="S729" s="739"/>
      <c r="T729" s="739"/>
      <c r="U729" s="739"/>
      <c r="V729" s="739"/>
      <c r="W729" s="739"/>
      <c r="X729" s="739"/>
      <c r="Y729" s="739"/>
      <c r="Z729" s="740"/>
      <c r="AA729" s="740"/>
      <c r="AB729" s="17"/>
      <c r="AC729" s="17"/>
      <c r="AD729" s="17"/>
      <c r="AE729" s="17"/>
      <c r="AF729" s="17"/>
      <c r="AG729" s="17"/>
      <c r="AH729" s="17"/>
      <c r="AI729" s="17"/>
      <c r="AJ729" s="17"/>
      <c r="AK729" s="17"/>
      <c r="AL729" s="17"/>
      <c r="AM729" s="17"/>
      <c r="AN729" s="17"/>
      <c r="AO729" s="17"/>
      <c r="AP729" s="17"/>
      <c r="AQ729" s="17"/>
    </row>
    <row r="730" spans="1:43" hidden="1">
      <c r="B730" s="17"/>
      <c r="C730" s="17"/>
      <c r="D730" s="17"/>
      <c r="E730" s="17"/>
      <c r="F730" s="17"/>
      <c r="G730" s="17"/>
      <c r="H730" s="404"/>
      <c r="I730" s="17"/>
      <c r="K730" s="17"/>
      <c r="L730" s="17"/>
      <c r="M730" s="17"/>
      <c r="N730" s="739"/>
      <c r="O730" s="739"/>
      <c r="P730" s="739"/>
      <c r="Q730" s="739"/>
      <c r="R730" s="739"/>
      <c r="S730" s="739"/>
      <c r="T730" s="739"/>
      <c r="U730" s="739"/>
      <c r="V730" s="739"/>
      <c r="W730" s="739"/>
      <c r="X730" s="739"/>
      <c r="Y730" s="739"/>
      <c r="Z730" s="740"/>
      <c r="AA730" s="740"/>
      <c r="AB730" s="17"/>
      <c r="AC730" s="17"/>
      <c r="AD730" s="17"/>
      <c r="AE730" s="17"/>
      <c r="AF730" s="17"/>
      <c r="AG730" s="17"/>
      <c r="AH730" s="17"/>
      <c r="AI730" s="17"/>
      <c r="AJ730" s="17"/>
      <c r="AK730" s="17"/>
      <c r="AL730" s="17"/>
      <c r="AM730" s="17"/>
      <c r="AN730" s="17"/>
      <c r="AO730" s="17"/>
      <c r="AP730" s="17"/>
      <c r="AQ730" s="17"/>
    </row>
    <row r="731" spans="1:43" hidden="1">
      <c r="B731" s="17"/>
      <c r="C731" s="17"/>
      <c r="D731" s="17"/>
      <c r="E731" s="17"/>
      <c r="F731" s="17"/>
      <c r="G731" s="17"/>
      <c r="H731" s="404"/>
      <c r="I731" s="17"/>
      <c r="K731" s="17"/>
      <c r="L731" s="17"/>
      <c r="M731" s="17"/>
      <c r="N731" s="739"/>
      <c r="O731" s="739"/>
      <c r="P731" s="739"/>
      <c r="Q731" s="739"/>
      <c r="R731" s="739"/>
      <c r="S731" s="739"/>
      <c r="T731" s="739"/>
      <c r="U731" s="739"/>
      <c r="V731" s="739"/>
      <c r="W731" s="739"/>
      <c r="X731" s="739"/>
      <c r="Y731" s="739"/>
      <c r="Z731" s="740"/>
      <c r="AA731" s="740"/>
      <c r="AB731" s="17"/>
      <c r="AC731" s="17"/>
      <c r="AD731" s="17"/>
      <c r="AE731" s="17"/>
      <c r="AF731" s="17"/>
      <c r="AG731" s="17"/>
      <c r="AH731" s="17"/>
      <c r="AI731" s="17"/>
      <c r="AJ731" s="17"/>
      <c r="AK731" s="17"/>
      <c r="AL731" s="17"/>
      <c r="AM731" s="17"/>
      <c r="AN731" s="17"/>
      <c r="AO731" s="17"/>
      <c r="AP731" s="17"/>
      <c r="AQ731" s="17"/>
    </row>
    <row r="732" spans="1:43" hidden="1">
      <c r="B732" s="17"/>
      <c r="C732" s="17"/>
      <c r="D732" s="17"/>
      <c r="E732" s="17"/>
      <c r="F732" s="17"/>
      <c r="G732" s="17"/>
      <c r="H732" s="404"/>
      <c r="I732" s="17"/>
      <c r="K732" s="17"/>
      <c r="L732" s="17"/>
      <c r="M732" s="17"/>
      <c r="N732" s="739"/>
      <c r="O732" s="739"/>
      <c r="P732" s="739"/>
      <c r="Q732" s="739"/>
      <c r="R732" s="739"/>
      <c r="S732" s="739"/>
      <c r="T732" s="739"/>
      <c r="U732" s="739"/>
      <c r="V732" s="739"/>
      <c r="W732" s="739"/>
      <c r="X732" s="739"/>
      <c r="Y732" s="739"/>
      <c r="Z732" s="740"/>
      <c r="AA732" s="740"/>
      <c r="AB732" s="17"/>
      <c r="AC732" s="17"/>
      <c r="AD732" s="17"/>
      <c r="AE732" s="17"/>
      <c r="AF732" s="17"/>
      <c r="AG732" s="17"/>
      <c r="AH732" s="17"/>
      <c r="AI732" s="17"/>
      <c r="AJ732" s="17"/>
      <c r="AK732" s="17"/>
      <c r="AL732" s="17"/>
      <c r="AM732" s="17"/>
      <c r="AN732" s="17"/>
      <c r="AO732" s="17"/>
      <c r="AP732" s="17"/>
      <c r="AQ732" s="17"/>
    </row>
    <row r="733" spans="1:43" hidden="1">
      <c r="B733" s="17"/>
      <c r="C733" s="17"/>
      <c r="D733" s="17"/>
      <c r="E733" s="17"/>
      <c r="F733" s="17"/>
      <c r="G733" s="17"/>
      <c r="H733" s="404"/>
      <c r="I733" s="17"/>
      <c r="K733" s="17"/>
      <c r="L733" s="17"/>
      <c r="M733" s="17"/>
      <c r="N733" s="739"/>
      <c r="O733" s="739"/>
      <c r="P733" s="739"/>
      <c r="Q733" s="739"/>
      <c r="R733" s="739"/>
      <c r="S733" s="739"/>
      <c r="T733" s="739"/>
      <c r="U733" s="739"/>
      <c r="V733" s="739"/>
      <c r="W733" s="739"/>
      <c r="X733" s="739"/>
      <c r="Y733" s="739"/>
      <c r="Z733" s="740"/>
      <c r="AA733" s="740"/>
      <c r="AB733" s="17"/>
      <c r="AC733" s="17"/>
      <c r="AD733" s="17"/>
      <c r="AE733" s="17"/>
      <c r="AF733" s="17"/>
      <c r="AG733" s="17"/>
      <c r="AH733" s="17"/>
      <c r="AI733" s="17"/>
      <c r="AJ733" s="17"/>
      <c r="AK733" s="17"/>
      <c r="AL733" s="17"/>
      <c r="AM733" s="17"/>
      <c r="AN733" s="17"/>
      <c r="AO733" s="17"/>
      <c r="AP733" s="17"/>
      <c r="AQ733" s="17"/>
    </row>
    <row r="734" spans="1:43" hidden="1">
      <c r="B734" s="17"/>
      <c r="C734" s="17"/>
      <c r="D734" s="17"/>
      <c r="E734" s="17"/>
      <c r="F734" s="17"/>
      <c r="G734" s="17"/>
      <c r="H734" s="404"/>
      <c r="I734" s="17"/>
      <c r="K734" s="17"/>
      <c r="L734" s="17"/>
      <c r="M734" s="17"/>
      <c r="N734" s="739"/>
      <c r="O734" s="739"/>
      <c r="P734" s="739"/>
      <c r="Q734" s="739"/>
      <c r="R734" s="739"/>
      <c r="S734" s="739"/>
      <c r="T734" s="739"/>
      <c r="U734" s="739"/>
      <c r="V734" s="739"/>
      <c r="W734" s="739"/>
      <c r="X734" s="739"/>
      <c r="Y734" s="739"/>
      <c r="Z734" s="740"/>
      <c r="AA734" s="740"/>
      <c r="AB734" s="17"/>
      <c r="AC734" s="17"/>
      <c r="AD734" s="17"/>
      <c r="AE734" s="17"/>
      <c r="AF734" s="17"/>
      <c r="AG734" s="17"/>
      <c r="AH734" s="17"/>
      <c r="AI734" s="17"/>
      <c r="AJ734" s="17"/>
      <c r="AK734" s="17"/>
      <c r="AL734" s="17"/>
      <c r="AM734" s="17"/>
      <c r="AN734" s="17"/>
      <c r="AO734" s="17"/>
      <c r="AP734" s="17"/>
      <c r="AQ734" s="17"/>
    </row>
    <row r="735" spans="1:43" hidden="1">
      <c r="B735" s="17"/>
      <c r="C735" s="17"/>
      <c r="D735" s="17"/>
      <c r="E735" s="17"/>
      <c r="F735" s="17"/>
      <c r="G735" s="17"/>
      <c r="H735" s="404"/>
      <c r="I735" s="17"/>
      <c r="K735" s="17"/>
      <c r="L735" s="17"/>
      <c r="M735" s="17"/>
      <c r="N735" s="739"/>
      <c r="O735" s="739"/>
      <c r="P735" s="739"/>
      <c r="Q735" s="739"/>
      <c r="R735" s="739"/>
      <c r="S735" s="739"/>
      <c r="T735" s="739"/>
      <c r="U735" s="739"/>
      <c r="V735" s="739"/>
      <c r="W735" s="739"/>
      <c r="X735" s="739"/>
      <c r="Y735" s="739"/>
      <c r="Z735" s="740"/>
      <c r="AA735" s="740"/>
      <c r="AB735" s="17"/>
      <c r="AC735" s="17"/>
      <c r="AD735" s="17"/>
      <c r="AE735" s="17"/>
      <c r="AF735" s="17"/>
      <c r="AG735" s="17"/>
      <c r="AH735" s="17"/>
      <c r="AI735" s="17"/>
      <c r="AJ735" s="17"/>
      <c r="AK735" s="17"/>
      <c r="AL735" s="17"/>
      <c r="AM735" s="17"/>
      <c r="AN735" s="17"/>
      <c r="AO735" s="17"/>
      <c r="AP735" s="17"/>
      <c r="AQ735" s="17"/>
    </row>
    <row r="736" spans="1:43" hidden="1">
      <c r="B736" s="17"/>
      <c r="C736" s="17"/>
      <c r="D736" s="17"/>
      <c r="E736" s="17"/>
      <c r="F736" s="17"/>
      <c r="G736" s="17"/>
      <c r="H736" s="404"/>
      <c r="I736" s="17"/>
      <c r="K736" s="17"/>
      <c r="L736" s="17"/>
      <c r="M736" s="17"/>
      <c r="N736" s="739"/>
      <c r="O736" s="739"/>
      <c r="P736" s="739"/>
      <c r="Q736" s="739"/>
      <c r="R736" s="739"/>
      <c r="S736" s="739"/>
      <c r="T736" s="739"/>
      <c r="U736" s="739"/>
      <c r="V736" s="739"/>
      <c r="W736" s="739"/>
      <c r="X736" s="739"/>
      <c r="Y736" s="739"/>
      <c r="Z736" s="740"/>
      <c r="AA736" s="740"/>
      <c r="AB736" s="17"/>
      <c r="AC736" s="17"/>
      <c r="AD736" s="17"/>
      <c r="AE736" s="17"/>
      <c r="AF736" s="17"/>
      <c r="AG736" s="17"/>
      <c r="AH736" s="17"/>
      <c r="AI736" s="17"/>
      <c r="AJ736" s="17"/>
      <c r="AK736" s="17"/>
      <c r="AL736" s="17"/>
      <c r="AM736" s="17"/>
      <c r="AN736" s="17"/>
      <c r="AO736" s="17"/>
      <c r="AP736" s="17"/>
      <c r="AQ736" s="17"/>
    </row>
    <row r="737" spans="2:43" hidden="1">
      <c r="B737" s="17"/>
      <c r="C737" s="17"/>
      <c r="D737" s="17"/>
      <c r="E737" s="17"/>
      <c r="F737" s="17"/>
      <c r="G737" s="17"/>
      <c r="H737" s="404"/>
      <c r="I737" s="17"/>
      <c r="K737" s="17"/>
      <c r="L737" s="17"/>
      <c r="M737" s="17"/>
      <c r="N737" s="739"/>
      <c r="O737" s="739"/>
      <c r="P737" s="739"/>
      <c r="Q737" s="739"/>
      <c r="R737" s="739"/>
      <c r="S737" s="739"/>
      <c r="T737" s="739"/>
      <c r="U737" s="739"/>
      <c r="V737" s="739"/>
      <c r="W737" s="739"/>
      <c r="X737" s="739"/>
      <c r="Y737" s="739"/>
      <c r="Z737" s="740"/>
      <c r="AA737" s="740"/>
      <c r="AB737" s="17"/>
      <c r="AC737" s="17"/>
      <c r="AD737" s="17"/>
      <c r="AE737" s="17"/>
      <c r="AF737" s="17"/>
      <c r="AG737" s="17"/>
      <c r="AH737" s="17"/>
      <c r="AI737" s="17"/>
      <c r="AJ737" s="17"/>
      <c r="AK737" s="17"/>
      <c r="AL737" s="17"/>
      <c r="AM737" s="17"/>
      <c r="AN737" s="17"/>
      <c r="AO737" s="17"/>
      <c r="AP737" s="17"/>
      <c r="AQ737" s="17"/>
    </row>
    <row r="738" spans="2:43" hidden="1">
      <c r="B738" s="17"/>
      <c r="C738" s="17"/>
      <c r="D738" s="17"/>
      <c r="E738" s="17"/>
      <c r="F738" s="17"/>
      <c r="G738" s="17"/>
      <c r="H738" s="404"/>
      <c r="I738" s="17"/>
      <c r="K738" s="17"/>
      <c r="L738" s="17"/>
      <c r="M738" s="17"/>
      <c r="N738" s="739"/>
      <c r="O738" s="739"/>
      <c r="P738" s="739"/>
      <c r="Q738" s="739"/>
      <c r="R738" s="739"/>
      <c r="S738" s="739"/>
      <c r="T738" s="739"/>
      <c r="U738" s="739"/>
      <c r="V738" s="739"/>
      <c r="W738" s="739"/>
      <c r="X738" s="739"/>
      <c r="Y738" s="739"/>
      <c r="Z738" s="740"/>
      <c r="AA738" s="740"/>
      <c r="AB738" s="17"/>
      <c r="AC738" s="17"/>
      <c r="AD738" s="17"/>
      <c r="AE738" s="17"/>
      <c r="AF738" s="17"/>
      <c r="AG738" s="17"/>
      <c r="AH738" s="17"/>
      <c r="AI738" s="17"/>
      <c r="AJ738" s="17"/>
      <c r="AK738" s="17"/>
      <c r="AL738" s="17"/>
      <c r="AM738" s="17"/>
      <c r="AN738" s="17"/>
      <c r="AO738" s="17"/>
      <c r="AP738" s="17"/>
      <c r="AQ738" s="17"/>
    </row>
    <row r="739" spans="2:43" hidden="1">
      <c r="B739" s="17"/>
      <c r="C739" s="17"/>
      <c r="D739" s="17"/>
      <c r="E739" s="17"/>
      <c r="F739" s="17"/>
      <c r="G739" s="17"/>
      <c r="H739" s="404"/>
      <c r="I739" s="17"/>
      <c r="K739" s="17"/>
      <c r="L739" s="17"/>
      <c r="M739" s="17"/>
      <c r="N739" s="739"/>
      <c r="O739" s="739"/>
      <c r="P739" s="739"/>
      <c r="Q739" s="739"/>
      <c r="R739" s="739"/>
      <c r="S739" s="739"/>
      <c r="T739" s="739"/>
      <c r="U739" s="739"/>
      <c r="V739" s="739"/>
      <c r="W739" s="739"/>
      <c r="X739" s="739"/>
      <c r="Y739" s="739"/>
      <c r="Z739" s="740"/>
      <c r="AA739" s="740"/>
      <c r="AB739" s="17"/>
      <c r="AC739" s="17"/>
      <c r="AD739" s="17"/>
      <c r="AE739" s="17"/>
      <c r="AF739" s="17"/>
      <c r="AG739" s="17"/>
      <c r="AH739" s="17"/>
      <c r="AI739" s="17"/>
      <c r="AJ739" s="17"/>
      <c r="AK739" s="17"/>
      <c r="AL739" s="17"/>
      <c r="AM739" s="17"/>
      <c r="AN739" s="17"/>
      <c r="AO739" s="17"/>
      <c r="AP739" s="17"/>
      <c r="AQ739" s="17"/>
    </row>
    <row r="740" spans="2:43" hidden="1">
      <c r="B740" s="17"/>
      <c r="C740" s="17"/>
      <c r="D740" s="17"/>
      <c r="E740" s="17"/>
      <c r="F740" s="17"/>
      <c r="G740" s="17"/>
      <c r="H740" s="404"/>
      <c r="I740" s="17"/>
      <c r="K740" s="17"/>
      <c r="L740" s="17"/>
      <c r="M740" s="17"/>
      <c r="N740" s="739"/>
      <c r="O740" s="739"/>
      <c r="P740" s="739"/>
      <c r="Q740" s="739"/>
      <c r="R740" s="739"/>
      <c r="S740" s="739"/>
      <c r="T740" s="739"/>
      <c r="U740" s="739"/>
      <c r="V740" s="739"/>
      <c r="W740" s="739"/>
      <c r="X740" s="739"/>
      <c r="Y740" s="739"/>
      <c r="Z740" s="740"/>
      <c r="AA740" s="740"/>
      <c r="AB740" s="17"/>
      <c r="AC740" s="17"/>
      <c r="AD740" s="17"/>
      <c r="AE740" s="17"/>
      <c r="AF740" s="17"/>
      <c r="AG740" s="17"/>
      <c r="AH740" s="17"/>
      <c r="AI740" s="17"/>
      <c r="AJ740" s="17"/>
      <c r="AK740" s="17"/>
      <c r="AL740" s="17"/>
      <c r="AM740" s="17"/>
      <c r="AN740" s="17"/>
      <c r="AO740" s="17"/>
      <c r="AP740" s="17"/>
      <c r="AQ740" s="17"/>
    </row>
    <row r="741" spans="2:43" hidden="1">
      <c r="B741" s="17"/>
      <c r="C741" s="17"/>
      <c r="D741" s="17"/>
      <c r="E741" s="17"/>
      <c r="F741" s="17"/>
      <c r="G741" s="17"/>
      <c r="H741" s="404"/>
      <c r="I741" s="17"/>
      <c r="K741" s="17"/>
      <c r="L741" s="17"/>
      <c r="M741" s="17"/>
      <c r="N741" s="739"/>
      <c r="O741" s="739"/>
      <c r="P741" s="739"/>
      <c r="Q741" s="739"/>
      <c r="R741" s="739"/>
      <c r="S741" s="739"/>
      <c r="T741" s="739"/>
      <c r="U741" s="739"/>
      <c r="V741" s="739"/>
      <c r="W741" s="739"/>
      <c r="X741" s="739"/>
      <c r="Y741" s="739"/>
      <c r="Z741" s="740"/>
      <c r="AA741" s="740"/>
      <c r="AB741" s="17"/>
      <c r="AC741" s="17"/>
      <c r="AD741" s="17"/>
      <c r="AE741" s="17"/>
      <c r="AF741" s="17"/>
      <c r="AG741" s="17"/>
      <c r="AH741" s="17"/>
      <c r="AI741" s="17"/>
      <c r="AJ741" s="17"/>
      <c r="AK741" s="17"/>
      <c r="AL741" s="17"/>
      <c r="AM741" s="17"/>
      <c r="AN741" s="17"/>
      <c r="AO741" s="17"/>
      <c r="AP741" s="17"/>
      <c r="AQ741" s="17"/>
    </row>
    <row r="742" spans="2:43" hidden="1">
      <c r="B742" s="17"/>
      <c r="C742" s="17"/>
      <c r="D742" s="17"/>
      <c r="E742" s="17"/>
      <c r="F742" s="17"/>
      <c r="G742" s="17"/>
      <c r="H742" s="404"/>
      <c r="I742" s="17"/>
      <c r="K742" s="17"/>
      <c r="L742" s="17"/>
      <c r="M742" s="17"/>
      <c r="N742" s="739"/>
      <c r="O742" s="739"/>
      <c r="P742" s="739"/>
      <c r="Q742" s="739"/>
      <c r="R742" s="739"/>
      <c r="S742" s="739"/>
      <c r="T742" s="739"/>
      <c r="U742" s="739"/>
      <c r="V742" s="739"/>
      <c r="W742" s="739"/>
      <c r="X742" s="739"/>
      <c r="Y742" s="739"/>
      <c r="Z742" s="740"/>
      <c r="AA742" s="740"/>
      <c r="AB742" s="17"/>
      <c r="AC742" s="17"/>
      <c r="AD742" s="17"/>
      <c r="AE742" s="17"/>
      <c r="AF742" s="17"/>
      <c r="AG742" s="17"/>
      <c r="AH742" s="17"/>
      <c r="AI742" s="17"/>
      <c r="AJ742" s="17"/>
      <c r="AK742" s="17"/>
      <c r="AL742" s="17"/>
      <c r="AM742" s="17"/>
      <c r="AN742" s="17"/>
      <c r="AO742" s="17"/>
      <c r="AP742" s="17"/>
      <c r="AQ742" s="17"/>
    </row>
    <row r="743" spans="2:43" hidden="1">
      <c r="B743" s="17"/>
      <c r="C743" s="17"/>
      <c r="D743" s="17"/>
      <c r="E743" s="17"/>
      <c r="F743" s="17"/>
      <c r="G743" s="17"/>
      <c r="H743" s="404"/>
      <c r="I743" s="17"/>
      <c r="K743" s="17"/>
      <c r="L743" s="17"/>
      <c r="M743" s="17"/>
      <c r="N743" s="739"/>
      <c r="O743" s="739"/>
      <c r="P743" s="739"/>
      <c r="Q743" s="739"/>
      <c r="R743" s="739"/>
      <c r="S743" s="739"/>
      <c r="T743" s="739"/>
      <c r="U743" s="739"/>
      <c r="V743" s="739"/>
      <c r="W743" s="739"/>
      <c r="X743" s="739"/>
      <c r="Y743" s="739"/>
      <c r="Z743" s="740"/>
      <c r="AA743" s="740"/>
      <c r="AB743" s="17"/>
      <c r="AC743" s="17"/>
      <c r="AD743" s="17"/>
      <c r="AE743" s="17"/>
      <c r="AF743" s="17"/>
      <c r="AG743" s="17"/>
      <c r="AH743" s="17"/>
      <c r="AI743" s="17"/>
      <c r="AJ743" s="17"/>
      <c r="AK743" s="17"/>
      <c r="AL743" s="17"/>
      <c r="AM743" s="17"/>
      <c r="AN743" s="17"/>
      <c r="AO743" s="17"/>
      <c r="AP743" s="17"/>
      <c r="AQ743" s="17"/>
    </row>
    <row r="744" spans="2:43" hidden="1">
      <c r="B744" s="17"/>
      <c r="C744" s="17"/>
      <c r="D744" s="17"/>
      <c r="E744" s="17"/>
      <c r="F744" s="17"/>
      <c r="G744" s="17"/>
      <c r="H744" s="404"/>
      <c r="I744" s="17"/>
      <c r="K744" s="17"/>
      <c r="L744" s="17"/>
      <c r="M744" s="17"/>
      <c r="N744" s="739"/>
      <c r="O744" s="739"/>
      <c r="P744" s="739"/>
      <c r="Q744" s="739"/>
      <c r="R744" s="739"/>
      <c r="S744" s="739"/>
      <c r="T744" s="739"/>
      <c r="U744" s="739"/>
      <c r="V744" s="739"/>
      <c r="W744" s="739"/>
      <c r="X744" s="739"/>
      <c r="Y744" s="739"/>
      <c r="Z744" s="740"/>
      <c r="AA744" s="740"/>
      <c r="AB744" s="17"/>
      <c r="AC744" s="17"/>
      <c r="AD744" s="17"/>
      <c r="AE744" s="17"/>
      <c r="AF744" s="17"/>
      <c r="AG744" s="17"/>
      <c r="AH744" s="17"/>
      <c r="AI744" s="17"/>
      <c r="AJ744" s="17"/>
      <c r="AK744" s="17"/>
      <c r="AL744" s="17"/>
      <c r="AM744" s="17"/>
      <c r="AN744" s="17"/>
      <c r="AO744" s="17"/>
      <c r="AP744" s="17"/>
      <c r="AQ744" s="17"/>
    </row>
    <row r="745" spans="2:43" hidden="1">
      <c r="B745" s="17"/>
      <c r="C745" s="17"/>
      <c r="D745" s="17"/>
      <c r="E745" s="17"/>
      <c r="F745" s="17"/>
      <c r="G745" s="17"/>
      <c r="H745" s="404"/>
      <c r="I745" s="17"/>
      <c r="K745" s="17"/>
      <c r="L745" s="17"/>
      <c r="M745" s="17"/>
      <c r="N745" s="739"/>
      <c r="O745" s="739"/>
      <c r="P745" s="739"/>
      <c r="Q745" s="739"/>
      <c r="R745" s="739"/>
      <c r="S745" s="739"/>
      <c r="T745" s="739"/>
      <c r="U745" s="739"/>
      <c r="V745" s="739"/>
      <c r="W745" s="739"/>
      <c r="X745" s="739"/>
      <c r="Y745" s="739"/>
      <c r="Z745" s="740"/>
      <c r="AA745" s="740"/>
      <c r="AB745" s="17"/>
      <c r="AC745" s="17"/>
      <c r="AD745" s="17"/>
      <c r="AE745" s="17"/>
      <c r="AF745" s="17"/>
      <c r="AG745" s="17"/>
      <c r="AH745" s="17"/>
      <c r="AI745" s="17"/>
      <c r="AJ745" s="17"/>
      <c r="AK745" s="17"/>
      <c r="AL745" s="17"/>
      <c r="AM745" s="17"/>
      <c r="AN745" s="17"/>
      <c r="AO745" s="17"/>
      <c r="AP745" s="17"/>
      <c r="AQ745" s="17"/>
    </row>
    <row r="746" spans="2:43" hidden="1">
      <c r="B746" s="17"/>
      <c r="C746" s="17"/>
      <c r="D746" s="17"/>
      <c r="E746" s="17"/>
      <c r="F746" s="17"/>
      <c r="G746" s="17"/>
      <c r="H746" s="404"/>
      <c r="I746" s="17"/>
      <c r="K746" s="17"/>
      <c r="L746" s="17"/>
      <c r="M746" s="17"/>
      <c r="N746" s="739"/>
      <c r="O746" s="739"/>
      <c r="P746" s="739"/>
      <c r="Q746" s="739"/>
      <c r="R746" s="739"/>
      <c r="S746" s="739"/>
      <c r="T746" s="739"/>
      <c r="U746" s="739"/>
      <c r="V746" s="739"/>
      <c r="W746" s="739"/>
      <c r="X746" s="739"/>
      <c r="Y746" s="739"/>
      <c r="Z746" s="740"/>
      <c r="AA746" s="740"/>
      <c r="AB746" s="17"/>
      <c r="AC746" s="17"/>
      <c r="AD746" s="17"/>
      <c r="AE746" s="17"/>
      <c r="AF746" s="17"/>
      <c r="AG746" s="17"/>
      <c r="AH746" s="17"/>
      <c r="AI746" s="17"/>
      <c r="AJ746" s="17"/>
      <c r="AK746" s="17"/>
      <c r="AL746" s="17"/>
      <c r="AM746" s="17"/>
      <c r="AN746" s="17"/>
      <c r="AO746" s="17"/>
      <c r="AP746" s="17"/>
      <c r="AQ746" s="17"/>
    </row>
    <row r="747" spans="2:43" hidden="1">
      <c r="B747" s="17"/>
      <c r="C747" s="17"/>
      <c r="D747" s="17"/>
      <c r="E747" s="17"/>
      <c r="F747" s="17"/>
      <c r="G747" s="17"/>
      <c r="H747" s="404"/>
      <c r="I747" s="17"/>
      <c r="K747" s="17"/>
      <c r="L747" s="17"/>
      <c r="M747" s="17"/>
      <c r="N747" s="739"/>
      <c r="O747" s="739"/>
      <c r="P747" s="739"/>
      <c r="Q747" s="739"/>
      <c r="R747" s="739"/>
      <c r="S747" s="739"/>
      <c r="T747" s="739"/>
      <c r="U747" s="739"/>
      <c r="V747" s="739"/>
      <c r="W747" s="739"/>
      <c r="X747" s="739"/>
      <c r="Y747" s="739"/>
      <c r="Z747" s="740"/>
      <c r="AA747" s="740"/>
      <c r="AB747" s="17"/>
      <c r="AC747" s="17"/>
      <c r="AD747" s="17"/>
      <c r="AE747" s="17"/>
      <c r="AF747" s="17"/>
      <c r="AG747" s="17"/>
      <c r="AH747" s="17"/>
      <c r="AI747" s="17"/>
      <c r="AJ747" s="17"/>
      <c r="AK747" s="17"/>
      <c r="AL747" s="17"/>
      <c r="AM747" s="17"/>
      <c r="AN747" s="17"/>
      <c r="AO747" s="17"/>
      <c r="AP747" s="17"/>
      <c r="AQ747" s="17"/>
    </row>
    <row r="748" spans="2:43" hidden="1">
      <c r="B748" s="17"/>
      <c r="C748" s="17"/>
      <c r="D748" s="17"/>
      <c r="E748" s="17"/>
      <c r="F748" s="17"/>
      <c r="G748" s="17"/>
      <c r="H748" s="404"/>
      <c r="I748" s="17"/>
      <c r="K748" s="17"/>
      <c r="L748" s="17"/>
      <c r="M748" s="17"/>
      <c r="N748" s="739"/>
      <c r="O748" s="739"/>
      <c r="P748" s="739"/>
      <c r="Q748" s="739"/>
      <c r="R748" s="739"/>
      <c r="S748" s="739"/>
      <c r="T748" s="739"/>
      <c r="U748" s="739"/>
      <c r="V748" s="739"/>
      <c r="W748" s="739"/>
      <c r="X748" s="739"/>
      <c r="Y748" s="739"/>
      <c r="Z748" s="740"/>
      <c r="AA748" s="740"/>
      <c r="AB748" s="17"/>
      <c r="AC748" s="17"/>
      <c r="AD748" s="17"/>
      <c r="AE748" s="17"/>
      <c r="AF748" s="17"/>
      <c r="AG748" s="17"/>
      <c r="AH748" s="17"/>
      <c r="AI748" s="17"/>
      <c r="AJ748" s="17"/>
      <c r="AK748" s="17"/>
      <c r="AL748" s="17"/>
      <c r="AM748" s="17"/>
      <c r="AN748" s="17"/>
      <c r="AO748" s="17"/>
      <c r="AP748" s="17"/>
      <c r="AQ748" s="17"/>
    </row>
    <row r="749" spans="2:43" hidden="1">
      <c r="B749" s="17"/>
      <c r="C749" s="17"/>
      <c r="D749" s="17"/>
      <c r="E749" s="17"/>
      <c r="F749" s="17"/>
      <c r="G749" s="17"/>
      <c r="H749" s="404"/>
      <c r="I749" s="17"/>
      <c r="K749" s="17"/>
      <c r="L749" s="17"/>
      <c r="M749" s="17"/>
      <c r="N749" s="739"/>
      <c r="O749" s="739"/>
      <c r="P749" s="739"/>
      <c r="Q749" s="739"/>
      <c r="R749" s="739"/>
      <c r="S749" s="739"/>
      <c r="T749" s="739"/>
      <c r="U749" s="739"/>
      <c r="V749" s="739"/>
      <c r="W749" s="739"/>
      <c r="X749" s="739"/>
      <c r="Y749" s="739"/>
      <c r="Z749" s="740"/>
      <c r="AA749" s="740"/>
      <c r="AB749" s="17"/>
      <c r="AC749" s="17"/>
      <c r="AD749" s="17"/>
      <c r="AE749" s="17"/>
      <c r="AF749" s="17"/>
      <c r="AG749" s="17"/>
      <c r="AH749" s="17"/>
      <c r="AI749" s="17"/>
      <c r="AJ749" s="17"/>
      <c r="AK749" s="17"/>
      <c r="AL749" s="17"/>
      <c r="AM749" s="17"/>
      <c r="AN749" s="17"/>
      <c r="AO749" s="17"/>
      <c r="AP749" s="17"/>
      <c r="AQ749" s="17"/>
    </row>
    <row r="750" spans="2:43" hidden="1">
      <c r="B750" s="17"/>
      <c r="C750" s="17"/>
      <c r="D750" s="17"/>
      <c r="E750" s="17"/>
      <c r="F750" s="17"/>
      <c r="G750" s="17"/>
      <c r="H750" s="404"/>
      <c r="I750" s="17"/>
      <c r="K750" s="17"/>
      <c r="L750" s="17"/>
      <c r="M750" s="17"/>
      <c r="N750" s="739"/>
      <c r="O750" s="739"/>
      <c r="P750" s="739"/>
      <c r="Q750" s="739"/>
      <c r="R750" s="739"/>
      <c r="S750" s="739"/>
      <c r="T750" s="739"/>
      <c r="U750" s="739"/>
      <c r="V750" s="739"/>
      <c r="W750" s="739"/>
      <c r="X750" s="739"/>
      <c r="Y750" s="739"/>
      <c r="Z750" s="740"/>
      <c r="AA750" s="740"/>
      <c r="AB750" s="17"/>
      <c r="AC750" s="17"/>
      <c r="AD750" s="17"/>
      <c r="AE750" s="17"/>
      <c r="AF750" s="17"/>
      <c r="AG750" s="17"/>
      <c r="AH750" s="17"/>
      <c r="AI750" s="17"/>
      <c r="AJ750" s="17"/>
      <c r="AK750" s="17"/>
      <c r="AL750" s="17"/>
      <c r="AM750" s="17"/>
      <c r="AN750" s="17"/>
      <c r="AO750" s="17"/>
      <c r="AP750" s="17"/>
      <c r="AQ750" s="17"/>
    </row>
    <row r="751" spans="2:43" hidden="1">
      <c r="B751" s="17"/>
      <c r="C751" s="17"/>
      <c r="D751" s="17"/>
      <c r="E751" s="17"/>
      <c r="F751" s="17"/>
      <c r="G751" s="17"/>
      <c r="H751" s="404"/>
      <c r="I751" s="17"/>
      <c r="K751" s="17"/>
      <c r="L751" s="17"/>
      <c r="M751" s="17"/>
      <c r="N751" s="739"/>
      <c r="O751" s="739"/>
      <c r="P751" s="739"/>
      <c r="Q751" s="739"/>
      <c r="R751" s="739"/>
      <c r="S751" s="739"/>
      <c r="T751" s="739"/>
      <c r="U751" s="739"/>
      <c r="V751" s="739"/>
      <c r="W751" s="739"/>
      <c r="X751" s="739"/>
      <c r="Y751" s="739"/>
      <c r="Z751" s="740"/>
      <c r="AA751" s="740"/>
      <c r="AB751" s="17"/>
      <c r="AC751" s="17"/>
      <c r="AD751" s="17"/>
      <c r="AE751" s="17"/>
      <c r="AF751" s="17"/>
      <c r="AG751" s="17"/>
      <c r="AH751" s="17"/>
      <c r="AI751" s="17"/>
      <c r="AJ751" s="17"/>
      <c r="AK751" s="17"/>
      <c r="AL751" s="17"/>
      <c r="AM751" s="17"/>
      <c r="AN751" s="17"/>
      <c r="AO751" s="17"/>
      <c r="AP751" s="17"/>
      <c r="AQ751" s="17"/>
    </row>
    <row r="752" spans="2:43" hidden="1">
      <c r="B752" s="17"/>
      <c r="C752" s="17"/>
      <c r="D752" s="17"/>
      <c r="E752" s="17"/>
      <c r="F752" s="17"/>
      <c r="G752" s="17"/>
      <c r="H752" s="404"/>
      <c r="I752" s="17"/>
      <c r="K752" s="17"/>
      <c r="L752" s="17"/>
      <c r="M752" s="17"/>
      <c r="N752" s="739"/>
      <c r="O752" s="739"/>
      <c r="P752" s="739"/>
      <c r="Q752" s="739"/>
      <c r="R752" s="739"/>
      <c r="S752" s="739"/>
      <c r="T752" s="739"/>
      <c r="U752" s="739"/>
      <c r="V752" s="739"/>
      <c r="W752" s="739"/>
      <c r="X752" s="739"/>
      <c r="Y752" s="739"/>
      <c r="Z752" s="740"/>
      <c r="AA752" s="740"/>
      <c r="AB752" s="17"/>
      <c r="AC752" s="17"/>
      <c r="AD752" s="17"/>
      <c r="AE752" s="17"/>
      <c r="AF752" s="17"/>
      <c r="AG752" s="17"/>
      <c r="AH752" s="17"/>
      <c r="AI752" s="17"/>
      <c r="AJ752" s="17"/>
      <c r="AK752" s="17"/>
      <c r="AL752" s="17"/>
      <c r="AM752" s="17"/>
      <c r="AN752" s="17"/>
      <c r="AO752" s="17"/>
      <c r="AP752" s="17"/>
      <c r="AQ752" s="17"/>
    </row>
    <row r="753" spans="2:43" hidden="1">
      <c r="B753" s="17"/>
      <c r="C753" s="17"/>
      <c r="D753" s="17"/>
      <c r="E753" s="17"/>
      <c r="F753" s="17"/>
      <c r="G753" s="17"/>
      <c r="H753" s="404"/>
      <c r="I753" s="17"/>
      <c r="K753" s="17"/>
      <c r="L753" s="17"/>
      <c r="M753" s="17"/>
      <c r="N753" s="739"/>
      <c r="O753" s="739"/>
      <c r="P753" s="739"/>
      <c r="Q753" s="739"/>
      <c r="R753" s="739"/>
      <c r="S753" s="739"/>
      <c r="T753" s="739"/>
      <c r="U753" s="739"/>
      <c r="V753" s="739"/>
      <c r="W753" s="739"/>
      <c r="X753" s="739"/>
      <c r="Y753" s="739"/>
      <c r="Z753" s="740"/>
      <c r="AA753" s="740"/>
      <c r="AB753" s="17"/>
      <c r="AC753" s="17"/>
      <c r="AD753" s="17"/>
      <c r="AE753" s="17"/>
      <c r="AF753" s="17"/>
      <c r="AG753" s="17"/>
      <c r="AH753" s="17"/>
      <c r="AI753" s="17"/>
      <c r="AJ753" s="17"/>
      <c r="AK753" s="17"/>
      <c r="AL753" s="17"/>
      <c r="AM753" s="17"/>
      <c r="AN753" s="17"/>
      <c r="AO753" s="17"/>
      <c r="AP753" s="17"/>
      <c r="AQ753" s="17"/>
    </row>
    <row r="754" spans="2:43" hidden="1">
      <c r="B754" s="17"/>
      <c r="C754" s="17"/>
      <c r="D754" s="17"/>
      <c r="E754" s="17"/>
      <c r="F754" s="17"/>
      <c r="G754" s="17"/>
      <c r="H754" s="404"/>
      <c r="I754" s="17"/>
      <c r="K754" s="17"/>
      <c r="L754" s="17"/>
      <c r="M754" s="17"/>
      <c r="N754" s="739"/>
      <c r="O754" s="739"/>
      <c r="P754" s="739"/>
      <c r="Q754" s="739"/>
      <c r="R754" s="739"/>
      <c r="S754" s="739"/>
      <c r="T754" s="739"/>
      <c r="U754" s="739"/>
      <c r="V754" s="739"/>
      <c r="W754" s="739"/>
      <c r="X754" s="739"/>
      <c r="Y754" s="739"/>
      <c r="Z754" s="740"/>
      <c r="AA754" s="740"/>
      <c r="AB754" s="17"/>
      <c r="AC754" s="17"/>
      <c r="AD754" s="17"/>
      <c r="AE754" s="17"/>
      <c r="AF754" s="17"/>
      <c r="AG754" s="17"/>
      <c r="AH754" s="17"/>
      <c r="AI754" s="17"/>
      <c r="AJ754" s="17"/>
      <c r="AK754" s="17"/>
      <c r="AL754" s="17"/>
      <c r="AM754" s="17"/>
      <c r="AN754" s="17"/>
      <c r="AO754" s="17"/>
      <c r="AP754" s="17"/>
      <c r="AQ754" s="17"/>
    </row>
    <row r="755" spans="2:43" hidden="1">
      <c r="B755" s="17"/>
      <c r="C755" s="17"/>
      <c r="D755" s="17"/>
      <c r="E755" s="17"/>
      <c r="F755" s="17"/>
      <c r="G755" s="17"/>
      <c r="H755" s="404"/>
      <c r="I755" s="17"/>
      <c r="K755" s="17"/>
      <c r="L755" s="17"/>
      <c r="M755" s="17"/>
      <c r="N755" s="739"/>
      <c r="O755" s="739"/>
      <c r="P755" s="739"/>
      <c r="Q755" s="739"/>
      <c r="R755" s="739"/>
      <c r="S755" s="739"/>
      <c r="T755" s="739"/>
      <c r="U755" s="739"/>
      <c r="V755" s="739"/>
      <c r="W755" s="739"/>
      <c r="X755" s="739"/>
      <c r="Y755" s="739"/>
      <c r="Z755" s="740"/>
      <c r="AA755" s="740"/>
      <c r="AB755" s="17"/>
      <c r="AC755" s="17"/>
      <c r="AD755" s="17"/>
      <c r="AE755" s="17"/>
      <c r="AF755" s="17"/>
      <c r="AG755" s="17"/>
      <c r="AH755" s="17"/>
      <c r="AI755" s="17"/>
      <c r="AJ755" s="17"/>
      <c r="AK755" s="17"/>
      <c r="AL755" s="17"/>
      <c r="AM755" s="17"/>
      <c r="AN755" s="17"/>
      <c r="AO755" s="17"/>
      <c r="AP755" s="17"/>
      <c r="AQ755" s="17"/>
    </row>
    <row r="756" spans="2:43" hidden="1">
      <c r="B756" s="17"/>
      <c r="C756" s="17"/>
      <c r="D756" s="17"/>
      <c r="E756" s="17"/>
      <c r="F756" s="17"/>
      <c r="G756" s="17"/>
      <c r="H756" s="404"/>
      <c r="I756" s="17"/>
      <c r="K756" s="17"/>
      <c r="L756" s="17"/>
      <c r="M756" s="17"/>
      <c r="N756" s="739"/>
      <c r="O756" s="739"/>
      <c r="P756" s="739"/>
      <c r="Q756" s="739"/>
      <c r="R756" s="739"/>
      <c r="S756" s="739"/>
      <c r="T756" s="739"/>
      <c r="U756" s="739"/>
      <c r="V756" s="739"/>
      <c r="W756" s="739"/>
      <c r="X756" s="739"/>
      <c r="Y756" s="739"/>
      <c r="Z756" s="740"/>
      <c r="AA756" s="740"/>
      <c r="AB756" s="17"/>
      <c r="AC756" s="17"/>
      <c r="AD756" s="17"/>
      <c r="AE756" s="17"/>
      <c r="AF756" s="17"/>
      <c r="AG756" s="17"/>
      <c r="AH756" s="17"/>
      <c r="AI756" s="17"/>
      <c r="AJ756" s="17"/>
      <c r="AK756" s="17"/>
      <c r="AL756" s="17"/>
      <c r="AM756" s="17"/>
      <c r="AN756" s="17"/>
      <c r="AO756" s="17"/>
      <c r="AP756" s="17"/>
      <c r="AQ756" s="17"/>
    </row>
    <row r="757" spans="2:43" hidden="1">
      <c r="B757" s="17"/>
      <c r="C757" s="17"/>
      <c r="D757" s="17"/>
      <c r="E757" s="17"/>
      <c r="F757" s="17"/>
      <c r="G757" s="17"/>
      <c r="H757" s="404"/>
      <c r="I757" s="17"/>
      <c r="K757" s="17"/>
      <c r="L757" s="17"/>
      <c r="M757" s="17"/>
      <c r="N757" s="739"/>
      <c r="O757" s="739"/>
      <c r="P757" s="739"/>
      <c r="Q757" s="739"/>
      <c r="R757" s="739"/>
      <c r="S757" s="739"/>
      <c r="T757" s="739"/>
      <c r="U757" s="739"/>
      <c r="V757" s="739"/>
      <c r="W757" s="739"/>
      <c r="X757" s="739"/>
      <c r="Y757" s="739"/>
      <c r="Z757" s="740"/>
      <c r="AA757" s="740"/>
      <c r="AB757" s="17"/>
      <c r="AC757" s="17"/>
      <c r="AD757" s="17"/>
      <c r="AE757" s="17"/>
      <c r="AF757" s="17"/>
      <c r="AG757" s="17"/>
      <c r="AH757" s="17"/>
      <c r="AI757" s="17"/>
      <c r="AJ757" s="17"/>
      <c r="AK757" s="17"/>
      <c r="AL757" s="17"/>
      <c r="AM757" s="17"/>
      <c r="AN757" s="17"/>
      <c r="AO757" s="17"/>
      <c r="AP757" s="17"/>
      <c r="AQ757" s="17"/>
    </row>
    <row r="758" spans="2:43" hidden="1">
      <c r="B758" s="17"/>
      <c r="C758" s="17"/>
      <c r="D758" s="17"/>
      <c r="E758" s="17"/>
      <c r="F758" s="17"/>
      <c r="G758" s="17"/>
      <c r="H758" s="404"/>
      <c r="I758" s="17"/>
      <c r="K758" s="17"/>
      <c r="L758" s="17"/>
      <c r="M758" s="17"/>
      <c r="N758" s="739"/>
      <c r="O758" s="739"/>
      <c r="P758" s="739"/>
      <c r="Q758" s="739"/>
      <c r="R758" s="739"/>
      <c r="S758" s="739"/>
      <c r="T758" s="739"/>
      <c r="U758" s="739"/>
      <c r="V758" s="739"/>
      <c r="W758" s="739"/>
      <c r="X758" s="739"/>
      <c r="Y758" s="739"/>
      <c r="Z758" s="740"/>
      <c r="AA758" s="740"/>
      <c r="AB758" s="17"/>
      <c r="AC758" s="17"/>
      <c r="AD758" s="17"/>
      <c r="AE758" s="17"/>
      <c r="AF758" s="17"/>
      <c r="AG758" s="17"/>
      <c r="AH758" s="17"/>
      <c r="AI758" s="17"/>
      <c r="AJ758" s="17"/>
      <c r="AK758" s="17"/>
      <c r="AL758" s="17"/>
      <c r="AM758" s="17"/>
      <c r="AN758" s="17"/>
      <c r="AO758" s="17"/>
      <c r="AP758" s="17"/>
      <c r="AQ758" s="17"/>
    </row>
    <row r="759" spans="2:43" hidden="1">
      <c r="B759" s="17"/>
      <c r="C759" s="17"/>
      <c r="D759" s="17"/>
      <c r="E759" s="17"/>
      <c r="F759" s="17"/>
      <c r="G759" s="17"/>
      <c r="H759" s="404"/>
      <c r="I759" s="17"/>
      <c r="K759" s="17"/>
      <c r="L759" s="17"/>
      <c r="M759" s="17"/>
      <c r="N759" s="739"/>
      <c r="O759" s="739"/>
      <c r="P759" s="739"/>
      <c r="Q759" s="739"/>
      <c r="R759" s="739"/>
      <c r="S759" s="739"/>
      <c r="T759" s="739"/>
      <c r="U759" s="739"/>
      <c r="V759" s="739"/>
      <c r="W759" s="739"/>
      <c r="X759" s="739"/>
      <c r="Y759" s="739"/>
      <c r="Z759" s="740"/>
      <c r="AA759" s="740"/>
      <c r="AB759" s="17"/>
      <c r="AC759" s="17"/>
      <c r="AD759" s="17"/>
      <c r="AE759" s="17"/>
      <c r="AF759" s="17"/>
      <c r="AG759" s="17"/>
      <c r="AH759" s="17"/>
      <c r="AI759" s="17"/>
      <c r="AJ759" s="17"/>
      <c r="AK759" s="17"/>
      <c r="AL759" s="17"/>
      <c r="AM759" s="17"/>
      <c r="AN759" s="17"/>
      <c r="AO759" s="17"/>
      <c r="AP759" s="17"/>
      <c r="AQ759" s="17"/>
    </row>
    <row r="760" spans="2:43" hidden="1">
      <c r="B760" s="17"/>
      <c r="C760" s="17"/>
      <c r="D760" s="17"/>
      <c r="E760" s="17"/>
      <c r="F760" s="17"/>
      <c r="G760" s="17"/>
      <c r="H760" s="404"/>
      <c r="I760" s="17"/>
      <c r="K760" s="17"/>
      <c r="L760" s="17"/>
      <c r="M760" s="17"/>
      <c r="N760" s="739"/>
      <c r="O760" s="739"/>
      <c r="P760" s="739"/>
      <c r="Q760" s="739"/>
      <c r="R760" s="739"/>
      <c r="S760" s="739"/>
      <c r="T760" s="739"/>
      <c r="U760" s="739"/>
      <c r="V760" s="739"/>
      <c r="W760" s="739"/>
      <c r="X760" s="739"/>
      <c r="Y760" s="739"/>
      <c r="Z760" s="740"/>
      <c r="AA760" s="740"/>
      <c r="AB760" s="17"/>
      <c r="AC760" s="17"/>
      <c r="AD760" s="17"/>
      <c r="AE760" s="17"/>
      <c r="AF760" s="17"/>
      <c r="AG760" s="17"/>
      <c r="AH760" s="17"/>
      <c r="AI760" s="17"/>
      <c r="AJ760" s="17"/>
      <c r="AK760" s="17"/>
      <c r="AL760" s="17"/>
      <c r="AM760" s="17"/>
      <c r="AN760" s="17"/>
      <c r="AO760" s="17"/>
      <c r="AP760" s="17"/>
      <c r="AQ760" s="17"/>
    </row>
    <row r="761" spans="2:43" hidden="1">
      <c r="B761" s="17"/>
      <c r="C761" s="17"/>
      <c r="D761" s="17"/>
      <c r="E761" s="17"/>
      <c r="F761" s="17"/>
      <c r="G761" s="17"/>
      <c r="H761" s="404"/>
      <c r="I761" s="17"/>
      <c r="K761" s="17"/>
      <c r="L761" s="17"/>
      <c r="M761" s="17"/>
      <c r="N761" s="739"/>
      <c r="O761" s="739"/>
      <c r="P761" s="739"/>
      <c r="Q761" s="739"/>
      <c r="R761" s="739"/>
      <c r="S761" s="739"/>
      <c r="T761" s="739"/>
      <c r="U761" s="739"/>
      <c r="V761" s="739"/>
      <c r="W761" s="739"/>
      <c r="X761" s="739"/>
      <c r="Y761" s="739"/>
      <c r="Z761" s="740"/>
      <c r="AA761" s="740"/>
      <c r="AB761" s="17"/>
      <c r="AC761" s="17"/>
      <c r="AD761" s="17"/>
      <c r="AE761" s="17"/>
      <c r="AF761" s="17"/>
      <c r="AG761" s="17"/>
      <c r="AH761" s="17"/>
      <c r="AI761" s="17"/>
      <c r="AJ761" s="17"/>
      <c r="AK761" s="17"/>
      <c r="AL761" s="17"/>
      <c r="AM761" s="17"/>
      <c r="AN761" s="17"/>
      <c r="AO761" s="17"/>
      <c r="AP761" s="17"/>
      <c r="AQ761" s="17"/>
    </row>
    <row r="762" spans="2:43" hidden="1">
      <c r="B762" s="17"/>
      <c r="C762" s="17"/>
      <c r="D762" s="17"/>
      <c r="E762" s="17"/>
      <c r="F762" s="17"/>
      <c r="G762" s="17"/>
      <c r="H762" s="404"/>
      <c r="I762" s="17"/>
      <c r="K762" s="17"/>
      <c r="L762" s="17"/>
      <c r="M762" s="17"/>
      <c r="N762" s="739"/>
      <c r="O762" s="739"/>
      <c r="P762" s="739"/>
      <c r="Q762" s="739"/>
      <c r="R762" s="739"/>
      <c r="S762" s="739"/>
      <c r="T762" s="739"/>
      <c r="U762" s="739"/>
      <c r="V762" s="739"/>
      <c r="W762" s="739"/>
      <c r="X762" s="739"/>
      <c r="Y762" s="739"/>
      <c r="Z762" s="740"/>
      <c r="AA762" s="740"/>
      <c r="AB762" s="17"/>
      <c r="AC762" s="17"/>
      <c r="AD762" s="17"/>
      <c r="AE762" s="17"/>
      <c r="AF762" s="17"/>
      <c r="AG762" s="17"/>
      <c r="AH762" s="17"/>
      <c r="AI762" s="17"/>
      <c r="AJ762" s="17"/>
      <c r="AK762" s="17"/>
      <c r="AL762" s="17"/>
      <c r="AM762" s="17"/>
      <c r="AN762" s="17"/>
      <c r="AO762" s="17"/>
      <c r="AP762" s="17"/>
      <c r="AQ762" s="17"/>
    </row>
    <row r="763" spans="2:43" hidden="1">
      <c r="B763" s="17"/>
      <c r="C763" s="17"/>
      <c r="D763" s="17"/>
      <c r="E763" s="17"/>
      <c r="F763" s="17"/>
      <c r="G763" s="17"/>
      <c r="H763" s="404"/>
      <c r="I763" s="17"/>
      <c r="K763" s="17"/>
      <c r="L763" s="17"/>
      <c r="M763" s="17"/>
      <c r="N763" s="739"/>
      <c r="O763" s="739"/>
      <c r="P763" s="739"/>
      <c r="Q763" s="739"/>
      <c r="R763" s="739"/>
      <c r="S763" s="739"/>
      <c r="T763" s="739"/>
      <c r="U763" s="739"/>
      <c r="V763" s="739"/>
      <c r="W763" s="739"/>
      <c r="X763" s="739"/>
      <c r="Y763" s="739"/>
      <c r="Z763" s="740"/>
      <c r="AA763" s="740"/>
      <c r="AB763" s="17"/>
      <c r="AC763" s="17"/>
      <c r="AD763" s="17"/>
      <c r="AE763" s="17"/>
      <c r="AF763" s="17"/>
      <c r="AG763" s="17"/>
      <c r="AH763" s="17"/>
      <c r="AI763" s="17"/>
      <c r="AJ763" s="17"/>
      <c r="AK763" s="17"/>
      <c r="AL763" s="17"/>
      <c r="AM763" s="17"/>
      <c r="AN763" s="17"/>
      <c r="AO763" s="17"/>
      <c r="AP763" s="17"/>
      <c r="AQ763" s="17"/>
    </row>
    <row r="764" spans="2:43" hidden="1">
      <c r="B764" s="17"/>
      <c r="C764" s="17"/>
      <c r="D764" s="17"/>
      <c r="E764" s="17"/>
      <c r="F764" s="17"/>
      <c r="G764" s="17"/>
      <c r="H764" s="404"/>
      <c r="I764" s="17"/>
      <c r="K764" s="17"/>
      <c r="L764" s="17"/>
      <c r="M764" s="17"/>
      <c r="N764" s="739"/>
      <c r="O764" s="739"/>
      <c r="P764" s="739"/>
      <c r="Q764" s="739"/>
      <c r="R764" s="739"/>
      <c r="S764" s="739"/>
      <c r="T764" s="739"/>
      <c r="U764" s="739"/>
      <c r="V764" s="739"/>
      <c r="W764" s="739"/>
      <c r="X764" s="739"/>
      <c r="Y764" s="739"/>
      <c r="Z764" s="740"/>
      <c r="AA764" s="740"/>
      <c r="AB764" s="17"/>
      <c r="AC764" s="17"/>
      <c r="AD764" s="17"/>
      <c r="AE764" s="17"/>
      <c r="AF764" s="17"/>
      <c r="AG764" s="17"/>
      <c r="AH764" s="17"/>
      <c r="AI764" s="17"/>
      <c r="AJ764" s="17"/>
      <c r="AK764" s="17"/>
      <c r="AL764" s="17"/>
      <c r="AM764" s="17"/>
      <c r="AN764" s="17"/>
      <c r="AO764" s="17"/>
      <c r="AP764" s="17"/>
      <c r="AQ764" s="17"/>
    </row>
    <row r="765" spans="2:43" hidden="1">
      <c r="B765" s="17"/>
      <c r="C765" s="17"/>
      <c r="D765" s="17"/>
      <c r="E765" s="17"/>
      <c r="F765" s="17"/>
      <c r="G765" s="17"/>
      <c r="H765" s="404"/>
      <c r="I765" s="17"/>
      <c r="K765" s="17"/>
      <c r="L765" s="17"/>
      <c r="M765" s="17"/>
      <c r="N765" s="739"/>
      <c r="O765" s="739"/>
      <c r="P765" s="739"/>
      <c r="Q765" s="739"/>
      <c r="R765" s="739"/>
      <c r="S765" s="739"/>
      <c r="T765" s="739"/>
      <c r="U765" s="739"/>
      <c r="V765" s="739"/>
      <c r="W765" s="739"/>
      <c r="X765" s="739"/>
      <c r="Y765" s="739"/>
      <c r="Z765" s="740"/>
      <c r="AA765" s="740"/>
      <c r="AB765" s="17"/>
      <c r="AC765" s="17"/>
      <c r="AD765" s="17"/>
      <c r="AE765" s="17"/>
      <c r="AF765" s="17"/>
      <c r="AG765" s="17"/>
      <c r="AH765" s="17"/>
      <c r="AI765" s="17"/>
      <c r="AJ765" s="17"/>
      <c r="AK765" s="17"/>
      <c r="AL765" s="17"/>
      <c r="AM765" s="17"/>
      <c r="AN765" s="17"/>
      <c r="AO765" s="17"/>
      <c r="AP765" s="17"/>
      <c r="AQ765" s="17"/>
    </row>
    <row r="766" spans="2:43" hidden="1">
      <c r="B766" s="17"/>
      <c r="C766" s="17"/>
      <c r="D766" s="17"/>
      <c r="E766" s="17"/>
      <c r="F766" s="17"/>
      <c r="G766" s="17"/>
      <c r="H766" s="404"/>
      <c r="I766" s="17"/>
      <c r="K766" s="17"/>
      <c r="L766" s="17"/>
      <c r="M766" s="17"/>
      <c r="N766" s="739"/>
      <c r="O766" s="739"/>
      <c r="P766" s="739"/>
      <c r="Q766" s="739"/>
      <c r="R766" s="739"/>
      <c r="S766" s="739"/>
      <c r="T766" s="739"/>
      <c r="U766" s="739"/>
      <c r="V766" s="739"/>
      <c r="W766" s="739"/>
      <c r="X766" s="739"/>
      <c r="Y766" s="739"/>
      <c r="Z766" s="740"/>
      <c r="AA766" s="740"/>
      <c r="AB766" s="17"/>
      <c r="AC766" s="17"/>
      <c r="AD766" s="17"/>
      <c r="AE766" s="17"/>
      <c r="AF766" s="17"/>
      <c r="AG766" s="17"/>
      <c r="AH766" s="17"/>
      <c r="AI766" s="17"/>
      <c r="AJ766" s="17"/>
      <c r="AK766" s="17"/>
      <c r="AL766" s="17"/>
      <c r="AM766" s="17"/>
      <c r="AN766" s="17"/>
      <c r="AO766" s="17"/>
      <c r="AP766" s="17"/>
      <c r="AQ766" s="17"/>
    </row>
    <row r="767" spans="2:43" hidden="1">
      <c r="B767" s="17"/>
      <c r="C767" s="17"/>
      <c r="D767" s="17"/>
      <c r="E767" s="17"/>
      <c r="F767" s="17"/>
      <c r="G767" s="17"/>
      <c r="H767" s="404"/>
      <c r="I767" s="17"/>
      <c r="K767" s="17"/>
      <c r="L767" s="17"/>
      <c r="M767" s="17"/>
      <c r="N767" s="739"/>
      <c r="O767" s="739"/>
      <c r="P767" s="739"/>
      <c r="Q767" s="739"/>
      <c r="R767" s="739"/>
      <c r="S767" s="739"/>
      <c r="T767" s="739"/>
      <c r="U767" s="739"/>
      <c r="V767" s="739"/>
      <c r="W767" s="739"/>
      <c r="X767" s="739"/>
      <c r="Y767" s="739"/>
      <c r="Z767" s="740"/>
      <c r="AA767" s="740"/>
      <c r="AB767" s="17"/>
      <c r="AC767" s="17"/>
      <c r="AD767" s="17"/>
      <c r="AE767" s="17"/>
      <c r="AF767" s="17"/>
      <c r="AG767" s="17"/>
      <c r="AH767" s="17"/>
      <c r="AI767" s="17"/>
      <c r="AJ767" s="17"/>
      <c r="AK767" s="17"/>
      <c r="AL767" s="17"/>
      <c r="AM767" s="17"/>
      <c r="AN767" s="17"/>
      <c r="AO767" s="17"/>
      <c r="AP767" s="17"/>
      <c r="AQ767" s="17"/>
    </row>
    <row r="768" spans="2:43" hidden="1">
      <c r="B768" s="17"/>
      <c r="C768" s="17"/>
      <c r="D768" s="17"/>
      <c r="E768" s="17"/>
      <c r="F768" s="17"/>
      <c r="G768" s="17"/>
      <c r="H768" s="404"/>
      <c r="I768" s="17"/>
      <c r="K768" s="17"/>
      <c r="L768" s="17"/>
      <c r="M768" s="17"/>
      <c r="N768" s="739"/>
      <c r="O768" s="739"/>
      <c r="P768" s="739"/>
      <c r="Q768" s="739"/>
      <c r="R768" s="739"/>
      <c r="S768" s="739"/>
      <c r="T768" s="739"/>
      <c r="U768" s="739"/>
      <c r="V768" s="739"/>
      <c r="W768" s="739"/>
      <c r="X768" s="739"/>
      <c r="Y768" s="739"/>
      <c r="Z768" s="740"/>
      <c r="AA768" s="740"/>
      <c r="AB768" s="17"/>
      <c r="AC768" s="17"/>
      <c r="AD768" s="17"/>
      <c r="AE768" s="17"/>
      <c r="AF768" s="17"/>
      <c r="AG768" s="17"/>
      <c r="AH768" s="17"/>
      <c r="AI768" s="17"/>
      <c r="AJ768" s="17"/>
      <c r="AK768" s="17"/>
      <c r="AL768" s="17"/>
      <c r="AM768" s="17"/>
      <c r="AN768" s="17"/>
      <c r="AO768" s="17"/>
      <c r="AP768" s="17"/>
      <c r="AQ768" s="17"/>
    </row>
    <row r="769" spans="2:43" hidden="1">
      <c r="B769" s="17"/>
      <c r="C769" s="17"/>
      <c r="D769" s="17"/>
      <c r="E769" s="17"/>
      <c r="F769" s="17"/>
      <c r="G769" s="17"/>
      <c r="H769" s="404"/>
      <c r="I769" s="17"/>
      <c r="K769" s="17"/>
      <c r="L769" s="17"/>
      <c r="M769" s="17"/>
      <c r="N769" s="739"/>
      <c r="O769" s="739"/>
      <c r="P769" s="739"/>
      <c r="Q769" s="739"/>
      <c r="R769" s="739"/>
      <c r="S769" s="739"/>
      <c r="T769" s="739"/>
      <c r="U769" s="739"/>
      <c r="V769" s="739"/>
      <c r="W769" s="739"/>
      <c r="X769" s="739"/>
      <c r="Y769" s="739"/>
      <c r="Z769" s="740"/>
      <c r="AA769" s="740"/>
      <c r="AB769" s="17"/>
      <c r="AC769" s="17"/>
      <c r="AD769" s="17"/>
      <c r="AE769" s="17"/>
      <c r="AF769" s="17"/>
      <c r="AG769" s="17"/>
      <c r="AH769" s="17"/>
      <c r="AI769" s="17"/>
      <c r="AJ769" s="17"/>
      <c r="AK769" s="17"/>
      <c r="AL769" s="17"/>
      <c r="AM769" s="17"/>
      <c r="AN769" s="17"/>
      <c r="AO769" s="17"/>
      <c r="AP769" s="17"/>
      <c r="AQ769" s="17"/>
    </row>
    <row r="770" spans="2:43" hidden="1">
      <c r="B770" s="17"/>
      <c r="C770" s="17"/>
      <c r="D770" s="17"/>
      <c r="E770" s="17"/>
      <c r="F770" s="17"/>
      <c r="G770" s="17"/>
      <c r="H770" s="404"/>
      <c r="I770" s="17"/>
      <c r="K770" s="17"/>
      <c r="L770" s="17"/>
      <c r="M770" s="17"/>
      <c r="N770" s="739"/>
      <c r="O770" s="739"/>
      <c r="P770" s="739"/>
      <c r="Q770" s="739"/>
      <c r="R770" s="739"/>
      <c r="S770" s="739"/>
      <c r="T770" s="739"/>
      <c r="U770" s="739"/>
      <c r="V770" s="739"/>
      <c r="W770" s="739"/>
      <c r="X770" s="739"/>
      <c r="Y770" s="739"/>
      <c r="Z770" s="740"/>
      <c r="AA770" s="740"/>
      <c r="AB770" s="17"/>
      <c r="AC770" s="17"/>
      <c r="AD770" s="17"/>
      <c r="AE770" s="17"/>
      <c r="AF770" s="17"/>
      <c r="AG770" s="17"/>
      <c r="AH770" s="17"/>
      <c r="AI770" s="17"/>
      <c r="AJ770" s="17"/>
      <c r="AK770" s="17"/>
      <c r="AL770" s="17"/>
      <c r="AM770" s="17"/>
      <c r="AN770" s="17"/>
      <c r="AO770" s="17"/>
      <c r="AP770" s="17"/>
      <c r="AQ770" s="17"/>
    </row>
    <row r="771" spans="2:43" hidden="1">
      <c r="B771" s="17"/>
      <c r="C771" s="17"/>
      <c r="D771" s="17"/>
      <c r="E771" s="17"/>
      <c r="F771" s="17"/>
      <c r="G771" s="17"/>
      <c r="H771" s="404"/>
      <c r="I771" s="17"/>
      <c r="K771" s="17"/>
      <c r="L771" s="17"/>
      <c r="M771" s="17"/>
      <c r="N771" s="739"/>
      <c r="O771" s="739"/>
      <c r="P771" s="739"/>
      <c r="Q771" s="739"/>
      <c r="R771" s="739"/>
      <c r="S771" s="739"/>
      <c r="T771" s="739"/>
      <c r="U771" s="739"/>
      <c r="V771" s="739"/>
      <c r="W771" s="739"/>
      <c r="X771" s="739"/>
      <c r="Y771" s="739"/>
      <c r="Z771" s="740"/>
      <c r="AA771" s="740"/>
      <c r="AB771" s="17"/>
      <c r="AC771" s="17"/>
      <c r="AD771" s="17"/>
      <c r="AE771" s="17"/>
      <c r="AF771" s="17"/>
      <c r="AG771" s="17"/>
      <c r="AH771" s="17"/>
      <c r="AI771" s="17"/>
      <c r="AJ771" s="17"/>
      <c r="AK771" s="17"/>
      <c r="AL771" s="17"/>
      <c r="AM771" s="17"/>
      <c r="AN771" s="17"/>
      <c r="AO771" s="17"/>
      <c r="AP771" s="17"/>
      <c r="AQ771" s="17"/>
    </row>
    <row r="772" spans="2:43" hidden="1">
      <c r="B772" s="17"/>
      <c r="C772" s="17"/>
      <c r="D772" s="17"/>
      <c r="E772" s="17"/>
      <c r="F772" s="17"/>
      <c r="G772" s="17"/>
      <c r="H772" s="404"/>
      <c r="I772" s="17"/>
      <c r="K772" s="17"/>
      <c r="L772" s="17"/>
      <c r="M772" s="17"/>
      <c r="N772" s="739"/>
      <c r="O772" s="739"/>
      <c r="P772" s="739"/>
      <c r="Q772" s="739"/>
      <c r="R772" s="739"/>
      <c r="S772" s="739"/>
      <c r="T772" s="739"/>
      <c r="U772" s="739"/>
      <c r="V772" s="739"/>
      <c r="W772" s="739"/>
      <c r="X772" s="739"/>
      <c r="Y772" s="739"/>
      <c r="Z772" s="740"/>
      <c r="AA772" s="740"/>
      <c r="AB772" s="17"/>
      <c r="AC772" s="17"/>
      <c r="AD772" s="17"/>
      <c r="AE772" s="17"/>
      <c r="AF772" s="17"/>
      <c r="AG772" s="17"/>
      <c r="AH772" s="17"/>
      <c r="AI772" s="17"/>
      <c r="AJ772" s="17"/>
      <c r="AK772" s="17"/>
      <c r="AL772" s="17"/>
      <c r="AM772" s="17"/>
      <c r="AN772" s="17"/>
      <c r="AO772" s="17"/>
      <c r="AP772" s="17"/>
      <c r="AQ772" s="17"/>
    </row>
    <row r="773" spans="2:43" hidden="1">
      <c r="B773" s="17"/>
      <c r="C773" s="17"/>
      <c r="D773" s="17"/>
      <c r="E773" s="17"/>
      <c r="F773" s="17"/>
      <c r="G773" s="17"/>
      <c r="H773" s="404"/>
      <c r="I773" s="17"/>
      <c r="K773" s="17"/>
      <c r="L773" s="17"/>
      <c r="M773" s="17"/>
      <c r="N773" s="739"/>
      <c r="O773" s="739"/>
      <c r="P773" s="739"/>
      <c r="Q773" s="739"/>
      <c r="R773" s="739"/>
      <c r="S773" s="739"/>
      <c r="T773" s="739"/>
      <c r="U773" s="739"/>
      <c r="V773" s="739"/>
      <c r="W773" s="739"/>
      <c r="X773" s="739"/>
      <c r="Y773" s="739"/>
      <c r="Z773" s="740"/>
      <c r="AA773" s="740"/>
      <c r="AB773" s="17"/>
      <c r="AC773" s="17"/>
      <c r="AD773" s="17"/>
      <c r="AE773" s="17"/>
      <c r="AF773" s="17"/>
      <c r="AG773" s="17"/>
      <c r="AH773" s="17"/>
      <c r="AI773" s="17"/>
      <c r="AJ773" s="17"/>
      <c r="AK773" s="17"/>
      <c r="AL773" s="17"/>
      <c r="AM773" s="17"/>
      <c r="AN773" s="17"/>
      <c r="AO773" s="17"/>
      <c r="AP773" s="17"/>
      <c r="AQ773" s="17"/>
    </row>
    <row r="774" spans="2:43" hidden="1">
      <c r="B774" s="17"/>
      <c r="C774" s="17"/>
      <c r="D774" s="17"/>
      <c r="E774" s="17"/>
      <c r="F774" s="17"/>
      <c r="G774" s="17"/>
      <c r="H774" s="404"/>
      <c r="I774" s="17"/>
      <c r="K774" s="17"/>
      <c r="L774" s="17"/>
      <c r="M774" s="17"/>
      <c r="N774" s="739"/>
      <c r="O774" s="739"/>
      <c r="P774" s="739"/>
      <c r="Q774" s="739"/>
      <c r="R774" s="739"/>
      <c r="S774" s="739"/>
      <c r="T774" s="739"/>
      <c r="U774" s="739"/>
      <c r="V774" s="739"/>
      <c r="W774" s="739"/>
      <c r="X774" s="739"/>
      <c r="Y774" s="739"/>
      <c r="Z774" s="740"/>
      <c r="AA774" s="740"/>
      <c r="AB774" s="17"/>
      <c r="AC774" s="17"/>
      <c r="AD774" s="17"/>
      <c r="AE774" s="17"/>
      <c r="AF774" s="17"/>
      <c r="AG774" s="17"/>
      <c r="AH774" s="17"/>
      <c r="AI774" s="17"/>
      <c r="AJ774" s="17"/>
      <c r="AK774" s="17"/>
      <c r="AL774" s="17"/>
      <c r="AM774" s="17"/>
      <c r="AN774" s="17"/>
      <c r="AO774" s="17"/>
      <c r="AP774" s="17"/>
      <c r="AQ774" s="17"/>
    </row>
    <row r="775" spans="2:43" hidden="1">
      <c r="B775" s="17"/>
      <c r="C775" s="17"/>
      <c r="D775" s="17"/>
      <c r="E775" s="17"/>
      <c r="F775" s="17"/>
      <c r="G775" s="17"/>
      <c r="H775" s="404"/>
      <c r="I775" s="17"/>
      <c r="K775" s="17"/>
      <c r="L775" s="17"/>
      <c r="M775" s="17"/>
      <c r="N775" s="739"/>
      <c r="O775" s="739"/>
      <c r="P775" s="739"/>
      <c r="Q775" s="739"/>
      <c r="R775" s="739"/>
      <c r="S775" s="739"/>
      <c r="T775" s="739"/>
      <c r="U775" s="739"/>
      <c r="V775" s="739"/>
      <c r="W775" s="739"/>
      <c r="X775" s="739"/>
      <c r="Y775" s="739"/>
      <c r="Z775" s="740"/>
      <c r="AA775" s="740"/>
      <c r="AB775" s="17"/>
      <c r="AC775" s="17"/>
      <c r="AD775" s="17"/>
      <c r="AE775" s="17"/>
      <c r="AF775" s="17"/>
      <c r="AG775" s="17"/>
      <c r="AH775" s="17"/>
      <c r="AI775" s="17"/>
      <c r="AJ775" s="17"/>
      <c r="AK775" s="17"/>
      <c r="AL775" s="17"/>
      <c r="AM775" s="17"/>
      <c r="AN775" s="17"/>
      <c r="AO775" s="17"/>
      <c r="AP775" s="17"/>
      <c r="AQ775" s="17"/>
    </row>
    <row r="776" spans="2:43" hidden="1">
      <c r="B776" s="17"/>
      <c r="C776" s="17"/>
      <c r="D776" s="17"/>
      <c r="E776" s="17"/>
      <c r="F776" s="17"/>
      <c r="G776" s="17"/>
      <c r="H776" s="404"/>
      <c r="I776" s="17"/>
      <c r="K776" s="17"/>
      <c r="L776" s="17"/>
      <c r="M776" s="17"/>
      <c r="N776" s="739"/>
      <c r="O776" s="739"/>
      <c r="P776" s="739"/>
      <c r="Q776" s="739"/>
      <c r="R776" s="739"/>
      <c r="S776" s="739"/>
      <c r="T776" s="739"/>
      <c r="U776" s="739"/>
      <c r="V776" s="739"/>
      <c r="W776" s="739"/>
      <c r="X776" s="739"/>
      <c r="Y776" s="739"/>
      <c r="Z776" s="740"/>
      <c r="AA776" s="740"/>
      <c r="AB776" s="17"/>
      <c r="AC776" s="17"/>
      <c r="AD776" s="17"/>
      <c r="AE776" s="17"/>
      <c r="AF776" s="17"/>
      <c r="AG776" s="17"/>
      <c r="AH776" s="17"/>
      <c r="AI776" s="17"/>
      <c r="AJ776" s="17"/>
      <c r="AK776" s="17"/>
      <c r="AL776" s="17"/>
      <c r="AM776" s="17"/>
      <c r="AN776" s="17"/>
      <c r="AO776" s="17"/>
      <c r="AP776" s="17"/>
      <c r="AQ776" s="17"/>
    </row>
    <row r="777" spans="2:43" hidden="1">
      <c r="B777" s="17"/>
      <c r="C777" s="17"/>
      <c r="D777" s="17"/>
      <c r="E777" s="17"/>
      <c r="F777" s="17"/>
      <c r="G777" s="17"/>
      <c r="H777" s="404"/>
      <c r="I777" s="17"/>
      <c r="K777" s="17"/>
      <c r="L777" s="17"/>
      <c r="M777" s="17"/>
      <c r="N777" s="739"/>
      <c r="O777" s="739"/>
      <c r="P777" s="739"/>
      <c r="Q777" s="739"/>
      <c r="R777" s="739"/>
      <c r="S777" s="739"/>
      <c r="T777" s="739"/>
      <c r="U777" s="739"/>
      <c r="V777" s="739"/>
      <c r="W777" s="739"/>
      <c r="X777" s="739"/>
      <c r="Y777" s="739"/>
      <c r="Z777" s="740"/>
      <c r="AA777" s="740"/>
      <c r="AB777" s="17"/>
      <c r="AC777" s="17"/>
      <c r="AD777" s="17"/>
      <c r="AE777" s="17"/>
      <c r="AF777" s="17"/>
      <c r="AG777" s="17"/>
      <c r="AH777" s="17"/>
      <c r="AI777" s="17"/>
      <c r="AJ777" s="17"/>
      <c r="AK777" s="17"/>
      <c r="AL777" s="17"/>
      <c r="AM777" s="17"/>
      <c r="AN777" s="17"/>
      <c r="AO777" s="17"/>
      <c r="AP777" s="17"/>
      <c r="AQ777" s="17"/>
    </row>
    <row r="778" spans="2:43" hidden="1">
      <c r="B778" s="17"/>
      <c r="C778" s="17"/>
      <c r="D778" s="17"/>
      <c r="E778" s="17"/>
      <c r="F778" s="17"/>
      <c r="G778" s="17"/>
      <c r="H778" s="404"/>
      <c r="I778" s="17"/>
      <c r="K778" s="17"/>
      <c r="L778" s="17"/>
      <c r="M778" s="17"/>
      <c r="N778" s="739"/>
      <c r="O778" s="739"/>
      <c r="P778" s="739"/>
      <c r="Q778" s="739"/>
      <c r="R778" s="739"/>
      <c r="S778" s="739"/>
      <c r="T778" s="739"/>
      <c r="U778" s="739"/>
      <c r="V778" s="739"/>
      <c r="W778" s="739"/>
      <c r="X778" s="739"/>
      <c r="Y778" s="739"/>
      <c r="Z778" s="740"/>
      <c r="AA778" s="740"/>
      <c r="AB778" s="17"/>
      <c r="AC778" s="17"/>
      <c r="AD778" s="17"/>
      <c r="AE778" s="17"/>
      <c r="AF778" s="17"/>
      <c r="AG778" s="17"/>
      <c r="AH778" s="17"/>
      <c r="AI778" s="17"/>
      <c r="AJ778" s="17"/>
      <c r="AK778" s="17"/>
      <c r="AL778" s="17"/>
      <c r="AM778" s="17"/>
      <c r="AN778" s="17"/>
      <c r="AO778" s="17"/>
      <c r="AP778" s="17"/>
      <c r="AQ778" s="17"/>
    </row>
    <row r="779" spans="2:43" hidden="1">
      <c r="B779" s="17"/>
      <c r="C779" s="17"/>
      <c r="D779" s="17"/>
      <c r="E779" s="17"/>
      <c r="F779" s="17"/>
      <c r="G779" s="17"/>
      <c r="H779" s="404"/>
      <c r="I779" s="17"/>
      <c r="K779" s="17"/>
      <c r="L779" s="17"/>
      <c r="M779" s="17"/>
      <c r="N779" s="739"/>
      <c r="O779" s="739"/>
      <c r="P779" s="739"/>
      <c r="Q779" s="739"/>
      <c r="R779" s="739"/>
      <c r="S779" s="739"/>
      <c r="T779" s="739"/>
      <c r="U779" s="739"/>
      <c r="V779" s="739"/>
      <c r="W779" s="739"/>
      <c r="X779" s="739"/>
      <c r="Y779" s="739"/>
      <c r="Z779" s="740"/>
      <c r="AA779" s="740"/>
      <c r="AB779" s="17"/>
      <c r="AC779" s="17"/>
      <c r="AD779" s="17"/>
      <c r="AE779" s="17"/>
      <c r="AF779" s="17"/>
      <c r="AG779" s="17"/>
      <c r="AH779" s="17"/>
      <c r="AI779" s="17"/>
      <c r="AJ779" s="17"/>
      <c r="AK779" s="17"/>
      <c r="AL779" s="17"/>
      <c r="AM779" s="17"/>
      <c r="AN779" s="17"/>
      <c r="AO779" s="17"/>
      <c r="AP779" s="17"/>
      <c r="AQ779" s="17"/>
    </row>
    <row r="780" spans="2:43" hidden="1">
      <c r="B780" s="17"/>
      <c r="C780" s="17"/>
      <c r="D780" s="17"/>
      <c r="E780" s="17"/>
      <c r="F780" s="17"/>
      <c r="G780" s="17"/>
      <c r="H780" s="404"/>
      <c r="I780" s="17"/>
      <c r="K780" s="17"/>
      <c r="L780" s="17"/>
      <c r="M780" s="17"/>
      <c r="N780" s="739"/>
      <c r="O780" s="739"/>
      <c r="P780" s="739"/>
      <c r="Q780" s="739"/>
      <c r="R780" s="739"/>
      <c r="S780" s="739"/>
      <c r="T780" s="739"/>
      <c r="U780" s="739"/>
      <c r="V780" s="739"/>
      <c r="W780" s="739"/>
      <c r="X780" s="739"/>
      <c r="Y780" s="739"/>
      <c r="Z780" s="740"/>
      <c r="AA780" s="740"/>
      <c r="AB780" s="17"/>
      <c r="AC780" s="17"/>
      <c r="AD780" s="17"/>
      <c r="AE780" s="17"/>
      <c r="AF780" s="17"/>
      <c r="AG780" s="17"/>
      <c r="AH780" s="17"/>
      <c r="AI780" s="17"/>
      <c r="AJ780" s="17"/>
      <c r="AK780" s="17"/>
      <c r="AL780" s="17"/>
      <c r="AM780" s="17"/>
      <c r="AN780" s="17"/>
      <c r="AO780" s="17"/>
      <c r="AP780" s="17"/>
      <c r="AQ780" s="17"/>
    </row>
    <row r="781" spans="2:43" hidden="1">
      <c r="B781" s="17"/>
      <c r="C781" s="17"/>
      <c r="D781" s="17"/>
      <c r="E781" s="17"/>
      <c r="F781" s="17"/>
      <c r="G781" s="17"/>
      <c r="H781" s="404"/>
      <c r="I781" s="17"/>
      <c r="K781" s="17"/>
      <c r="L781" s="17"/>
      <c r="M781" s="17"/>
      <c r="N781" s="739"/>
      <c r="O781" s="739"/>
      <c r="P781" s="739"/>
      <c r="Q781" s="739"/>
      <c r="R781" s="739"/>
      <c r="S781" s="739"/>
      <c r="T781" s="739"/>
      <c r="U781" s="739"/>
      <c r="V781" s="739"/>
      <c r="W781" s="739"/>
      <c r="X781" s="739"/>
      <c r="Y781" s="739"/>
      <c r="Z781" s="740"/>
      <c r="AA781" s="740"/>
      <c r="AB781" s="17"/>
      <c r="AC781" s="17"/>
      <c r="AD781" s="17"/>
      <c r="AE781" s="17"/>
      <c r="AF781" s="17"/>
      <c r="AG781" s="17"/>
      <c r="AH781" s="17"/>
      <c r="AI781" s="17"/>
      <c r="AJ781" s="17"/>
      <c r="AK781" s="17"/>
      <c r="AL781" s="17"/>
      <c r="AM781" s="17"/>
      <c r="AN781" s="17"/>
      <c r="AO781" s="17"/>
      <c r="AP781" s="17"/>
      <c r="AQ781" s="17"/>
    </row>
    <row r="782" spans="2:43" hidden="1">
      <c r="B782" s="17"/>
      <c r="C782" s="17"/>
      <c r="D782" s="17"/>
      <c r="E782" s="17"/>
      <c r="F782" s="17"/>
      <c r="G782" s="17"/>
      <c r="H782" s="404"/>
      <c r="I782" s="17"/>
      <c r="K782" s="17"/>
      <c r="L782" s="17"/>
      <c r="M782" s="17"/>
      <c r="N782" s="739"/>
      <c r="O782" s="739"/>
      <c r="P782" s="739"/>
      <c r="Q782" s="739"/>
      <c r="R782" s="739"/>
      <c r="S782" s="739"/>
      <c r="T782" s="739"/>
      <c r="U782" s="739"/>
      <c r="V782" s="739"/>
      <c r="W782" s="739"/>
      <c r="X782" s="739"/>
      <c r="Y782" s="739"/>
      <c r="Z782" s="740"/>
      <c r="AA782" s="740"/>
      <c r="AB782" s="17"/>
      <c r="AC782" s="17"/>
      <c r="AD782" s="17"/>
      <c r="AE782" s="17"/>
      <c r="AF782" s="17"/>
      <c r="AG782" s="17"/>
      <c r="AH782" s="17"/>
      <c r="AI782" s="17"/>
      <c r="AJ782" s="17"/>
      <c r="AK782" s="17"/>
      <c r="AL782" s="17"/>
      <c r="AM782" s="17"/>
      <c r="AN782" s="17"/>
      <c r="AO782" s="17"/>
      <c r="AP782" s="17"/>
      <c r="AQ782" s="17"/>
    </row>
    <row r="783" spans="2:43" hidden="1">
      <c r="B783" s="17"/>
      <c r="C783" s="17"/>
      <c r="D783" s="17"/>
      <c r="E783" s="17"/>
      <c r="F783" s="17"/>
      <c r="G783" s="17"/>
      <c r="H783" s="404"/>
      <c r="I783" s="17"/>
      <c r="K783" s="17"/>
      <c r="L783" s="17"/>
      <c r="M783" s="17"/>
      <c r="N783" s="739"/>
      <c r="O783" s="739"/>
      <c r="P783" s="739"/>
      <c r="Q783" s="739"/>
      <c r="R783" s="739"/>
      <c r="S783" s="739"/>
      <c r="T783" s="739"/>
      <c r="U783" s="739"/>
      <c r="V783" s="739"/>
      <c r="W783" s="739"/>
      <c r="X783" s="739"/>
      <c r="Y783" s="739"/>
      <c r="Z783" s="740"/>
      <c r="AA783" s="740"/>
      <c r="AB783" s="17"/>
      <c r="AC783" s="17"/>
      <c r="AD783" s="17"/>
      <c r="AE783" s="17"/>
      <c r="AF783" s="17"/>
      <c r="AG783" s="17"/>
      <c r="AH783" s="17"/>
      <c r="AI783" s="17"/>
      <c r="AJ783" s="17"/>
      <c r="AK783" s="17"/>
      <c r="AL783" s="17"/>
      <c r="AM783" s="17"/>
      <c r="AN783" s="17"/>
      <c r="AO783" s="17"/>
      <c r="AP783" s="17"/>
      <c r="AQ783" s="17"/>
    </row>
    <row r="784" spans="2:43" hidden="1">
      <c r="B784" s="17"/>
      <c r="C784" s="17"/>
      <c r="D784" s="17"/>
      <c r="E784" s="17"/>
      <c r="F784" s="17"/>
      <c r="G784" s="17"/>
      <c r="H784" s="404"/>
      <c r="I784" s="17"/>
      <c r="K784" s="17"/>
      <c r="L784" s="17"/>
      <c r="M784" s="17"/>
      <c r="N784" s="739"/>
      <c r="O784" s="739"/>
      <c r="P784" s="739"/>
      <c r="Q784" s="739"/>
      <c r="R784" s="739"/>
      <c r="S784" s="739"/>
      <c r="T784" s="739"/>
      <c r="U784" s="739"/>
      <c r="V784" s="739"/>
      <c r="W784" s="739"/>
      <c r="X784" s="739"/>
      <c r="Y784" s="739"/>
      <c r="Z784" s="740"/>
      <c r="AA784" s="740"/>
      <c r="AB784" s="17"/>
      <c r="AC784" s="17"/>
      <c r="AD784" s="17"/>
      <c r="AE784" s="17"/>
      <c r="AF784" s="17"/>
      <c r="AG784" s="17"/>
      <c r="AH784" s="17"/>
      <c r="AI784" s="17"/>
      <c r="AJ784" s="17"/>
      <c r="AK784" s="17"/>
      <c r="AL784" s="17"/>
      <c r="AM784" s="17"/>
      <c r="AN784" s="17"/>
      <c r="AO784" s="17"/>
      <c r="AP784" s="17"/>
      <c r="AQ784" s="17"/>
    </row>
    <row r="785" spans="2:43" hidden="1">
      <c r="B785" s="17"/>
      <c r="C785" s="17"/>
      <c r="D785" s="17"/>
      <c r="E785" s="17"/>
      <c r="F785" s="17"/>
      <c r="G785" s="17"/>
      <c r="H785" s="404"/>
      <c r="I785" s="17"/>
      <c r="K785" s="17"/>
      <c r="L785" s="17"/>
      <c r="M785" s="17"/>
      <c r="N785" s="739"/>
      <c r="O785" s="739"/>
      <c r="P785" s="739"/>
      <c r="Q785" s="739"/>
      <c r="R785" s="739"/>
      <c r="S785" s="739"/>
      <c r="T785" s="739"/>
      <c r="U785" s="739"/>
      <c r="V785" s="739"/>
      <c r="W785" s="739"/>
      <c r="X785" s="739"/>
      <c r="Y785" s="739"/>
      <c r="Z785" s="740"/>
      <c r="AA785" s="740"/>
      <c r="AB785" s="17"/>
      <c r="AC785" s="17"/>
      <c r="AD785" s="17"/>
      <c r="AE785" s="17"/>
      <c r="AF785" s="17"/>
      <c r="AG785" s="17"/>
      <c r="AH785" s="17"/>
      <c r="AI785" s="17"/>
      <c r="AJ785" s="17"/>
      <c r="AK785" s="17"/>
      <c r="AL785" s="17"/>
      <c r="AM785" s="17"/>
      <c r="AN785" s="17"/>
      <c r="AO785" s="17"/>
      <c r="AP785" s="17"/>
      <c r="AQ785" s="17"/>
    </row>
    <row r="786" spans="2:43" hidden="1">
      <c r="B786" s="17"/>
      <c r="C786" s="17"/>
      <c r="D786" s="17"/>
      <c r="E786" s="17"/>
      <c r="F786" s="17"/>
      <c r="G786" s="17"/>
      <c r="H786" s="404"/>
      <c r="I786" s="17"/>
      <c r="K786" s="17"/>
      <c r="L786" s="17"/>
      <c r="M786" s="17"/>
      <c r="N786" s="739"/>
      <c r="O786" s="739"/>
      <c r="P786" s="739"/>
      <c r="Q786" s="739"/>
      <c r="R786" s="739"/>
      <c r="S786" s="739"/>
      <c r="T786" s="739"/>
      <c r="U786" s="739"/>
      <c r="V786" s="739"/>
      <c r="W786" s="739"/>
      <c r="X786" s="739"/>
      <c r="Y786" s="739"/>
      <c r="Z786" s="740"/>
      <c r="AA786" s="740"/>
      <c r="AB786" s="17"/>
      <c r="AC786" s="17"/>
      <c r="AD786" s="17"/>
      <c r="AE786" s="17"/>
      <c r="AF786" s="17"/>
      <c r="AG786" s="17"/>
      <c r="AH786" s="17"/>
      <c r="AI786" s="17"/>
      <c r="AJ786" s="17"/>
      <c r="AK786" s="17"/>
      <c r="AL786" s="17"/>
      <c r="AM786" s="17"/>
      <c r="AN786" s="17"/>
      <c r="AO786" s="17"/>
      <c r="AP786" s="17"/>
      <c r="AQ786" s="17"/>
    </row>
    <row r="787" spans="2:43" hidden="1">
      <c r="B787" s="17"/>
      <c r="C787" s="17"/>
      <c r="D787" s="17"/>
      <c r="E787" s="17"/>
      <c r="F787" s="17"/>
      <c r="G787" s="17"/>
      <c r="H787" s="404"/>
      <c r="I787" s="17"/>
      <c r="K787" s="17"/>
      <c r="L787" s="17"/>
      <c r="M787" s="17"/>
      <c r="N787" s="739"/>
      <c r="O787" s="739"/>
      <c r="P787" s="739"/>
      <c r="Q787" s="739"/>
      <c r="R787" s="739"/>
      <c r="S787" s="739"/>
      <c r="T787" s="739"/>
      <c r="U787" s="739"/>
      <c r="V787" s="739"/>
      <c r="W787" s="739"/>
      <c r="X787" s="739"/>
      <c r="Y787" s="739"/>
      <c r="Z787" s="740"/>
      <c r="AA787" s="740"/>
      <c r="AB787" s="17"/>
      <c r="AC787" s="17"/>
      <c r="AD787" s="17"/>
      <c r="AE787" s="17"/>
      <c r="AF787" s="17"/>
      <c r="AG787" s="17"/>
      <c r="AH787" s="17"/>
      <c r="AI787" s="17"/>
      <c r="AJ787" s="17"/>
      <c r="AK787" s="17"/>
      <c r="AL787" s="17"/>
      <c r="AM787" s="17"/>
      <c r="AN787" s="17"/>
      <c r="AO787" s="17"/>
      <c r="AP787" s="17"/>
      <c r="AQ787" s="17"/>
    </row>
    <row r="788" spans="2:43" hidden="1">
      <c r="B788" s="17"/>
      <c r="C788" s="17"/>
      <c r="D788" s="17"/>
      <c r="E788" s="17"/>
      <c r="F788" s="17"/>
      <c r="G788" s="17"/>
      <c r="H788" s="404"/>
      <c r="I788" s="17"/>
      <c r="K788" s="17"/>
      <c r="L788" s="17"/>
      <c r="M788" s="17"/>
      <c r="N788" s="739"/>
      <c r="O788" s="739"/>
      <c r="P788" s="739"/>
      <c r="Q788" s="739"/>
      <c r="R788" s="739"/>
      <c r="S788" s="739"/>
      <c r="T788" s="739"/>
      <c r="U788" s="739"/>
      <c r="V788" s="739"/>
      <c r="W788" s="739"/>
      <c r="X788" s="739"/>
      <c r="Y788" s="739"/>
      <c r="Z788" s="740"/>
      <c r="AA788" s="740"/>
      <c r="AB788" s="17"/>
      <c r="AC788" s="17"/>
      <c r="AD788" s="17"/>
      <c r="AE788" s="17"/>
      <c r="AF788" s="17"/>
      <c r="AG788" s="17"/>
      <c r="AH788" s="17"/>
      <c r="AI788" s="17"/>
      <c r="AJ788" s="17"/>
      <c r="AK788" s="17"/>
      <c r="AL788" s="17"/>
      <c r="AM788" s="17"/>
      <c r="AN788" s="17"/>
      <c r="AO788" s="17"/>
      <c r="AP788" s="17"/>
      <c r="AQ788" s="17"/>
    </row>
    <row r="789" spans="2:43" hidden="1">
      <c r="B789" s="17"/>
      <c r="C789" s="17"/>
      <c r="D789" s="17"/>
      <c r="E789" s="17"/>
      <c r="F789" s="17"/>
      <c r="G789" s="17"/>
      <c r="H789" s="404"/>
      <c r="I789" s="17"/>
      <c r="K789" s="17"/>
      <c r="L789" s="17"/>
      <c r="M789" s="17"/>
      <c r="N789" s="739"/>
      <c r="O789" s="739"/>
      <c r="P789" s="739"/>
      <c r="Q789" s="739"/>
      <c r="R789" s="739"/>
      <c r="S789" s="739"/>
      <c r="T789" s="739"/>
      <c r="U789" s="739"/>
      <c r="V789" s="739"/>
      <c r="W789" s="739"/>
      <c r="X789" s="739"/>
      <c r="Y789" s="739"/>
      <c r="Z789" s="740"/>
      <c r="AA789" s="740"/>
      <c r="AB789" s="17"/>
      <c r="AC789" s="17"/>
      <c r="AD789" s="17"/>
      <c r="AE789" s="17"/>
      <c r="AF789" s="17"/>
      <c r="AG789" s="17"/>
      <c r="AH789" s="17"/>
      <c r="AI789" s="17"/>
      <c r="AJ789" s="17"/>
      <c r="AK789" s="17"/>
      <c r="AL789" s="17"/>
      <c r="AM789" s="17"/>
      <c r="AN789" s="17"/>
      <c r="AO789" s="17"/>
      <c r="AP789" s="17"/>
      <c r="AQ789" s="17"/>
    </row>
    <row r="790" spans="2:43" hidden="1">
      <c r="B790" s="17"/>
      <c r="C790" s="17"/>
      <c r="D790" s="17"/>
      <c r="E790" s="17"/>
      <c r="F790" s="17"/>
      <c r="G790" s="17"/>
      <c r="H790" s="404"/>
      <c r="I790" s="17"/>
      <c r="K790" s="17"/>
      <c r="L790" s="17"/>
      <c r="M790" s="17"/>
      <c r="N790" s="739"/>
      <c r="O790" s="739"/>
      <c r="P790" s="739"/>
      <c r="Q790" s="739"/>
      <c r="R790" s="739"/>
      <c r="S790" s="739"/>
      <c r="T790" s="739"/>
      <c r="U790" s="739"/>
      <c r="V790" s="739"/>
      <c r="W790" s="739"/>
      <c r="X790" s="739"/>
      <c r="Y790" s="739"/>
      <c r="Z790" s="740"/>
      <c r="AA790" s="740"/>
      <c r="AB790" s="17"/>
      <c r="AC790" s="17"/>
      <c r="AD790" s="17"/>
      <c r="AE790" s="17"/>
      <c r="AF790" s="17"/>
      <c r="AG790" s="17"/>
      <c r="AH790" s="17"/>
      <c r="AI790" s="17"/>
      <c r="AJ790" s="17"/>
      <c r="AK790" s="17"/>
      <c r="AL790" s="17"/>
      <c r="AM790" s="17"/>
      <c r="AN790" s="17"/>
      <c r="AO790" s="17"/>
      <c r="AP790" s="17"/>
      <c r="AQ790" s="17"/>
    </row>
    <row r="791" spans="2:43" hidden="1">
      <c r="B791" s="17"/>
      <c r="C791" s="17"/>
      <c r="D791" s="17"/>
      <c r="E791" s="17"/>
      <c r="F791" s="17"/>
      <c r="G791" s="17"/>
      <c r="H791" s="404"/>
      <c r="I791" s="17"/>
      <c r="K791" s="17"/>
      <c r="L791" s="17"/>
      <c r="M791" s="17"/>
      <c r="N791" s="739"/>
      <c r="O791" s="739"/>
      <c r="P791" s="739"/>
      <c r="Q791" s="739"/>
      <c r="R791" s="739"/>
      <c r="S791" s="739"/>
      <c r="T791" s="739"/>
      <c r="U791" s="739"/>
      <c r="V791" s="739"/>
      <c r="W791" s="739"/>
      <c r="X791" s="739"/>
      <c r="Y791" s="739"/>
      <c r="Z791" s="740"/>
      <c r="AA791" s="740"/>
      <c r="AB791" s="17"/>
      <c r="AC791" s="17"/>
      <c r="AD791" s="17"/>
      <c r="AE791" s="17"/>
      <c r="AF791" s="17"/>
      <c r="AG791" s="17"/>
      <c r="AH791" s="17"/>
      <c r="AI791" s="17"/>
      <c r="AJ791" s="17"/>
      <c r="AK791" s="17"/>
      <c r="AL791" s="17"/>
      <c r="AM791" s="17"/>
      <c r="AN791" s="17"/>
      <c r="AO791" s="17"/>
      <c r="AP791" s="17"/>
      <c r="AQ791" s="17"/>
    </row>
    <row r="792" spans="2:43" hidden="1">
      <c r="B792" s="17"/>
      <c r="C792" s="17"/>
      <c r="D792" s="17"/>
      <c r="E792" s="17"/>
      <c r="F792" s="17"/>
      <c r="G792" s="17"/>
      <c r="H792" s="404"/>
      <c r="I792" s="17"/>
      <c r="K792" s="17"/>
      <c r="L792" s="17"/>
      <c r="M792" s="17"/>
      <c r="N792" s="739"/>
      <c r="O792" s="739"/>
      <c r="P792" s="739"/>
      <c r="Q792" s="739"/>
      <c r="R792" s="739"/>
      <c r="S792" s="739"/>
      <c r="T792" s="739"/>
      <c r="U792" s="739"/>
      <c r="V792" s="739"/>
      <c r="W792" s="739"/>
      <c r="X792" s="739"/>
      <c r="Y792" s="739"/>
      <c r="Z792" s="740"/>
      <c r="AA792" s="740"/>
      <c r="AB792" s="17"/>
      <c r="AC792" s="17"/>
      <c r="AD792" s="17"/>
      <c r="AE792" s="17"/>
      <c r="AF792" s="17"/>
      <c r="AG792" s="17"/>
      <c r="AH792" s="17"/>
      <c r="AI792" s="17"/>
      <c r="AJ792" s="17"/>
      <c r="AK792" s="17"/>
      <c r="AL792" s="17"/>
      <c r="AM792" s="17"/>
      <c r="AN792" s="17"/>
      <c r="AO792" s="17"/>
      <c r="AP792" s="17"/>
      <c r="AQ792" s="17"/>
    </row>
    <row r="793" spans="2:43" hidden="1">
      <c r="B793" s="17"/>
      <c r="C793" s="17"/>
      <c r="D793" s="17"/>
      <c r="E793" s="17"/>
      <c r="F793" s="17"/>
      <c r="G793" s="17"/>
      <c r="H793" s="404"/>
      <c r="I793" s="17"/>
      <c r="K793" s="17"/>
      <c r="L793" s="17"/>
      <c r="M793" s="17"/>
      <c r="N793" s="739"/>
      <c r="O793" s="739"/>
      <c r="P793" s="739"/>
      <c r="Q793" s="739"/>
      <c r="R793" s="739"/>
      <c r="S793" s="739"/>
      <c r="T793" s="739"/>
      <c r="U793" s="739"/>
      <c r="V793" s="739"/>
      <c r="W793" s="739"/>
      <c r="X793" s="739"/>
      <c r="Y793" s="739"/>
      <c r="Z793" s="740"/>
      <c r="AA793" s="740"/>
      <c r="AB793" s="17"/>
      <c r="AC793" s="17"/>
      <c r="AD793" s="17"/>
      <c r="AE793" s="17"/>
      <c r="AF793" s="17"/>
      <c r="AG793" s="17"/>
      <c r="AH793" s="17"/>
      <c r="AI793" s="17"/>
      <c r="AJ793" s="17"/>
      <c r="AK793" s="17"/>
      <c r="AL793" s="17"/>
      <c r="AM793" s="17"/>
      <c r="AN793" s="17"/>
      <c r="AO793" s="17"/>
      <c r="AP793" s="17"/>
      <c r="AQ793" s="17"/>
    </row>
    <row r="794" spans="2:43" hidden="1">
      <c r="B794" s="17"/>
      <c r="C794" s="17"/>
      <c r="D794" s="17"/>
      <c r="E794" s="17"/>
      <c r="F794" s="17"/>
      <c r="G794" s="17"/>
      <c r="H794" s="404"/>
      <c r="I794" s="17"/>
      <c r="K794" s="17"/>
      <c r="L794" s="17"/>
      <c r="M794" s="17"/>
      <c r="N794" s="739"/>
      <c r="O794" s="739"/>
      <c r="P794" s="739"/>
      <c r="Q794" s="739"/>
      <c r="R794" s="739"/>
      <c r="S794" s="739"/>
      <c r="T794" s="739"/>
      <c r="U794" s="739"/>
      <c r="V794" s="739"/>
      <c r="W794" s="739"/>
      <c r="X794" s="739"/>
      <c r="Y794" s="739"/>
      <c r="Z794" s="740"/>
      <c r="AA794" s="740"/>
      <c r="AB794" s="17"/>
      <c r="AC794" s="17"/>
      <c r="AD794" s="17"/>
      <c r="AE794" s="17"/>
      <c r="AF794" s="17"/>
      <c r="AG794" s="17"/>
      <c r="AH794" s="17"/>
      <c r="AI794" s="17"/>
      <c r="AJ794" s="17"/>
      <c r="AK794" s="17"/>
      <c r="AL794" s="17"/>
      <c r="AM794" s="17"/>
      <c r="AN794" s="17"/>
      <c r="AO794" s="17"/>
      <c r="AP794" s="17"/>
      <c r="AQ794" s="17"/>
    </row>
    <row r="795" spans="2:43" hidden="1">
      <c r="B795" s="17"/>
      <c r="C795" s="17"/>
      <c r="D795" s="17"/>
      <c r="E795" s="17"/>
      <c r="F795" s="17"/>
      <c r="G795" s="17"/>
      <c r="H795" s="404"/>
      <c r="I795" s="17"/>
      <c r="K795" s="17"/>
      <c r="L795" s="17"/>
      <c r="M795" s="17"/>
      <c r="N795" s="739"/>
      <c r="O795" s="739"/>
      <c r="P795" s="739"/>
      <c r="Q795" s="739"/>
      <c r="R795" s="739"/>
      <c r="S795" s="739"/>
      <c r="T795" s="739"/>
      <c r="U795" s="739"/>
      <c r="V795" s="739"/>
      <c r="W795" s="739"/>
      <c r="X795" s="739"/>
      <c r="Y795" s="739"/>
      <c r="Z795" s="740"/>
      <c r="AA795" s="740"/>
      <c r="AB795" s="17"/>
      <c r="AC795" s="17"/>
      <c r="AD795" s="17"/>
      <c r="AE795" s="17"/>
      <c r="AF795" s="17"/>
      <c r="AG795" s="17"/>
      <c r="AH795" s="17"/>
      <c r="AI795" s="17"/>
      <c r="AJ795" s="17"/>
      <c r="AK795" s="17"/>
      <c r="AL795" s="17"/>
      <c r="AM795" s="17"/>
      <c r="AN795" s="17"/>
      <c r="AO795" s="17"/>
      <c r="AP795" s="17"/>
      <c r="AQ795" s="17"/>
    </row>
    <row r="796" spans="2:43" hidden="1">
      <c r="B796" s="17"/>
      <c r="C796" s="17"/>
      <c r="D796" s="17"/>
      <c r="E796" s="17"/>
      <c r="F796" s="17"/>
      <c r="G796" s="17"/>
      <c r="H796" s="404"/>
      <c r="I796" s="17"/>
      <c r="K796" s="17"/>
      <c r="L796" s="17"/>
      <c r="M796" s="17"/>
      <c r="N796" s="739"/>
      <c r="O796" s="739"/>
      <c r="P796" s="739"/>
      <c r="Q796" s="739"/>
      <c r="R796" s="739"/>
      <c r="S796" s="739"/>
      <c r="T796" s="739"/>
      <c r="U796" s="739"/>
      <c r="V796" s="739"/>
      <c r="W796" s="739"/>
      <c r="X796" s="739"/>
      <c r="Y796" s="739"/>
      <c r="Z796" s="740"/>
      <c r="AA796" s="740"/>
      <c r="AB796" s="17"/>
      <c r="AC796" s="17"/>
      <c r="AD796" s="17"/>
      <c r="AE796" s="17"/>
      <c r="AF796" s="17"/>
      <c r="AG796" s="17"/>
      <c r="AH796" s="17"/>
      <c r="AI796" s="17"/>
      <c r="AJ796" s="17"/>
      <c r="AK796" s="17"/>
      <c r="AL796" s="17"/>
      <c r="AM796" s="17"/>
      <c r="AN796" s="17"/>
      <c r="AO796" s="17"/>
      <c r="AP796" s="17"/>
      <c r="AQ796" s="17"/>
    </row>
    <row r="797" spans="2:43" hidden="1">
      <c r="B797" s="17"/>
      <c r="C797" s="17"/>
      <c r="D797" s="17"/>
      <c r="E797" s="17"/>
      <c r="F797" s="17"/>
      <c r="G797" s="17"/>
      <c r="H797" s="404"/>
      <c r="I797" s="17"/>
      <c r="K797" s="17"/>
      <c r="L797" s="17"/>
      <c r="M797" s="17"/>
      <c r="N797" s="739"/>
      <c r="O797" s="739"/>
      <c r="P797" s="739"/>
      <c r="Q797" s="739"/>
      <c r="R797" s="739"/>
      <c r="S797" s="739"/>
      <c r="T797" s="739"/>
      <c r="U797" s="739"/>
      <c r="V797" s="739"/>
      <c r="W797" s="739"/>
      <c r="X797" s="739"/>
      <c r="Y797" s="739"/>
      <c r="Z797" s="740"/>
      <c r="AA797" s="740"/>
      <c r="AB797" s="17"/>
      <c r="AC797" s="17"/>
      <c r="AD797" s="17"/>
      <c r="AE797" s="17"/>
      <c r="AF797" s="17"/>
      <c r="AG797" s="17"/>
      <c r="AH797" s="17"/>
      <c r="AI797" s="17"/>
      <c r="AJ797" s="17"/>
      <c r="AK797" s="17"/>
      <c r="AL797" s="17"/>
      <c r="AM797" s="17"/>
      <c r="AN797" s="17"/>
      <c r="AO797" s="17"/>
      <c r="AP797" s="17"/>
      <c r="AQ797" s="17"/>
    </row>
    <row r="798" spans="2:43" hidden="1">
      <c r="B798" s="17"/>
      <c r="C798" s="17"/>
      <c r="D798" s="17"/>
      <c r="E798" s="17"/>
      <c r="F798" s="17"/>
      <c r="G798" s="17"/>
      <c r="H798" s="404"/>
      <c r="I798" s="17"/>
      <c r="K798" s="17"/>
      <c r="L798" s="17"/>
      <c r="M798" s="17"/>
      <c r="N798" s="739"/>
      <c r="O798" s="739"/>
      <c r="P798" s="739"/>
      <c r="Q798" s="739"/>
      <c r="R798" s="739"/>
      <c r="S798" s="739"/>
      <c r="T798" s="739"/>
      <c r="U798" s="739"/>
      <c r="V798" s="739"/>
      <c r="W798" s="739"/>
      <c r="X798" s="739"/>
      <c r="Y798" s="739"/>
      <c r="Z798" s="740"/>
      <c r="AA798" s="740"/>
      <c r="AB798" s="17"/>
      <c r="AC798" s="17"/>
      <c r="AD798" s="17"/>
      <c r="AE798" s="17"/>
      <c r="AF798" s="17"/>
      <c r="AG798" s="17"/>
      <c r="AH798" s="17"/>
      <c r="AI798" s="17"/>
      <c r="AJ798" s="17"/>
      <c r="AK798" s="17"/>
      <c r="AL798" s="17"/>
      <c r="AM798" s="17"/>
      <c r="AN798" s="17"/>
      <c r="AO798" s="17"/>
      <c r="AP798" s="17"/>
      <c r="AQ798" s="17"/>
    </row>
    <row r="799" spans="2:43" hidden="1">
      <c r="B799" s="17"/>
      <c r="C799" s="17"/>
      <c r="D799" s="17"/>
      <c r="E799" s="17"/>
      <c r="F799" s="17"/>
      <c r="G799" s="17"/>
      <c r="H799" s="404"/>
      <c r="I799" s="17"/>
      <c r="K799" s="17"/>
      <c r="L799" s="17"/>
      <c r="M799" s="17"/>
      <c r="N799" s="739"/>
      <c r="O799" s="739"/>
      <c r="P799" s="739"/>
      <c r="Q799" s="739"/>
      <c r="R799" s="739"/>
      <c r="S799" s="739"/>
      <c r="T799" s="739"/>
      <c r="U799" s="739"/>
      <c r="V799" s="739"/>
      <c r="W799" s="739"/>
      <c r="X799" s="739"/>
      <c r="Y799" s="739"/>
      <c r="Z799" s="740"/>
      <c r="AA799" s="740"/>
      <c r="AB799" s="17"/>
      <c r="AC799" s="17"/>
      <c r="AD799" s="17"/>
      <c r="AE799" s="17"/>
      <c r="AF799" s="17"/>
      <c r="AG799" s="17"/>
      <c r="AH799" s="17"/>
      <c r="AI799" s="17"/>
      <c r="AJ799" s="17"/>
      <c r="AK799" s="17"/>
      <c r="AL799" s="17"/>
      <c r="AM799" s="17"/>
      <c r="AN799" s="17"/>
      <c r="AO799" s="17"/>
      <c r="AP799" s="17"/>
      <c r="AQ799" s="17"/>
    </row>
    <row r="800" spans="2:43" hidden="1">
      <c r="B800" s="17"/>
      <c r="C800" s="17"/>
      <c r="D800" s="17"/>
      <c r="E800" s="17"/>
      <c r="F800" s="17"/>
      <c r="G800" s="17"/>
      <c r="H800" s="404"/>
      <c r="I800" s="17"/>
      <c r="K800" s="17"/>
      <c r="L800" s="17"/>
      <c r="M800" s="17"/>
      <c r="N800" s="739"/>
      <c r="O800" s="739"/>
      <c r="P800" s="739"/>
      <c r="Q800" s="739"/>
      <c r="R800" s="739"/>
      <c r="S800" s="739"/>
      <c r="T800" s="739"/>
      <c r="U800" s="739"/>
      <c r="V800" s="739"/>
      <c r="W800" s="739"/>
      <c r="X800" s="739"/>
      <c r="Y800" s="739"/>
      <c r="Z800" s="740"/>
      <c r="AA800" s="740"/>
      <c r="AB800" s="17"/>
      <c r="AC800" s="17"/>
      <c r="AD800" s="17"/>
      <c r="AE800" s="17"/>
      <c r="AF800" s="17"/>
      <c r="AG800" s="17"/>
      <c r="AH800" s="17"/>
      <c r="AI800" s="17"/>
      <c r="AJ800" s="17"/>
      <c r="AK800" s="17"/>
      <c r="AL800" s="17"/>
      <c r="AM800" s="17"/>
      <c r="AN800" s="17"/>
      <c r="AO800" s="17"/>
      <c r="AP800" s="17"/>
      <c r="AQ800" s="17"/>
    </row>
    <row r="801" spans="2:43" hidden="1">
      <c r="B801" s="17"/>
      <c r="C801" s="17"/>
      <c r="D801" s="17"/>
      <c r="E801" s="17"/>
      <c r="F801" s="17"/>
      <c r="G801" s="17"/>
      <c r="H801" s="404"/>
      <c r="I801" s="17"/>
      <c r="K801" s="17"/>
      <c r="L801" s="17"/>
      <c r="M801" s="17"/>
      <c r="N801" s="739"/>
      <c r="O801" s="739"/>
      <c r="P801" s="739"/>
      <c r="Q801" s="739"/>
      <c r="R801" s="739"/>
      <c r="S801" s="739"/>
      <c r="T801" s="739"/>
      <c r="U801" s="739"/>
      <c r="V801" s="739"/>
      <c r="W801" s="739"/>
      <c r="X801" s="739"/>
      <c r="Y801" s="739"/>
      <c r="Z801" s="740"/>
      <c r="AA801" s="740"/>
      <c r="AB801" s="17"/>
      <c r="AC801" s="17"/>
      <c r="AD801" s="17"/>
      <c r="AE801" s="17"/>
      <c r="AF801" s="17"/>
      <c r="AG801" s="17"/>
      <c r="AH801" s="17"/>
      <c r="AI801" s="17"/>
      <c r="AJ801" s="17"/>
      <c r="AK801" s="17"/>
      <c r="AL801" s="17"/>
      <c r="AM801" s="17"/>
      <c r="AN801" s="17"/>
      <c r="AO801" s="17"/>
      <c r="AP801" s="17"/>
      <c r="AQ801" s="17"/>
    </row>
    <row r="802" spans="2:43" hidden="1">
      <c r="B802" s="17"/>
      <c r="C802" s="17"/>
      <c r="D802" s="17"/>
      <c r="E802" s="17"/>
      <c r="F802" s="17"/>
      <c r="G802" s="17"/>
      <c r="H802" s="404"/>
      <c r="I802" s="17"/>
      <c r="K802" s="17"/>
      <c r="L802" s="17"/>
      <c r="M802" s="17"/>
      <c r="N802" s="739"/>
      <c r="O802" s="739"/>
      <c r="P802" s="739"/>
      <c r="Q802" s="739"/>
      <c r="R802" s="739"/>
      <c r="S802" s="739"/>
      <c r="T802" s="739"/>
      <c r="U802" s="739"/>
      <c r="V802" s="739"/>
      <c r="W802" s="739"/>
      <c r="X802" s="739"/>
      <c r="Y802" s="739"/>
      <c r="Z802" s="740"/>
      <c r="AA802" s="740"/>
      <c r="AB802" s="17"/>
      <c r="AC802" s="17"/>
      <c r="AD802" s="17"/>
      <c r="AE802" s="17"/>
      <c r="AF802" s="17"/>
      <c r="AG802" s="17"/>
      <c r="AH802" s="17"/>
      <c r="AI802" s="17"/>
      <c r="AJ802" s="17"/>
      <c r="AK802" s="17"/>
      <c r="AL802" s="17"/>
      <c r="AM802" s="17"/>
      <c r="AN802" s="17"/>
      <c r="AO802" s="17"/>
      <c r="AP802" s="17"/>
      <c r="AQ802" s="17"/>
    </row>
    <row r="803" spans="2:43" hidden="1">
      <c r="B803" s="17"/>
      <c r="C803" s="17"/>
      <c r="D803" s="17"/>
      <c r="E803" s="17"/>
      <c r="F803" s="17"/>
      <c r="G803" s="17"/>
      <c r="H803" s="404"/>
      <c r="I803" s="17"/>
      <c r="K803" s="17"/>
      <c r="L803" s="17"/>
      <c r="M803" s="17"/>
      <c r="N803" s="739"/>
      <c r="O803" s="739"/>
      <c r="P803" s="739"/>
      <c r="Q803" s="739"/>
      <c r="R803" s="739"/>
      <c r="S803" s="739"/>
      <c r="T803" s="739"/>
      <c r="U803" s="739"/>
      <c r="V803" s="739"/>
      <c r="W803" s="739"/>
      <c r="X803" s="739"/>
      <c r="Y803" s="739"/>
      <c r="Z803" s="740"/>
      <c r="AA803" s="740"/>
      <c r="AB803" s="17"/>
      <c r="AC803" s="17"/>
      <c r="AD803" s="17"/>
      <c r="AE803" s="17"/>
      <c r="AF803" s="17"/>
      <c r="AG803" s="17"/>
      <c r="AH803" s="17"/>
      <c r="AI803" s="17"/>
      <c r="AJ803" s="17"/>
      <c r="AK803" s="17"/>
      <c r="AL803" s="17"/>
      <c r="AM803" s="17"/>
      <c r="AN803" s="17"/>
      <c r="AO803" s="17"/>
      <c r="AP803" s="17"/>
      <c r="AQ803" s="17"/>
    </row>
    <row r="804" spans="2:43" hidden="1">
      <c r="B804" s="17"/>
      <c r="C804" s="17"/>
      <c r="D804" s="17"/>
      <c r="E804" s="17"/>
      <c r="F804" s="17"/>
      <c r="G804" s="17"/>
      <c r="H804" s="404"/>
      <c r="I804" s="17"/>
      <c r="K804" s="17"/>
      <c r="L804" s="17"/>
      <c r="M804" s="17"/>
      <c r="N804" s="739"/>
      <c r="O804" s="739"/>
      <c r="P804" s="739"/>
      <c r="Q804" s="739"/>
      <c r="R804" s="739"/>
      <c r="S804" s="739"/>
      <c r="T804" s="739"/>
      <c r="U804" s="739"/>
      <c r="V804" s="739"/>
      <c r="W804" s="739"/>
      <c r="X804" s="739"/>
      <c r="Y804" s="739"/>
      <c r="Z804" s="740"/>
      <c r="AA804" s="740"/>
      <c r="AB804" s="17"/>
      <c r="AC804" s="17"/>
      <c r="AD804" s="17"/>
      <c r="AE804" s="17"/>
      <c r="AF804" s="17"/>
      <c r="AG804" s="17"/>
      <c r="AH804" s="17"/>
      <c r="AI804" s="17"/>
      <c r="AJ804" s="17"/>
      <c r="AK804" s="17"/>
      <c r="AL804" s="17"/>
      <c r="AM804" s="17"/>
      <c r="AN804" s="17"/>
      <c r="AO804" s="17"/>
      <c r="AP804" s="17"/>
      <c r="AQ804" s="17"/>
    </row>
    <row r="805" spans="2:43" hidden="1">
      <c r="B805" s="17"/>
      <c r="C805" s="17"/>
      <c r="D805" s="17"/>
      <c r="E805" s="17"/>
      <c r="F805" s="17"/>
      <c r="G805" s="17"/>
      <c r="H805" s="404"/>
      <c r="I805" s="17"/>
      <c r="K805" s="17"/>
      <c r="L805" s="17"/>
      <c r="M805" s="17"/>
      <c r="N805" s="739"/>
      <c r="O805" s="739"/>
      <c r="P805" s="739"/>
      <c r="Q805" s="739"/>
      <c r="R805" s="739"/>
      <c r="S805" s="739"/>
      <c r="T805" s="739"/>
      <c r="U805" s="739"/>
      <c r="V805" s="739"/>
      <c r="W805" s="739"/>
      <c r="X805" s="739"/>
      <c r="Y805" s="739"/>
      <c r="Z805" s="740"/>
      <c r="AA805" s="740"/>
      <c r="AB805" s="17"/>
      <c r="AC805" s="17"/>
      <c r="AD805" s="17"/>
      <c r="AE805" s="17"/>
      <c r="AF805" s="17"/>
      <c r="AG805" s="17"/>
      <c r="AH805" s="17"/>
      <c r="AI805" s="17"/>
      <c r="AJ805" s="17"/>
      <c r="AK805" s="17"/>
      <c r="AL805" s="17"/>
      <c r="AM805" s="17"/>
      <c r="AN805" s="17"/>
      <c r="AO805" s="17"/>
      <c r="AP805" s="17"/>
      <c r="AQ805" s="17"/>
    </row>
    <row r="806" spans="2:43" hidden="1">
      <c r="B806" s="17"/>
      <c r="C806" s="17"/>
      <c r="D806" s="17"/>
      <c r="E806" s="17"/>
      <c r="F806" s="17"/>
      <c r="G806" s="17"/>
      <c r="H806" s="404"/>
      <c r="I806" s="17"/>
      <c r="K806" s="17"/>
      <c r="L806" s="17"/>
      <c r="M806" s="17"/>
      <c r="N806" s="739"/>
      <c r="O806" s="739"/>
      <c r="P806" s="739"/>
      <c r="Q806" s="739"/>
      <c r="R806" s="739"/>
      <c r="S806" s="739"/>
      <c r="T806" s="739"/>
      <c r="U806" s="739"/>
      <c r="V806" s="739"/>
      <c r="W806" s="739"/>
      <c r="X806" s="739"/>
      <c r="Y806" s="739"/>
      <c r="Z806" s="740"/>
      <c r="AA806" s="740"/>
      <c r="AB806" s="17"/>
      <c r="AC806" s="17"/>
      <c r="AD806" s="17"/>
      <c r="AE806" s="17"/>
      <c r="AF806" s="17"/>
      <c r="AG806" s="17"/>
      <c r="AH806" s="17"/>
      <c r="AI806" s="17"/>
      <c r="AJ806" s="17"/>
      <c r="AK806" s="17"/>
      <c r="AL806" s="17"/>
      <c r="AM806" s="17"/>
      <c r="AN806" s="17"/>
      <c r="AO806" s="17"/>
      <c r="AP806" s="17"/>
      <c r="AQ806" s="17"/>
    </row>
    <row r="807" spans="2:43" hidden="1">
      <c r="B807" s="17"/>
      <c r="C807" s="17"/>
      <c r="D807" s="17"/>
      <c r="E807" s="17"/>
      <c r="F807" s="17"/>
      <c r="G807" s="17"/>
      <c r="H807" s="404"/>
      <c r="I807" s="17"/>
      <c r="K807" s="17"/>
      <c r="L807" s="17"/>
      <c r="M807" s="17"/>
      <c r="N807" s="739"/>
      <c r="O807" s="739"/>
      <c r="P807" s="739"/>
      <c r="Q807" s="739"/>
      <c r="R807" s="739"/>
      <c r="S807" s="739"/>
      <c r="T807" s="739"/>
      <c r="U807" s="739"/>
      <c r="V807" s="739"/>
      <c r="W807" s="739"/>
      <c r="X807" s="739"/>
      <c r="Y807" s="739"/>
      <c r="Z807" s="740"/>
      <c r="AA807" s="740"/>
      <c r="AB807" s="17"/>
      <c r="AC807" s="17"/>
      <c r="AD807" s="17"/>
      <c r="AE807" s="17"/>
      <c r="AF807" s="17"/>
      <c r="AG807" s="17"/>
      <c r="AH807" s="17"/>
      <c r="AI807" s="17"/>
      <c r="AJ807" s="17"/>
      <c r="AK807" s="17"/>
      <c r="AL807" s="17"/>
      <c r="AM807" s="17"/>
      <c r="AN807" s="17"/>
      <c r="AO807" s="17"/>
      <c r="AP807" s="17"/>
      <c r="AQ807" s="17"/>
    </row>
    <row r="808" spans="2:43" hidden="1">
      <c r="B808" s="17"/>
      <c r="C808" s="17"/>
      <c r="D808" s="17"/>
      <c r="E808" s="17"/>
      <c r="F808" s="17"/>
      <c r="G808" s="17"/>
      <c r="H808" s="404"/>
      <c r="I808" s="17"/>
      <c r="K808" s="17"/>
      <c r="L808" s="17"/>
      <c r="M808" s="17"/>
      <c r="N808" s="739"/>
      <c r="O808" s="739"/>
      <c r="P808" s="739"/>
      <c r="Q808" s="739"/>
      <c r="R808" s="739"/>
      <c r="S808" s="739"/>
      <c r="T808" s="739"/>
      <c r="U808" s="739"/>
      <c r="V808" s="739"/>
      <c r="W808" s="739"/>
      <c r="X808" s="739"/>
      <c r="Y808" s="739"/>
      <c r="Z808" s="740"/>
      <c r="AA808" s="740"/>
      <c r="AB808" s="17"/>
      <c r="AC808" s="17"/>
      <c r="AD808" s="17"/>
      <c r="AE808" s="17"/>
      <c r="AF808" s="17"/>
      <c r="AG808" s="17"/>
      <c r="AH808" s="17"/>
      <c r="AI808" s="17"/>
      <c r="AJ808" s="17"/>
      <c r="AK808" s="17"/>
      <c r="AL808" s="17"/>
      <c r="AM808" s="17"/>
      <c r="AN808" s="17"/>
      <c r="AO808" s="17"/>
      <c r="AP808" s="17"/>
      <c r="AQ808" s="17"/>
    </row>
    <row r="809" spans="2:43" hidden="1">
      <c r="B809" s="17"/>
      <c r="C809" s="17"/>
      <c r="D809" s="17"/>
      <c r="E809" s="17"/>
      <c r="F809" s="17"/>
      <c r="G809" s="17"/>
      <c r="H809" s="404"/>
      <c r="I809" s="17"/>
      <c r="K809" s="17"/>
      <c r="L809" s="17"/>
      <c r="M809" s="17"/>
      <c r="N809" s="739"/>
      <c r="O809" s="739"/>
      <c r="P809" s="739"/>
      <c r="Q809" s="739"/>
      <c r="R809" s="739"/>
      <c r="S809" s="739"/>
      <c r="T809" s="739"/>
      <c r="U809" s="739"/>
      <c r="V809" s="739"/>
      <c r="W809" s="739"/>
      <c r="X809" s="739"/>
      <c r="Y809" s="739"/>
      <c r="Z809" s="740"/>
      <c r="AA809" s="740"/>
      <c r="AB809" s="17"/>
      <c r="AC809" s="17"/>
      <c r="AD809" s="17"/>
      <c r="AE809" s="17"/>
      <c r="AF809" s="17"/>
      <c r="AG809" s="17"/>
      <c r="AH809" s="17"/>
      <c r="AI809" s="17"/>
      <c r="AJ809" s="17"/>
      <c r="AK809" s="17"/>
      <c r="AL809" s="17"/>
      <c r="AM809" s="17"/>
      <c r="AN809" s="17"/>
      <c r="AO809" s="17"/>
      <c r="AP809" s="17"/>
      <c r="AQ809" s="17"/>
    </row>
    <row r="810" spans="2:43" hidden="1">
      <c r="B810" s="17"/>
      <c r="C810" s="17"/>
      <c r="D810" s="17"/>
      <c r="E810" s="17"/>
      <c r="F810" s="17"/>
      <c r="G810" s="17"/>
      <c r="H810" s="404"/>
      <c r="I810" s="17"/>
      <c r="K810" s="17"/>
      <c r="L810" s="17"/>
      <c r="M810" s="17"/>
      <c r="N810" s="739"/>
      <c r="O810" s="739"/>
      <c r="P810" s="739"/>
      <c r="Q810" s="739"/>
      <c r="R810" s="739"/>
      <c r="S810" s="739"/>
      <c r="T810" s="739"/>
      <c r="U810" s="739"/>
      <c r="V810" s="739"/>
      <c r="W810" s="739"/>
      <c r="X810" s="739"/>
      <c r="Y810" s="739"/>
      <c r="Z810" s="740"/>
      <c r="AA810" s="740"/>
      <c r="AB810" s="17"/>
      <c r="AC810" s="17"/>
      <c r="AD810" s="17"/>
      <c r="AE810" s="17"/>
      <c r="AF810" s="17"/>
      <c r="AG810" s="17"/>
      <c r="AH810" s="17"/>
      <c r="AI810" s="17"/>
      <c r="AJ810" s="17"/>
      <c r="AK810" s="17"/>
      <c r="AL810" s="17"/>
      <c r="AM810" s="17"/>
      <c r="AN810" s="17"/>
      <c r="AO810" s="17"/>
      <c r="AP810" s="17"/>
      <c r="AQ810" s="17"/>
    </row>
    <row r="811" spans="2:43" hidden="1">
      <c r="B811" s="17"/>
      <c r="C811" s="17"/>
      <c r="D811" s="17"/>
      <c r="E811" s="17"/>
      <c r="F811" s="17"/>
      <c r="G811" s="17"/>
      <c r="H811" s="404"/>
      <c r="I811" s="17"/>
      <c r="K811" s="17"/>
      <c r="L811" s="17"/>
      <c r="M811" s="17"/>
      <c r="N811" s="739"/>
      <c r="O811" s="739"/>
      <c r="P811" s="739"/>
      <c r="Q811" s="739"/>
      <c r="R811" s="739"/>
      <c r="S811" s="739"/>
      <c r="T811" s="739"/>
      <c r="U811" s="739"/>
      <c r="V811" s="739"/>
      <c r="W811" s="739"/>
      <c r="X811" s="739"/>
      <c r="Y811" s="739"/>
      <c r="Z811" s="740"/>
      <c r="AA811" s="740"/>
      <c r="AB811" s="17"/>
      <c r="AC811" s="17"/>
      <c r="AD811" s="17"/>
      <c r="AE811" s="17"/>
      <c r="AF811" s="17"/>
      <c r="AG811" s="17"/>
      <c r="AH811" s="17"/>
      <c r="AI811" s="17"/>
      <c r="AJ811" s="17"/>
      <c r="AK811" s="17"/>
      <c r="AL811" s="17"/>
      <c r="AM811" s="17"/>
      <c r="AN811" s="17"/>
      <c r="AO811" s="17"/>
      <c r="AP811" s="17"/>
      <c r="AQ811" s="17"/>
    </row>
    <row r="812" spans="2:43" hidden="1">
      <c r="B812" s="17"/>
      <c r="C812" s="17"/>
      <c r="D812" s="17"/>
      <c r="E812" s="17"/>
      <c r="F812" s="17"/>
      <c r="G812" s="17"/>
      <c r="H812" s="404"/>
      <c r="I812" s="17"/>
      <c r="K812" s="17"/>
      <c r="L812" s="17"/>
      <c r="M812" s="17"/>
      <c r="N812" s="739"/>
      <c r="O812" s="739"/>
      <c r="P812" s="739"/>
      <c r="Q812" s="739"/>
      <c r="R812" s="739"/>
      <c r="S812" s="739"/>
      <c r="T812" s="739"/>
      <c r="U812" s="739"/>
      <c r="V812" s="739"/>
      <c r="W812" s="739"/>
      <c r="X812" s="739"/>
      <c r="Y812" s="739"/>
      <c r="Z812" s="740"/>
      <c r="AA812" s="740"/>
      <c r="AB812" s="17"/>
      <c r="AC812" s="17"/>
      <c r="AD812" s="17"/>
      <c r="AE812" s="17"/>
      <c r="AF812" s="17"/>
      <c r="AG812" s="17"/>
      <c r="AH812" s="17"/>
      <c r="AI812" s="17"/>
      <c r="AJ812" s="17"/>
      <c r="AK812" s="17"/>
      <c r="AL812" s="17"/>
      <c r="AM812" s="17"/>
      <c r="AN812" s="17"/>
      <c r="AO812" s="17"/>
      <c r="AP812" s="17"/>
      <c r="AQ812" s="17"/>
    </row>
    <row r="813" spans="2:43" hidden="1">
      <c r="B813" s="17"/>
      <c r="C813" s="17"/>
      <c r="D813" s="17"/>
      <c r="E813" s="17"/>
      <c r="F813" s="17"/>
      <c r="G813" s="17"/>
      <c r="H813" s="404"/>
      <c r="I813" s="17"/>
      <c r="K813" s="17"/>
      <c r="L813" s="17"/>
      <c r="M813" s="17"/>
      <c r="N813" s="739"/>
      <c r="O813" s="739"/>
      <c r="P813" s="739"/>
      <c r="Q813" s="739"/>
      <c r="R813" s="739"/>
      <c r="S813" s="739"/>
      <c r="T813" s="739"/>
      <c r="U813" s="739"/>
      <c r="V813" s="739"/>
      <c r="W813" s="739"/>
      <c r="X813" s="739"/>
      <c r="Y813" s="739"/>
      <c r="Z813" s="740"/>
      <c r="AA813" s="740"/>
      <c r="AB813" s="17"/>
      <c r="AC813" s="17"/>
      <c r="AD813" s="17"/>
      <c r="AE813" s="17"/>
      <c r="AF813" s="17"/>
      <c r="AG813" s="17"/>
      <c r="AH813" s="17"/>
      <c r="AI813" s="17"/>
      <c r="AJ813" s="17"/>
      <c r="AK813" s="17"/>
      <c r="AL813" s="17"/>
      <c r="AM813" s="17"/>
      <c r="AN813" s="17"/>
      <c r="AO813" s="17"/>
      <c r="AP813" s="17"/>
      <c r="AQ813" s="17"/>
    </row>
    <row r="814" spans="2:43" hidden="1">
      <c r="B814" s="17"/>
      <c r="C814" s="17"/>
      <c r="D814" s="17"/>
      <c r="E814" s="17"/>
      <c r="F814" s="17"/>
      <c r="G814" s="17"/>
      <c r="H814" s="404"/>
      <c r="I814" s="17"/>
      <c r="K814" s="17"/>
      <c r="L814" s="17"/>
      <c r="M814" s="17"/>
      <c r="N814" s="739"/>
      <c r="O814" s="739"/>
      <c r="P814" s="739"/>
      <c r="Q814" s="739"/>
      <c r="R814" s="739"/>
      <c r="S814" s="739"/>
      <c r="T814" s="739"/>
      <c r="U814" s="739"/>
      <c r="V814" s="739"/>
      <c r="W814" s="739"/>
      <c r="X814" s="739"/>
      <c r="Y814" s="739"/>
      <c r="Z814" s="740"/>
      <c r="AA814" s="740"/>
      <c r="AB814" s="17"/>
      <c r="AC814" s="17"/>
      <c r="AD814" s="17"/>
      <c r="AE814" s="17"/>
      <c r="AF814" s="17"/>
      <c r="AG814" s="17"/>
      <c r="AH814" s="17"/>
      <c r="AI814" s="17"/>
      <c r="AJ814" s="17"/>
      <c r="AK814" s="17"/>
      <c r="AL814" s="17"/>
      <c r="AM814" s="17"/>
      <c r="AN814" s="17"/>
      <c r="AO814" s="17"/>
      <c r="AP814" s="17"/>
      <c r="AQ814" s="17"/>
    </row>
    <row r="815" spans="2:43" hidden="1">
      <c r="B815" s="17"/>
      <c r="C815" s="17"/>
      <c r="D815" s="17"/>
      <c r="E815" s="17"/>
      <c r="F815" s="17"/>
      <c r="G815" s="17"/>
      <c r="H815" s="404"/>
      <c r="I815" s="17"/>
      <c r="K815" s="17"/>
      <c r="L815" s="17"/>
      <c r="M815" s="17"/>
      <c r="N815" s="739"/>
      <c r="O815" s="739"/>
      <c r="P815" s="739"/>
      <c r="Q815" s="739"/>
      <c r="R815" s="739"/>
      <c r="S815" s="739"/>
      <c r="T815" s="739"/>
      <c r="U815" s="739"/>
      <c r="V815" s="739"/>
      <c r="W815" s="739"/>
      <c r="X815" s="739"/>
      <c r="Y815" s="739"/>
      <c r="Z815" s="740"/>
      <c r="AA815" s="740"/>
      <c r="AB815" s="17"/>
      <c r="AC815" s="17"/>
      <c r="AD815" s="17"/>
      <c r="AE815" s="17"/>
      <c r="AF815" s="17"/>
      <c r="AG815" s="17"/>
      <c r="AH815" s="17"/>
      <c r="AI815" s="17"/>
      <c r="AJ815" s="17"/>
      <c r="AK815" s="17"/>
      <c r="AL815" s="17"/>
      <c r="AM815" s="17"/>
      <c r="AN815" s="17"/>
      <c r="AO815" s="17"/>
      <c r="AP815" s="17"/>
      <c r="AQ815" s="17"/>
    </row>
    <row r="816" spans="2:43" hidden="1">
      <c r="B816" s="17"/>
      <c r="C816" s="17"/>
      <c r="D816" s="17"/>
      <c r="E816" s="17"/>
      <c r="F816" s="17"/>
      <c r="G816" s="17"/>
      <c r="H816" s="404"/>
      <c r="I816" s="17"/>
      <c r="K816" s="17"/>
      <c r="L816" s="17"/>
      <c r="M816" s="17"/>
      <c r="N816" s="739"/>
      <c r="O816" s="739"/>
      <c r="P816" s="739"/>
      <c r="Q816" s="739"/>
      <c r="R816" s="739"/>
      <c r="S816" s="739"/>
      <c r="T816" s="739"/>
      <c r="U816" s="739"/>
      <c r="V816" s="739"/>
      <c r="W816" s="739"/>
      <c r="X816" s="739"/>
      <c r="Y816" s="739"/>
      <c r="Z816" s="740"/>
      <c r="AA816" s="740"/>
      <c r="AB816" s="17"/>
      <c r="AC816" s="17"/>
      <c r="AD816" s="17"/>
      <c r="AE816" s="17"/>
      <c r="AF816" s="17"/>
      <c r="AG816" s="17"/>
      <c r="AH816" s="17"/>
      <c r="AI816" s="17"/>
      <c r="AJ816" s="17"/>
      <c r="AK816" s="17"/>
      <c r="AL816" s="17"/>
      <c r="AM816" s="17"/>
      <c r="AN816" s="17"/>
      <c r="AO816" s="17"/>
      <c r="AP816" s="17"/>
      <c r="AQ816" s="17"/>
    </row>
    <row r="817" spans="2:43" hidden="1">
      <c r="B817" s="17"/>
      <c r="C817" s="17"/>
      <c r="D817" s="17"/>
      <c r="E817" s="17"/>
      <c r="F817" s="17"/>
      <c r="G817" s="17"/>
      <c r="H817" s="404"/>
      <c r="I817" s="17"/>
      <c r="K817" s="17"/>
      <c r="L817" s="17"/>
      <c r="M817" s="17"/>
      <c r="N817" s="739"/>
      <c r="O817" s="739"/>
      <c r="P817" s="739"/>
      <c r="Q817" s="739"/>
      <c r="R817" s="739"/>
      <c r="S817" s="739"/>
      <c r="T817" s="739"/>
      <c r="U817" s="739"/>
      <c r="V817" s="739"/>
      <c r="W817" s="739"/>
      <c r="X817" s="739"/>
      <c r="Y817" s="739"/>
      <c r="Z817" s="740"/>
      <c r="AA817" s="740"/>
      <c r="AB817" s="17"/>
      <c r="AC817" s="17"/>
      <c r="AD817" s="17"/>
      <c r="AE817" s="17"/>
      <c r="AF817" s="17"/>
      <c r="AG817" s="17"/>
      <c r="AH817" s="17"/>
      <c r="AI817" s="17"/>
      <c r="AJ817" s="17"/>
      <c r="AK817" s="17"/>
      <c r="AL817" s="17"/>
      <c r="AM817" s="17"/>
      <c r="AN817" s="17"/>
      <c r="AO817" s="17"/>
      <c r="AP817" s="17"/>
      <c r="AQ817" s="17"/>
    </row>
    <row r="818" spans="2:43" hidden="1">
      <c r="B818" s="17"/>
      <c r="C818" s="17"/>
      <c r="D818" s="17"/>
      <c r="E818" s="17"/>
      <c r="F818" s="17"/>
      <c r="G818" s="17"/>
      <c r="H818" s="404"/>
      <c r="I818" s="17"/>
      <c r="K818" s="17"/>
      <c r="L818" s="17"/>
      <c r="M818" s="17"/>
      <c r="N818" s="739"/>
      <c r="O818" s="739"/>
      <c r="P818" s="739"/>
      <c r="Q818" s="739"/>
      <c r="R818" s="739"/>
      <c r="S818" s="739"/>
      <c r="T818" s="739"/>
      <c r="U818" s="739"/>
      <c r="V818" s="739"/>
      <c r="W818" s="739"/>
      <c r="X818" s="739"/>
      <c r="Y818" s="739"/>
      <c r="Z818" s="740"/>
      <c r="AA818" s="740"/>
      <c r="AB818" s="17"/>
      <c r="AC818" s="17"/>
      <c r="AD818" s="17"/>
      <c r="AE818" s="17"/>
      <c r="AF818" s="17"/>
      <c r="AG818" s="17"/>
      <c r="AH818" s="17"/>
      <c r="AI818" s="17"/>
      <c r="AJ818" s="17"/>
      <c r="AK818" s="17"/>
      <c r="AL818" s="17"/>
      <c r="AM818" s="17"/>
      <c r="AN818" s="17"/>
      <c r="AO818" s="17"/>
      <c r="AP818" s="17"/>
      <c r="AQ818" s="17"/>
    </row>
    <row r="819" spans="2:43" hidden="1">
      <c r="B819" s="17"/>
      <c r="C819" s="17"/>
      <c r="D819" s="17"/>
      <c r="E819" s="17"/>
      <c r="F819" s="17"/>
      <c r="G819" s="17"/>
      <c r="H819" s="404"/>
      <c r="I819" s="17"/>
      <c r="K819" s="17"/>
      <c r="L819" s="17"/>
      <c r="M819" s="17"/>
      <c r="N819" s="739"/>
      <c r="O819" s="739"/>
      <c r="P819" s="739"/>
      <c r="Q819" s="739"/>
      <c r="R819" s="739"/>
      <c r="S819" s="739"/>
      <c r="T819" s="739"/>
      <c r="U819" s="739"/>
      <c r="V819" s="739"/>
      <c r="W819" s="739"/>
      <c r="X819" s="739"/>
      <c r="Y819" s="739"/>
      <c r="Z819" s="740"/>
      <c r="AA819" s="740"/>
      <c r="AB819" s="17"/>
      <c r="AC819" s="17"/>
      <c r="AD819" s="17"/>
      <c r="AE819" s="17"/>
      <c r="AF819" s="17"/>
      <c r="AG819" s="17"/>
      <c r="AH819" s="17"/>
      <c r="AI819" s="17"/>
      <c r="AJ819" s="17"/>
      <c r="AK819" s="17"/>
      <c r="AL819" s="17"/>
      <c r="AM819" s="17"/>
      <c r="AN819" s="17"/>
      <c r="AO819" s="17"/>
      <c r="AP819" s="17"/>
      <c r="AQ819" s="17"/>
    </row>
    <row r="820" spans="2:43" hidden="1">
      <c r="B820" s="17"/>
      <c r="C820" s="17"/>
      <c r="D820" s="17"/>
      <c r="E820" s="17"/>
      <c r="F820" s="17"/>
      <c r="G820" s="17"/>
      <c r="H820" s="404"/>
      <c r="I820" s="17"/>
      <c r="K820" s="17"/>
      <c r="L820" s="17"/>
      <c r="M820" s="17"/>
      <c r="N820" s="739"/>
      <c r="O820" s="739"/>
      <c r="P820" s="739"/>
      <c r="Q820" s="739"/>
      <c r="R820" s="739"/>
      <c r="S820" s="739"/>
      <c r="T820" s="739"/>
      <c r="U820" s="739"/>
      <c r="V820" s="739"/>
      <c r="W820" s="739"/>
      <c r="X820" s="739"/>
      <c r="Y820" s="739"/>
      <c r="Z820" s="740"/>
      <c r="AA820" s="740"/>
      <c r="AB820" s="17"/>
      <c r="AC820" s="17"/>
      <c r="AD820" s="17"/>
      <c r="AE820" s="17"/>
      <c r="AF820" s="17"/>
      <c r="AG820" s="17"/>
      <c r="AH820" s="17"/>
      <c r="AI820" s="17"/>
      <c r="AJ820" s="17"/>
      <c r="AK820" s="17"/>
      <c r="AL820" s="17"/>
      <c r="AM820" s="17"/>
      <c r="AN820" s="17"/>
      <c r="AO820" s="17"/>
      <c r="AP820" s="17"/>
      <c r="AQ820" s="17"/>
    </row>
    <row r="821" spans="2:43" hidden="1">
      <c r="B821" s="17"/>
      <c r="C821" s="17"/>
      <c r="D821" s="17"/>
      <c r="E821" s="17"/>
      <c r="F821" s="17"/>
      <c r="G821" s="17"/>
      <c r="H821" s="404"/>
      <c r="I821" s="17"/>
      <c r="K821" s="17"/>
      <c r="L821" s="17"/>
      <c r="M821" s="17"/>
      <c r="N821" s="739"/>
      <c r="O821" s="739"/>
      <c r="P821" s="739"/>
      <c r="Q821" s="739"/>
      <c r="R821" s="739"/>
      <c r="S821" s="739"/>
      <c r="T821" s="739"/>
      <c r="U821" s="739"/>
      <c r="V821" s="739"/>
      <c r="W821" s="739"/>
      <c r="X821" s="739"/>
      <c r="Y821" s="739"/>
      <c r="Z821" s="740"/>
      <c r="AA821" s="740"/>
      <c r="AB821" s="17"/>
      <c r="AC821" s="17"/>
      <c r="AD821" s="17"/>
      <c r="AE821" s="17"/>
      <c r="AF821" s="17"/>
      <c r="AG821" s="17"/>
      <c r="AH821" s="17"/>
      <c r="AI821" s="17"/>
      <c r="AJ821" s="17"/>
      <c r="AK821" s="17"/>
      <c r="AL821" s="17"/>
      <c r="AM821" s="17"/>
      <c r="AN821" s="17"/>
      <c r="AO821" s="17"/>
      <c r="AP821" s="17"/>
      <c r="AQ821" s="17"/>
    </row>
    <row r="822" spans="2:43" hidden="1">
      <c r="B822" s="17"/>
      <c r="C822" s="17"/>
      <c r="D822" s="17"/>
      <c r="E822" s="17"/>
      <c r="F822" s="17"/>
      <c r="G822" s="17"/>
      <c r="H822" s="404"/>
      <c r="I822" s="17"/>
      <c r="K822" s="17"/>
      <c r="L822" s="17"/>
      <c r="M822" s="17"/>
      <c r="N822" s="739"/>
      <c r="O822" s="739"/>
      <c r="P822" s="739"/>
      <c r="Q822" s="739"/>
      <c r="R822" s="739"/>
      <c r="S822" s="739"/>
      <c r="T822" s="739"/>
      <c r="U822" s="739"/>
      <c r="V822" s="739"/>
      <c r="W822" s="739"/>
      <c r="X822" s="739"/>
      <c r="Y822" s="739"/>
      <c r="Z822" s="740"/>
      <c r="AA822" s="740"/>
      <c r="AB822" s="17"/>
      <c r="AC822" s="17"/>
      <c r="AD822" s="17"/>
      <c r="AE822" s="17"/>
      <c r="AF822" s="17"/>
      <c r="AG822" s="17"/>
      <c r="AH822" s="17"/>
      <c r="AI822" s="17"/>
      <c r="AJ822" s="17"/>
      <c r="AK822" s="17"/>
      <c r="AL822" s="17"/>
      <c r="AM822" s="17"/>
      <c r="AN822" s="17"/>
      <c r="AO822" s="17"/>
      <c r="AP822" s="17"/>
      <c r="AQ822" s="17"/>
    </row>
    <row r="823" spans="2:43" hidden="1">
      <c r="B823" s="17"/>
      <c r="C823" s="17"/>
      <c r="D823" s="17"/>
      <c r="E823" s="17"/>
      <c r="F823" s="17"/>
      <c r="G823" s="17"/>
      <c r="H823" s="404"/>
      <c r="I823" s="17"/>
      <c r="K823" s="17"/>
      <c r="L823" s="17"/>
      <c r="M823" s="17"/>
      <c r="N823" s="739"/>
      <c r="O823" s="739"/>
      <c r="P823" s="739"/>
      <c r="Q823" s="739"/>
      <c r="R823" s="739"/>
      <c r="S823" s="739"/>
      <c r="T823" s="739"/>
      <c r="U823" s="739"/>
      <c r="V823" s="739"/>
      <c r="W823" s="739"/>
      <c r="X823" s="739"/>
      <c r="Y823" s="739"/>
      <c r="Z823" s="740"/>
      <c r="AA823" s="740"/>
      <c r="AB823" s="17"/>
      <c r="AC823" s="17"/>
      <c r="AD823" s="17"/>
      <c r="AE823" s="17"/>
      <c r="AF823" s="17"/>
      <c r="AG823" s="17"/>
      <c r="AH823" s="17"/>
      <c r="AI823" s="17"/>
      <c r="AJ823" s="17"/>
      <c r="AK823" s="17"/>
      <c r="AL823" s="17"/>
      <c r="AM823" s="17"/>
      <c r="AN823" s="17"/>
      <c r="AO823" s="17"/>
      <c r="AP823" s="17"/>
      <c r="AQ823" s="17"/>
    </row>
    <row r="824" spans="2:43" hidden="1">
      <c r="B824" s="17"/>
      <c r="C824" s="17"/>
      <c r="D824" s="17"/>
      <c r="E824" s="17"/>
      <c r="F824" s="17"/>
      <c r="G824" s="17"/>
      <c r="H824" s="404"/>
      <c r="I824" s="17"/>
      <c r="K824" s="17"/>
      <c r="L824" s="17"/>
      <c r="M824" s="17"/>
      <c r="N824" s="739"/>
      <c r="O824" s="739"/>
      <c r="P824" s="739"/>
      <c r="Q824" s="739"/>
      <c r="R824" s="739"/>
      <c r="S824" s="739"/>
      <c r="T824" s="739"/>
      <c r="U824" s="739"/>
      <c r="V824" s="739"/>
      <c r="W824" s="739"/>
      <c r="X824" s="739"/>
      <c r="Y824" s="739"/>
      <c r="Z824" s="740"/>
      <c r="AA824" s="740"/>
      <c r="AB824" s="17"/>
      <c r="AC824" s="17"/>
      <c r="AD824" s="17"/>
      <c r="AE824" s="17"/>
      <c r="AF824" s="17"/>
      <c r="AG824" s="17"/>
      <c r="AH824" s="17"/>
      <c r="AI824" s="17"/>
      <c r="AJ824" s="17"/>
      <c r="AK824" s="17"/>
      <c r="AL824" s="17"/>
      <c r="AM824" s="17"/>
      <c r="AN824" s="17"/>
      <c r="AO824" s="17"/>
      <c r="AP824" s="17"/>
      <c r="AQ824" s="17"/>
    </row>
    <row r="825" spans="2:43" hidden="1">
      <c r="B825" s="17"/>
      <c r="C825" s="17"/>
      <c r="D825" s="17"/>
      <c r="E825" s="17"/>
      <c r="F825" s="17"/>
      <c r="G825" s="17"/>
      <c r="H825" s="404"/>
      <c r="I825" s="17"/>
      <c r="K825" s="17"/>
      <c r="L825" s="17"/>
      <c r="M825" s="17"/>
      <c r="N825" s="739"/>
      <c r="O825" s="739"/>
      <c r="P825" s="739"/>
      <c r="Q825" s="739"/>
      <c r="R825" s="739"/>
      <c r="S825" s="739"/>
      <c r="T825" s="739"/>
      <c r="U825" s="739"/>
      <c r="V825" s="739"/>
      <c r="W825" s="739"/>
      <c r="X825" s="739"/>
      <c r="Y825" s="739"/>
      <c r="Z825" s="740"/>
      <c r="AA825" s="740"/>
      <c r="AB825" s="17"/>
      <c r="AC825" s="17"/>
      <c r="AD825" s="17"/>
      <c r="AE825" s="17"/>
      <c r="AF825" s="17"/>
      <c r="AG825" s="17"/>
      <c r="AH825" s="17"/>
      <c r="AI825" s="17"/>
      <c r="AJ825" s="17"/>
      <c r="AK825" s="17"/>
      <c r="AL825" s="17"/>
      <c r="AM825" s="17"/>
      <c r="AN825" s="17"/>
      <c r="AO825" s="17"/>
      <c r="AP825" s="17"/>
      <c r="AQ825" s="17"/>
    </row>
    <row r="826" spans="2:43" hidden="1">
      <c r="B826" s="17"/>
      <c r="C826" s="17"/>
      <c r="D826" s="17"/>
      <c r="E826" s="17"/>
      <c r="F826" s="17"/>
      <c r="G826" s="17"/>
      <c r="H826" s="404"/>
      <c r="I826" s="17"/>
      <c r="K826" s="17"/>
      <c r="L826" s="17"/>
      <c r="M826" s="17"/>
      <c r="N826" s="739"/>
      <c r="O826" s="739"/>
      <c r="P826" s="739"/>
      <c r="Q826" s="739"/>
      <c r="R826" s="739"/>
      <c r="S826" s="739"/>
      <c r="T826" s="739"/>
      <c r="U826" s="739"/>
      <c r="V826" s="739"/>
      <c r="W826" s="739"/>
      <c r="X826" s="739"/>
      <c r="Y826" s="739"/>
      <c r="Z826" s="740"/>
      <c r="AA826" s="740"/>
      <c r="AB826" s="17"/>
      <c r="AC826" s="17"/>
      <c r="AD826" s="17"/>
      <c r="AE826" s="17"/>
      <c r="AF826" s="17"/>
      <c r="AG826" s="17"/>
      <c r="AH826" s="17"/>
      <c r="AI826" s="17"/>
      <c r="AJ826" s="17"/>
      <c r="AK826" s="17"/>
      <c r="AL826" s="17"/>
      <c r="AM826" s="17"/>
      <c r="AN826" s="17"/>
      <c r="AO826" s="17"/>
      <c r="AP826" s="17"/>
      <c r="AQ826" s="17"/>
    </row>
    <row r="827" spans="2:43" hidden="1">
      <c r="B827" s="17"/>
      <c r="C827" s="17"/>
      <c r="D827" s="17"/>
      <c r="E827" s="17"/>
      <c r="F827" s="17"/>
      <c r="G827" s="17"/>
      <c r="H827" s="404"/>
      <c r="I827" s="17"/>
      <c r="K827" s="17"/>
      <c r="L827" s="17"/>
      <c r="M827" s="17"/>
      <c r="N827" s="739"/>
      <c r="O827" s="739"/>
      <c r="P827" s="739"/>
      <c r="Q827" s="739"/>
      <c r="R827" s="739"/>
      <c r="S827" s="739"/>
      <c r="T827" s="739"/>
      <c r="U827" s="739"/>
      <c r="V827" s="739"/>
      <c r="W827" s="739"/>
      <c r="X827" s="739"/>
      <c r="Y827" s="739"/>
      <c r="Z827" s="740"/>
      <c r="AA827" s="740"/>
      <c r="AB827" s="17"/>
      <c r="AC827" s="17"/>
      <c r="AD827" s="17"/>
      <c r="AE827" s="17"/>
      <c r="AF827" s="17"/>
      <c r="AG827" s="17"/>
      <c r="AH827" s="17"/>
      <c r="AI827" s="17"/>
      <c r="AJ827" s="17"/>
      <c r="AK827" s="17"/>
      <c r="AL827" s="17"/>
      <c r="AM827" s="17"/>
      <c r="AN827" s="17"/>
      <c r="AO827" s="17"/>
      <c r="AP827" s="17"/>
      <c r="AQ827" s="17"/>
    </row>
    <row r="828" spans="2:43" hidden="1">
      <c r="B828" s="17"/>
      <c r="C828" s="17"/>
      <c r="D828" s="17"/>
      <c r="E828" s="17"/>
      <c r="F828" s="17"/>
      <c r="G828" s="17"/>
      <c r="H828" s="404"/>
      <c r="I828" s="17"/>
      <c r="K828" s="17"/>
      <c r="L828" s="17"/>
      <c r="M828" s="17"/>
      <c r="N828" s="739"/>
      <c r="O828" s="739"/>
      <c r="P828" s="739"/>
      <c r="Q828" s="739"/>
      <c r="R828" s="739"/>
      <c r="S828" s="739"/>
      <c r="T828" s="739"/>
      <c r="U828" s="739"/>
      <c r="V828" s="739"/>
      <c r="W828" s="739"/>
      <c r="X828" s="739"/>
      <c r="Y828" s="739"/>
      <c r="Z828" s="740"/>
      <c r="AA828" s="740"/>
      <c r="AB828" s="17"/>
      <c r="AC828" s="17"/>
      <c r="AD828" s="17"/>
      <c r="AE828" s="17"/>
      <c r="AF828" s="17"/>
      <c r="AG828" s="17"/>
      <c r="AH828" s="17"/>
      <c r="AI828" s="17"/>
      <c r="AJ828" s="17"/>
      <c r="AK828" s="17"/>
      <c r="AL828" s="17"/>
      <c r="AM828" s="17"/>
      <c r="AN828" s="17"/>
      <c r="AO828" s="17"/>
      <c r="AP828" s="17"/>
      <c r="AQ828" s="17"/>
    </row>
    <row r="829" spans="2:43" hidden="1">
      <c r="B829" s="17"/>
      <c r="C829" s="17"/>
      <c r="D829" s="17"/>
      <c r="E829" s="17"/>
      <c r="F829" s="17"/>
      <c r="G829" s="17"/>
      <c r="H829" s="404"/>
      <c r="I829" s="17"/>
      <c r="K829" s="17"/>
      <c r="L829" s="17"/>
      <c r="M829" s="17"/>
      <c r="N829" s="739"/>
      <c r="O829" s="739"/>
      <c r="P829" s="739"/>
      <c r="Q829" s="739"/>
      <c r="R829" s="739"/>
      <c r="S829" s="739"/>
      <c r="T829" s="739"/>
      <c r="U829" s="739"/>
      <c r="V829" s="739"/>
      <c r="W829" s="739"/>
      <c r="X829" s="739"/>
      <c r="Y829" s="739"/>
      <c r="Z829" s="740"/>
      <c r="AA829" s="740"/>
      <c r="AB829" s="17"/>
      <c r="AC829" s="17"/>
      <c r="AD829" s="17"/>
      <c r="AE829" s="17"/>
      <c r="AF829" s="17"/>
      <c r="AG829" s="17"/>
      <c r="AH829" s="17"/>
      <c r="AI829" s="17"/>
      <c r="AJ829" s="17"/>
      <c r="AK829" s="17"/>
      <c r="AL829" s="17"/>
      <c r="AM829" s="17"/>
      <c r="AN829" s="17"/>
      <c r="AO829" s="17"/>
      <c r="AP829" s="17"/>
      <c r="AQ829" s="17"/>
    </row>
    <row r="830" spans="2:43" hidden="1">
      <c r="B830" s="17"/>
      <c r="C830" s="17"/>
      <c r="D830" s="17"/>
      <c r="E830" s="17"/>
      <c r="F830" s="17"/>
      <c r="G830" s="17"/>
      <c r="H830" s="404"/>
      <c r="I830" s="17"/>
      <c r="K830" s="17"/>
      <c r="L830" s="17"/>
      <c r="M830" s="17"/>
      <c r="N830" s="739"/>
      <c r="O830" s="739"/>
      <c r="P830" s="739"/>
      <c r="Q830" s="739"/>
      <c r="R830" s="739"/>
      <c r="S830" s="739"/>
      <c r="T830" s="739"/>
      <c r="U830" s="739"/>
      <c r="V830" s="739"/>
      <c r="W830" s="739"/>
      <c r="X830" s="739"/>
      <c r="Y830" s="739"/>
      <c r="Z830" s="740"/>
      <c r="AA830" s="740"/>
      <c r="AB830" s="17"/>
      <c r="AC830" s="17"/>
      <c r="AD830" s="17"/>
      <c r="AE830" s="17"/>
      <c r="AF830" s="17"/>
      <c r="AG830" s="17"/>
      <c r="AH830" s="17"/>
      <c r="AI830" s="17"/>
      <c r="AJ830" s="17"/>
      <c r="AK830" s="17"/>
      <c r="AL830" s="17"/>
      <c r="AM830" s="17"/>
      <c r="AN830" s="17"/>
      <c r="AO830" s="17"/>
      <c r="AP830" s="17"/>
      <c r="AQ830" s="17"/>
    </row>
    <row r="831" spans="2:43" hidden="1">
      <c r="B831" s="17"/>
      <c r="C831" s="17"/>
      <c r="D831" s="17"/>
      <c r="E831" s="17"/>
      <c r="F831" s="17"/>
      <c r="G831" s="17"/>
      <c r="H831" s="404"/>
      <c r="I831" s="17"/>
      <c r="K831" s="17"/>
      <c r="L831" s="17"/>
      <c r="M831" s="17"/>
      <c r="N831" s="739"/>
      <c r="O831" s="739"/>
      <c r="P831" s="739"/>
      <c r="Q831" s="739"/>
      <c r="R831" s="739"/>
      <c r="S831" s="739"/>
      <c r="T831" s="739"/>
      <c r="U831" s="739"/>
      <c r="V831" s="739"/>
      <c r="W831" s="739"/>
      <c r="X831" s="739"/>
      <c r="Y831" s="739"/>
      <c r="Z831" s="740"/>
      <c r="AA831" s="740"/>
      <c r="AB831" s="17"/>
      <c r="AC831" s="17"/>
      <c r="AD831" s="17"/>
      <c r="AE831" s="17"/>
      <c r="AF831" s="17"/>
      <c r="AG831" s="17"/>
      <c r="AH831" s="17"/>
      <c r="AI831" s="17"/>
      <c r="AJ831" s="17"/>
      <c r="AK831" s="17"/>
      <c r="AL831" s="17"/>
      <c r="AM831" s="17"/>
      <c r="AN831" s="17"/>
      <c r="AO831" s="17"/>
      <c r="AP831" s="17"/>
      <c r="AQ831" s="17"/>
    </row>
    <row r="832" spans="2:43" hidden="1">
      <c r="B832" s="17"/>
      <c r="C832" s="17"/>
      <c r="D832" s="17"/>
      <c r="E832" s="17"/>
      <c r="F832" s="17"/>
      <c r="G832" s="17"/>
      <c r="H832" s="404"/>
      <c r="I832" s="17"/>
      <c r="K832" s="17"/>
      <c r="L832" s="17"/>
      <c r="M832" s="17"/>
      <c r="N832" s="739"/>
      <c r="O832" s="739"/>
      <c r="P832" s="739"/>
      <c r="Q832" s="739"/>
      <c r="R832" s="739"/>
      <c r="S832" s="739"/>
      <c r="T832" s="739"/>
      <c r="U832" s="739"/>
      <c r="V832" s="739"/>
      <c r="W832" s="739"/>
      <c r="X832" s="739"/>
      <c r="Y832" s="739"/>
      <c r="Z832" s="740"/>
      <c r="AA832" s="740"/>
      <c r="AB832" s="17"/>
      <c r="AC832" s="17"/>
      <c r="AD832" s="17"/>
      <c r="AE832" s="17"/>
      <c r="AF832" s="17"/>
      <c r="AG832" s="17"/>
      <c r="AH832" s="17"/>
      <c r="AI832" s="17"/>
      <c r="AJ832" s="17"/>
      <c r="AK832" s="17"/>
      <c r="AL832" s="17"/>
      <c r="AM832" s="17"/>
      <c r="AN832" s="17"/>
      <c r="AO832" s="17"/>
      <c r="AP832" s="17"/>
      <c r="AQ832" s="17"/>
    </row>
    <row r="833" spans="2:43" hidden="1">
      <c r="B833" s="17"/>
      <c r="C833" s="17"/>
      <c r="D833" s="17"/>
      <c r="E833" s="17"/>
      <c r="F833" s="17"/>
      <c r="G833" s="17"/>
      <c r="H833" s="404"/>
      <c r="I833" s="17"/>
      <c r="K833" s="17"/>
      <c r="L833" s="17"/>
      <c r="M833" s="17"/>
      <c r="N833" s="739"/>
      <c r="O833" s="739"/>
      <c r="P833" s="739"/>
      <c r="Q833" s="739"/>
      <c r="R833" s="739"/>
      <c r="S833" s="739"/>
      <c r="T833" s="739"/>
      <c r="U833" s="739"/>
      <c r="V833" s="739"/>
      <c r="W833" s="739"/>
      <c r="X833" s="739"/>
      <c r="Y833" s="739"/>
      <c r="Z833" s="740"/>
      <c r="AA833" s="740"/>
      <c r="AB833" s="17"/>
      <c r="AC833" s="17"/>
      <c r="AD833" s="17"/>
      <c r="AE833" s="17"/>
      <c r="AF833" s="17"/>
      <c r="AG833" s="17"/>
      <c r="AH833" s="17"/>
      <c r="AI833" s="17"/>
      <c r="AJ833" s="17"/>
      <c r="AK833" s="17"/>
      <c r="AL833" s="17"/>
      <c r="AM833" s="17"/>
      <c r="AN833" s="17"/>
      <c r="AO833" s="17"/>
      <c r="AP833" s="17"/>
      <c r="AQ833" s="17"/>
    </row>
    <row r="834" spans="2:43" hidden="1">
      <c r="B834" s="17"/>
      <c r="C834" s="17"/>
      <c r="D834" s="17"/>
      <c r="E834" s="17"/>
      <c r="F834" s="17"/>
      <c r="G834" s="17"/>
      <c r="H834" s="404"/>
      <c r="I834" s="17"/>
      <c r="K834" s="17"/>
      <c r="L834" s="17"/>
      <c r="M834" s="17"/>
      <c r="N834" s="739"/>
      <c r="O834" s="739"/>
      <c r="P834" s="739"/>
      <c r="Q834" s="739"/>
      <c r="R834" s="739"/>
      <c r="S834" s="739"/>
      <c r="T834" s="739"/>
      <c r="U834" s="739"/>
      <c r="V834" s="739"/>
      <c r="W834" s="739"/>
      <c r="X834" s="739"/>
      <c r="Y834" s="739"/>
      <c r="Z834" s="740"/>
      <c r="AA834" s="740"/>
      <c r="AB834" s="17"/>
      <c r="AC834" s="17"/>
      <c r="AD834" s="17"/>
      <c r="AE834" s="17"/>
      <c r="AF834" s="17"/>
      <c r="AG834" s="17"/>
      <c r="AH834" s="17"/>
      <c r="AI834" s="17"/>
      <c r="AJ834" s="17"/>
      <c r="AK834" s="17"/>
      <c r="AL834" s="17"/>
      <c r="AM834" s="17"/>
      <c r="AN834" s="17"/>
      <c r="AO834" s="17"/>
      <c r="AP834" s="17"/>
      <c r="AQ834" s="17"/>
    </row>
    <row r="835" spans="2:43" hidden="1">
      <c r="B835" s="17"/>
      <c r="C835" s="17"/>
      <c r="D835" s="17"/>
      <c r="E835" s="17"/>
      <c r="F835" s="17"/>
      <c r="G835" s="17"/>
      <c r="H835" s="404"/>
      <c r="I835" s="17"/>
      <c r="K835" s="17"/>
      <c r="L835" s="17"/>
      <c r="M835" s="17"/>
      <c r="N835" s="739"/>
      <c r="O835" s="739"/>
      <c r="P835" s="739"/>
      <c r="Q835" s="739"/>
      <c r="R835" s="739"/>
      <c r="S835" s="739"/>
      <c r="T835" s="739"/>
      <c r="U835" s="739"/>
      <c r="V835" s="739"/>
      <c r="W835" s="739"/>
      <c r="X835" s="739"/>
      <c r="Y835" s="739"/>
      <c r="Z835" s="740"/>
      <c r="AA835" s="740"/>
      <c r="AB835" s="17"/>
      <c r="AC835" s="17"/>
      <c r="AD835" s="17"/>
      <c r="AE835" s="17"/>
      <c r="AF835" s="17"/>
      <c r="AG835" s="17"/>
      <c r="AH835" s="17"/>
      <c r="AI835" s="17"/>
      <c r="AJ835" s="17"/>
      <c r="AK835" s="17"/>
      <c r="AL835" s="17"/>
      <c r="AM835" s="17"/>
      <c r="AN835" s="17"/>
      <c r="AO835" s="17"/>
      <c r="AP835" s="17"/>
      <c r="AQ835" s="17"/>
    </row>
    <row r="836" spans="2:43" hidden="1">
      <c r="B836" s="17"/>
      <c r="C836" s="17"/>
      <c r="D836" s="17"/>
      <c r="E836" s="17"/>
      <c r="F836" s="17"/>
      <c r="G836" s="17"/>
      <c r="H836" s="404"/>
      <c r="I836" s="17"/>
      <c r="K836" s="17"/>
      <c r="L836" s="17"/>
      <c r="M836" s="17"/>
      <c r="N836" s="739"/>
      <c r="O836" s="739"/>
      <c r="P836" s="739"/>
      <c r="Q836" s="739"/>
      <c r="R836" s="739"/>
      <c r="S836" s="739"/>
      <c r="T836" s="739"/>
      <c r="U836" s="739"/>
      <c r="V836" s="739"/>
      <c r="W836" s="739"/>
      <c r="X836" s="739"/>
      <c r="Y836" s="739"/>
      <c r="Z836" s="740"/>
      <c r="AA836" s="740"/>
      <c r="AB836" s="17"/>
      <c r="AC836" s="17"/>
      <c r="AD836" s="17"/>
      <c r="AE836" s="17"/>
      <c r="AF836" s="17"/>
      <c r="AG836" s="17"/>
      <c r="AH836" s="17"/>
      <c r="AI836" s="17"/>
      <c r="AJ836" s="17"/>
      <c r="AK836" s="17"/>
      <c r="AL836" s="17"/>
      <c r="AM836" s="17"/>
      <c r="AN836" s="17"/>
      <c r="AO836" s="17"/>
      <c r="AP836" s="17"/>
      <c r="AQ836" s="17"/>
    </row>
    <row r="837" spans="2:43" hidden="1">
      <c r="B837" s="17"/>
      <c r="C837" s="17"/>
      <c r="D837" s="17"/>
      <c r="E837" s="17"/>
      <c r="F837" s="17"/>
      <c r="G837" s="17"/>
      <c r="H837" s="404"/>
      <c r="I837" s="17"/>
      <c r="K837" s="17"/>
      <c r="L837" s="17"/>
      <c r="M837" s="17"/>
      <c r="N837" s="739"/>
      <c r="O837" s="739"/>
      <c r="P837" s="739"/>
      <c r="Q837" s="739"/>
      <c r="R837" s="739"/>
      <c r="S837" s="739"/>
      <c r="T837" s="739"/>
      <c r="U837" s="739"/>
      <c r="V837" s="739"/>
      <c r="W837" s="739"/>
      <c r="X837" s="739"/>
      <c r="Y837" s="739"/>
      <c r="Z837" s="740"/>
      <c r="AA837" s="740"/>
      <c r="AB837" s="17"/>
      <c r="AC837" s="17"/>
      <c r="AD837" s="17"/>
      <c r="AE837" s="17"/>
      <c r="AF837" s="17"/>
      <c r="AG837" s="17"/>
      <c r="AH837" s="17"/>
      <c r="AI837" s="17"/>
      <c r="AJ837" s="17"/>
      <c r="AK837" s="17"/>
      <c r="AL837" s="17"/>
      <c r="AM837" s="17"/>
      <c r="AN837" s="17"/>
      <c r="AO837" s="17"/>
      <c r="AP837" s="17"/>
      <c r="AQ837" s="17"/>
    </row>
    <row r="838" spans="2:43" hidden="1">
      <c r="B838" s="17"/>
      <c r="C838" s="17"/>
      <c r="D838" s="17"/>
      <c r="E838" s="17"/>
      <c r="F838" s="17"/>
      <c r="G838" s="17"/>
      <c r="H838" s="404"/>
      <c r="I838" s="17"/>
      <c r="K838" s="17"/>
      <c r="L838" s="17"/>
      <c r="M838" s="17"/>
      <c r="N838" s="739"/>
      <c r="O838" s="739"/>
      <c r="P838" s="739"/>
      <c r="Q838" s="739"/>
      <c r="R838" s="739"/>
      <c r="S838" s="739"/>
      <c r="T838" s="739"/>
      <c r="U838" s="739"/>
      <c r="V838" s="739"/>
      <c r="W838" s="739"/>
      <c r="X838" s="739"/>
      <c r="Y838" s="739"/>
      <c r="Z838" s="740"/>
      <c r="AA838" s="740"/>
      <c r="AB838" s="17"/>
      <c r="AC838" s="17"/>
      <c r="AD838" s="17"/>
      <c r="AE838" s="17"/>
      <c r="AF838" s="17"/>
      <c r="AG838" s="17"/>
      <c r="AH838" s="17"/>
      <c r="AI838" s="17"/>
      <c r="AJ838" s="17"/>
      <c r="AK838" s="17"/>
      <c r="AL838" s="17"/>
      <c r="AM838" s="17"/>
      <c r="AN838" s="17"/>
      <c r="AO838" s="17"/>
      <c r="AP838" s="17"/>
      <c r="AQ838" s="17"/>
    </row>
    <row r="839" spans="2:43" hidden="1">
      <c r="B839" s="17"/>
      <c r="C839" s="17"/>
      <c r="D839" s="17"/>
      <c r="E839" s="17"/>
      <c r="F839" s="17"/>
      <c r="G839" s="17"/>
      <c r="H839" s="404"/>
      <c r="I839" s="17"/>
      <c r="K839" s="17"/>
      <c r="L839" s="17"/>
      <c r="M839" s="17"/>
      <c r="N839" s="739"/>
      <c r="O839" s="739"/>
      <c r="P839" s="739"/>
      <c r="Q839" s="739"/>
      <c r="R839" s="739"/>
      <c r="S839" s="739"/>
      <c r="T839" s="739"/>
      <c r="U839" s="739"/>
      <c r="V839" s="739"/>
      <c r="W839" s="739"/>
      <c r="X839" s="739"/>
      <c r="Y839" s="739"/>
      <c r="Z839" s="740"/>
      <c r="AA839" s="740"/>
      <c r="AB839" s="17"/>
      <c r="AC839" s="17"/>
      <c r="AD839" s="17"/>
      <c r="AE839" s="17"/>
      <c r="AF839" s="17"/>
      <c r="AG839" s="17"/>
      <c r="AH839" s="17"/>
      <c r="AI839" s="17"/>
      <c r="AJ839" s="17"/>
      <c r="AK839" s="17"/>
      <c r="AL839" s="17"/>
      <c r="AM839" s="17"/>
      <c r="AN839" s="17"/>
      <c r="AO839" s="17"/>
      <c r="AP839" s="17"/>
      <c r="AQ839" s="17"/>
    </row>
    <row r="840" spans="2:43" hidden="1">
      <c r="B840" s="17"/>
      <c r="C840" s="17"/>
      <c r="D840" s="17"/>
      <c r="E840" s="17"/>
      <c r="F840" s="17"/>
      <c r="G840" s="17"/>
      <c r="H840" s="404"/>
      <c r="I840" s="17"/>
      <c r="K840" s="17"/>
      <c r="L840" s="17"/>
      <c r="M840" s="17"/>
      <c r="N840" s="739"/>
      <c r="O840" s="739"/>
      <c r="P840" s="739"/>
      <c r="Q840" s="739"/>
      <c r="R840" s="739"/>
      <c r="S840" s="739"/>
      <c r="T840" s="739"/>
      <c r="U840" s="739"/>
      <c r="V840" s="739"/>
      <c r="W840" s="739"/>
      <c r="X840" s="739"/>
      <c r="Y840" s="739"/>
      <c r="Z840" s="740"/>
      <c r="AA840" s="740"/>
      <c r="AB840" s="17"/>
      <c r="AC840" s="17"/>
      <c r="AD840" s="17"/>
      <c r="AE840" s="17"/>
      <c r="AF840" s="17"/>
      <c r="AG840" s="17"/>
      <c r="AH840" s="17"/>
      <c r="AI840" s="17"/>
      <c r="AJ840" s="17"/>
      <c r="AK840" s="17"/>
      <c r="AL840" s="17"/>
      <c r="AM840" s="17"/>
      <c r="AN840" s="17"/>
      <c r="AO840" s="17"/>
      <c r="AP840" s="17"/>
      <c r="AQ840" s="17"/>
    </row>
    <row r="841" spans="2:43" hidden="1">
      <c r="B841" s="17"/>
      <c r="C841" s="17"/>
      <c r="D841" s="17"/>
      <c r="E841" s="17"/>
      <c r="F841" s="17"/>
      <c r="G841" s="17"/>
      <c r="H841" s="404"/>
      <c r="I841" s="17"/>
      <c r="K841" s="17"/>
      <c r="L841" s="17"/>
      <c r="M841" s="17"/>
      <c r="N841" s="739"/>
      <c r="O841" s="739"/>
      <c r="P841" s="739"/>
      <c r="Q841" s="739"/>
      <c r="R841" s="739"/>
      <c r="S841" s="739"/>
      <c r="T841" s="739"/>
      <c r="U841" s="739"/>
      <c r="V841" s="739"/>
      <c r="W841" s="739"/>
      <c r="X841" s="739"/>
      <c r="Y841" s="739"/>
      <c r="Z841" s="740"/>
      <c r="AA841" s="740"/>
      <c r="AB841" s="17"/>
      <c r="AC841" s="17"/>
      <c r="AD841" s="17"/>
      <c r="AE841" s="17"/>
      <c r="AF841" s="17"/>
      <c r="AG841" s="17"/>
      <c r="AH841" s="17"/>
      <c r="AI841" s="17"/>
      <c r="AJ841" s="17"/>
      <c r="AK841" s="17"/>
      <c r="AL841" s="17"/>
      <c r="AM841" s="17"/>
      <c r="AN841" s="17"/>
      <c r="AO841" s="17"/>
      <c r="AP841" s="17"/>
      <c r="AQ841" s="17"/>
    </row>
    <row r="842" spans="2:43" hidden="1">
      <c r="B842" s="17"/>
      <c r="C842" s="17"/>
      <c r="D842" s="17"/>
      <c r="E842" s="17"/>
      <c r="F842" s="17"/>
      <c r="G842" s="17"/>
      <c r="H842" s="404"/>
      <c r="I842" s="17"/>
      <c r="K842" s="17"/>
      <c r="L842" s="17"/>
      <c r="M842" s="17"/>
      <c r="N842" s="739"/>
      <c r="O842" s="739"/>
      <c r="P842" s="739"/>
      <c r="Q842" s="739"/>
      <c r="R842" s="739"/>
      <c r="S842" s="739"/>
      <c r="T842" s="739"/>
      <c r="U842" s="739"/>
      <c r="V842" s="739"/>
      <c r="W842" s="739"/>
      <c r="X842" s="739"/>
      <c r="Y842" s="739"/>
      <c r="Z842" s="740"/>
      <c r="AA842" s="740"/>
      <c r="AB842" s="17"/>
      <c r="AC842" s="17"/>
      <c r="AD842" s="17"/>
      <c r="AE842" s="17"/>
      <c r="AF842" s="17"/>
      <c r="AG842" s="17"/>
      <c r="AH842" s="17"/>
      <c r="AI842" s="17"/>
      <c r="AJ842" s="17"/>
      <c r="AK842" s="17"/>
      <c r="AL842" s="17"/>
      <c r="AM842" s="17"/>
      <c r="AN842" s="17"/>
      <c r="AO842" s="17"/>
      <c r="AP842" s="17"/>
      <c r="AQ842" s="17"/>
    </row>
    <row r="843" spans="2:43" hidden="1">
      <c r="B843" s="17"/>
      <c r="C843" s="17"/>
      <c r="D843" s="17"/>
      <c r="E843" s="17"/>
      <c r="F843" s="17"/>
      <c r="G843" s="17"/>
      <c r="H843" s="404"/>
      <c r="I843" s="17"/>
      <c r="K843" s="17"/>
      <c r="L843" s="17"/>
      <c r="M843" s="17"/>
      <c r="N843" s="739"/>
      <c r="O843" s="739"/>
      <c r="P843" s="739"/>
      <c r="Q843" s="739"/>
      <c r="R843" s="739"/>
      <c r="S843" s="739"/>
      <c r="T843" s="739"/>
      <c r="U843" s="739"/>
      <c r="V843" s="739"/>
      <c r="W843" s="739"/>
      <c r="X843" s="739"/>
      <c r="Y843" s="739"/>
      <c r="Z843" s="740"/>
      <c r="AA843" s="740"/>
      <c r="AB843" s="17"/>
      <c r="AC843" s="17"/>
      <c r="AD843" s="17"/>
      <c r="AE843" s="17"/>
      <c r="AF843" s="17"/>
      <c r="AG843" s="17"/>
      <c r="AH843" s="17"/>
      <c r="AI843" s="17"/>
      <c r="AJ843" s="17"/>
      <c r="AK843" s="17"/>
      <c r="AL843" s="17"/>
      <c r="AM843" s="17"/>
      <c r="AN843" s="17"/>
      <c r="AO843" s="17"/>
      <c r="AP843" s="17"/>
      <c r="AQ843" s="17"/>
    </row>
    <row r="844" spans="2:43" hidden="1">
      <c r="B844" s="17"/>
      <c r="C844" s="17"/>
      <c r="D844" s="17"/>
      <c r="E844" s="17"/>
      <c r="F844" s="17"/>
      <c r="G844" s="17"/>
      <c r="H844" s="404"/>
      <c r="I844" s="17"/>
      <c r="K844" s="17"/>
      <c r="L844" s="17"/>
      <c r="M844" s="17"/>
      <c r="N844" s="739"/>
      <c r="O844" s="739"/>
      <c r="P844" s="739"/>
      <c r="Q844" s="739"/>
      <c r="R844" s="739"/>
      <c r="S844" s="739"/>
      <c r="T844" s="739"/>
      <c r="U844" s="739"/>
      <c r="V844" s="739"/>
      <c r="W844" s="739"/>
      <c r="X844" s="739"/>
      <c r="Y844" s="739"/>
      <c r="Z844" s="740"/>
      <c r="AA844" s="740"/>
      <c r="AB844" s="17"/>
      <c r="AC844" s="17"/>
      <c r="AD844" s="17"/>
      <c r="AE844" s="17"/>
      <c r="AF844" s="17"/>
      <c r="AG844" s="17"/>
      <c r="AH844" s="17"/>
      <c r="AI844" s="17"/>
      <c r="AJ844" s="17"/>
      <c r="AK844" s="17"/>
      <c r="AL844" s="17"/>
      <c r="AM844" s="17"/>
      <c r="AN844" s="17"/>
      <c r="AO844" s="17"/>
      <c r="AP844" s="17"/>
      <c r="AQ844" s="17"/>
    </row>
    <row r="845" spans="2:43" hidden="1">
      <c r="B845" s="17"/>
      <c r="C845" s="17"/>
      <c r="D845" s="17"/>
      <c r="E845" s="17"/>
      <c r="F845" s="17"/>
      <c r="G845" s="17"/>
      <c r="H845" s="404"/>
      <c r="I845" s="17"/>
      <c r="K845" s="17"/>
      <c r="L845" s="17"/>
      <c r="M845" s="17"/>
      <c r="N845" s="739"/>
      <c r="O845" s="739"/>
      <c r="P845" s="739"/>
      <c r="Q845" s="739"/>
      <c r="R845" s="739"/>
      <c r="S845" s="739"/>
      <c r="T845" s="739"/>
      <c r="U845" s="739"/>
      <c r="V845" s="739"/>
      <c r="W845" s="739"/>
      <c r="X845" s="739"/>
      <c r="Y845" s="739"/>
      <c r="Z845" s="740"/>
      <c r="AA845" s="740"/>
      <c r="AB845" s="17"/>
      <c r="AC845" s="17"/>
      <c r="AD845" s="17"/>
      <c r="AE845" s="17"/>
      <c r="AF845" s="17"/>
      <c r="AG845" s="17"/>
      <c r="AH845" s="17"/>
      <c r="AI845" s="17"/>
      <c r="AJ845" s="17"/>
      <c r="AK845" s="17"/>
      <c r="AL845" s="17"/>
      <c r="AM845" s="17"/>
      <c r="AN845" s="17"/>
      <c r="AO845" s="17"/>
      <c r="AP845" s="17"/>
      <c r="AQ845" s="17"/>
    </row>
    <row r="846" spans="2:43" hidden="1">
      <c r="B846" s="17"/>
      <c r="C846" s="17"/>
      <c r="D846" s="17"/>
      <c r="E846" s="17"/>
      <c r="F846" s="17"/>
      <c r="G846" s="17"/>
      <c r="H846" s="404"/>
      <c r="I846" s="17"/>
      <c r="K846" s="17"/>
      <c r="L846" s="17"/>
      <c r="M846" s="17"/>
      <c r="N846" s="739"/>
      <c r="O846" s="739"/>
      <c r="P846" s="739"/>
      <c r="Q846" s="739"/>
      <c r="R846" s="739"/>
      <c r="S846" s="739"/>
      <c r="T846" s="739"/>
      <c r="U846" s="739"/>
      <c r="V846" s="739"/>
      <c r="W846" s="739"/>
      <c r="X846" s="739"/>
      <c r="Y846" s="739"/>
      <c r="Z846" s="740"/>
      <c r="AA846" s="740"/>
      <c r="AB846" s="17"/>
      <c r="AC846" s="17"/>
      <c r="AD846" s="17"/>
      <c r="AE846" s="17"/>
      <c r="AF846" s="17"/>
      <c r="AG846" s="17"/>
      <c r="AH846" s="17"/>
      <c r="AI846" s="17"/>
      <c r="AJ846" s="17"/>
      <c r="AK846" s="17"/>
      <c r="AL846" s="17"/>
      <c r="AM846" s="17"/>
      <c r="AN846" s="17"/>
      <c r="AO846" s="17"/>
      <c r="AP846" s="17"/>
      <c r="AQ846" s="17"/>
    </row>
    <row r="847" spans="2:43" hidden="1">
      <c r="B847" s="17"/>
      <c r="C847" s="17"/>
      <c r="D847" s="17"/>
      <c r="E847" s="17"/>
      <c r="F847" s="17"/>
      <c r="G847" s="17"/>
      <c r="H847" s="404"/>
      <c r="I847" s="17"/>
      <c r="K847" s="17"/>
      <c r="L847" s="17"/>
      <c r="M847" s="17"/>
      <c r="N847" s="739"/>
      <c r="O847" s="739"/>
      <c r="P847" s="739"/>
      <c r="Q847" s="739"/>
      <c r="R847" s="739"/>
      <c r="S847" s="739"/>
      <c r="T847" s="739"/>
      <c r="U847" s="739"/>
      <c r="V847" s="739"/>
      <c r="W847" s="739"/>
      <c r="X847" s="739"/>
      <c r="Y847" s="739"/>
      <c r="Z847" s="740"/>
      <c r="AA847" s="740"/>
      <c r="AB847" s="17"/>
      <c r="AC847" s="17"/>
      <c r="AD847" s="17"/>
      <c r="AE847" s="17"/>
      <c r="AF847" s="17"/>
      <c r="AG847" s="17"/>
      <c r="AH847" s="17"/>
      <c r="AI847" s="17"/>
      <c r="AJ847" s="17"/>
      <c r="AK847" s="17"/>
      <c r="AL847" s="17"/>
      <c r="AM847" s="17"/>
      <c r="AN847" s="17"/>
      <c r="AO847" s="17"/>
      <c r="AP847" s="17"/>
      <c r="AQ847" s="17"/>
    </row>
    <row r="848" spans="2:43" hidden="1">
      <c r="B848" s="17"/>
      <c r="C848" s="17"/>
      <c r="D848" s="17"/>
      <c r="E848" s="17"/>
      <c r="F848" s="17"/>
      <c r="G848" s="17"/>
      <c r="H848" s="404"/>
      <c r="I848" s="17"/>
      <c r="K848" s="17"/>
      <c r="L848" s="17"/>
      <c r="M848" s="17"/>
      <c r="N848" s="739"/>
      <c r="O848" s="739"/>
      <c r="P848" s="739"/>
      <c r="Q848" s="739"/>
      <c r="R848" s="739"/>
      <c r="S848" s="739"/>
      <c r="T848" s="739"/>
      <c r="U848" s="739"/>
      <c r="V848" s="739"/>
      <c r="W848" s="739"/>
      <c r="X848" s="739"/>
      <c r="Y848" s="739"/>
      <c r="Z848" s="740"/>
      <c r="AA848" s="740"/>
      <c r="AB848" s="17"/>
      <c r="AC848" s="17"/>
      <c r="AD848" s="17"/>
      <c r="AE848" s="17"/>
      <c r="AF848" s="17"/>
      <c r="AG848" s="17"/>
      <c r="AH848" s="17"/>
      <c r="AI848" s="17"/>
      <c r="AJ848" s="17"/>
      <c r="AK848" s="17"/>
      <c r="AL848" s="17"/>
      <c r="AM848" s="17"/>
      <c r="AN848" s="17"/>
      <c r="AO848" s="17"/>
      <c r="AP848" s="17"/>
      <c r="AQ848" s="17"/>
    </row>
    <row r="849" spans="2:43" hidden="1">
      <c r="B849" s="17"/>
      <c r="C849" s="17"/>
      <c r="D849" s="17"/>
      <c r="E849" s="17"/>
      <c r="F849" s="17"/>
      <c r="G849" s="17"/>
      <c r="H849" s="404"/>
      <c r="I849" s="17"/>
      <c r="K849" s="17"/>
      <c r="L849" s="17"/>
      <c r="M849" s="17"/>
      <c r="N849" s="739"/>
      <c r="O849" s="739"/>
      <c r="P849" s="739"/>
      <c r="Q849" s="739"/>
      <c r="R849" s="739"/>
      <c r="S849" s="739"/>
      <c r="T849" s="739"/>
      <c r="U849" s="739"/>
      <c r="V849" s="739"/>
      <c r="W849" s="739"/>
      <c r="X849" s="739"/>
      <c r="Y849" s="739"/>
      <c r="Z849" s="740"/>
      <c r="AA849" s="740"/>
      <c r="AB849" s="17"/>
      <c r="AC849" s="17"/>
      <c r="AD849" s="17"/>
      <c r="AE849" s="17"/>
      <c r="AF849" s="17"/>
      <c r="AG849" s="17"/>
      <c r="AH849" s="17"/>
      <c r="AI849" s="17"/>
      <c r="AJ849" s="17"/>
      <c r="AK849" s="17"/>
      <c r="AL849" s="17"/>
      <c r="AM849" s="17"/>
      <c r="AN849" s="17"/>
      <c r="AO849" s="17"/>
      <c r="AP849" s="17"/>
      <c r="AQ849" s="17"/>
    </row>
    <row r="850" spans="2:43" hidden="1">
      <c r="B850" s="17"/>
      <c r="C850" s="17"/>
      <c r="D850" s="17"/>
      <c r="E850" s="17"/>
      <c r="F850" s="17"/>
      <c r="G850" s="17"/>
      <c r="H850" s="404"/>
      <c r="I850" s="17"/>
      <c r="K850" s="17"/>
      <c r="L850" s="17"/>
      <c r="M850" s="17"/>
      <c r="N850" s="739"/>
      <c r="O850" s="739"/>
      <c r="P850" s="739"/>
      <c r="Q850" s="739"/>
      <c r="R850" s="739"/>
      <c r="S850" s="739"/>
      <c r="T850" s="739"/>
      <c r="U850" s="739"/>
      <c r="V850" s="739"/>
      <c r="W850" s="739"/>
      <c r="X850" s="739"/>
      <c r="Y850" s="739"/>
      <c r="Z850" s="740"/>
      <c r="AA850" s="740"/>
      <c r="AB850" s="17"/>
      <c r="AC850" s="17"/>
      <c r="AD850" s="17"/>
      <c r="AE850" s="17"/>
      <c r="AF850" s="17"/>
      <c r="AG850" s="17"/>
      <c r="AH850" s="17"/>
      <c r="AI850" s="17"/>
      <c r="AJ850" s="17"/>
      <c r="AK850" s="17"/>
      <c r="AL850" s="17"/>
      <c r="AM850" s="17"/>
      <c r="AN850" s="17"/>
      <c r="AO850" s="17"/>
      <c r="AP850" s="17"/>
      <c r="AQ850" s="17"/>
    </row>
    <row r="851" spans="2:43" hidden="1">
      <c r="B851" s="17"/>
      <c r="C851" s="17"/>
      <c r="D851" s="17"/>
      <c r="E851" s="17"/>
      <c r="F851" s="17"/>
      <c r="G851" s="17"/>
      <c r="H851" s="404"/>
      <c r="I851" s="17"/>
      <c r="K851" s="17"/>
      <c r="L851" s="17"/>
      <c r="M851" s="17"/>
      <c r="N851" s="739"/>
      <c r="O851" s="739"/>
      <c r="P851" s="739"/>
      <c r="Q851" s="739"/>
      <c r="R851" s="739"/>
      <c r="S851" s="739"/>
      <c r="T851" s="739"/>
      <c r="U851" s="739"/>
      <c r="V851" s="739"/>
      <c r="W851" s="739"/>
      <c r="X851" s="739"/>
      <c r="Y851" s="739"/>
      <c r="Z851" s="740"/>
      <c r="AA851" s="740"/>
      <c r="AB851" s="17"/>
      <c r="AC851" s="17"/>
      <c r="AD851" s="17"/>
      <c r="AE851" s="17"/>
      <c r="AF851" s="17"/>
      <c r="AG851" s="17"/>
      <c r="AH851" s="17"/>
      <c r="AI851" s="17"/>
      <c r="AJ851" s="17"/>
      <c r="AK851" s="17"/>
      <c r="AL851" s="17"/>
      <c r="AM851" s="17"/>
      <c r="AN851" s="17"/>
      <c r="AO851" s="17"/>
      <c r="AP851" s="17"/>
      <c r="AQ851" s="17"/>
    </row>
    <row r="852" spans="2:43" hidden="1">
      <c r="B852" s="17"/>
      <c r="C852" s="17"/>
      <c r="D852" s="17"/>
      <c r="E852" s="17"/>
      <c r="F852" s="17"/>
      <c r="G852" s="17"/>
      <c r="H852" s="404"/>
      <c r="I852" s="17"/>
      <c r="K852" s="17"/>
      <c r="L852" s="17"/>
      <c r="M852" s="17"/>
      <c r="N852" s="739"/>
      <c r="O852" s="739"/>
      <c r="P852" s="739"/>
      <c r="Q852" s="739"/>
      <c r="R852" s="739"/>
      <c r="S852" s="739"/>
      <c r="T852" s="739"/>
      <c r="U852" s="739"/>
      <c r="V852" s="739"/>
      <c r="W852" s="739"/>
      <c r="X852" s="739"/>
      <c r="Y852" s="739"/>
      <c r="Z852" s="740"/>
      <c r="AA852" s="740"/>
      <c r="AB852" s="17"/>
      <c r="AC852" s="17"/>
      <c r="AD852" s="17"/>
      <c r="AE852" s="17"/>
      <c r="AF852" s="17"/>
      <c r="AG852" s="17"/>
      <c r="AH852" s="17"/>
      <c r="AI852" s="17"/>
      <c r="AJ852" s="17"/>
      <c r="AK852" s="17"/>
      <c r="AL852" s="17"/>
      <c r="AM852" s="17"/>
      <c r="AN852" s="17"/>
      <c r="AO852" s="17"/>
      <c r="AP852" s="17"/>
      <c r="AQ852" s="17"/>
    </row>
    <row r="853" spans="2:43" hidden="1">
      <c r="B853" s="17"/>
      <c r="C853" s="17"/>
      <c r="D853" s="17"/>
      <c r="E853" s="17"/>
      <c r="F853" s="17"/>
      <c r="G853" s="17"/>
      <c r="H853" s="404"/>
      <c r="I853" s="17"/>
      <c r="K853" s="17"/>
      <c r="L853" s="17"/>
      <c r="M853" s="17"/>
      <c r="N853" s="739"/>
      <c r="O853" s="739"/>
      <c r="P853" s="739"/>
      <c r="Q853" s="739"/>
      <c r="R853" s="739"/>
      <c r="S853" s="739"/>
      <c r="T853" s="739"/>
      <c r="U853" s="739"/>
      <c r="V853" s="739"/>
      <c r="W853" s="739"/>
      <c r="X853" s="739"/>
      <c r="Y853" s="739"/>
      <c r="Z853" s="740"/>
      <c r="AA853" s="740"/>
      <c r="AB853" s="17"/>
      <c r="AC853" s="17"/>
      <c r="AD853" s="17"/>
      <c r="AE853" s="17"/>
      <c r="AF853" s="17"/>
      <c r="AG853" s="17"/>
      <c r="AH853" s="17"/>
      <c r="AI853" s="17"/>
      <c r="AJ853" s="17"/>
      <c r="AK853" s="17"/>
      <c r="AL853" s="17"/>
      <c r="AM853" s="17"/>
      <c r="AN853" s="17"/>
      <c r="AO853" s="17"/>
      <c r="AP853" s="17"/>
      <c r="AQ853" s="17"/>
    </row>
    <row r="854" spans="2:43" hidden="1">
      <c r="B854" s="17"/>
      <c r="C854" s="17"/>
      <c r="D854" s="17"/>
      <c r="E854" s="17"/>
      <c r="F854" s="17"/>
      <c r="G854" s="17"/>
      <c r="H854" s="404"/>
      <c r="I854" s="17"/>
      <c r="K854" s="17"/>
      <c r="L854" s="17"/>
      <c r="M854" s="17"/>
      <c r="N854" s="739"/>
      <c r="O854" s="739"/>
      <c r="P854" s="739"/>
      <c r="Q854" s="739"/>
      <c r="R854" s="739"/>
      <c r="S854" s="739"/>
      <c r="T854" s="739"/>
      <c r="U854" s="739"/>
      <c r="V854" s="739"/>
      <c r="W854" s="739"/>
      <c r="X854" s="739"/>
      <c r="Y854" s="739"/>
      <c r="Z854" s="740"/>
      <c r="AA854" s="740"/>
      <c r="AB854" s="17"/>
      <c r="AC854" s="17"/>
      <c r="AD854" s="17"/>
      <c r="AE854" s="17"/>
      <c r="AF854" s="17"/>
      <c r="AG854" s="17"/>
      <c r="AH854" s="17"/>
      <c r="AI854" s="17"/>
      <c r="AJ854" s="17"/>
      <c r="AK854" s="17"/>
      <c r="AL854" s="17"/>
      <c r="AM854" s="17"/>
      <c r="AN854" s="17"/>
      <c r="AO854" s="17"/>
      <c r="AP854" s="17"/>
      <c r="AQ854" s="17"/>
    </row>
    <row r="855" spans="2:43" hidden="1">
      <c r="B855" s="17"/>
      <c r="C855" s="17"/>
      <c r="D855" s="17"/>
      <c r="E855" s="17"/>
      <c r="F855" s="17"/>
      <c r="G855" s="17"/>
      <c r="H855" s="404"/>
      <c r="I855" s="17"/>
      <c r="K855" s="17"/>
      <c r="L855" s="17"/>
      <c r="M855" s="17"/>
      <c r="N855" s="739"/>
      <c r="O855" s="739"/>
      <c r="P855" s="739"/>
      <c r="Q855" s="739"/>
      <c r="R855" s="739"/>
      <c r="S855" s="739"/>
      <c r="T855" s="739"/>
      <c r="U855" s="739"/>
      <c r="V855" s="739"/>
      <c r="W855" s="739"/>
      <c r="X855" s="739"/>
      <c r="Y855" s="739"/>
      <c r="Z855" s="740"/>
      <c r="AA855" s="740"/>
      <c r="AB855" s="17"/>
      <c r="AC855" s="17"/>
      <c r="AD855" s="17"/>
      <c r="AE855" s="17"/>
      <c r="AF855" s="17"/>
      <c r="AG855" s="17"/>
      <c r="AH855" s="17"/>
      <c r="AI855" s="17"/>
      <c r="AJ855" s="17"/>
      <c r="AK855" s="17"/>
      <c r="AL855" s="17"/>
      <c r="AM855" s="17"/>
      <c r="AN855" s="17"/>
      <c r="AO855" s="17"/>
      <c r="AP855" s="17"/>
      <c r="AQ855" s="17"/>
    </row>
    <row r="856" spans="2:43" hidden="1">
      <c r="B856" s="17"/>
      <c r="C856" s="17"/>
      <c r="D856" s="17"/>
      <c r="E856" s="17"/>
      <c r="F856" s="17"/>
      <c r="G856" s="17"/>
      <c r="H856" s="404"/>
      <c r="I856" s="17"/>
      <c r="K856" s="17"/>
      <c r="L856" s="17"/>
      <c r="M856" s="17"/>
      <c r="N856" s="739"/>
      <c r="O856" s="739"/>
      <c r="P856" s="739"/>
      <c r="Q856" s="739"/>
      <c r="R856" s="739"/>
      <c r="S856" s="739"/>
      <c r="T856" s="739"/>
      <c r="U856" s="739"/>
      <c r="V856" s="739"/>
      <c r="W856" s="739"/>
      <c r="X856" s="739"/>
      <c r="Y856" s="739"/>
      <c r="Z856" s="740"/>
      <c r="AA856" s="740"/>
      <c r="AB856" s="17"/>
      <c r="AC856" s="17"/>
      <c r="AD856" s="17"/>
      <c r="AE856" s="17"/>
      <c r="AF856" s="17"/>
      <c r="AG856" s="17"/>
      <c r="AH856" s="17"/>
      <c r="AI856" s="17"/>
      <c r="AJ856" s="17"/>
      <c r="AK856" s="17"/>
      <c r="AL856" s="17"/>
      <c r="AM856" s="17"/>
      <c r="AN856" s="17"/>
      <c r="AO856" s="17"/>
      <c r="AP856" s="17"/>
      <c r="AQ856" s="17"/>
    </row>
    <row r="857" spans="2:43" hidden="1">
      <c r="B857" s="17"/>
      <c r="C857" s="17"/>
      <c r="D857" s="17"/>
      <c r="E857" s="17"/>
      <c r="F857" s="17"/>
      <c r="G857" s="17"/>
      <c r="H857" s="404"/>
      <c r="I857" s="17"/>
      <c r="K857" s="17"/>
      <c r="L857" s="17"/>
      <c r="M857" s="17"/>
      <c r="N857" s="739"/>
      <c r="O857" s="739"/>
      <c r="P857" s="739"/>
      <c r="Q857" s="739"/>
      <c r="R857" s="739"/>
      <c r="S857" s="739"/>
      <c r="T857" s="739"/>
      <c r="U857" s="739"/>
      <c r="V857" s="739"/>
      <c r="W857" s="739"/>
      <c r="X857" s="739"/>
      <c r="Y857" s="739"/>
      <c r="Z857" s="740"/>
      <c r="AA857" s="740"/>
      <c r="AB857" s="17"/>
      <c r="AC857" s="17"/>
      <c r="AD857" s="17"/>
      <c r="AE857" s="17"/>
      <c r="AF857" s="17"/>
      <c r="AG857" s="17"/>
      <c r="AH857" s="17"/>
      <c r="AI857" s="17"/>
      <c r="AJ857" s="17"/>
      <c r="AK857" s="17"/>
      <c r="AL857" s="17"/>
      <c r="AM857" s="17"/>
      <c r="AN857" s="17"/>
      <c r="AO857" s="17"/>
      <c r="AP857" s="17"/>
      <c r="AQ857" s="17"/>
    </row>
    <row r="858" spans="2:43" hidden="1">
      <c r="B858" s="17"/>
      <c r="C858" s="17"/>
      <c r="D858" s="17"/>
      <c r="E858" s="17"/>
      <c r="F858" s="17"/>
      <c r="G858" s="17"/>
      <c r="H858" s="404"/>
      <c r="I858" s="17"/>
      <c r="K858" s="17"/>
      <c r="L858" s="17"/>
      <c r="M858" s="17"/>
      <c r="N858" s="739"/>
      <c r="O858" s="739"/>
      <c r="P858" s="739"/>
      <c r="Q858" s="739"/>
      <c r="R858" s="739"/>
      <c r="S858" s="739"/>
      <c r="T858" s="739"/>
      <c r="U858" s="739"/>
      <c r="V858" s="739"/>
      <c r="W858" s="739"/>
      <c r="X858" s="739"/>
      <c r="Y858" s="739"/>
      <c r="Z858" s="740"/>
      <c r="AA858" s="740"/>
      <c r="AB858" s="17"/>
      <c r="AC858" s="17"/>
      <c r="AD858" s="17"/>
      <c r="AE858" s="17"/>
      <c r="AF858" s="17"/>
      <c r="AG858" s="17"/>
      <c r="AH858" s="17"/>
      <c r="AI858" s="17"/>
      <c r="AJ858" s="17"/>
      <c r="AK858" s="17"/>
      <c r="AL858" s="17"/>
      <c r="AM858" s="17"/>
      <c r="AN858" s="17"/>
      <c r="AO858" s="17"/>
      <c r="AP858" s="17"/>
      <c r="AQ858" s="17"/>
    </row>
    <row r="859" spans="2:43" hidden="1">
      <c r="B859" s="17"/>
      <c r="C859" s="17"/>
      <c r="D859" s="17"/>
      <c r="E859" s="17"/>
      <c r="F859" s="17"/>
      <c r="G859" s="17"/>
      <c r="H859" s="404"/>
      <c r="I859" s="17"/>
      <c r="K859" s="17"/>
      <c r="L859" s="17"/>
      <c r="M859" s="17"/>
      <c r="N859" s="739"/>
      <c r="O859" s="739"/>
      <c r="P859" s="739"/>
      <c r="Q859" s="739"/>
      <c r="R859" s="739"/>
      <c r="S859" s="739"/>
      <c r="T859" s="739"/>
      <c r="U859" s="739"/>
      <c r="V859" s="739"/>
      <c r="W859" s="739"/>
      <c r="X859" s="739"/>
      <c r="Y859" s="739"/>
      <c r="Z859" s="740"/>
      <c r="AA859" s="740"/>
      <c r="AB859" s="17"/>
      <c r="AC859" s="17"/>
      <c r="AD859" s="17"/>
      <c r="AE859" s="17"/>
      <c r="AF859" s="17"/>
      <c r="AG859" s="17"/>
      <c r="AH859" s="17"/>
      <c r="AI859" s="17"/>
      <c r="AJ859" s="17"/>
      <c r="AK859" s="17"/>
      <c r="AL859" s="17"/>
      <c r="AM859" s="17"/>
      <c r="AN859" s="17"/>
      <c r="AO859" s="17"/>
      <c r="AP859" s="17"/>
      <c r="AQ859" s="17"/>
    </row>
    <row r="860" spans="2:43" hidden="1">
      <c r="B860" s="17"/>
      <c r="C860" s="17"/>
      <c r="D860" s="17"/>
      <c r="E860" s="17"/>
      <c r="F860" s="17"/>
      <c r="G860" s="17"/>
      <c r="H860" s="404"/>
      <c r="I860" s="17"/>
      <c r="K860" s="17"/>
      <c r="L860" s="17"/>
      <c r="M860" s="17"/>
      <c r="N860" s="739"/>
      <c r="O860" s="739"/>
      <c r="P860" s="739"/>
      <c r="Q860" s="739"/>
      <c r="R860" s="739"/>
      <c r="S860" s="739"/>
      <c r="T860" s="739"/>
      <c r="U860" s="739"/>
      <c r="V860" s="739"/>
      <c r="W860" s="739"/>
      <c r="X860" s="739"/>
      <c r="Y860" s="739"/>
      <c r="Z860" s="740"/>
      <c r="AA860" s="740"/>
      <c r="AB860" s="17"/>
      <c r="AC860" s="17"/>
      <c r="AD860" s="17"/>
      <c r="AE860" s="17"/>
      <c r="AF860" s="17"/>
      <c r="AG860" s="17"/>
      <c r="AH860" s="17"/>
      <c r="AI860" s="17"/>
      <c r="AJ860" s="17"/>
      <c r="AK860" s="17"/>
      <c r="AL860" s="17"/>
      <c r="AM860" s="17"/>
      <c r="AN860" s="17"/>
      <c r="AO860" s="17"/>
      <c r="AP860" s="17"/>
      <c r="AQ860" s="17"/>
    </row>
    <row r="861" spans="2:43" hidden="1">
      <c r="B861" s="17"/>
      <c r="C861" s="17"/>
      <c r="D861" s="17"/>
      <c r="E861" s="17"/>
      <c r="F861" s="17"/>
      <c r="G861" s="17"/>
      <c r="H861" s="404"/>
      <c r="I861" s="17"/>
      <c r="K861" s="17"/>
      <c r="L861" s="17"/>
      <c r="M861" s="17"/>
      <c r="N861" s="739"/>
      <c r="O861" s="739"/>
      <c r="P861" s="739"/>
      <c r="Q861" s="739"/>
      <c r="R861" s="739"/>
      <c r="S861" s="739"/>
      <c r="T861" s="739"/>
      <c r="U861" s="739"/>
      <c r="V861" s="739"/>
      <c r="W861" s="739"/>
      <c r="X861" s="739"/>
      <c r="Y861" s="739"/>
      <c r="Z861" s="740"/>
      <c r="AA861" s="740"/>
      <c r="AB861" s="17"/>
      <c r="AC861" s="17"/>
      <c r="AD861" s="17"/>
      <c r="AE861" s="17"/>
      <c r="AF861" s="17"/>
      <c r="AG861" s="17"/>
      <c r="AH861" s="17"/>
      <c r="AI861" s="17"/>
      <c r="AJ861" s="17"/>
      <c r="AK861" s="17"/>
      <c r="AL861" s="17"/>
      <c r="AM861" s="17"/>
      <c r="AN861" s="17"/>
      <c r="AO861" s="17"/>
      <c r="AP861" s="17"/>
      <c r="AQ861" s="17"/>
    </row>
    <row r="862" spans="2:43" hidden="1">
      <c r="B862" s="17"/>
      <c r="C862" s="17"/>
      <c r="D862" s="17"/>
      <c r="E862" s="17"/>
      <c r="F862" s="17"/>
      <c r="G862" s="17"/>
      <c r="H862" s="404"/>
      <c r="I862" s="17"/>
      <c r="K862" s="17"/>
      <c r="L862" s="17"/>
      <c r="M862" s="17"/>
      <c r="N862" s="739"/>
      <c r="O862" s="739"/>
      <c r="P862" s="739"/>
      <c r="Q862" s="739"/>
      <c r="R862" s="739"/>
      <c r="S862" s="739"/>
      <c r="T862" s="739"/>
      <c r="U862" s="739"/>
      <c r="V862" s="739"/>
      <c r="W862" s="739"/>
      <c r="X862" s="739"/>
      <c r="Y862" s="739"/>
      <c r="Z862" s="740"/>
      <c r="AA862" s="740"/>
      <c r="AB862" s="17"/>
      <c r="AC862" s="17"/>
      <c r="AD862" s="17"/>
      <c r="AE862" s="17"/>
      <c r="AF862" s="17"/>
      <c r="AG862" s="17"/>
      <c r="AH862" s="17"/>
      <c r="AI862" s="17"/>
      <c r="AJ862" s="17"/>
      <c r="AK862" s="17"/>
      <c r="AL862" s="17"/>
      <c r="AM862" s="17"/>
      <c r="AN862" s="17"/>
      <c r="AO862" s="17"/>
      <c r="AP862" s="17"/>
      <c r="AQ862" s="17"/>
    </row>
    <row r="863" spans="2:43" hidden="1">
      <c r="B863" s="17"/>
      <c r="C863" s="17"/>
      <c r="D863" s="17"/>
      <c r="E863" s="17"/>
      <c r="F863" s="17"/>
      <c r="G863" s="17"/>
      <c r="H863" s="404"/>
      <c r="I863" s="17"/>
      <c r="K863" s="17"/>
      <c r="L863" s="17"/>
      <c r="M863" s="17"/>
      <c r="N863" s="739"/>
      <c r="O863" s="739"/>
      <c r="P863" s="739"/>
      <c r="Q863" s="739"/>
      <c r="R863" s="739"/>
      <c r="S863" s="739"/>
      <c r="T863" s="739"/>
      <c r="U863" s="739"/>
      <c r="V863" s="739"/>
      <c r="W863" s="739"/>
      <c r="X863" s="739"/>
      <c r="Y863" s="739"/>
      <c r="Z863" s="740"/>
      <c r="AA863" s="740"/>
      <c r="AB863" s="17"/>
      <c r="AC863" s="17"/>
      <c r="AD863" s="17"/>
      <c r="AE863" s="17"/>
      <c r="AF863" s="17"/>
      <c r="AG863" s="17"/>
      <c r="AH863" s="17"/>
      <c r="AI863" s="17"/>
      <c r="AJ863" s="17"/>
      <c r="AK863" s="17"/>
      <c r="AL863" s="17"/>
      <c r="AM863" s="17"/>
      <c r="AN863" s="17"/>
      <c r="AO863" s="17"/>
      <c r="AP863" s="17"/>
      <c r="AQ863" s="17"/>
    </row>
    <row r="864" spans="2:43" hidden="1">
      <c r="B864" s="17"/>
      <c r="C864" s="17"/>
      <c r="D864" s="17"/>
      <c r="E864" s="17"/>
      <c r="F864" s="17"/>
      <c r="G864" s="17"/>
      <c r="H864" s="404"/>
      <c r="I864" s="17"/>
      <c r="K864" s="17"/>
      <c r="L864" s="17"/>
      <c r="M864" s="17"/>
      <c r="N864" s="739"/>
      <c r="O864" s="739"/>
      <c r="P864" s="739"/>
      <c r="Q864" s="739"/>
      <c r="R864" s="739"/>
      <c r="S864" s="739"/>
      <c r="T864" s="739"/>
      <c r="U864" s="739"/>
      <c r="V864" s="739"/>
      <c r="W864" s="739"/>
      <c r="X864" s="739"/>
      <c r="Y864" s="739"/>
      <c r="Z864" s="740"/>
      <c r="AA864" s="740"/>
      <c r="AB864" s="17"/>
      <c r="AC864" s="17"/>
      <c r="AD864" s="17"/>
      <c r="AE864" s="17"/>
      <c r="AF864" s="17"/>
      <c r="AG864" s="17"/>
      <c r="AH864" s="17"/>
      <c r="AI864" s="17"/>
      <c r="AJ864" s="17"/>
      <c r="AK864" s="17"/>
      <c r="AL864" s="17"/>
      <c r="AM864" s="17"/>
      <c r="AN864" s="17"/>
      <c r="AO864" s="17"/>
      <c r="AP864" s="17"/>
      <c r="AQ864" s="17"/>
    </row>
    <row r="865" spans="2:43" hidden="1">
      <c r="B865" s="17"/>
      <c r="C865" s="17"/>
      <c r="D865" s="17"/>
      <c r="E865" s="17"/>
      <c r="F865" s="17"/>
      <c r="G865" s="17"/>
      <c r="H865" s="404"/>
      <c r="I865" s="17"/>
      <c r="K865" s="17"/>
      <c r="L865" s="17"/>
      <c r="M865" s="17"/>
      <c r="N865" s="739"/>
      <c r="O865" s="739"/>
      <c r="P865" s="739"/>
      <c r="Q865" s="739"/>
      <c r="R865" s="739"/>
      <c r="S865" s="739"/>
      <c r="T865" s="739"/>
      <c r="U865" s="739"/>
      <c r="V865" s="739"/>
      <c r="W865" s="739"/>
      <c r="X865" s="739"/>
      <c r="Y865" s="739"/>
      <c r="Z865" s="740"/>
      <c r="AA865" s="740"/>
      <c r="AB865" s="17"/>
      <c r="AC865" s="17"/>
      <c r="AD865" s="17"/>
      <c r="AE865" s="17"/>
      <c r="AF865" s="17"/>
      <c r="AG865" s="17"/>
      <c r="AH865" s="17"/>
      <c r="AI865" s="17"/>
      <c r="AJ865" s="17"/>
      <c r="AK865" s="17"/>
      <c r="AL865" s="17"/>
      <c r="AM865" s="17"/>
      <c r="AN865" s="17"/>
      <c r="AO865" s="17"/>
      <c r="AP865" s="17"/>
      <c r="AQ865" s="17"/>
    </row>
    <row r="866" spans="2:43" hidden="1">
      <c r="B866" s="17"/>
      <c r="C866" s="17"/>
      <c r="D866" s="17"/>
      <c r="E866" s="17"/>
      <c r="F866" s="17"/>
      <c r="G866" s="17"/>
      <c r="H866" s="404"/>
      <c r="I866" s="17"/>
      <c r="K866" s="17"/>
      <c r="L866" s="17"/>
      <c r="M866" s="17"/>
      <c r="N866" s="739"/>
      <c r="O866" s="739"/>
      <c r="P866" s="739"/>
      <c r="Q866" s="739"/>
      <c r="R866" s="739"/>
      <c r="S866" s="739"/>
      <c r="T866" s="739"/>
      <c r="U866" s="739"/>
      <c r="V866" s="739"/>
      <c r="W866" s="739"/>
      <c r="X866" s="739"/>
      <c r="Y866" s="739"/>
      <c r="Z866" s="740"/>
      <c r="AA866" s="740"/>
      <c r="AB866" s="17"/>
      <c r="AC866" s="17"/>
      <c r="AD866" s="17"/>
      <c r="AE866" s="17"/>
      <c r="AF866" s="17"/>
      <c r="AG866" s="17"/>
      <c r="AH866" s="17"/>
      <c r="AI866" s="17"/>
      <c r="AJ866" s="17"/>
      <c r="AK866" s="17"/>
      <c r="AL866" s="17"/>
      <c r="AM866" s="17"/>
      <c r="AN866" s="17"/>
      <c r="AO866" s="17"/>
      <c r="AP866" s="17"/>
      <c r="AQ866" s="17"/>
    </row>
    <row r="867" spans="2:43" hidden="1">
      <c r="B867" s="17"/>
      <c r="C867" s="17"/>
      <c r="D867" s="17"/>
      <c r="E867" s="17"/>
      <c r="F867" s="17"/>
      <c r="G867" s="17"/>
      <c r="H867" s="404"/>
      <c r="I867" s="17"/>
      <c r="K867" s="17"/>
      <c r="L867" s="17"/>
      <c r="M867" s="17"/>
      <c r="N867" s="739"/>
      <c r="O867" s="739"/>
      <c r="P867" s="739"/>
      <c r="Q867" s="739"/>
      <c r="R867" s="739"/>
      <c r="S867" s="739"/>
      <c r="T867" s="739"/>
      <c r="U867" s="739"/>
      <c r="V867" s="739"/>
      <c r="W867" s="739"/>
      <c r="X867" s="739"/>
      <c r="Y867" s="739"/>
      <c r="Z867" s="740"/>
      <c r="AA867" s="740"/>
      <c r="AB867" s="17"/>
      <c r="AC867" s="17"/>
      <c r="AD867" s="17"/>
      <c r="AE867" s="17"/>
      <c r="AF867" s="17"/>
      <c r="AG867" s="17"/>
      <c r="AH867" s="17"/>
      <c r="AI867" s="17"/>
      <c r="AJ867" s="17"/>
      <c r="AK867" s="17"/>
      <c r="AL867" s="17"/>
      <c r="AM867" s="17"/>
      <c r="AN867" s="17"/>
      <c r="AO867" s="17"/>
      <c r="AP867" s="17"/>
      <c r="AQ867" s="17"/>
    </row>
    <row r="868" spans="2:43" hidden="1">
      <c r="B868" s="17"/>
      <c r="C868" s="17"/>
      <c r="D868" s="17"/>
      <c r="E868" s="17"/>
      <c r="F868" s="17"/>
      <c r="G868" s="17"/>
      <c r="H868" s="404"/>
      <c r="I868" s="17"/>
      <c r="K868" s="17"/>
      <c r="L868" s="17"/>
      <c r="M868" s="17"/>
      <c r="N868" s="739"/>
      <c r="O868" s="739"/>
      <c r="P868" s="739"/>
      <c r="Q868" s="739"/>
      <c r="R868" s="739"/>
      <c r="S868" s="739"/>
      <c r="T868" s="739"/>
      <c r="U868" s="739"/>
      <c r="V868" s="739"/>
      <c r="W868" s="739"/>
      <c r="X868" s="739"/>
      <c r="Y868" s="739"/>
      <c r="Z868" s="740"/>
      <c r="AA868" s="740"/>
      <c r="AB868" s="17"/>
      <c r="AC868" s="17"/>
      <c r="AD868" s="17"/>
      <c r="AE868" s="17"/>
      <c r="AF868" s="17"/>
      <c r="AG868" s="17"/>
      <c r="AH868" s="17"/>
      <c r="AI868" s="17"/>
      <c r="AJ868" s="17"/>
      <c r="AK868" s="17"/>
      <c r="AL868" s="17"/>
      <c r="AM868" s="17"/>
      <c r="AN868" s="17"/>
      <c r="AO868" s="17"/>
      <c r="AP868" s="17"/>
      <c r="AQ868" s="17"/>
    </row>
    <row r="869" spans="2:43" hidden="1">
      <c r="B869" s="17"/>
      <c r="C869" s="17"/>
      <c r="D869" s="17"/>
      <c r="E869" s="17"/>
      <c r="F869" s="17"/>
      <c r="G869" s="17"/>
      <c r="H869" s="404"/>
      <c r="I869" s="17"/>
      <c r="K869" s="17"/>
      <c r="L869" s="17"/>
      <c r="M869" s="17"/>
      <c r="N869" s="739"/>
      <c r="O869" s="739"/>
      <c r="P869" s="739"/>
      <c r="Q869" s="739"/>
      <c r="R869" s="739"/>
      <c r="S869" s="739"/>
      <c r="T869" s="739"/>
      <c r="U869" s="739"/>
      <c r="V869" s="739"/>
      <c r="W869" s="739"/>
      <c r="X869" s="739"/>
      <c r="Y869" s="739"/>
      <c r="Z869" s="740"/>
      <c r="AA869" s="740"/>
      <c r="AB869" s="17"/>
      <c r="AC869" s="17"/>
      <c r="AD869" s="17"/>
      <c r="AE869" s="17"/>
      <c r="AF869" s="17"/>
      <c r="AG869" s="17"/>
      <c r="AH869" s="17"/>
      <c r="AI869" s="17"/>
      <c r="AJ869" s="17"/>
      <c r="AK869" s="17"/>
      <c r="AL869" s="17"/>
      <c r="AM869" s="17"/>
      <c r="AN869" s="17"/>
      <c r="AO869" s="17"/>
      <c r="AP869" s="17"/>
      <c r="AQ869" s="17"/>
    </row>
    <row r="870" spans="2:43" hidden="1">
      <c r="B870" s="17"/>
      <c r="C870" s="17"/>
      <c r="D870" s="17"/>
      <c r="E870" s="17"/>
      <c r="F870" s="17"/>
      <c r="G870" s="17"/>
      <c r="H870" s="404"/>
      <c r="I870" s="17"/>
      <c r="K870" s="17"/>
      <c r="L870" s="17"/>
      <c r="M870" s="17"/>
      <c r="N870" s="739"/>
      <c r="O870" s="739"/>
      <c r="P870" s="739"/>
      <c r="Q870" s="739"/>
      <c r="R870" s="739"/>
      <c r="S870" s="739"/>
      <c r="T870" s="739"/>
      <c r="U870" s="739"/>
      <c r="V870" s="739"/>
      <c r="W870" s="739"/>
      <c r="X870" s="739"/>
      <c r="Y870" s="739"/>
      <c r="Z870" s="740"/>
      <c r="AA870" s="740"/>
      <c r="AB870" s="17"/>
      <c r="AC870" s="17"/>
      <c r="AD870" s="17"/>
      <c r="AE870" s="17"/>
      <c r="AF870" s="17"/>
      <c r="AG870" s="17"/>
      <c r="AH870" s="17"/>
      <c r="AI870" s="17"/>
      <c r="AJ870" s="17"/>
      <c r="AK870" s="17"/>
      <c r="AL870" s="17"/>
      <c r="AM870" s="17"/>
      <c r="AN870" s="17"/>
      <c r="AO870" s="17"/>
      <c r="AP870" s="17"/>
      <c r="AQ870" s="17"/>
    </row>
    <row r="871" spans="2:43" hidden="1">
      <c r="B871" s="17"/>
      <c r="C871" s="17"/>
      <c r="D871" s="17"/>
      <c r="E871" s="17"/>
      <c r="F871" s="17"/>
      <c r="G871" s="17"/>
      <c r="H871" s="404"/>
      <c r="I871" s="17"/>
      <c r="K871" s="17"/>
      <c r="L871" s="17"/>
      <c r="M871" s="17"/>
      <c r="N871" s="739"/>
      <c r="O871" s="739"/>
      <c r="P871" s="739"/>
      <c r="Q871" s="739"/>
      <c r="R871" s="739"/>
      <c r="S871" s="739"/>
      <c r="T871" s="739"/>
      <c r="U871" s="739"/>
      <c r="V871" s="739"/>
      <c r="W871" s="739"/>
      <c r="X871" s="739"/>
      <c r="Y871" s="739"/>
      <c r="Z871" s="740"/>
      <c r="AA871" s="740"/>
      <c r="AB871" s="17"/>
      <c r="AC871" s="17"/>
      <c r="AD871" s="17"/>
      <c r="AE871" s="17"/>
      <c r="AF871" s="17"/>
      <c r="AG871" s="17"/>
      <c r="AH871" s="17"/>
      <c r="AI871" s="17"/>
      <c r="AJ871" s="17"/>
      <c r="AK871" s="17"/>
      <c r="AL871" s="17"/>
      <c r="AM871" s="17"/>
      <c r="AN871" s="17"/>
      <c r="AO871" s="17"/>
      <c r="AP871" s="17"/>
      <c r="AQ871" s="17"/>
    </row>
    <row r="872" spans="2:43" hidden="1">
      <c r="B872" s="17"/>
      <c r="C872" s="17"/>
      <c r="D872" s="17"/>
      <c r="E872" s="17"/>
      <c r="F872" s="17"/>
      <c r="G872" s="17"/>
      <c r="H872" s="404"/>
      <c r="I872" s="17"/>
      <c r="K872" s="17"/>
      <c r="L872" s="17"/>
      <c r="M872" s="17"/>
      <c r="N872" s="739"/>
      <c r="O872" s="739"/>
      <c r="P872" s="739"/>
      <c r="Q872" s="739"/>
      <c r="R872" s="739"/>
      <c r="S872" s="739"/>
      <c r="T872" s="739"/>
      <c r="U872" s="739"/>
      <c r="V872" s="739"/>
      <c r="W872" s="739"/>
      <c r="X872" s="739"/>
      <c r="Y872" s="739"/>
      <c r="Z872" s="740"/>
      <c r="AA872" s="740"/>
      <c r="AB872" s="17"/>
      <c r="AC872" s="17"/>
      <c r="AD872" s="17"/>
      <c r="AE872" s="17"/>
      <c r="AF872" s="17"/>
      <c r="AG872" s="17"/>
      <c r="AH872" s="17"/>
      <c r="AI872" s="17"/>
      <c r="AJ872" s="17"/>
      <c r="AK872" s="17"/>
      <c r="AL872" s="17"/>
      <c r="AM872" s="17"/>
      <c r="AN872" s="17"/>
      <c r="AO872" s="17"/>
      <c r="AP872" s="17"/>
      <c r="AQ872" s="17"/>
    </row>
    <row r="873" spans="2:43" hidden="1">
      <c r="B873" s="17"/>
      <c r="C873" s="17"/>
      <c r="D873" s="17"/>
      <c r="E873" s="17"/>
      <c r="F873" s="17"/>
      <c r="G873" s="17"/>
      <c r="H873" s="404"/>
      <c r="I873" s="17"/>
      <c r="K873" s="17"/>
      <c r="L873" s="17"/>
      <c r="M873" s="17"/>
      <c r="N873" s="739"/>
      <c r="O873" s="739"/>
      <c r="P873" s="739"/>
      <c r="Q873" s="739"/>
      <c r="R873" s="739"/>
      <c r="S873" s="739"/>
      <c r="T873" s="739"/>
      <c r="U873" s="739"/>
      <c r="V873" s="739"/>
      <c r="W873" s="739"/>
      <c r="X873" s="739"/>
      <c r="Y873" s="739"/>
      <c r="Z873" s="740"/>
      <c r="AA873" s="740"/>
      <c r="AB873" s="17"/>
      <c r="AC873" s="17"/>
      <c r="AD873" s="17"/>
      <c r="AE873" s="17"/>
      <c r="AF873" s="17"/>
      <c r="AG873" s="17"/>
      <c r="AH873" s="17"/>
      <c r="AI873" s="17"/>
      <c r="AJ873" s="17"/>
      <c r="AK873" s="17"/>
      <c r="AL873" s="17"/>
      <c r="AM873" s="17"/>
      <c r="AN873" s="17"/>
      <c r="AO873" s="17"/>
      <c r="AP873" s="17"/>
      <c r="AQ873" s="17"/>
    </row>
    <row r="874" spans="2:43" hidden="1">
      <c r="B874" s="17"/>
      <c r="C874" s="17"/>
      <c r="D874" s="17"/>
      <c r="E874" s="17"/>
      <c r="F874" s="17"/>
      <c r="G874" s="17"/>
      <c r="H874" s="404"/>
      <c r="I874" s="17"/>
      <c r="K874" s="17"/>
      <c r="L874" s="17"/>
      <c r="M874" s="17"/>
      <c r="N874" s="739"/>
      <c r="O874" s="739"/>
      <c r="P874" s="739"/>
      <c r="Q874" s="739"/>
      <c r="R874" s="739"/>
      <c r="S874" s="739"/>
      <c r="T874" s="739"/>
      <c r="U874" s="739"/>
      <c r="V874" s="739"/>
      <c r="W874" s="739"/>
      <c r="X874" s="739"/>
      <c r="Y874" s="739"/>
      <c r="Z874" s="740"/>
      <c r="AA874" s="740"/>
      <c r="AB874" s="17"/>
      <c r="AC874" s="17"/>
      <c r="AD874" s="17"/>
      <c r="AE874" s="17"/>
      <c r="AF874" s="17"/>
      <c r="AG874" s="17"/>
      <c r="AH874" s="17"/>
      <c r="AI874" s="17"/>
      <c r="AJ874" s="17"/>
      <c r="AK874" s="17"/>
      <c r="AL874" s="17"/>
      <c r="AM874" s="17"/>
      <c r="AN874" s="17"/>
      <c r="AO874" s="17"/>
      <c r="AP874" s="17"/>
      <c r="AQ874" s="17"/>
    </row>
    <row r="875" spans="2:43" hidden="1">
      <c r="B875" s="17"/>
      <c r="C875" s="17"/>
      <c r="D875" s="17"/>
      <c r="E875" s="17"/>
      <c r="F875" s="17"/>
      <c r="G875" s="17"/>
      <c r="H875" s="404"/>
      <c r="I875" s="17"/>
      <c r="K875" s="17"/>
      <c r="L875" s="17"/>
      <c r="M875" s="17"/>
      <c r="N875" s="739"/>
      <c r="O875" s="739"/>
      <c r="P875" s="739"/>
      <c r="Q875" s="739"/>
      <c r="R875" s="739"/>
      <c r="S875" s="739"/>
      <c r="T875" s="739"/>
      <c r="U875" s="739"/>
      <c r="V875" s="739"/>
      <c r="W875" s="739"/>
      <c r="X875" s="739"/>
      <c r="Y875" s="739"/>
      <c r="Z875" s="740"/>
      <c r="AA875" s="740"/>
      <c r="AB875" s="17"/>
      <c r="AC875" s="17"/>
      <c r="AD875" s="17"/>
      <c r="AE875" s="17"/>
      <c r="AF875" s="17"/>
      <c r="AG875" s="17"/>
      <c r="AH875" s="17"/>
      <c r="AI875" s="17"/>
      <c r="AJ875" s="17"/>
      <c r="AK875" s="17"/>
      <c r="AL875" s="17"/>
      <c r="AM875" s="17"/>
      <c r="AN875" s="17"/>
      <c r="AO875" s="17"/>
      <c r="AP875" s="17"/>
      <c r="AQ875" s="17"/>
    </row>
    <row r="876" spans="2:43" hidden="1">
      <c r="B876" s="17"/>
      <c r="C876" s="17"/>
      <c r="D876" s="17"/>
      <c r="E876" s="17"/>
      <c r="F876" s="17"/>
      <c r="G876" s="17"/>
      <c r="H876" s="404"/>
      <c r="I876" s="17"/>
      <c r="K876" s="17"/>
      <c r="L876" s="17"/>
      <c r="M876" s="17"/>
      <c r="N876" s="739"/>
      <c r="O876" s="739"/>
      <c r="P876" s="739"/>
      <c r="Q876" s="739"/>
      <c r="R876" s="739"/>
      <c r="S876" s="739"/>
      <c r="T876" s="739"/>
      <c r="U876" s="739"/>
      <c r="V876" s="739"/>
      <c r="W876" s="739"/>
      <c r="X876" s="739"/>
      <c r="Y876" s="739"/>
      <c r="Z876" s="740"/>
      <c r="AA876" s="740"/>
      <c r="AB876" s="17"/>
      <c r="AC876" s="17"/>
      <c r="AD876" s="17"/>
      <c r="AE876" s="17"/>
      <c r="AF876" s="17"/>
      <c r="AG876" s="17"/>
      <c r="AH876" s="17"/>
      <c r="AI876" s="17"/>
      <c r="AJ876" s="17"/>
      <c r="AK876" s="17"/>
      <c r="AL876" s="17"/>
      <c r="AM876" s="17"/>
      <c r="AN876" s="17"/>
      <c r="AO876" s="17"/>
      <c r="AP876" s="17"/>
      <c r="AQ876" s="17"/>
    </row>
    <row r="877" spans="2:43" hidden="1">
      <c r="B877" s="17"/>
      <c r="C877" s="17"/>
      <c r="D877" s="17"/>
      <c r="E877" s="17"/>
      <c r="F877" s="17"/>
      <c r="G877" s="17"/>
      <c r="H877" s="404"/>
      <c r="I877" s="17"/>
      <c r="K877" s="17"/>
      <c r="L877" s="17"/>
      <c r="M877" s="17"/>
      <c r="N877" s="739"/>
      <c r="O877" s="739"/>
      <c r="P877" s="739"/>
      <c r="Q877" s="739"/>
      <c r="R877" s="739"/>
      <c r="S877" s="739"/>
      <c r="T877" s="739"/>
      <c r="U877" s="739"/>
      <c r="V877" s="739"/>
      <c r="W877" s="739"/>
      <c r="X877" s="739"/>
      <c r="Y877" s="739"/>
      <c r="Z877" s="740"/>
      <c r="AA877" s="740"/>
      <c r="AB877" s="17"/>
      <c r="AC877" s="17"/>
      <c r="AD877" s="17"/>
      <c r="AE877" s="17"/>
      <c r="AF877" s="17"/>
      <c r="AG877" s="17"/>
      <c r="AH877" s="17"/>
      <c r="AI877" s="17"/>
      <c r="AJ877" s="17"/>
      <c r="AK877" s="17"/>
      <c r="AL877" s="17"/>
      <c r="AM877" s="17"/>
      <c r="AN877" s="17"/>
      <c r="AO877" s="17"/>
      <c r="AP877" s="17"/>
      <c r="AQ877" s="17"/>
    </row>
    <row r="878" spans="2:43" hidden="1">
      <c r="B878" s="17"/>
      <c r="C878" s="17"/>
      <c r="D878" s="17"/>
      <c r="E878" s="17"/>
      <c r="F878" s="17"/>
      <c r="G878" s="17"/>
      <c r="H878" s="404"/>
      <c r="I878" s="17"/>
      <c r="K878" s="17"/>
      <c r="L878" s="17"/>
      <c r="M878" s="17"/>
      <c r="N878" s="739"/>
      <c r="O878" s="739"/>
      <c r="P878" s="739"/>
      <c r="Q878" s="739"/>
      <c r="R878" s="739"/>
      <c r="S878" s="739"/>
      <c r="T878" s="739"/>
      <c r="U878" s="739"/>
      <c r="V878" s="739"/>
      <c r="W878" s="739"/>
      <c r="X878" s="739"/>
      <c r="Y878" s="739"/>
      <c r="Z878" s="740"/>
      <c r="AA878" s="740"/>
      <c r="AB878" s="17"/>
      <c r="AC878" s="17"/>
      <c r="AD878" s="17"/>
      <c r="AE878" s="17"/>
      <c r="AF878" s="17"/>
      <c r="AG878" s="17"/>
      <c r="AH878" s="17"/>
      <c r="AI878" s="17"/>
      <c r="AJ878" s="17"/>
      <c r="AK878" s="17"/>
      <c r="AL878" s="17"/>
      <c r="AM878" s="17"/>
      <c r="AN878" s="17"/>
      <c r="AO878" s="17"/>
      <c r="AP878" s="17"/>
      <c r="AQ878" s="17"/>
    </row>
    <row r="879" spans="2:43" hidden="1">
      <c r="B879" s="17"/>
      <c r="C879" s="17"/>
      <c r="D879" s="17"/>
      <c r="E879" s="17"/>
      <c r="F879" s="17"/>
      <c r="G879" s="17"/>
      <c r="H879" s="404"/>
      <c r="I879" s="17"/>
      <c r="K879" s="17"/>
      <c r="L879" s="17"/>
      <c r="M879" s="17"/>
      <c r="N879" s="739"/>
      <c r="O879" s="739"/>
      <c r="P879" s="739"/>
      <c r="Q879" s="739"/>
      <c r="R879" s="739"/>
      <c r="S879" s="739"/>
      <c r="T879" s="739"/>
      <c r="U879" s="739"/>
      <c r="V879" s="739"/>
      <c r="W879" s="739"/>
      <c r="X879" s="739"/>
      <c r="Y879" s="739"/>
      <c r="Z879" s="740"/>
      <c r="AA879" s="740"/>
      <c r="AB879" s="17"/>
      <c r="AC879" s="17"/>
      <c r="AD879" s="17"/>
      <c r="AE879" s="17"/>
      <c r="AF879" s="17"/>
      <c r="AG879" s="17"/>
      <c r="AH879" s="17"/>
      <c r="AI879" s="17"/>
      <c r="AJ879" s="17"/>
      <c r="AK879" s="17"/>
      <c r="AL879" s="17"/>
      <c r="AM879" s="17"/>
      <c r="AN879" s="17"/>
      <c r="AO879" s="17"/>
      <c r="AP879" s="17"/>
      <c r="AQ879" s="17"/>
    </row>
    <row r="880" spans="2:43" hidden="1">
      <c r="B880" s="17"/>
      <c r="C880" s="17"/>
      <c r="D880" s="17"/>
      <c r="E880" s="17"/>
      <c r="F880" s="17"/>
      <c r="G880" s="17"/>
      <c r="H880" s="404"/>
      <c r="I880" s="17"/>
      <c r="K880" s="17"/>
      <c r="L880" s="17"/>
      <c r="M880" s="17"/>
      <c r="N880" s="739"/>
      <c r="O880" s="739"/>
      <c r="P880" s="739"/>
      <c r="Q880" s="739"/>
      <c r="R880" s="739"/>
      <c r="S880" s="739"/>
      <c r="T880" s="739"/>
      <c r="U880" s="739"/>
      <c r="V880" s="739"/>
      <c r="W880" s="739"/>
      <c r="X880" s="739"/>
      <c r="Y880" s="739"/>
      <c r="Z880" s="740"/>
      <c r="AA880" s="740"/>
      <c r="AB880" s="17"/>
      <c r="AC880" s="17"/>
      <c r="AD880" s="17"/>
      <c r="AE880" s="17"/>
      <c r="AF880" s="17"/>
      <c r="AG880" s="17"/>
      <c r="AH880" s="17"/>
      <c r="AI880" s="17"/>
      <c r="AJ880" s="17"/>
      <c r="AK880" s="17"/>
      <c r="AL880" s="17"/>
      <c r="AM880" s="17"/>
      <c r="AN880" s="17"/>
      <c r="AO880" s="17"/>
      <c r="AP880" s="17"/>
      <c r="AQ880" s="17"/>
    </row>
    <row r="881" spans="2:43" hidden="1">
      <c r="B881" s="17"/>
      <c r="C881" s="17"/>
      <c r="D881" s="17"/>
      <c r="E881" s="17"/>
      <c r="F881" s="17"/>
      <c r="G881" s="17"/>
      <c r="H881" s="404"/>
      <c r="I881" s="17"/>
      <c r="K881" s="17"/>
      <c r="L881" s="17"/>
      <c r="M881" s="17"/>
      <c r="N881" s="739"/>
      <c r="O881" s="739"/>
      <c r="P881" s="739"/>
      <c r="Q881" s="739"/>
      <c r="R881" s="739"/>
      <c r="S881" s="739"/>
      <c r="T881" s="739"/>
      <c r="U881" s="739"/>
      <c r="V881" s="739"/>
      <c r="W881" s="739"/>
      <c r="X881" s="739"/>
      <c r="Y881" s="739"/>
      <c r="Z881" s="740"/>
      <c r="AA881" s="740"/>
      <c r="AB881" s="17"/>
      <c r="AC881" s="17"/>
      <c r="AD881" s="17"/>
      <c r="AE881" s="17"/>
      <c r="AF881" s="17"/>
      <c r="AG881" s="17"/>
      <c r="AH881" s="17"/>
      <c r="AI881" s="17"/>
      <c r="AJ881" s="17"/>
      <c r="AK881" s="17"/>
      <c r="AL881" s="17"/>
      <c r="AM881" s="17"/>
      <c r="AN881" s="17"/>
      <c r="AO881" s="17"/>
      <c r="AP881" s="17"/>
      <c r="AQ881" s="17"/>
    </row>
    <row r="882" spans="2:43" hidden="1">
      <c r="B882" s="17"/>
      <c r="C882" s="17"/>
      <c r="D882" s="17"/>
      <c r="E882" s="17"/>
      <c r="F882" s="17"/>
      <c r="G882" s="17"/>
      <c r="H882" s="404"/>
      <c r="I882" s="17"/>
      <c r="K882" s="17"/>
      <c r="L882" s="17"/>
      <c r="M882" s="17"/>
      <c r="N882" s="739"/>
      <c r="O882" s="739"/>
      <c r="P882" s="739"/>
      <c r="Q882" s="739"/>
      <c r="R882" s="739"/>
      <c r="S882" s="739"/>
      <c r="T882" s="739"/>
      <c r="U882" s="739"/>
      <c r="V882" s="739"/>
      <c r="W882" s="739"/>
      <c r="X882" s="739"/>
      <c r="Y882" s="739"/>
      <c r="Z882" s="740"/>
      <c r="AA882" s="740"/>
      <c r="AB882" s="17"/>
      <c r="AC882" s="17"/>
      <c r="AD882" s="17"/>
      <c r="AE882" s="17"/>
      <c r="AF882" s="17"/>
      <c r="AG882" s="17"/>
      <c r="AH882" s="17"/>
      <c r="AI882" s="17"/>
      <c r="AJ882" s="17"/>
      <c r="AK882" s="17"/>
      <c r="AL882" s="17"/>
      <c r="AM882" s="17"/>
      <c r="AN882" s="17"/>
      <c r="AO882" s="17"/>
      <c r="AP882" s="17"/>
      <c r="AQ882" s="17"/>
    </row>
    <row r="883" spans="2:43" hidden="1">
      <c r="B883" s="17"/>
      <c r="C883" s="17"/>
      <c r="D883" s="17"/>
      <c r="E883" s="17"/>
      <c r="F883" s="17"/>
      <c r="G883" s="17"/>
      <c r="H883" s="404"/>
      <c r="I883" s="17"/>
      <c r="K883" s="17"/>
      <c r="L883" s="17"/>
      <c r="M883" s="17"/>
      <c r="N883" s="739"/>
      <c r="O883" s="739"/>
      <c r="P883" s="739"/>
      <c r="Q883" s="739"/>
      <c r="R883" s="739"/>
      <c r="S883" s="739"/>
      <c r="T883" s="739"/>
      <c r="U883" s="739"/>
      <c r="V883" s="739"/>
      <c r="W883" s="739"/>
      <c r="X883" s="739"/>
      <c r="Y883" s="739"/>
      <c r="Z883" s="740"/>
      <c r="AA883" s="740"/>
      <c r="AB883" s="17"/>
      <c r="AC883" s="17"/>
      <c r="AD883" s="17"/>
      <c r="AE883" s="17"/>
      <c r="AF883" s="17"/>
      <c r="AG883" s="17"/>
      <c r="AH883" s="17"/>
      <c r="AI883" s="17"/>
      <c r="AJ883" s="17"/>
      <c r="AK883" s="17"/>
      <c r="AL883" s="17"/>
      <c r="AM883" s="17"/>
      <c r="AN883" s="17"/>
      <c r="AO883" s="17"/>
      <c r="AP883" s="17"/>
      <c r="AQ883" s="17"/>
    </row>
    <row r="884" spans="2:43" hidden="1">
      <c r="B884" s="17"/>
      <c r="C884" s="17"/>
      <c r="D884" s="17"/>
      <c r="E884" s="17"/>
      <c r="F884" s="17"/>
      <c r="G884" s="17"/>
      <c r="H884" s="404"/>
      <c r="I884" s="17"/>
      <c r="K884" s="17"/>
      <c r="L884" s="17"/>
      <c r="M884" s="17"/>
      <c r="N884" s="739"/>
      <c r="O884" s="739"/>
      <c r="P884" s="739"/>
      <c r="Q884" s="739"/>
      <c r="R884" s="739"/>
      <c r="S884" s="739"/>
      <c r="T884" s="739"/>
      <c r="U884" s="739"/>
      <c r="V884" s="739"/>
      <c r="W884" s="739"/>
      <c r="X884" s="739"/>
      <c r="Y884" s="739"/>
      <c r="Z884" s="740"/>
      <c r="AA884" s="740"/>
      <c r="AB884" s="17"/>
      <c r="AC884" s="17"/>
      <c r="AD884" s="17"/>
      <c r="AE884" s="17"/>
      <c r="AF884" s="17"/>
      <c r="AG884" s="17"/>
      <c r="AH884" s="17"/>
      <c r="AI884" s="17"/>
      <c r="AJ884" s="17"/>
      <c r="AK884" s="17"/>
      <c r="AL884" s="17"/>
      <c r="AM884" s="17"/>
      <c r="AN884" s="17"/>
      <c r="AO884" s="17"/>
      <c r="AP884" s="17"/>
      <c r="AQ884" s="17"/>
    </row>
    <row r="885" spans="2:43" hidden="1">
      <c r="B885" s="17"/>
      <c r="C885" s="17"/>
      <c r="D885" s="17"/>
      <c r="E885" s="17"/>
      <c r="F885" s="17"/>
      <c r="G885" s="17"/>
      <c r="H885" s="404"/>
      <c r="I885" s="17"/>
      <c r="K885" s="17"/>
      <c r="L885" s="17"/>
      <c r="M885" s="17"/>
      <c r="N885" s="739"/>
      <c r="O885" s="739"/>
      <c r="P885" s="739"/>
      <c r="Q885" s="739"/>
      <c r="R885" s="739"/>
      <c r="S885" s="739"/>
      <c r="T885" s="739"/>
      <c r="U885" s="739"/>
      <c r="V885" s="739"/>
      <c r="W885" s="739"/>
      <c r="X885" s="739"/>
      <c r="Y885" s="739"/>
      <c r="Z885" s="740"/>
      <c r="AA885" s="740"/>
      <c r="AB885" s="17"/>
      <c r="AC885" s="17"/>
      <c r="AD885" s="17"/>
      <c r="AE885" s="17"/>
      <c r="AF885" s="17"/>
      <c r="AG885" s="17"/>
      <c r="AH885" s="17"/>
      <c r="AI885" s="17"/>
      <c r="AJ885" s="17"/>
      <c r="AK885" s="17"/>
      <c r="AL885" s="17"/>
      <c r="AM885" s="17"/>
      <c r="AN885" s="17"/>
      <c r="AO885" s="17"/>
      <c r="AP885" s="17"/>
      <c r="AQ885" s="17"/>
    </row>
    <row r="886" spans="2:43" hidden="1">
      <c r="B886" s="17"/>
      <c r="C886" s="17"/>
      <c r="D886" s="17"/>
      <c r="E886" s="17"/>
      <c r="F886" s="17"/>
      <c r="G886" s="17"/>
      <c r="H886" s="404"/>
      <c r="I886" s="17"/>
      <c r="K886" s="17"/>
      <c r="L886" s="17"/>
      <c r="M886" s="17"/>
      <c r="N886" s="739"/>
      <c r="O886" s="739"/>
      <c r="P886" s="739"/>
      <c r="Q886" s="739"/>
      <c r="R886" s="739"/>
      <c r="S886" s="739"/>
      <c r="T886" s="739"/>
      <c r="U886" s="739"/>
      <c r="V886" s="739"/>
      <c r="W886" s="739"/>
      <c r="X886" s="739"/>
      <c r="Y886" s="739"/>
      <c r="Z886" s="740"/>
      <c r="AA886" s="740"/>
      <c r="AB886" s="17"/>
      <c r="AC886" s="17"/>
      <c r="AD886" s="17"/>
      <c r="AE886" s="17"/>
      <c r="AF886" s="17"/>
      <c r="AG886" s="17"/>
      <c r="AH886" s="17"/>
      <c r="AI886" s="17"/>
      <c r="AJ886" s="17"/>
      <c r="AK886" s="17"/>
      <c r="AL886" s="17"/>
      <c r="AM886" s="17"/>
      <c r="AN886" s="17"/>
      <c r="AO886" s="17"/>
      <c r="AP886" s="17"/>
      <c r="AQ886" s="17"/>
    </row>
    <row r="887" spans="2:43" hidden="1">
      <c r="B887" s="17"/>
      <c r="C887" s="17"/>
      <c r="D887" s="17"/>
      <c r="E887" s="17"/>
      <c r="F887" s="17"/>
      <c r="G887" s="17"/>
      <c r="H887" s="404"/>
      <c r="I887" s="17"/>
      <c r="K887" s="17"/>
      <c r="L887" s="17"/>
      <c r="M887" s="17"/>
      <c r="N887" s="739"/>
      <c r="O887" s="739"/>
      <c r="P887" s="739"/>
      <c r="Q887" s="739"/>
      <c r="R887" s="739"/>
      <c r="S887" s="739"/>
      <c r="T887" s="739"/>
      <c r="U887" s="739"/>
      <c r="V887" s="739"/>
      <c r="W887" s="739"/>
      <c r="X887" s="739"/>
      <c r="Y887" s="739"/>
      <c r="Z887" s="740"/>
      <c r="AA887" s="740"/>
      <c r="AB887" s="17"/>
      <c r="AC887" s="17"/>
      <c r="AD887" s="17"/>
      <c r="AE887" s="17"/>
      <c r="AF887" s="17"/>
      <c r="AG887" s="17"/>
      <c r="AH887" s="17"/>
      <c r="AI887" s="17"/>
      <c r="AJ887" s="17"/>
      <c r="AK887" s="17"/>
      <c r="AL887" s="17"/>
      <c r="AM887" s="17"/>
      <c r="AN887" s="17"/>
      <c r="AO887" s="17"/>
      <c r="AP887" s="17"/>
      <c r="AQ887" s="17"/>
    </row>
    <row r="888" spans="2:43" hidden="1">
      <c r="B888" s="17"/>
      <c r="C888" s="17"/>
      <c r="D888" s="17"/>
      <c r="E888" s="17"/>
      <c r="F888" s="17"/>
      <c r="G888" s="17"/>
      <c r="H888" s="404"/>
      <c r="I888" s="17"/>
      <c r="K888" s="17"/>
      <c r="L888" s="17"/>
      <c r="M888" s="17"/>
      <c r="N888" s="739"/>
      <c r="O888" s="739"/>
      <c r="P888" s="739"/>
      <c r="Q888" s="739"/>
      <c r="R888" s="739"/>
      <c r="S888" s="739"/>
      <c r="T888" s="739"/>
      <c r="U888" s="739"/>
      <c r="V888" s="739"/>
      <c r="W888" s="739"/>
      <c r="X888" s="739"/>
      <c r="Y888" s="739"/>
      <c r="Z888" s="740"/>
      <c r="AA888" s="740"/>
      <c r="AB888" s="17"/>
      <c r="AC888" s="17"/>
      <c r="AD888" s="17"/>
      <c r="AE888" s="17"/>
      <c r="AF888" s="17"/>
      <c r="AG888" s="17"/>
      <c r="AH888" s="17"/>
      <c r="AI888" s="17"/>
      <c r="AJ888" s="17"/>
      <c r="AK888" s="17"/>
      <c r="AL888" s="17"/>
      <c r="AM888" s="17"/>
      <c r="AN888" s="17"/>
      <c r="AO888" s="17"/>
      <c r="AP888" s="17"/>
      <c r="AQ888" s="17"/>
    </row>
    <row r="889" spans="2:43" hidden="1">
      <c r="B889" s="17"/>
      <c r="C889" s="17"/>
      <c r="D889" s="17"/>
      <c r="E889" s="17"/>
      <c r="F889" s="17"/>
      <c r="G889" s="17"/>
      <c r="H889" s="404"/>
      <c r="I889" s="17"/>
      <c r="K889" s="17"/>
      <c r="L889" s="17"/>
      <c r="M889" s="17"/>
      <c r="N889" s="739"/>
      <c r="O889" s="739"/>
      <c r="P889" s="739"/>
      <c r="Q889" s="739"/>
      <c r="R889" s="739"/>
      <c r="S889" s="739"/>
      <c r="T889" s="739"/>
      <c r="U889" s="739"/>
      <c r="V889" s="739"/>
      <c r="W889" s="739"/>
      <c r="X889" s="739"/>
      <c r="Y889" s="739"/>
      <c r="Z889" s="740"/>
      <c r="AA889" s="740"/>
      <c r="AB889" s="17"/>
      <c r="AC889" s="17"/>
      <c r="AD889" s="17"/>
      <c r="AE889" s="17"/>
      <c r="AF889" s="17"/>
      <c r="AG889" s="17"/>
      <c r="AH889" s="17"/>
      <c r="AI889" s="17"/>
      <c r="AJ889" s="17"/>
      <c r="AK889" s="17"/>
      <c r="AL889" s="17"/>
      <c r="AM889" s="17"/>
      <c r="AN889" s="17"/>
      <c r="AO889" s="17"/>
      <c r="AP889" s="17"/>
      <c r="AQ889" s="17"/>
    </row>
    <row r="890" spans="2:43" hidden="1">
      <c r="B890" s="17"/>
      <c r="C890" s="17"/>
      <c r="D890" s="17"/>
      <c r="E890" s="17"/>
      <c r="F890" s="17"/>
      <c r="G890" s="17"/>
      <c r="H890" s="404"/>
      <c r="I890" s="17"/>
      <c r="K890" s="17"/>
      <c r="L890" s="17"/>
      <c r="M890" s="17"/>
      <c r="N890" s="739"/>
      <c r="O890" s="739"/>
      <c r="P890" s="739"/>
      <c r="Q890" s="739"/>
      <c r="R890" s="739"/>
      <c r="S890" s="739"/>
      <c r="T890" s="739"/>
      <c r="U890" s="739"/>
      <c r="V890" s="739"/>
      <c r="W890" s="739"/>
      <c r="X890" s="739"/>
      <c r="Y890" s="739"/>
      <c r="Z890" s="740"/>
      <c r="AA890" s="740"/>
      <c r="AB890" s="17"/>
      <c r="AC890" s="17"/>
      <c r="AD890" s="17"/>
      <c r="AE890" s="17"/>
      <c r="AF890" s="17"/>
      <c r="AG890" s="17"/>
      <c r="AH890" s="17"/>
      <c r="AI890" s="17"/>
      <c r="AJ890" s="17"/>
      <c r="AK890" s="17"/>
      <c r="AL890" s="17"/>
      <c r="AM890" s="17"/>
      <c r="AN890" s="17"/>
      <c r="AO890" s="17"/>
      <c r="AP890" s="17"/>
      <c r="AQ890" s="17"/>
    </row>
    <row r="891" spans="2:43" hidden="1">
      <c r="B891" s="17"/>
      <c r="C891" s="17"/>
      <c r="D891" s="17"/>
      <c r="E891" s="17"/>
      <c r="F891" s="17"/>
      <c r="G891" s="17"/>
      <c r="H891" s="404"/>
      <c r="I891" s="17"/>
      <c r="K891" s="17"/>
      <c r="L891" s="17"/>
      <c r="M891" s="17"/>
      <c r="N891" s="739"/>
      <c r="O891" s="739"/>
      <c r="P891" s="739"/>
      <c r="Q891" s="739"/>
      <c r="R891" s="739"/>
      <c r="S891" s="739"/>
      <c r="T891" s="739"/>
      <c r="U891" s="739"/>
      <c r="V891" s="739"/>
      <c r="W891" s="739"/>
      <c r="X891" s="739"/>
      <c r="Y891" s="739"/>
      <c r="Z891" s="740"/>
      <c r="AA891" s="740"/>
      <c r="AB891" s="17"/>
      <c r="AC891" s="17"/>
      <c r="AD891" s="17"/>
      <c r="AE891" s="17"/>
      <c r="AF891" s="17"/>
      <c r="AG891" s="17"/>
      <c r="AH891" s="17"/>
      <c r="AI891" s="17"/>
      <c r="AJ891" s="17"/>
      <c r="AK891" s="17"/>
      <c r="AL891" s="17"/>
      <c r="AM891" s="17"/>
      <c r="AN891" s="17"/>
      <c r="AO891" s="17"/>
      <c r="AP891" s="17"/>
      <c r="AQ891" s="17"/>
    </row>
    <row r="892" spans="2:43" hidden="1">
      <c r="B892" s="17"/>
      <c r="C892" s="17"/>
      <c r="D892" s="17"/>
      <c r="E892" s="17"/>
      <c r="F892" s="17"/>
      <c r="G892" s="17"/>
      <c r="H892" s="404"/>
      <c r="I892" s="17"/>
      <c r="K892" s="17"/>
      <c r="L892" s="17"/>
      <c r="M892" s="17"/>
      <c r="N892" s="739"/>
      <c r="O892" s="739"/>
      <c r="P892" s="739"/>
      <c r="Q892" s="739"/>
      <c r="R892" s="739"/>
      <c r="S892" s="739"/>
      <c r="T892" s="739"/>
      <c r="U892" s="739"/>
      <c r="V892" s="739"/>
      <c r="W892" s="739"/>
      <c r="X892" s="739"/>
      <c r="Y892" s="739"/>
      <c r="Z892" s="740"/>
      <c r="AA892" s="740"/>
      <c r="AB892" s="17"/>
      <c r="AC892" s="17"/>
      <c r="AD892" s="17"/>
      <c r="AE892" s="17"/>
      <c r="AF892" s="17"/>
      <c r="AG892" s="17"/>
      <c r="AH892" s="17"/>
      <c r="AI892" s="17"/>
      <c r="AJ892" s="17"/>
      <c r="AK892" s="17"/>
      <c r="AL892" s="17"/>
      <c r="AM892" s="17"/>
      <c r="AN892" s="17"/>
      <c r="AO892" s="17"/>
      <c r="AP892" s="17"/>
      <c r="AQ892" s="17"/>
    </row>
    <row r="893" spans="2:43" hidden="1">
      <c r="B893" s="17"/>
      <c r="C893" s="17"/>
      <c r="D893" s="17"/>
      <c r="E893" s="17"/>
      <c r="F893" s="17"/>
      <c r="G893" s="17"/>
      <c r="H893" s="404"/>
      <c r="I893" s="17"/>
      <c r="K893" s="17"/>
      <c r="L893" s="17"/>
      <c r="M893" s="17"/>
      <c r="N893" s="739"/>
      <c r="O893" s="739"/>
      <c r="P893" s="739"/>
      <c r="Q893" s="739"/>
      <c r="R893" s="739"/>
      <c r="S893" s="739"/>
      <c r="T893" s="739"/>
      <c r="U893" s="739"/>
      <c r="V893" s="739"/>
      <c r="W893" s="739"/>
      <c r="X893" s="739"/>
      <c r="Y893" s="739"/>
      <c r="Z893" s="740"/>
      <c r="AA893" s="740"/>
      <c r="AB893" s="17"/>
      <c r="AC893" s="17"/>
      <c r="AD893" s="17"/>
      <c r="AE893" s="17"/>
      <c r="AF893" s="17"/>
      <c r="AG893" s="17"/>
      <c r="AH893" s="17"/>
      <c r="AI893" s="17"/>
      <c r="AJ893" s="17"/>
      <c r="AK893" s="17"/>
      <c r="AL893" s="17"/>
      <c r="AM893" s="17"/>
      <c r="AN893" s="17"/>
      <c r="AO893" s="17"/>
      <c r="AP893" s="17"/>
      <c r="AQ893" s="17"/>
    </row>
    <row r="894" spans="2:43" hidden="1">
      <c r="B894" s="17"/>
      <c r="C894" s="17"/>
      <c r="D894" s="17"/>
      <c r="E894" s="17"/>
      <c r="F894" s="17"/>
      <c r="G894" s="17"/>
      <c r="H894" s="404"/>
      <c r="I894" s="17"/>
      <c r="K894" s="17"/>
      <c r="L894" s="17"/>
      <c r="M894" s="17"/>
      <c r="N894" s="739"/>
      <c r="O894" s="739"/>
      <c r="P894" s="739"/>
      <c r="Q894" s="739"/>
      <c r="R894" s="739"/>
      <c r="S894" s="739"/>
      <c r="T894" s="739"/>
      <c r="U894" s="739"/>
      <c r="V894" s="739"/>
      <c r="W894" s="739"/>
      <c r="X894" s="739"/>
      <c r="Y894" s="739"/>
      <c r="Z894" s="740"/>
      <c r="AA894" s="740"/>
      <c r="AB894" s="17"/>
      <c r="AC894" s="17"/>
      <c r="AD894" s="17"/>
      <c r="AE894" s="17"/>
      <c r="AF894" s="17"/>
      <c r="AG894" s="17"/>
      <c r="AH894" s="17"/>
      <c r="AI894" s="17"/>
      <c r="AJ894" s="17"/>
      <c r="AK894" s="17"/>
      <c r="AL894" s="17"/>
      <c r="AM894" s="17"/>
      <c r="AN894" s="17"/>
      <c r="AO894" s="17"/>
      <c r="AP894" s="17"/>
      <c r="AQ894" s="17"/>
    </row>
    <row r="895" spans="2:43" hidden="1">
      <c r="B895" s="17"/>
      <c r="C895" s="17"/>
      <c r="D895" s="17"/>
      <c r="E895" s="17"/>
      <c r="F895" s="17"/>
      <c r="G895" s="17"/>
      <c r="H895" s="404"/>
      <c r="I895" s="17"/>
      <c r="K895" s="17"/>
      <c r="L895" s="17"/>
      <c r="M895" s="17"/>
      <c r="N895" s="739"/>
      <c r="O895" s="739"/>
      <c r="P895" s="739"/>
      <c r="Q895" s="739"/>
      <c r="R895" s="739"/>
      <c r="S895" s="739"/>
      <c r="T895" s="739"/>
      <c r="U895" s="739"/>
      <c r="V895" s="739"/>
      <c r="W895" s="739"/>
      <c r="X895" s="739"/>
      <c r="Y895" s="739"/>
      <c r="Z895" s="740"/>
      <c r="AA895" s="740"/>
      <c r="AB895" s="17"/>
      <c r="AC895" s="17"/>
      <c r="AD895" s="17"/>
      <c r="AE895" s="17"/>
      <c r="AF895" s="17"/>
      <c r="AG895" s="17"/>
      <c r="AH895" s="17"/>
      <c r="AI895" s="17"/>
      <c r="AJ895" s="17"/>
      <c r="AK895" s="17"/>
      <c r="AL895" s="17"/>
      <c r="AM895" s="17"/>
      <c r="AN895" s="17"/>
      <c r="AO895" s="17"/>
      <c r="AP895" s="17"/>
      <c r="AQ895" s="17"/>
    </row>
    <row r="896" spans="2:43" hidden="1">
      <c r="B896" s="17"/>
      <c r="C896" s="17"/>
      <c r="D896" s="17"/>
      <c r="E896" s="17"/>
      <c r="F896" s="17"/>
      <c r="G896" s="17"/>
      <c r="H896" s="404"/>
      <c r="I896" s="17"/>
      <c r="K896" s="17"/>
      <c r="L896" s="17"/>
      <c r="M896" s="17"/>
      <c r="N896" s="739"/>
      <c r="O896" s="739"/>
      <c r="P896" s="739"/>
      <c r="Q896" s="739"/>
      <c r="R896" s="739"/>
      <c r="S896" s="739"/>
      <c r="T896" s="739"/>
      <c r="U896" s="739"/>
      <c r="V896" s="739"/>
      <c r="W896" s="739"/>
      <c r="X896" s="739"/>
      <c r="Y896" s="739"/>
      <c r="Z896" s="740"/>
      <c r="AA896" s="740"/>
      <c r="AB896" s="17"/>
      <c r="AC896" s="17"/>
      <c r="AD896" s="17"/>
      <c r="AE896" s="17"/>
      <c r="AF896" s="17"/>
      <c r="AG896" s="17"/>
      <c r="AH896" s="17"/>
      <c r="AI896" s="17"/>
      <c r="AJ896" s="17"/>
      <c r="AK896" s="17"/>
      <c r="AL896" s="17"/>
      <c r="AM896" s="17"/>
      <c r="AN896" s="17"/>
      <c r="AO896" s="17"/>
      <c r="AP896" s="17"/>
      <c r="AQ896" s="17"/>
    </row>
    <row r="897" spans="2:43" hidden="1">
      <c r="B897" s="17"/>
      <c r="C897" s="17"/>
      <c r="D897" s="17"/>
      <c r="E897" s="17"/>
      <c r="F897" s="17"/>
      <c r="G897" s="17"/>
      <c r="H897" s="404"/>
      <c r="I897" s="17"/>
      <c r="K897" s="17"/>
      <c r="L897" s="17"/>
      <c r="M897" s="17"/>
      <c r="N897" s="739"/>
      <c r="O897" s="739"/>
      <c r="P897" s="739"/>
      <c r="Q897" s="739"/>
      <c r="R897" s="739"/>
      <c r="S897" s="739"/>
      <c r="T897" s="739"/>
      <c r="U897" s="739"/>
      <c r="V897" s="739"/>
      <c r="W897" s="739"/>
      <c r="X897" s="739"/>
      <c r="Y897" s="739"/>
      <c r="Z897" s="740"/>
      <c r="AA897" s="740"/>
      <c r="AB897" s="17"/>
      <c r="AC897" s="17"/>
      <c r="AD897" s="17"/>
      <c r="AE897" s="17"/>
      <c r="AF897" s="17"/>
      <c r="AG897" s="17"/>
      <c r="AH897" s="17"/>
      <c r="AI897" s="17"/>
      <c r="AJ897" s="17"/>
      <c r="AK897" s="17"/>
      <c r="AL897" s="17"/>
      <c r="AM897" s="17"/>
      <c r="AN897" s="17"/>
      <c r="AO897" s="17"/>
      <c r="AP897" s="17"/>
      <c r="AQ897" s="17"/>
    </row>
    <row r="898" spans="2:43" hidden="1">
      <c r="B898" s="17"/>
      <c r="C898" s="17"/>
      <c r="D898" s="17"/>
      <c r="E898" s="17"/>
      <c r="F898" s="17"/>
      <c r="G898" s="17"/>
      <c r="H898" s="404"/>
      <c r="I898" s="17"/>
      <c r="K898" s="17"/>
      <c r="L898" s="17"/>
      <c r="M898" s="17"/>
      <c r="N898" s="739"/>
      <c r="O898" s="739"/>
      <c r="P898" s="739"/>
      <c r="Q898" s="739"/>
      <c r="R898" s="739"/>
      <c r="S898" s="739"/>
      <c r="T898" s="739"/>
      <c r="U898" s="739"/>
      <c r="V898" s="739"/>
      <c r="W898" s="739"/>
      <c r="X898" s="739"/>
      <c r="Y898" s="739"/>
      <c r="Z898" s="740"/>
      <c r="AA898" s="740"/>
      <c r="AB898" s="17"/>
      <c r="AC898" s="17"/>
      <c r="AD898" s="17"/>
      <c r="AE898" s="17"/>
      <c r="AF898" s="17"/>
      <c r="AG898" s="17"/>
      <c r="AH898" s="17"/>
      <c r="AI898" s="17"/>
      <c r="AJ898" s="17"/>
      <c r="AK898" s="17"/>
      <c r="AL898" s="17"/>
      <c r="AM898" s="17"/>
      <c r="AN898" s="17"/>
      <c r="AO898" s="17"/>
      <c r="AP898" s="17"/>
      <c r="AQ898" s="17"/>
    </row>
    <row r="899" spans="2:43" hidden="1">
      <c r="B899" s="17"/>
      <c r="C899" s="17"/>
      <c r="D899" s="17"/>
      <c r="E899" s="17"/>
      <c r="F899" s="17"/>
      <c r="G899" s="17"/>
      <c r="H899" s="404"/>
      <c r="I899" s="17"/>
      <c r="K899" s="17"/>
      <c r="L899" s="17"/>
      <c r="M899" s="17"/>
      <c r="N899" s="739"/>
      <c r="O899" s="739"/>
      <c r="P899" s="739"/>
      <c r="Q899" s="739"/>
      <c r="R899" s="739"/>
      <c r="S899" s="739"/>
      <c r="T899" s="739"/>
      <c r="U899" s="739"/>
      <c r="V899" s="739"/>
      <c r="W899" s="739"/>
      <c r="X899" s="739"/>
      <c r="Y899" s="739"/>
      <c r="Z899" s="740"/>
      <c r="AA899" s="740"/>
      <c r="AB899" s="17"/>
      <c r="AC899" s="17"/>
      <c r="AD899" s="17"/>
      <c r="AE899" s="17"/>
      <c r="AF899" s="17"/>
      <c r="AG899" s="17"/>
      <c r="AH899" s="17"/>
      <c r="AI899" s="17"/>
      <c r="AJ899" s="17"/>
      <c r="AK899" s="17"/>
      <c r="AL899" s="17"/>
      <c r="AM899" s="17"/>
      <c r="AN899" s="17"/>
      <c r="AO899" s="17"/>
      <c r="AP899" s="17"/>
      <c r="AQ899" s="17"/>
    </row>
    <row r="900" spans="2:43" hidden="1">
      <c r="B900" s="17"/>
      <c r="C900" s="17"/>
      <c r="D900" s="17"/>
      <c r="E900" s="17"/>
      <c r="F900" s="17"/>
      <c r="G900" s="17"/>
      <c r="H900" s="404"/>
      <c r="I900" s="17"/>
      <c r="K900" s="17"/>
      <c r="L900" s="17"/>
      <c r="M900" s="17"/>
      <c r="N900" s="739"/>
      <c r="O900" s="739"/>
      <c r="P900" s="739"/>
      <c r="Q900" s="739"/>
      <c r="R900" s="739"/>
      <c r="S900" s="739"/>
      <c r="T900" s="739"/>
      <c r="U900" s="739"/>
      <c r="V900" s="739"/>
      <c r="W900" s="739"/>
      <c r="X900" s="739"/>
      <c r="Y900" s="739"/>
      <c r="Z900" s="740"/>
      <c r="AA900" s="740"/>
      <c r="AB900" s="17"/>
      <c r="AC900" s="17"/>
      <c r="AD900" s="17"/>
      <c r="AE900" s="17"/>
      <c r="AF900" s="17"/>
      <c r="AG900" s="17"/>
      <c r="AH900" s="17"/>
      <c r="AI900" s="17"/>
      <c r="AJ900" s="17"/>
      <c r="AK900" s="17"/>
      <c r="AL900" s="17"/>
      <c r="AM900" s="17"/>
      <c r="AN900" s="17"/>
      <c r="AO900" s="17"/>
      <c r="AP900" s="17"/>
      <c r="AQ900" s="17"/>
    </row>
    <row r="901" spans="2:43" hidden="1">
      <c r="B901" s="17"/>
      <c r="C901" s="17"/>
      <c r="D901" s="17"/>
      <c r="E901" s="17"/>
      <c r="F901" s="17"/>
      <c r="G901" s="17"/>
      <c r="H901" s="404"/>
      <c r="I901" s="17"/>
      <c r="K901" s="17"/>
      <c r="L901" s="17"/>
      <c r="M901" s="17"/>
      <c r="N901" s="739"/>
      <c r="O901" s="739"/>
      <c r="P901" s="739"/>
      <c r="Q901" s="739"/>
      <c r="R901" s="739"/>
      <c r="S901" s="739"/>
      <c r="T901" s="739"/>
      <c r="U901" s="739"/>
      <c r="V901" s="739"/>
      <c r="W901" s="739"/>
      <c r="X901" s="739"/>
      <c r="Y901" s="739"/>
      <c r="Z901" s="740"/>
      <c r="AA901" s="740"/>
      <c r="AB901" s="17"/>
      <c r="AC901" s="17"/>
      <c r="AD901" s="17"/>
      <c r="AE901" s="17"/>
      <c r="AF901" s="17"/>
      <c r="AG901" s="17"/>
      <c r="AH901" s="17"/>
      <c r="AI901" s="17"/>
      <c r="AJ901" s="17"/>
      <c r="AK901" s="17"/>
      <c r="AL901" s="17"/>
      <c r="AM901" s="17"/>
      <c r="AN901" s="17"/>
      <c r="AO901" s="17"/>
      <c r="AP901" s="17"/>
      <c r="AQ901" s="17"/>
    </row>
    <row r="902" spans="2:43" hidden="1">
      <c r="B902" s="17"/>
      <c r="C902" s="17"/>
      <c r="D902" s="17"/>
      <c r="E902" s="17"/>
      <c r="F902" s="17"/>
      <c r="G902" s="17"/>
      <c r="H902" s="404"/>
      <c r="I902" s="17"/>
      <c r="K902" s="17"/>
      <c r="L902" s="17"/>
      <c r="M902" s="17"/>
      <c r="N902" s="739"/>
      <c r="O902" s="739"/>
      <c r="P902" s="739"/>
      <c r="Q902" s="739"/>
      <c r="R902" s="739"/>
      <c r="S902" s="739"/>
      <c r="T902" s="739"/>
      <c r="U902" s="739"/>
      <c r="V902" s="739"/>
      <c r="W902" s="739"/>
      <c r="X902" s="739"/>
      <c r="Y902" s="739"/>
      <c r="Z902" s="740"/>
      <c r="AA902" s="740"/>
      <c r="AB902" s="17"/>
      <c r="AC902" s="17"/>
      <c r="AD902" s="17"/>
      <c r="AE902" s="17"/>
      <c r="AF902" s="17"/>
      <c r="AG902" s="17"/>
      <c r="AH902" s="17"/>
      <c r="AI902" s="17"/>
      <c r="AJ902" s="17"/>
      <c r="AK902" s="17"/>
      <c r="AL902" s="17"/>
      <c r="AM902" s="17"/>
      <c r="AN902" s="17"/>
      <c r="AO902" s="17"/>
      <c r="AP902" s="17"/>
      <c r="AQ902" s="17"/>
    </row>
    <row r="903" spans="2:43" hidden="1">
      <c r="B903" s="17"/>
      <c r="C903" s="17"/>
      <c r="D903" s="17"/>
      <c r="E903" s="17"/>
      <c r="F903" s="17"/>
      <c r="G903" s="17"/>
      <c r="H903" s="404"/>
      <c r="I903" s="17"/>
      <c r="K903" s="17"/>
      <c r="L903" s="17"/>
      <c r="M903" s="17"/>
      <c r="N903" s="739"/>
      <c r="O903" s="739"/>
      <c r="P903" s="739"/>
      <c r="Q903" s="739"/>
      <c r="R903" s="739"/>
      <c r="S903" s="739"/>
      <c r="T903" s="739"/>
      <c r="U903" s="739"/>
      <c r="V903" s="739"/>
      <c r="W903" s="739"/>
      <c r="X903" s="739"/>
      <c r="Y903" s="739"/>
      <c r="Z903" s="740"/>
      <c r="AA903" s="740"/>
      <c r="AB903" s="17"/>
      <c r="AC903" s="17"/>
      <c r="AD903" s="17"/>
      <c r="AE903" s="17"/>
      <c r="AF903" s="17"/>
      <c r="AG903" s="17"/>
      <c r="AH903" s="17"/>
      <c r="AI903" s="17"/>
      <c r="AJ903" s="17"/>
      <c r="AK903" s="17"/>
      <c r="AL903" s="17"/>
      <c r="AM903" s="17"/>
      <c r="AN903" s="17"/>
      <c r="AO903" s="17"/>
      <c r="AP903" s="17"/>
      <c r="AQ903" s="17"/>
    </row>
    <row r="904" spans="2:43" hidden="1">
      <c r="B904" s="17"/>
      <c r="C904" s="17"/>
      <c r="D904" s="17"/>
      <c r="E904" s="17"/>
      <c r="F904" s="17"/>
      <c r="G904" s="17"/>
      <c r="H904" s="404"/>
      <c r="I904" s="17"/>
      <c r="K904" s="17"/>
      <c r="L904" s="17"/>
      <c r="M904" s="17"/>
      <c r="N904" s="739"/>
      <c r="O904" s="739"/>
      <c r="P904" s="739"/>
      <c r="Q904" s="739"/>
      <c r="R904" s="739"/>
      <c r="S904" s="739"/>
      <c r="T904" s="739"/>
      <c r="U904" s="739"/>
      <c r="V904" s="739"/>
      <c r="W904" s="739"/>
      <c r="X904" s="739"/>
      <c r="Y904" s="739"/>
      <c r="Z904" s="740"/>
      <c r="AA904" s="740"/>
      <c r="AB904" s="17"/>
      <c r="AC904" s="17"/>
      <c r="AD904" s="17"/>
      <c r="AE904" s="17"/>
      <c r="AF904" s="17"/>
      <c r="AG904" s="17"/>
      <c r="AH904" s="17"/>
      <c r="AI904" s="17"/>
      <c r="AJ904" s="17"/>
      <c r="AK904" s="17"/>
      <c r="AL904" s="17"/>
      <c r="AM904" s="17"/>
      <c r="AN904" s="17"/>
      <c r="AO904" s="17"/>
      <c r="AP904" s="17"/>
      <c r="AQ904" s="17"/>
    </row>
    <row r="905" spans="2:43" hidden="1">
      <c r="B905" s="17"/>
      <c r="C905" s="17"/>
      <c r="D905" s="17"/>
      <c r="E905" s="17"/>
      <c r="F905" s="17"/>
      <c r="G905" s="17"/>
      <c r="H905" s="404"/>
      <c r="I905" s="17"/>
      <c r="K905" s="17"/>
      <c r="L905" s="17"/>
      <c r="M905" s="17"/>
      <c r="N905" s="739"/>
      <c r="O905" s="739"/>
      <c r="P905" s="739"/>
      <c r="Q905" s="739"/>
      <c r="R905" s="739"/>
      <c r="S905" s="739"/>
      <c r="T905" s="739"/>
      <c r="U905" s="739"/>
      <c r="V905" s="739"/>
      <c r="W905" s="739"/>
      <c r="X905" s="739"/>
      <c r="Y905" s="739"/>
      <c r="Z905" s="740"/>
      <c r="AA905" s="740"/>
      <c r="AB905" s="17"/>
      <c r="AC905" s="17"/>
      <c r="AD905" s="17"/>
      <c r="AE905" s="17"/>
      <c r="AF905" s="17"/>
      <c r="AG905" s="17"/>
      <c r="AH905" s="17"/>
      <c r="AI905" s="17"/>
      <c r="AJ905" s="17"/>
      <c r="AK905" s="17"/>
      <c r="AL905" s="17"/>
      <c r="AM905" s="17"/>
      <c r="AN905" s="17"/>
      <c r="AO905" s="17"/>
      <c r="AP905" s="17"/>
      <c r="AQ905" s="17"/>
    </row>
    <row r="906" spans="2:43" hidden="1">
      <c r="B906" s="17"/>
      <c r="C906" s="17"/>
      <c r="D906" s="17"/>
      <c r="E906" s="17"/>
      <c r="F906" s="17"/>
      <c r="G906" s="17"/>
      <c r="H906" s="404"/>
      <c r="I906" s="17"/>
      <c r="K906" s="17"/>
      <c r="L906" s="17"/>
      <c r="M906" s="17"/>
      <c r="N906" s="739"/>
      <c r="O906" s="739"/>
      <c r="P906" s="739"/>
      <c r="Q906" s="739"/>
      <c r="R906" s="739"/>
      <c r="S906" s="739"/>
      <c r="T906" s="739"/>
      <c r="U906" s="739"/>
      <c r="V906" s="739"/>
      <c r="W906" s="739"/>
      <c r="X906" s="739"/>
      <c r="Y906" s="739"/>
      <c r="Z906" s="740"/>
      <c r="AA906" s="740"/>
      <c r="AB906" s="17"/>
      <c r="AC906" s="17"/>
      <c r="AD906" s="17"/>
      <c r="AE906" s="17"/>
      <c r="AF906" s="17"/>
      <c r="AG906" s="17"/>
      <c r="AH906" s="17"/>
      <c r="AI906" s="17"/>
      <c r="AJ906" s="17"/>
      <c r="AK906" s="17"/>
      <c r="AL906" s="17"/>
      <c r="AM906" s="17"/>
      <c r="AN906" s="17"/>
      <c r="AO906" s="17"/>
      <c r="AP906" s="17"/>
      <c r="AQ906" s="17"/>
    </row>
    <row r="907" spans="2:43" hidden="1">
      <c r="B907" s="17"/>
      <c r="C907" s="17"/>
      <c r="D907" s="17"/>
      <c r="E907" s="17"/>
      <c r="F907" s="17"/>
      <c r="G907" s="17"/>
      <c r="H907" s="404"/>
      <c r="I907" s="17"/>
      <c r="K907" s="17"/>
      <c r="L907" s="17"/>
      <c r="M907" s="17"/>
      <c r="N907" s="739"/>
      <c r="O907" s="739"/>
      <c r="P907" s="739"/>
      <c r="Q907" s="739"/>
      <c r="R907" s="739"/>
      <c r="S907" s="739"/>
      <c r="T907" s="739"/>
      <c r="U907" s="739"/>
      <c r="V907" s="739"/>
      <c r="W907" s="739"/>
      <c r="X907" s="739"/>
      <c r="Y907" s="739"/>
      <c r="Z907" s="740"/>
      <c r="AA907" s="740"/>
      <c r="AB907" s="17"/>
      <c r="AC907" s="17"/>
      <c r="AD907" s="17"/>
      <c r="AE907" s="17"/>
      <c r="AF907" s="17"/>
      <c r="AG907" s="17"/>
      <c r="AH907" s="17"/>
      <c r="AI907" s="17"/>
      <c r="AJ907" s="17"/>
      <c r="AK907" s="17"/>
      <c r="AL907" s="17"/>
      <c r="AM907" s="17"/>
      <c r="AN907" s="17"/>
      <c r="AO907" s="17"/>
      <c r="AP907" s="17"/>
      <c r="AQ907" s="17"/>
    </row>
    <row r="908" spans="2:43" hidden="1">
      <c r="B908" s="17"/>
      <c r="C908" s="17"/>
      <c r="D908" s="17"/>
      <c r="E908" s="17"/>
      <c r="F908" s="17"/>
      <c r="G908" s="17"/>
      <c r="H908" s="404"/>
      <c r="I908" s="17"/>
      <c r="K908" s="17"/>
      <c r="L908" s="17"/>
      <c r="M908" s="17"/>
      <c r="N908" s="739"/>
      <c r="O908" s="739"/>
      <c r="P908" s="739"/>
      <c r="Q908" s="739"/>
      <c r="R908" s="739"/>
      <c r="S908" s="739"/>
      <c r="T908" s="739"/>
      <c r="U908" s="739"/>
      <c r="V908" s="739"/>
      <c r="W908" s="739"/>
      <c r="X908" s="739"/>
      <c r="Y908" s="739"/>
      <c r="Z908" s="740"/>
      <c r="AA908" s="740"/>
      <c r="AB908" s="17"/>
      <c r="AC908" s="17"/>
      <c r="AD908" s="17"/>
      <c r="AE908" s="17"/>
      <c r="AF908" s="17"/>
      <c r="AG908" s="17"/>
      <c r="AH908" s="17"/>
      <c r="AI908" s="17"/>
      <c r="AJ908" s="17"/>
      <c r="AK908" s="17"/>
      <c r="AL908" s="17"/>
      <c r="AM908" s="17"/>
      <c r="AN908" s="17"/>
      <c r="AO908" s="17"/>
      <c r="AP908" s="17"/>
      <c r="AQ908" s="17"/>
    </row>
    <row r="909" spans="2:43" hidden="1">
      <c r="B909" s="17"/>
      <c r="C909" s="17"/>
      <c r="D909" s="17"/>
      <c r="E909" s="17"/>
      <c r="F909" s="17"/>
      <c r="G909" s="17"/>
      <c r="H909" s="404"/>
      <c r="I909" s="17"/>
      <c r="K909" s="17"/>
      <c r="L909" s="17"/>
      <c r="M909" s="17"/>
      <c r="N909" s="739"/>
      <c r="O909" s="739"/>
      <c r="P909" s="739"/>
      <c r="Q909" s="739"/>
      <c r="R909" s="739"/>
      <c r="S909" s="739"/>
      <c r="T909" s="739"/>
      <c r="U909" s="739"/>
      <c r="V909" s="739"/>
      <c r="W909" s="739"/>
      <c r="X909" s="739"/>
      <c r="Y909" s="739"/>
      <c r="Z909" s="740"/>
      <c r="AA909" s="740"/>
      <c r="AB909" s="17"/>
      <c r="AC909" s="17"/>
      <c r="AD909" s="17"/>
      <c r="AE909" s="17"/>
      <c r="AF909" s="17"/>
      <c r="AG909" s="17"/>
      <c r="AH909" s="17"/>
      <c r="AI909" s="17"/>
      <c r="AJ909" s="17"/>
      <c r="AK909" s="17"/>
      <c r="AL909" s="17"/>
      <c r="AM909" s="17"/>
      <c r="AN909" s="17"/>
      <c r="AO909" s="17"/>
      <c r="AP909" s="17"/>
      <c r="AQ909" s="17"/>
    </row>
    <row r="910" spans="2:43" hidden="1">
      <c r="B910" s="17"/>
      <c r="C910" s="17"/>
      <c r="D910" s="17"/>
      <c r="E910" s="17"/>
      <c r="F910" s="17"/>
      <c r="G910" s="17"/>
      <c r="H910" s="404"/>
      <c r="I910" s="17"/>
      <c r="K910" s="17"/>
      <c r="L910" s="17"/>
      <c r="M910" s="17"/>
      <c r="N910" s="739"/>
      <c r="O910" s="739"/>
      <c r="P910" s="739"/>
      <c r="Q910" s="739"/>
      <c r="R910" s="739"/>
      <c r="S910" s="739"/>
      <c r="T910" s="739"/>
      <c r="U910" s="739"/>
      <c r="V910" s="739"/>
      <c r="W910" s="739"/>
      <c r="X910" s="739"/>
      <c r="Y910" s="739"/>
      <c r="Z910" s="740"/>
      <c r="AA910" s="740"/>
      <c r="AB910" s="17"/>
      <c r="AC910" s="17"/>
      <c r="AD910" s="17"/>
      <c r="AE910" s="17"/>
      <c r="AF910" s="17"/>
      <c r="AG910" s="17"/>
      <c r="AH910" s="17"/>
      <c r="AI910" s="17"/>
      <c r="AJ910" s="17"/>
      <c r="AK910" s="17"/>
      <c r="AL910" s="17"/>
      <c r="AM910" s="17"/>
      <c r="AN910" s="17"/>
      <c r="AO910" s="17"/>
      <c r="AP910" s="17"/>
      <c r="AQ910" s="17"/>
    </row>
    <row r="911" spans="2:43" hidden="1">
      <c r="B911" s="17"/>
      <c r="C911" s="17"/>
      <c r="D911" s="17"/>
      <c r="E911" s="17"/>
      <c r="F911" s="17"/>
      <c r="G911" s="17"/>
      <c r="H911" s="404"/>
      <c r="I911" s="17"/>
      <c r="K911" s="17"/>
      <c r="L911" s="17"/>
      <c r="M911" s="17"/>
      <c r="N911" s="739"/>
      <c r="O911" s="739"/>
      <c r="P911" s="739"/>
      <c r="Q911" s="739"/>
      <c r="R911" s="739"/>
      <c r="S911" s="739"/>
      <c r="T911" s="739"/>
      <c r="U911" s="739"/>
      <c r="V911" s="739"/>
      <c r="W911" s="739"/>
      <c r="X911" s="739"/>
      <c r="Y911" s="739"/>
      <c r="Z911" s="740"/>
      <c r="AA911" s="740"/>
      <c r="AB911" s="17"/>
      <c r="AC911" s="17"/>
      <c r="AD911" s="17"/>
      <c r="AE911" s="17"/>
      <c r="AF911" s="17"/>
      <c r="AG911" s="17"/>
      <c r="AH911" s="17"/>
      <c r="AI911" s="17"/>
      <c r="AJ911" s="17"/>
      <c r="AK911" s="17"/>
      <c r="AL911" s="17"/>
      <c r="AM911" s="17"/>
      <c r="AN911" s="17"/>
      <c r="AO911" s="17"/>
      <c r="AP911" s="17"/>
      <c r="AQ911" s="17"/>
    </row>
    <row r="912" spans="2:43" hidden="1">
      <c r="B912" s="17"/>
      <c r="C912" s="17"/>
      <c r="D912" s="17"/>
      <c r="E912" s="17"/>
      <c r="F912" s="17"/>
      <c r="G912" s="17"/>
      <c r="H912" s="404"/>
      <c r="I912" s="17"/>
      <c r="K912" s="17"/>
      <c r="L912" s="17"/>
      <c r="M912" s="17"/>
      <c r="N912" s="739"/>
      <c r="O912" s="739"/>
      <c r="P912" s="739"/>
      <c r="Q912" s="739"/>
      <c r="R912" s="739"/>
      <c r="S912" s="739"/>
      <c r="T912" s="739"/>
      <c r="U912" s="739"/>
      <c r="V912" s="739"/>
      <c r="W912" s="739"/>
      <c r="X912" s="739"/>
      <c r="Y912" s="739"/>
      <c r="Z912" s="740"/>
      <c r="AA912" s="740"/>
      <c r="AB912" s="17"/>
      <c r="AC912" s="17"/>
      <c r="AD912" s="17"/>
      <c r="AE912" s="17"/>
      <c r="AF912" s="17"/>
      <c r="AG912" s="17"/>
      <c r="AH912" s="17"/>
      <c r="AI912" s="17"/>
      <c r="AJ912" s="17"/>
      <c r="AK912" s="17"/>
      <c r="AL912" s="17"/>
      <c r="AM912" s="17"/>
      <c r="AN912" s="17"/>
      <c r="AO912" s="17"/>
      <c r="AP912" s="17"/>
      <c r="AQ912" s="17"/>
    </row>
    <row r="913" spans="1:43" hidden="1">
      <c r="B913" s="17"/>
      <c r="C913" s="17"/>
      <c r="D913" s="17"/>
      <c r="E913" s="17"/>
      <c r="F913" s="17"/>
      <c r="G913" s="17"/>
      <c r="H913" s="404"/>
      <c r="I913" s="17"/>
      <c r="K913" s="17"/>
      <c r="L913" s="17"/>
      <c r="M913" s="17"/>
      <c r="N913" s="739"/>
      <c r="O913" s="739"/>
      <c r="P913" s="739"/>
      <c r="Q913" s="739"/>
      <c r="R913" s="739"/>
      <c r="S913" s="739"/>
      <c r="T913" s="739"/>
      <c r="U913" s="739"/>
      <c r="V913" s="739"/>
      <c r="W913" s="739"/>
      <c r="X913" s="739"/>
      <c r="Y913" s="739"/>
      <c r="Z913" s="740"/>
      <c r="AA913" s="740"/>
      <c r="AB913" s="17"/>
      <c r="AC913" s="17"/>
      <c r="AD913" s="17"/>
      <c r="AE913" s="17"/>
      <c r="AF913" s="17"/>
      <c r="AG913" s="17"/>
      <c r="AH913" s="17"/>
      <c r="AI913" s="17"/>
      <c r="AJ913" s="17"/>
      <c r="AK913" s="17"/>
      <c r="AL913" s="17"/>
      <c r="AM913" s="17"/>
      <c r="AN913" s="17"/>
      <c r="AO913" s="17"/>
      <c r="AP913" s="17"/>
      <c r="AQ913" s="17"/>
    </row>
    <row r="914" spans="1:43" hidden="1">
      <c r="B914" s="17"/>
      <c r="C914" s="17"/>
      <c r="D914" s="17"/>
      <c r="E914" s="17"/>
      <c r="F914" s="17"/>
      <c r="G914" s="17"/>
      <c r="H914" s="404"/>
      <c r="I914" s="17"/>
      <c r="K914" s="17"/>
      <c r="L914" s="17"/>
      <c r="M914" s="17"/>
      <c r="N914" s="739"/>
      <c r="O914" s="739"/>
      <c r="P914" s="739"/>
      <c r="Q914" s="739"/>
      <c r="R914" s="739"/>
      <c r="S914" s="739"/>
      <c r="T914" s="739"/>
      <c r="U914" s="739"/>
      <c r="V914" s="739"/>
      <c r="W914" s="739"/>
      <c r="X914" s="739"/>
      <c r="Y914" s="739"/>
      <c r="Z914" s="740"/>
      <c r="AA914" s="740"/>
      <c r="AB914" s="17"/>
      <c r="AC914" s="17"/>
      <c r="AD914" s="17"/>
      <c r="AE914" s="17"/>
      <c r="AF914" s="17"/>
      <c r="AG914" s="17"/>
      <c r="AH914" s="17"/>
      <c r="AI914" s="17"/>
      <c r="AJ914" s="17"/>
      <c r="AK914" s="17"/>
      <c r="AL914" s="17"/>
      <c r="AM914" s="17"/>
      <c r="AN914" s="17"/>
      <c r="AO914" s="17"/>
      <c r="AP914" s="17"/>
      <c r="AQ914" s="17"/>
    </row>
    <row r="915" spans="1:43" hidden="1">
      <c r="B915" s="17"/>
      <c r="C915" s="17"/>
      <c r="D915" s="17"/>
      <c r="E915" s="17"/>
      <c r="F915" s="17"/>
      <c r="G915" s="17"/>
      <c r="H915" s="404"/>
      <c r="I915" s="17"/>
      <c r="K915" s="17"/>
      <c r="L915" s="17"/>
      <c r="M915" s="17"/>
      <c r="N915" s="739"/>
      <c r="O915" s="739"/>
      <c r="P915" s="739"/>
      <c r="Q915" s="739"/>
      <c r="R915" s="739"/>
      <c r="S915" s="739"/>
      <c r="T915" s="739"/>
      <c r="U915" s="739"/>
      <c r="V915" s="739"/>
      <c r="W915" s="739"/>
      <c r="X915" s="739"/>
      <c r="Y915" s="739"/>
      <c r="Z915" s="740"/>
      <c r="AA915" s="740"/>
      <c r="AB915" s="17"/>
      <c r="AC915" s="17"/>
      <c r="AD915" s="17"/>
      <c r="AE915" s="17"/>
      <c r="AF915" s="17"/>
      <c r="AG915" s="17"/>
      <c r="AH915" s="17"/>
      <c r="AI915" s="17"/>
      <c r="AJ915" s="17"/>
      <c r="AK915" s="17"/>
      <c r="AL915" s="17"/>
      <c r="AM915" s="17"/>
      <c r="AN915" s="17"/>
      <c r="AO915" s="17"/>
      <c r="AP915" s="17"/>
      <c r="AQ915" s="17"/>
    </row>
    <row r="916" spans="1:43" hidden="1">
      <c r="B916" s="17"/>
      <c r="C916" s="17"/>
      <c r="D916" s="17"/>
      <c r="E916" s="17"/>
      <c r="F916" s="17"/>
      <c r="G916" s="17"/>
      <c r="H916" s="404"/>
      <c r="I916" s="17"/>
      <c r="K916" s="17"/>
      <c r="L916" s="17"/>
      <c r="M916" s="17"/>
      <c r="N916" s="739"/>
      <c r="O916" s="739"/>
      <c r="P916" s="739"/>
      <c r="Q916" s="739"/>
      <c r="R916" s="739"/>
      <c r="S916" s="739"/>
      <c r="T916" s="739"/>
      <c r="U916" s="739"/>
      <c r="V916" s="739"/>
      <c r="W916" s="739"/>
      <c r="X916" s="739"/>
      <c r="Y916" s="739"/>
      <c r="Z916" s="740"/>
      <c r="AA916" s="740"/>
      <c r="AB916" s="17"/>
      <c r="AC916" s="17"/>
      <c r="AD916" s="17"/>
      <c r="AE916" s="17"/>
      <c r="AF916" s="17"/>
      <c r="AG916" s="17"/>
      <c r="AH916" s="17"/>
      <c r="AI916" s="17"/>
      <c r="AJ916" s="17"/>
      <c r="AK916" s="17"/>
      <c r="AL916" s="17"/>
      <c r="AM916" s="17"/>
      <c r="AN916" s="17"/>
      <c r="AO916" s="17"/>
      <c r="AP916" s="17"/>
      <c r="AQ916" s="17"/>
    </row>
    <row r="917" spans="1:43" hidden="1">
      <c r="B917" s="17"/>
      <c r="C917" s="17"/>
      <c r="D917" s="17"/>
      <c r="E917" s="17"/>
      <c r="F917" s="17"/>
      <c r="G917" s="17"/>
      <c r="H917" s="404"/>
      <c r="I917" s="17"/>
      <c r="K917" s="17"/>
      <c r="L917" s="17"/>
      <c r="M917" s="17"/>
      <c r="N917" s="739"/>
      <c r="O917" s="739"/>
      <c r="P917" s="739"/>
      <c r="Q917" s="739"/>
      <c r="R917" s="739"/>
      <c r="S917" s="739"/>
      <c r="T917" s="739"/>
      <c r="U917" s="739"/>
      <c r="V917" s="739"/>
      <c r="W917" s="739"/>
      <c r="X917" s="739"/>
      <c r="Y917" s="739"/>
      <c r="Z917" s="740"/>
      <c r="AA917" s="740"/>
      <c r="AB917" s="17"/>
      <c r="AC917" s="17"/>
      <c r="AD917" s="17"/>
      <c r="AE917" s="17"/>
      <c r="AF917" s="17"/>
      <c r="AG917" s="17"/>
      <c r="AH917" s="17"/>
      <c r="AI917" s="17"/>
      <c r="AJ917" s="17"/>
      <c r="AK917" s="17"/>
      <c r="AL917" s="17"/>
      <c r="AM917" s="17"/>
      <c r="AN917" s="17"/>
      <c r="AO917" s="17"/>
      <c r="AP917" s="17"/>
      <c r="AQ917" s="17"/>
    </row>
    <row r="918" spans="1:43" hidden="1">
      <c r="B918" s="17"/>
      <c r="C918" s="17"/>
      <c r="D918" s="17"/>
      <c r="E918" s="17"/>
      <c r="F918" s="17"/>
      <c r="G918" s="17"/>
      <c r="H918" s="404"/>
      <c r="I918" s="17"/>
      <c r="K918" s="17"/>
      <c r="L918" s="17"/>
      <c r="M918" s="17"/>
      <c r="N918" s="739"/>
      <c r="O918" s="739"/>
      <c r="P918" s="739"/>
      <c r="Q918" s="739"/>
      <c r="R918" s="739"/>
      <c r="S918" s="739"/>
      <c r="T918" s="739"/>
      <c r="U918" s="739"/>
      <c r="V918" s="739"/>
      <c r="W918" s="739"/>
      <c r="X918" s="739"/>
      <c r="Y918" s="739"/>
      <c r="Z918" s="740"/>
      <c r="AA918" s="740"/>
      <c r="AB918" s="17"/>
      <c r="AC918" s="17"/>
      <c r="AD918" s="17"/>
      <c r="AE918" s="17"/>
      <c r="AF918" s="17"/>
      <c r="AG918" s="17"/>
      <c r="AH918" s="17"/>
      <c r="AI918" s="17"/>
      <c r="AJ918" s="17"/>
      <c r="AK918" s="17"/>
      <c r="AL918" s="17"/>
      <c r="AM918" s="17"/>
      <c r="AN918" s="17"/>
      <c r="AO918" s="17"/>
      <c r="AP918" s="17"/>
      <c r="AQ918" s="17"/>
    </row>
    <row r="919" spans="1:43" hidden="1">
      <c r="B919" s="17"/>
      <c r="C919" s="17"/>
      <c r="D919" s="17"/>
      <c r="E919" s="17"/>
      <c r="F919" s="17"/>
      <c r="G919" s="17"/>
      <c r="H919" s="404"/>
      <c r="I919" s="17"/>
      <c r="K919" s="17"/>
      <c r="L919" s="17"/>
      <c r="M919" s="17"/>
      <c r="N919" s="739"/>
      <c r="O919" s="739"/>
      <c r="P919" s="739"/>
      <c r="Q919" s="739"/>
      <c r="R919" s="739"/>
      <c r="S919" s="739"/>
      <c r="T919" s="739"/>
      <c r="U919" s="739"/>
      <c r="V919" s="739"/>
      <c r="W919" s="739"/>
      <c r="X919" s="739"/>
      <c r="Y919" s="739"/>
      <c r="Z919" s="740"/>
      <c r="AA919" s="740"/>
      <c r="AB919" s="17"/>
      <c r="AC919" s="17"/>
      <c r="AD919" s="17"/>
      <c r="AE919" s="17"/>
      <c r="AF919" s="17"/>
      <c r="AG919" s="17"/>
      <c r="AH919" s="17"/>
      <c r="AI919" s="17"/>
      <c r="AJ919" s="17"/>
      <c r="AK919" s="17"/>
      <c r="AL919" s="17"/>
      <c r="AM919" s="17"/>
      <c r="AN919" s="17"/>
      <c r="AO919" s="17"/>
      <c r="AP919" s="17"/>
      <c r="AQ919" s="17"/>
    </row>
    <row r="920" spans="1:43" hidden="1">
      <c r="B920" s="17"/>
      <c r="C920" s="17"/>
      <c r="D920" s="17"/>
      <c r="E920" s="17"/>
      <c r="F920" s="17"/>
      <c r="G920" s="17"/>
      <c r="H920" s="404"/>
      <c r="I920" s="17"/>
      <c r="K920" s="17"/>
      <c r="L920" s="17"/>
      <c r="M920" s="17"/>
      <c r="N920" s="739"/>
      <c r="O920" s="739"/>
      <c r="P920" s="739"/>
      <c r="Q920" s="739"/>
      <c r="R920" s="739"/>
      <c r="S920" s="739"/>
      <c r="T920" s="739"/>
      <c r="U920" s="739"/>
      <c r="V920" s="739"/>
      <c r="W920" s="739"/>
      <c r="X920" s="739"/>
      <c r="Y920" s="739"/>
      <c r="Z920" s="740"/>
      <c r="AA920" s="740"/>
      <c r="AB920" s="17"/>
      <c r="AC920" s="17"/>
      <c r="AD920" s="17"/>
      <c r="AE920" s="17"/>
      <c r="AF920" s="17"/>
      <c r="AG920" s="17"/>
      <c r="AH920" s="17"/>
      <c r="AI920" s="17"/>
      <c r="AJ920" s="17"/>
      <c r="AK920" s="17"/>
      <c r="AL920" s="17"/>
      <c r="AM920" s="17"/>
      <c r="AN920" s="17"/>
      <c r="AO920" s="17"/>
      <c r="AP920" s="17"/>
      <c r="AQ920" s="17"/>
    </row>
    <row r="921" spans="1:43" hidden="1">
      <c r="B921" s="17"/>
      <c r="C921" s="17"/>
      <c r="D921" s="17"/>
      <c r="E921" s="17"/>
      <c r="F921" s="17"/>
      <c r="G921" s="17"/>
      <c r="H921" s="404"/>
      <c r="I921" s="17"/>
      <c r="K921" s="17"/>
      <c r="L921" s="17"/>
      <c r="M921" s="17"/>
      <c r="N921" s="739"/>
      <c r="O921" s="739"/>
      <c r="P921" s="739"/>
      <c r="Q921" s="739"/>
      <c r="R921" s="739"/>
      <c r="S921" s="739"/>
      <c r="T921" s="739"/>
      <c r="U921" s="739"/>
      <c r="V921" s="739"/>
      <c r="W921" s="739"/>
      <c r="X921" s="739"/>
      <c r="Y921" s="739"/>
      <c r="Z921" s="740"/>
      <c r="AA921" s="740"/>
      <c r="AB921" s="17"/>
      <c r="AC921" s="17"/>
      <c r="AD921" s="17"/>
      <c r="AE921" s="17"/>
      <c r="AF921" s="17"/>
      <c r="AG921" s="17"/>
      <c r="AH921" s="17"/>
      <c r="AI921" s="17"/>
      <c r="AJ921" s="17"/>
      <c r="AK921" s="17"/>
      <c r="AL921" s="17"/>
      <c r="AM921" s="17"/>
      <c r="AN921" s="17"/>
      <c r="AO921" s="17"/>
      <c r="AP921" s="17"/>
      <c r="AQ921" s="17"/>
    </row>
    <row r="922" spans="1:43" hidden="1">
      <c r="A922">
        <f t="shared" ref="A922" si="350">A921+1</f>
        <v>1</v>
      </c>
      <c r="B922" s="407">
        <v>1</v>
      </c>
      <c r="C922" s="407" t="s">
        <v>505</v>
      </c>
      <c r="D922" s="407" t="s">
        <v>783</v>
      </c>
      <c r="E922" s="407"/>
      <c r="F922" s="408" t="s">
        <v>812</v>
      </c>
      <c r="G922" s="409">
        <v>45</v>
      </c>
      <c r="H922" s="410"/>
      <c r="I922" s="409">
        <v>45</v>
      </c>
      <c r="J922" s="58">
        <v>800</v>
      </c>
      <c r="K922" s="417">
        <f t="shared" ref="K922" si="351">G922/J922</f>
        <v>5.6250000000000001E-2</v>
      </c>
      <c r="L922" s="17" t="s">
        <v>783</v>
      </c>
      <c r="M922" s="720">
        <v>44595</v>
      </c>
      <c r="N922" s="721" t="b">
        <f t="shared" ref="N922" si="352">FALSE()</f>
        <v>0</v>
      </c>
      <c r="O922" s="721" t="b">
        <f t="shared" ref="O922" si="353">FALSE()</f>
        <v>0</v>
      </c>
      <c r="P922" s="721" t="b">
        <f>TRUE()</f>
        <v>1</v>
      </c>
      <c r="Q922" s="721" t="b">
        <f t="shared" ref="Q922" si="354">FALSE()</f>
        <v>0</v>
      </c>
      <c r="R922" s="721" t="b">
        <f>FALSE()</f>
        <v>0</v>
      </c>
      <c r="S922" s="721" t="b">
        <f t="shared" ref="S922" si="355">FALSE()</f>
        <v>0</v>
      </c>
      <c r="T922" s="721" t="b">
        <f t="shared" ref="T922" si="356">FALSE()</f>
        <v>0</v>
      </c>
      <c r="U922" s="721" t="b">
        <f t="shared" ref="U922" si="357">FALSE()</f>
        <v>0</v>
      </c>
      <c r="V922" s="721" t="b">
        <f t="shared" ref="V922" si="358">FALSE()</f>
        <v>0</v>
      </c>
      <c r="W922" s="721" t="b">
        <f>FALSE()</f>
        <v>0</v>
      </c>
      <c r="X922" s="721" t="b">
        <f t="shared" ref="X922" si="359">FALSE()</f>
        <v>0</v>
      </c>
      <c r="Y922" s="721" t="b">
        <f t="shared" ref="Y922" si="360">FALSE()</f>
        <v>0</v>
      </c>
      <c r="Z922" s="721" t="b">
        <f t="shared" ref="Z922" si="361">FALSE()</f>
        <v>0</v>
      </c>
      <c r="AA922" s="721" t="b">
        <f t="shared" ref="AA922" si="362">FALSE()</f>
        <v>0</v>
      </c>
      <c r="AB922" s="17"/>
      <c r="AC922" s="17"/>
      <c r="AD922" s="17"/>
      <c r="AE922" s="17"/>
      <c r="AF922" s="17"/>
      <c r="AG922" s="17"/>
      <c r="AH922" s="17"/>
      <c r="AI922" s="17"/>
      <c r="AJ922" s="17"/>
      <c r="AK922" s="17"/>
      <c r="AL922" s="17"/>
      <c r="AM922" s="17"/>
      <c r="AN922" s="17"/>
      <c r="AO922" s="17"/>
      <c r="AP922" s="17"/>
      <c r="AQ922" s="17"/>
    </row>
  </sheetData>
  <autoFilter ref="B3:AA922">
    <filterColumn colId="8">
      <filters>
        <filter val="100 000"/>
        <filter val="110 000"/>
      </filters>
    </filterColumn>
    <filterColumn colId="14">
      <filters>
        <filter val="VRAI"/>
      </filters>
    </filterColumn>
  </autoFilter>
  <mergeCells count="2">
    <mergeCell ref="C1:G1"/>
    <mergeCell ref="B2:H2"/>
  </mergeCells>
  <hyperlinks>
    <hyperlink ref="D161" r:id="rId1"/>
    <hyperlink ref="D163" r:id="rId2"/>
    <hyperlink ref="D164" r:id="rId3"/>
    <hyperlink ref="D165" r:id="rId4"/>
    <hyperlink ref="D166" r:id="rId5"/>
    <hyperlink ref="D167" r:id="rId6"/>
    <hyperlink ref="D168" r:id="rId7"/>
    <hyperlink ref="D169" r:id="rId8"/>
    <hyperlink ref="D170" r:id="rId9"/>
    <hyperlink ref="D171" r:id="rId10"/>
    <hyperlink ref="D172" r:id="rId11"/>
    <hyperlink ref="D173" r:id="rId12"/>
    <hyperlink ref="D174" r:id="rId13"/>
    <hyperlink ref="D175" r:id="rId14"/>
    <hyperlink ref="D176" r:id="rId15"/>
    <hyperlink ref="D177" r:id="rId16"/>
    <hyperlink ref="D178" r:id="rId17"/>
    <hyperlink ref="D179" r:id="rId18"/>
    <hyperlink ref="D180" r:id="rId19"/>
    <hyperlink ref="D181" r:id="rId20"/>
    <hyperlink ref="D182" r:id="rId21"/>
    <hyperlink ref="D293" r:id="rId22"/>
    <hyperlink ref="D294" r:id="rId23"/>
    <hyperlink ref="D295" r:id="rId24"/>
    <hyperlink ref="D296" r:id="rId25"/>
    <hyperlink ref="D297" r:id="rId26"/>
    <hyperlink ref="D298" r:id="rId27"/>
    <hyperlink ref="D299" r:id="rId28"/>
    <hyperlink ref="D300" r:id="rId29"/>
    <hyperlink ref="D301" r:id="rId30"/>
    <hyperlink ref="D302" r:id="rId31"/>
    <hyperlink ref="D303" r:id="rId32"/>
    <hyperlink ref="D304" r:id="rId33"/>
    <hyperlink ref="D305" r:id="rId34"/>
    <hyperlink ref="D306" r:id="rId35"/>
    <hyperlink ref="D307" r:id="rId36"/>
    <hyperlink ref="D308" r:id="rId37"/>
    <hyperlink ref="D309" r:id="rId38"/>
    <hyperlink ref="D310" r:id="rId39"/>
    <hyperlink ref="D311" r:id="rId40"/>
    <hyperlink ref="D312" r:id="rId41"/>
    <hyperlink ref="D313" r:id="rId42"/>
    <hyperlink ref="D314" r:id="rId43"/>
    <hyperlink ref="D315" r:id="rId44"/>
    <hyperlink ref="D316" r:id="rId45"/>
    <hyperlink ref="D317" r:id="rId46"/>
    <hyperlink ref="D344" r:id="rId47"/>
    <hyperlink ref="D346" r:id="rId48"/>
    <hyperlink ref="D347" r:id="rId49"/>
    <hyperlink ref="D361" r:id="rId50"/>
    <hyperlink ref="D444" r:id="rId51"/>
    <hyperlink ref="D445" r:id="rId52"/>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2.140625" style="204" customWidth="1"/>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2.45">
      <c r="B1" s="1079" t="s">
        <v>192</v>
      </c>
      <c r="C1" s="1079"/>
      <c r="D1" s="1079"/>
      <c r="E1" s="1079"/>
      <c r="F1" s="1079"/>
      <c r="H1" s="405" t="s">
        <v>493</v>
      </c>
      <c r="I1" s="406">
        <v>360</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93</v>
      </c>
      <c r="B4" s="413" t="s">
        <v>505</v>
      </c>
      <c r="C4" s="420" t="s">
        <v>1306</v>
      </c>
      <c r="D4" s="413"/>
      <c r="E4" s="420" t="s">
        <v>1308</v>
      </c>
      <c r="F4" s="421">
        <v>90.8</v>
      </c>
      <c r="G4" s="410"/>
      <c r="H4" s="409">
        <f t="shared" ref="H4:H9" si="0">F4*(1-G4)</f>
        <v>90.8</v>
      </c>
      <c r="I4" s="409">
        <f t="shared" ref="I4:I9" si="1">A4*H4</f>
        <v>8444.4</v>
      </c>
      <c r="J4" s="417">
        <f>F4/$I$1</f>
        <v>0.25222222222222224</v>
      </c>
      <c r="K4" s="403" t="s">
        <v>1421</v>
      </c>
      <c r="L4" s="404"/>
      <c r="M4" s="418">
        <f>I4</f>
        <v>8444.4</v>
      </c>
      <c r="N4" s="418"/>
      <c r="O4" s="418"/>
      <c r="P4" s="418"/>
      <c r="Q4" s="418"/>
      <c r="R4" s="418"/>
      <c r="S4" s="418"/>
    </row>
    <row r="5" spans="1:19" ht="55.65">
      <c r="A5" s="413">
        <v>0</v>
      </c>
      <c r="B5" s="413" t="s">
        <v>505</v>
      </c>
      <c r="C5" s="420" t="s">
        <v>817</v>
      </c>
      <c r="D5" s="413" t="s">
        <v>818</v>
      </c>
      <c r="E5" s="420" t="s">
        <v>819</v>
      </c>
      <c r="F5" s="421">
        <v>267.5</v>
      </c>
      <c r="G5" s="410"/>
      <c r="H5" s="409">
        <f t="shared" si="0"/>
        <v>267.5</v>
      </c>
      <c r="I5" s="409">
        <f t="shared" si="1"/>
        <v>0</v>
      </c>
      <c r="J5" s="417"/>
      <c r="K5" s="403"/>
      <c r="L5" s="404"/>
      <c r="M5" s="418"/>
      <c r="N5" s="418"/>
      <c r="O5" s="418"/>
      <c r="P5" s="418"/>
      <c r="Q5" s="418"/>
      <c r="R5" s="418"/>
      <c r="S5" s="418"/>
    </row>
    <row r="6" spans="1:19" ht="22.25">
      <c r="A6" s="413">
        <f>A4+A5</f>
        <v>93</v>
      </c>
      <c r="B6" s="413" t="s">
        <v>505</v>
      </c>
      <c r="C6" s="423" t="s">
        <v>738</v>
      </c>
      <c r="D6" s="423"/>
      <c r="E6" s="424" t="s">
        <v>1422</v>
      </c>
      <c r="F6" s="425">
        <f>3233/128</f>
        <v>25.2578125</v>
      </c>
      <c r="G6" s="422"/>
      <c r="H6" s="409">
        <f t="shared" si="0"/>
        <v>25.2578125</v>
      </c>
      <c r="I6" s="409">
        <f t="shared" si="1"/>
        <v>2348.9765625</v>
      </c>
      <c r="J6" s="417">
        <f>F6/$I$1</f>
        <v>7.0160590277777782E-2</v>
      </c>
      <c r="K6" s="417"/>
      <c r="L6" s="204"/>
      <c r="M6" s="418">
        <f>I6</f>
        <v>2348.9765625</v>
      </c>
      <c r="N6" s="418"/>
      <c r="O6" s="418"/>
      <c r="P6" s="418"/>
      <c r="Q6" s="418"/>
      <c r="R6" s="418"/>
      <c r="S6" s="418"/>
    </row>
    <row r="7" spans="1:19">
      <c r="A7" s="413">
        <v>1</v>
      </c>
      <c r="B7" s="413" t="s">
        <v>522</v>
      </c>
      <c r="C7" s="413" t="s">
        <v>534</v>
      </c>
      <c r="D7" s="413"/>
      <c r="E7" s="420" t="s">
        <v>1423</v>
      </c>
      <c r="F7" s="421">
        <v>275.56</v>
      </c>
      <c r="G7" s="422"/>
      <c r="H7" s="409">
        <f t="shared" si="0"/>
        <v>275.56</v>
      </c>
      <c r="I7" s="409">
        <f t="shared" si="1"/>
        <v>275.56</v>
      </c>
      <c r="J7" s="204"/>
      <c r="L7" s="442"/>
      <c r="M7" s="418"/>
      <c r="N7" s="418"/>
      <c r="O7" s="418"/>
      <c r="P7" s="418"/>
      <c r="Q7" s="418"/>
      <c r="R7" s="418">
        <f t="shared" ref="R7:R9" si="2">I7</f>
        <v>275.56</v>
      </c>
      <c r="S7" s="418"/>
    </row>
    <row r="8" spans="1:19">
      <c r="A8" s="423">
        <v>0</v>
      </c>
      <c r="B8" s="423" t="s">
        <v>522</v>
      </c>
      <c r="C8" s="413"/>
      <c r="D8" s="413"/>
      <c r="E8" s="420"/>
      <c r="F8" s="421"/>
      <c r="G8" s="410"/>
      <c r="H8" s="409">
        <f t="shared" si="0"/>
        <v>0</v>
      </c>
      <c r="I8" s="409">
        <f t="shared" si="1"/>
        <v>0</v>
      </c>
      <c r="J8" s="204"/>
      <c r="L8" s="442"/>
      <c r="M8" s="418"/>
      <c r="N8" s="418"/>
      <c r="O8" s="418"/>
      <c r="P8" s="418"/>
      <c r="Q8" s="418"/>
      <c r="R8" s="418">
        <f t="shared" si="2"/>
        <v>0</v>
      </c>
      <c r="S8" s="418"/>
    </row>
    <row r="9" spans="1:19">
      <c r="A9" s="423">
        <v>1</v>
      </c>
      <c r="B9" s="423" t="s">
        <v>505</v>
      </c>
      <c r="C9" s="423" t="s">
        <v>1074</v>
      </c>
      <c r="D9" s="413"/>
      <c r="E9" s="420" t="s">
        <v>1077</v>
      </c>
      <c r="F9" s="421">
        <v>440</v>
      </c>
      <c r="G9" s="410"/>
      <c r="H9" s="409">
        <f t="shared" si="0"/>
        <v>440</v>
      </c>
      <c r="I9" s="409">
        <f t="shared" si="1"/>
        <v>440</v>
      </c>
      <c r="J9" s="204"/>
      <c r="M9" s="418"/>
      <c r="N9" s="418"/>
      <c r="O9" s="418"/>
      <c r="P9" s="418"/>
      <c r="Q9" s="418"/>
      <c r="R9" s="418">
        <f t="shared" si="2"/>
        <v>440</v>
      </c>
      <c r="S9" s="418"/>
    </row>
    <row r="10" spans="1:19">
      <c r="A10" s="407"/>
      <c r="B10" s="407"/>
      <c r="C10" s="407"/>
      <c r="D10" s="407"/>
      <c r="E10" s="408"/>
      <c r="F10" s="409"/>
      <c r="G10" s="410"/>
      <c r="H10" s="409">
        <f t="shared" ref="H10:H63" si="3">F10*(1-G10)</f>
        <v>0</v>
      </c>
      <c r="I10" s="409">
        <f t="shared" ref="I10:I33" si="4">A10*H10</f>
        <v>0</v>
      </c>
      <c r="J10" s="204"/>
      <c r="M10" s="418"/>
      <c r="N10" s="418"/>
      <c r="O10" s="418"/>
      <c r="P10" s="418"/>
      <c r="Q10" s="418"/>
      <c r="R10" s="418">
        <f t="shared" ref="R10:R25" si="5">I10</f>
        <v>0</v>
      </c>
      <c r="S10" s="418"/>
    </row>
    <row r="11" spans="1:19" ht="22.25">
      <c r="A11" s="413">
        <v>1</v>
      </c>
      <c r="B11" s="413" t="s">
        <v>530</v>
      </c>
      <c r="C11" s="420" t="s">
        <v>531</v>
      </c>
      <c r="D11" s="413"/>
      <c r="E11" s="420" t="s">
        <v>1073</v>
      </c>
      <c r="F11" s="421">
        <v>500</v>
      </c>
      <c r="G11" s="410"/>
      <c r="H11" s="409">
        <f t="shared" si="3"/>
        <v>500</v>
      </c>
      <c r="I11" s="409">
        <f t="shared" si="4"/>
        <v>500</v>
      </c>
      <c r="J11" s="204"/>
      <c r="M11" s="418"/>
      <c r="N11" s="418"/>
      <c r="O11" s="418"/>
      <c r="P11" s="418"/>
      <c r="Q11" s="418"/>
      <c r="R11" s="418">
        <f t="shared" si="5"/>
        <v>500</v>
      </c>
      <c r="S11" s="418"/>
    </row>
    <row r="12" spans="1:19" ht="23.9" customHeight="1">
      <c r="A12" s="413">
        <v>0</v>
      </c>
      <c r="B12" s="413" t="s">
        <v>505</v>
      </c>
      <c r="C12" s="420" t="s">
        <v>534</v>
      </c>
      <c r="D12" s="413"/>
      <c r="E12" s="420" t="s">
        <v>535</v>
      </c>
      <c r="F12" s="421">
        <v>3.71</v>
      </c>
      <c r="G12" s="410"/>
      <c r="H12" s="409">
        <f t="shared" si="3"/>
        <v>3.71</v>
      </c>
      <c r="I12" s="409">
        <f t="shared" si="4"/>
        <v>0</v>
      </c>
      <c r="J12" s="1054" t="s">
        <v>795</v>
      </c>
      <c r="K12" s="1054"/>
      <c r="L12" s="1054"/>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13">
        <f>3*(7+2)+10+22</f>
        <v>59</v>
      </c>
      <c r="B14" s="413" t="s">
        <v>539</v>
      </c>
      <c r="C14" s="420" t="s">
        <v>540</v>
      </c>
      <c r="D14" s="413" t="s">
        <v>541</v>
      </c>
      <c r="E14" s="420" t="s">
        <v>542</v>
      </c>
      <c r="F14" s="421">
        <v>0.55647999999999997</v>
      </c>
      <c r="G14" s="410"/>
      <c r="H14" s="409">
        <f t="shared" si="3"/>
        <v>0.55647999999999997</v>
      </c>
      <c r="I14" s="409">
        <f t="shared" si="4"/>
        <v>32.832319999999996</v>
      </c>
      <c r="M14" s="418"/>
      <c r="N14" s="418"/>
      <c r="O14" s="418">
        <f t="shared" ref="O14:O28" si="6">I14</f>
        <v>32.832319999999996</v>
      </c>
      <c r="P14" s="418"/>
      <c r="Q14" s="418"/>
      <c r="R14" s="418"/>
      <c r="S14" s="418"/>
    </row>
    <row r="15" spans="1:19" ht="33.4">
      <c r="A15" s="413">
        <f>A14+9*3.5+10+5*2.5+19*2</f>
        <v>151</v>
      </c>
      <c r="B15" s="413" t="s">
        <v>539</v>
      </c>
      <c r="C15" s="420" t="s">
        <v>540</v>
      </c>
      <c r="D15" s="413" t="s">
        <v>543</v>
      </c>
      <c r="E15" s="420" t="s">
        <v>544</v>
      </c>
      <c r="F15" s="421">
        <v>0.55647999999999997</v>
      </c>
      <c r="G15" s="410"/>
      <c r="H15" s="409">
        <f t="shared" si="3"/>
        <v>0.55647999999999997</v>
      </c>
      <c r="I15" s="409">
        <f t="shared" si="4"/>
        <v>84.028480000000002</v>
      </c>
      <c r="M15" s="418"/>
      <c r="N15" s="418"/>
      <c r="O15" s="418">
        <f t="shared" si="6"/>
        <v>84.028480000000002</v>
      </c>
      <c r="P15" s="418"/>
      <c r="Q15" s="418"/>
      <c r="R15" s="418"/>
      <c r="S15" s="418"/>
    </row>
    <row r="16" spans="1:19" ht="33.4">
      <c r="A16" s="413">
        <v>12</v>
      </c>
      <c r="B16" s="413" t="s">
        <v>517</v>
      </c>
      <c r="C16" s="420" t="s">
        <v>540</v>
      </c>
      <c r="D16" s="413" t="s">
        <v>797</v>
      </c>
      <c r="E16" s="420" t="s">
        <v>798</v>
      </c>
      <c r="F16" s="421">
        <v>0.88</v>
      </c>
      <c r="G16" s="410"/>
      <c r="H16" s="409">
        <f t="shared" si="3"/>
        <v>0.88</v>
      </c>
      <c r="I16" s="409">
        <f t="shared" si="4"/>
        <v>10.56</v>
      </c>
      <c r="J16" s="204"/>
      <c r="M16" s="418"/>
      <c r="N16" s="418"/>
      <c r="O16" s="418">
        <f t="shared" si="6"/>
        <v>10.56</v>
      </c>
      <c r="P16" s="418"/>
      <c r="Q16" s="418"/>
      <c r="R16" s="418"/>
      <c r="S16" s="418"/>
    </row>
    <row r="17" spans="1:19" ht="33.4">
      <c r="A17" s="413">
        <f>A16</f>
        <v>12</v>
      </c>
      <c r="B17" s="413" t="s">
        <v>517</v>
      </c>
      <c r="C17" s="420" t="s">
        <v>540</v>
      </c>
      <c r="D17" s="413" t="s">
        <v>800</v>
      </c>
      <c r="E17" s="420" t="s">
        <v>801</v>
      </c>
      <c r="F17" s="421">
        <v>0.67</v>
      </c>
      <c r="G17" s="410"/>
      <c r="H17" s="409">
        <f t="shared" si="3"/>
        <v>0.67</v>
      </c>
      <c r="I17" s="409">
        <f t="shared" si="4"/>
        <v>8.0400000000000009</v>
      </c>
      <c r="J17" s="204"/>
      <c r="M17" s="418"/>
      <c r="N17" s="418"/>
      <c r="O17" s="418">
        <f t="shared" si="6"/>
        <v>8.0400000000000009</v>
      </c>
      <c r="P17" s="418"/>
      <c r="Q17" s="418"/>
      <c r="R17" s="418"/>
      <c r="S17" s="418"/>
    </row>
    <row r="18" spans="1:19" ht="22.25">
      <c r="A18" s="413">
        <v>0</v>
      </c>
      <c r="B18" s="413" t="s">
        <v>517</v>
      </c>
      <c r="C18" s="420" t="s">
        <v>540</v>
      </c>
      <c r="D18" s="413" t="s">
        <v>556</v>
      </c>
      <c r="E18" s="420" t="s">
        <v>557</v>
      </c>
      <c r="F18" s="421">
        <v>6.58</v>
      </c>
      <c r="G18" s="410"/>
      <c r="H18" s="409">
        <f t="shared" si="3"/>
        <v>6.58</v>
      </c>
      <c r="I18" s="409">
        <f t="shared" si="4"/>
        <v>0</v>
      </c>
      <c r="J18" s="204"/>
      <c r="M18" s="418"/>
      <c r="N18" s="418"/>
      <c r="O18" s="418">
        <f t="shared" si="6"/>
        <v>0</v>
      </c>
      <c r="P18" s="418"/>
      <c r="Q18" s="418"/>
      <c r="R18" s="418"/>
      <c r="S18" s="418"/>
    </row>
    <row r="19" spans="1:19">
      <c r="A19" s="413">
        <v>1</v>
      </c>
      <c r="B19" s="413" t="s">
        <v>505</v>
      </c>
      <c r="C19" s="741" t="s">
        <v>1285</v>
      </c>
      <c r="D19" s="413"/>
      <c r="E19" s="420" t="s">
        <v>811</v>
      </c>
      <c r="F19" s="421">
        <v>3765</v>
      </c>
      <c r="G19" s="410"/>
      <c r="H19" s="409">
        <f t="shared" si="3"/>
        <v>3765</v>
      </c>
      <c r="I19" s="409">
        <f t="shared" si="4"/>
        <v>3765</v>
      </c>
      <c r="J19" s="204"/>
      <c r="M19" s="418"/>
      <c r="N19" s="418">
        <f t="shared" ref="N19:N22" si="7">I19</f>
        <v>3765</v>
      </c>
      <c r="O19" s="418"/>
      <c r="P19" s="418"/>
      <c r="Q19" s="418"/>
      <c r="R19" s="418"/>
      <c r="S19" s="418"/>
    </row>
    <row r="20" spans="1:19">
      <c r="A20" s="413">
        <f>19+2*14</f>
        <v>47</v>
      </c>
      <c r="B20" s="423" t="s">
        <v>522</v>
      </c>
      <c r="C20" s="413" t="s">
        <v>1074</v>
      </c>
      <c r="D20" s="413"/>
      <c r="E20" s="420" t="s">
        <v>1081</v>
      </c>
      <c r="F20" s="421">
        <v>43.2</v>
      </c>
      <c r="G20" s="422"/>
      <c r="H20" s="409">
        <f t="shared" si="3"/>
        <v>43.2</v>
      </c>
      <c r="I20" s="409">
        <f t="shared" si="4"/>
        <v>2030.4</v>
      </c>
      <c r="J20" s="204"/>
      <c r="K20" s="17" t="s">
        <v>1424</v>
      </c>
      <c r="M20" s="418"/>
      <c r="N20" s="418">
        <f t="shared" si="7"/>
        <v>2030.4</v>
      </c>
      <c r="O20" s="418"/>
      <c r="P20" s="418"/>
      <c r="Q20" s="418"/>
      <c r="R20" s="418"/>
      <c r="S20" s="418"/>
    </row>
    <row r="21" spans="1:19">
      <c r="A21" s="407">
        <v>0</v>
      </c>
      <c r="B21" s="407" t="s">
        <v>517</v>
      </c>
      <c r="C21" s="408"/>
      <c r="D21" s="407"/>
      <c r="E21" s="408"/>
      <c r="F21" s="409"/>
      <c r="G21" s="410"/>
      <c r="H21" s="409">
        <f t="shared" si="3"/>
        <v>0</v>
      </c>
      <c r="I21" s="409">
        <f t="shared" si="4"/>
        <v>0</v>
      </c>
      <c r="J21" s="204"/>
      <c r="M21" s="418"/>
      <c r="N21" s="418">
        <f t="shared" si="7"/>
        <v>0</v>
      </c>
      <c r="O21" s="418"/>
      <c r="P21" s="418"/>
      <c r="Q21" s="418"/>
      <c r="R21" s="418"/>
      <c r="S21" s="418"/>
    </row>
    <row r="22" spans="1:19">
      <c r="A22" s="407">
        <v>0</v>
      </c>
      <c r="B22" s="407" t="s">
        <v>517</v>
      </c>
      <c r="C22" s="408"/>
      <c r="D22" s="407"/>
      <c r="E22" s="408"/>
      <c r="F22" s="409"/>
      <c r="G22" s="410"/>
      <c r="H22" s="409">
        <f t="shared" si="3"/>
        <v>0</v>
      </c>
      <c r="I22" s="409">
        <f t="shared" si="4"/>
        <v>0</v>
      </c>
      <c r="J22" s="204"/>
      <c r="M22" s="418"/>
      <c r="N22" s="418">
        <f t="shared" si="7"/>
        <v>0</v>
      </c>
      <c r="O22" s="418"/>
      <c r="P22" s="418"/>
      <c r="Q22" s="418"/>
      <c r="R22" s="418"/>
      <c r="S22" s="418"/>
    </row>
    <row r="23" spans="1:19" ht="33.4">
      <c r="A23" s="413">
        <v>6</v>
      </c>
      <c r="B23" s="413" t="s">
        <v>517</v>
      </c>
      <c r="C23" s="420" t="s">
        <v>540</v>
      </c>
      <c r="D23" s="413" t="s">
        <v>761</v>
      </c>
      <c r="E23" s="420" t="s">
        <v>762</v>
      </c>
      <c r="F23" s="421">
        <v>2.5</v>
      </c>
      <c r="G23" s="410"/>
      <c r="H23" s="409">
        <f t="shared" si="3"/>
        <v>2.5</v>
      </c>
      <c r="I23" s="409">
        <f t="shared" si="4"/>
        <v>15</v>
      </c>
      <c r="J23" s="204"/>
      <c r="M23" s="418"/>
      <c r="N23" s="418"/>
      <c r="O23" s="418"/>
      <c r="P23" s="418"/>
      <c r="Q23" s="418"/>
      <c r="R23" s="418">
        <f t="shared" si="5"/>
        <v>15</v>
      </c>
      <c r="S23" s="418"/>
    </row>
    <row r="24" spans="1:19" ht="35.85" customHeight="1">
      <c r="A24" s="413">
        <v>1</v>
      </c>
      <c r="B24" s="413" t="s">
        <v>522</v>
      </c>
      <c r="C24" s="413" t="s">
        <v>751</v>
      </c>
      <c r="D24" s="413"/>
      <c r="E24" s="420" t="s">
        <v>803</v>
      </c>
      <c r="F24" s="421">
        <v>564.44000000000005</v>
      </c>
      <c r="G24" s="410"/>
      <c r="H24" s="409">
        <f t="shared" si="3"/>
        <v>564.44000000000005</v>
      </c>
      <c r="I24" s="409">
        <f t="shared" si="4"/>
        <v>564.44000000000005</v>
      </c>
      <c r="J24" s="1054" t="s">
        <v>833</v>
      </c>
      <c r="K24" s="1054"/>
      <c r="L24" s="1054"/>
      <c r="M24" s="418"/>
      <c r="N24" s="418"/>
      <c r="O24" s="418"/>
      <c r="P24" s="418"/>
      <c r="Q24" s="418"/>
      <c r="R24" s="418">
        <f t="shared" si="5"/>
        <v>564.44000000000005</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c r="A27" s="413">
        <v>1</v>
      </c>
      <c r="B27" s="413" t="s">
        <v>517</v>
      </c>
      <c r="C27" s="413" t="s">
        <v>751</v>
      </c>
      <c r="D27" s="413"/>
      <c r="E27" s="420" t="s">
        <v>834</v>
      </c>
      <c r="F27" s="421">
        <v>462.5</v>
      </c>
      <c r="G27" s="410"/>
      <c r="H27" s="409">
        <f t="shared" si="3"/>
        <v>462.5</v>
      </c>
      <c r="I27" s="409">
        <f t="shared" si="4"/>
        <v>462.5</v>
      </c>
      <c r="J27" s="204"/>
      <c r="M27" s="418">
        <f>F27</f>
        <v>462.5</v>
      </c>
      <c r="N27" s="418"/>
      <c r="O27" s="418"/>
      <c r="P27" s="418"/>
      <c r="Q27" s="418"/>
      <c r="R27" s="418"/>
      <c r="S27" s="418"/>
    </row>
    <row r="28" spans="1:19">
      <c r="A28" s="413">
        <v>25</v>
      </c>
      <c r="B28" s="413" t="s">
        <v>539</v>
      </c>
      <c r="C28" s="413" t="s">
        <v>690</v>
      </c>
      <c r="D28" s="413"/>
      <c r="E28" s="413" t="s">
        <v>835</v>
      </c>
      <c r="F28" s="421">
        <v>9.32</v>
      </c>
      <c r="G28" s="428"/>
      <c r="H28" s="409">
        <f t="shared" si="3"/>
        <v>9.32</v>
      </c>
      <c r="I28" s="409">
        <f t="shared" si="4"/>
        <v>233</v>
      </c>
      <c r="J28" s="204"/>
      <c r="K28" s="442"/>
      <c r="M28" s="418"/>
      <c r="N28" s="418"/>
      <c r="O28" s="418">
        <f t="shared" si="6"/>
        <v>233</v>
      </c>
      <c r="P28" s="418"/>
      <c r="Q28" s="418"/>
      <c r="R28" s="418"/>
      <c r="S28" s="418"/>
    </row>
    <row r="29" spans="1:19" ht="33.4">
      <c r="A29" s="413">
        <v>1</v>
      </c>
      <c r="B29" s="413" t="s">
        <v>517</v>
      </c>
      <c r="C29" s="420" t="s">
        <v>569</v>
      </c>
      <c r="D29" s="413" t="s">
        <v>570</v>
      </c>
      <c r="E29" s="420" t="s">
        <v>571</v>
      </c>
      <c r="F29" s="421">
        <v>1040</v>
      </c>
      <c r="G29" s="429">
        <v>0.48</v>
      </c>
      <c r="H29" s="430">
        <f t="shared" si="3"/>
        <v>540.80000000000007</v>
      </c>
      <c r="I29" s="409">
        <f t="shared" si="4"/>
        <v>540.80000000000007</v>
      </c>
      <c r="J29" s="204"/>
      <c r="M29" s="418"/>
      <c r="N29" s="418"/>
      <c r="O29" s="418"/>
      <c r="P29" s="418"/>
      <c r="Q29" s="418"/>
      <c r="R29" s="418"/>
      <c r="S29" s="418">
        <f t="shared" ref="S29:S33" si="8">I29</f>
        <v>540.80000000000007</v>
      </c>
    </row>
    <row r="30" spans="1:19" ht="44.55">
      <c r="A30" s="413">
        <v>0</v>
      </c>
      <c r="B30" s="413" t="s">
        <v>517</v>
      </c>
      <c r="C30" s="424" t="s">
        <v>569</v>
      </c>
      <c r="D30" s="423" t="s">
        <v>572</v>
      </c>
      <c r="E30" s="424" t="s">
        <v>573</v>
      </c>
      <c r="F30" s="425">
        <v>1190</v>
      </c>
      <c r="G30" s="429">
        <v>0.48</v>
      </c>
      <c r="H30" s="430">
        <f t="shared" si="3"/>
        <v>618.80000000000007</v>
      </c>
      <c r="I30" s="409">
        <f t="shared" si="4"/>
        <v>0</v>
      </c>
      <c r="J30" s="204"/>
      <c r="M30" s="418"/>
      <c r="N30" s="418"/>
      <c r="O30" s="418"/>
      <c r="P30" s="418"/>
      <c r="Q30" s="418"/>
      <c r="R30" s="418"/>
      <c r="S30" s="418">
        <f t="shared" si="8"/>
        <v>0</v>
      </c>
    </row>
    <row r="31" spans="1:19">
      <c r="A31" s="413">
        <v>0</v>
      </c>
      <c r="B31" s="413" t="s">
        <v>517</v>
      </c>
      <c r="C31" s="420" t="s">
        <v>574</v>
      </c>
      <c r="D31" s="413" t="s">
        <v>575</v>
      </c>
      <c r="E31" s="413" t="s">
        <v>576</v>
      </c>
      <c r="F31" s="421">
        <v>36.700000000000003</v>
      </c>
      <c r="G31" s="410"/>
      <c r="H31" s="409">
        <f t="shared" si="3"/>
        <v>36.700000000000003</v>
      </c>
      <c r="I31" s="409">
        <f t="shared" si="4"/>
        <v>0</v>
      </c>
      <c r="J31" s="204"/>
      <c r="M31" s="418"/>
      <c r="N31" s="418"/>
      <c r="O31" s="418"/>
      <c r="P31" s="418"/>
      <c r="Q31" s="418"/>
      <c r="R31" s="418"/>
      <c r="S31" s="418">
        <f t="shared" si="8"/>
        <v>0</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20239.287362499999</v>
      </c>
      <c r="J36" s="204"/>
      <c r="M36" s="418">
        <f>SUM(M4:M34)</f>
        <v>11255.8765625</v>
      </c>
      <c r="N36" s="418">
        <f>SUM(N4:N34)</f>
        <v>5795.4</v>
      </c>
      <c r="O36" s="418">
        <f>SUM(O4:O34)</f>
        <v>468.46080000000001</v>
      </c>
      <c r="P36" s="418"/>
      <c r="Q36" s="418"/>
      <c r="R36" s="418">
        <f>SUM(R4:R34)</f>
        <v>1795</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25299.109203125001</v>
      </c>
      <c r="J38" s="436"/>
      <c r="K38" s="437"/>
      <c r="L38" s="437"/>
      <c r="M38" s="438">
        <f>M36*(1+$G$37)</f>
        <v>14069.845703125</v>
      </c>
      <c r="N38" s="438">
        <f>N36*(1+$G$37)</f>
        <v>7244.25</v>
      </c>
      <c r="O38" s="438">
        <f>O36*(1+$G$37)</f>
        <v>585.57600000000002</v>
      </c>
      <c r="P38" s="438">
        <f>P67</f>
        <v>5280</v>
      </c>
      <c r="Q38" s="438">
        <f>Q126</f>
        <v>1270.8399999999999</v>
      </c>
      <c r="R38" s="438">
        <f>R36*(1+$G$37)</f>
        <v>2243.75</v>
      </c>
      <c r="S38" s="438">
        <f>S36*(1+$G$37)</f>
        <v>1155.6875</v>
      </c>
    </row>
    <row r="41" spans="1:19">
      <c r="E41" s="439" t="s">
        <v>585</v>
      </c>
    </row>
    <row r="42" spans="1:19">
      <c r="A42" s="441">
        <v>4</v>
      </c>
      <c r="B42" s="17" t="s">
        <v>619</v>
      </c>
      <c r="E42" s="17" t="s">
        <v>586</v>
      </c>
      <c r="F42" s="403">
        <f t="shared" ref="F42:F58" si="9">F$62</f>
        <v>55</v>
      </c>
      <c r="H42" s="403">
        <f t="shared" si="3"/>
        <v>55</v>
      </c>
      <c r="I42" s="403">
        <f t="shared" ref="I42:I64" si="10">A42*H42</f>
        <v>220</v>
      </c>
      <c r="J42" s="17" t="s">
        <v>1425</v>
      </c>
    </row>
    <row r="43" spans="1:19">
      <c r="A43" s="441">
        <f>A6/120*8*2</f>
        <v>12.4</v>
      </c>
      <c r="B43" s="17" t="s">
        <v>619</v>
      </c>
      <c r="E43" s="17" t="s">
        <v>589</v>
      </c>
      <c r="F43" s="403">
        <f t="shared" si="9"/>
        <v>55</v>
      </c>
      <c r="H43" s="403">
        <f t="shared" si="3"/>
        <v>55</v>
      </c>
      <c r="I43" s="403">
        <f t="shared" si="10"/>
        <v>682</v>
      </c>
      <c r="J43" s="17" t="s">
        <v>592</v>
      </c>
    </row>
    <row r="44" spans="1:19">
      <c r="A44" s="441">
        <f>4*1</f>
        <v>4</v>
      </c>
      <c r="B44" s="17" t="s">
        <v>619</v>
      </c>
      <c r="E44" s="17" t="s">
        <v>1426</v>
      </c>
      <c r="F44" s="403">
        <f t="shared" si="9"/>
        <v>55</v>
      </c>
      <c r="H44" s="403">
        <f t="shared" si="3"/>
        <v>55</v>
      </c>
      <c r="I44" s="403">
        <f t="shared" si="10"/>
        <v>220</v>
      </c>
      <c r="J44" s="17" t="s">
        <v>1427</v>
      </c>
    </row>
    <row r="45" spans="1:19">
      <c r="A45" s="441">
        <f>A6/120*16*2</f>
        <v>24.8</v>
      </c>
      <c r="B45" s="17" t="s">
        <v>619</v>
      </c>
      <c r="E45" s="17" t="s">
        <v>591</v>
      </c>
      <c r="F45" s="403">
        <f t="shared" si="9"/>
        <v>55</v>
      </c>
      <c r="H45" s="403">
        <f t="shared" si="3"/>
        <v>55</v>
      </c>
      <c r="I45" s="403">
        <f t="shared" si="10"/>
        <v>1364</v>
      </c>
      <c r="J45" s="17" t="s">
        <v>592</v>
      </c>
    </row>
    <row r="46" spans="1:19">
      <c r="A46" s="441">
        <v>4</v>
      </c>
      <c r="B46" s="17" t="s">
        <v>619</v>
      </c>
      <c r="E46" s="17" t="s">
        <v>1428</v>
      </c>
      <c r="F46" s="403">
        <f t="shared" si="9"/>
        <v>55</v>
      </c>
      <c r="H46" s="403">
        <f t="shared" si="3"/>
        <v>55</v>
      </c>
      <c r="I46" s="403">
        <f t="shared" si="10"/>
        <v>220</v>
      </c>
    </row>
    <row r="47" spans="1:19">
      <c r="A47" s="441">
        <v>1</v>
      </c>
      <c r="B47" s="17" t="s">
        <v>619</v>
      </c>
      <c r="E47" s="17" t="s">
        <v>1429</v>
      </c>
      <c r="F47" s="403">
        <f t="shared" si="9"/>
        <v>55</v>
      </c>
      <c r="H47" s="403">
        <f t="shared" si="3"/>
        <v>55</v>
      </c>
      <c r="I47" s="403">
        <f t="shared" si="10"/>
        <v>55</v>
      </c>
    </row>
    <row r="48" spans="1:19">
      <c r="A48" s="441">
        <v>3</v>
      </c>
      <c r="B48" s="17" t="s">
        <v>619</v>
      </c>
      <c r="E48" s="17" t="s">
        <v>605</v>
      </c>
      <c r="F48" s="403">
        <f t="shared" si="9"/>
        <v>55</v>
      </c>
      <c r="H48" s="403">
        <f t="shared" si="3"/>
        <v>55</v>
      </c>
      <c r="I48" s="403">
        <f t="shared" si="10"/>
        <v>165</v>
      </c>
      <c r="J48" s="17" t="s">
        <v>1430</v>
      </c>
    </row>
    <row r="49" spans="1:10">
      <c r="A49" s="441">
        <f>2+47/6</f>
        <v>9.8333333333333321</v>
      </c>
      <c r="B49" s="17" t="s">
        <v>619</v>
      </c>
      <c r="E49" s="17" t="s">
        <v>607</v>
      </c>
      <c r="F49" s="403">
        <f t="shared" si="9"/>
        <v>55</v>
      </c>
      <c r="H49" s="403">
        <f t="shared" si="3"/>
        <v>55</v>
      </c>
      <c r="I49" s="403">
        <f t="shared" si="10"/>
        <v>540.83333333333326</v>
      </c>
      <c r="J49" s="17" t="s">
        <v>608</v>
      </c>
    </row>
    <row r="50" spans="1:10">
      <c r="A50" s="441">
        <v>0.5</v>
      </c>
      <c r="B50" s="17" t="s">
        <v>619</v>
      </c>
      <c r="E50" s="17" t="s">
        <v>609</v>
      </c>
      <c r="F50" s="403">
        <f t="shared" si="9"/>
        <v>55</v>
      </c>
      <c r="H50" s="403">
        <f t="shared" si="3"/>
        <v>55</v>
      </c>
      <c r="I50" s="403">
        <f t="shared" si="10"/>
        <v>27.5</v>
      </c>
    </row>
    <row r="51" spans="1:10">
      <c r="A51" s="441">
        <v>8</v>
      </c>
      <c r="B51" s="17" t="s">
        <v>619</v>
      </c>
      <c r="E51" s="17" t="s">
        <v>610</v>
      </c>
      <c r="F51" s="403">
        <f t="shared" si="9"/>
        <v>55</v>
      </c>
      <c r="H51" s="403">
        <f t="shared" si="3"/>
        <v>55</v>
      </c>
      <c r="I51" s="403">
        <f t="shared" si="10"/>
        <v>440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4</v>
      </c>
      <c r="B55" s="17" t="s">
        <v>619</v>
      </c>
      <c r="E55" s="17" t="s">
        <v>614</v>
      </c>
      <c r="F55" s="403">
        <f t="shared" si="9"/>
        <v>55</v>
      </c>
      <c r="H55" s="403">
        <f t="shared" si="3"/>
        <v>55</v>
      </c>
      <c r="I55" s="403">
        <f t="shared" si="10"/>
        <v>220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441">
        <v>0</v>
      </c>
      <c r="B58" s="17" t="s">
        <v>619</v>
      </c>
      <c r="E58" s="17" t="s">
        <v>617</v>
      </c>
      <c r="F58" s="403">
        <f t="shared" si="9"/>
        <v>55</v>
      </c>
      <c r="H58" s="403">
        <f t="shared" si="3"/>
        <v>55</v>
      </c>
      <c r="I58" s="403">
        <f t="shared" si="10"/>
        <v>0</v>
      </c>
      <c r="J58" s="17" t="s">
        <v>618</v>
      </c>
    </row>
    <row r="60" spans="1:10">
      <c r="A60" s="17">
        <f>SUM(A42:A59)</f>
        <v>89.533333333333331</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4</v>
      </c>
      <c r="B63" s="17" t="s">
        <v>624</v>
      </c>
      <c r="E63" s="17" t="s">
        <v>625</v>
      </c>
      <c r="F63" s="403">
        <f>A61*8*F62</f>
        <v>1320</v>
      </c>
      <c r="H63" s="403">
        <f t="shared" si="3"/>
        <v>1320</v>
      </c>
      <c r="I63" s="403">
        <f t="shared" si="10"/>
        <v>5280</v>
      </c>
    </row>
    <row r="64" spans="1:10">
      <c r="A64" s="441">
        <v>0</v>
      </c>
      <c r="B64" s="442" t="s">
        <v>517</v>
      </c>
      <c r="C64" s="446"/>
      <c r="D64" s="442"/>
      <c r="E64" s="442" t="s">
        <v>626</v>
      </c>
      <c r="F64" s="447">
        <v>500</v>
      </c>
      <c r="G64" s="444"/>
      <c r="H64" s="403">
        <v>1000</v>
      </c>
      <c r="I64" s="403">
        <f t="shared" si="10"/>
        <v>0</v>
      </c>
      <c r="J64" s="17" t="s">
        <v>627</v>
      </c>
    </row>
    <row r="65" spans="1:16">
      <c r="A65" s="441"/>
      <c r="F65" s="447"/>
      <c r="H65" s="403"/>
      <c r="I65" s="403"/>
    </row>
    <row r="66" spans="1:16">
      <c r="A66" s="441"/>
      <c r="F66" s="447"/>
      <c r="H66" s="403"/>
      <c r="I66" s="403"/>
    </row>
    <row r="67" spans="1:16" ht="15.75">
      <c r="E67" s="439" t="s">
        <v>628</v>
      </c>
      <c r="I67" s="443">
        <f>SUM(I63:I66)</f>
        <v>5280</v>
      </c>
      <c r="P67" s="438">
        <f>I67</f>
        <v>5280</v>
      </c>
    </row>
    <row r="75" spans="1:16" ht="36.6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1</v>
      </c>
      <c r="B81" s="453" t="s">
        <v>517</v>
      </c>
      <c r="C81" s="454" t="s">
        <v>538</v>
      </c>
      <c r="D81" s="455" t="s">
        <v>636</v>
      </c>
      <c r="E81" s="453" t="s">
        <v>637</v>
      </c>
      <c r="F81" s="456">
        <v>1849</v>
      </c>
      <c r="G81" s="457"/>
      <c r="H81" s="458">
        <f>F81*(1-$G$78)</f>
        <v>1109.3999999999999</v>
      </c>
      <c r="I81" s="458">
        <f t="shared" ref="I81:I99" si="11">A81*H81</f>
        <v>1109.3999999999999</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22.25" customHeight="1">
      <c r="A103" s="452">
        <v>0</v>
      </c>
      <c r="B103" s="453" t="s">
        <v>517</v>
      </c>
      <c r="C103" s="454" t="s">
        <v>538</v>
      </c>
      <c r="D103" s="455" t="s">
        <v>636</v>
      </c>
      <c r="E103" s="453" t="s">
        <v>668</v>
      </c>
      <c r="F103" s="463">
        <v>3732</v>
      </c>
      <c r="G103" s="457"/>
      <c r="H103" s="458">
        <f>F103*(1-G78)</f>
        <v>2239.1999999999998</v>
      </c>
      <c r="I103" s="458">
        <f t="shared" ref="I103:I124" si="13">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3"/>
        <v>0</v>
      </c>
      <c r="J104" s="453" t="s">
        <v>649</v>
      </c>
      <c r="K104" s="1050"/>
      <c r="L104" s="17" t="s">
        <v>672</v>
      </c>
    </row>
    <row r="105" spans="1:12" ht="22.25" customHeight="1">
      <c r="A105" s="461">
        <v>0</v>
      </c>
      <c r="B105" s="453" t="s">
        <v>517</v>
      </c>
      <c r="C105" s="453" t="s">
        <v>538</v>
      </c>
      <c r="D105" s="462" t="s">
        <v>640</v>
      </c>
      <c r="E105" s="453" t="s">
        <v>673</v>
      </c>
      <c r="F105" s="463">
        <v>1968</v>
      </c>
      <c r="G105" s="457"/>
      <c r="H105" s="458">
        <f t="shared" ref="H105:H119" si="14">F105*(1-$G$77)</f>
        <v>1180.8</v>
      </c>
      <c r="I105" s="458">
        <f t="shared" si="13"/>
        <v>0</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22.25"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22.25"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22.25">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1270.8399999999999</v>
      </c>
      <c r="Q126" s="438">
        <f>I126</f>
        <v>1270.8399999999999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9"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55.65">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ht="15.75">
      <c r="E150" s="439" t="s">
        <v>702</v>
      </c>
      <c r="I150" s="168">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1</v>
      </c>
      <c r="B157" s="17" t="s">
        <v>517</v>
      </c>
      <c r="E157" s="17" t="s">
        <v>707</v>
      </c>
      <c r="F157" s="403">
        <v>1500</v>
      </c>
      <c r="H157" s="403">
        <f t="shared" si="15"/>
        <v>1500</v>
      </c>
      <c r="I157" s="403">
        <f t="shared" si="16"/>
        <v>1500</v>
      </c>
    </row>
    <row r="158" spans="1:10" ht="44.55">
      <c r="A158" s="442">
        <v>0</v>
      </c>
      <c r="B158" s="17" t="s">
        <v>517</v>
      </c>
      <c r="C158" s="204" t="s">
        <v>708</v>
      </c>
      <c r="E158" s="204" t="s">
        <v>709</v>
      </c>
      <c r="F158" s="403">
        <v>460</v>
      </c>
      <c r="H158" s="403">
        <f t="shared" si="15"/>
        <v>460</v>
      </c>
      <c r="I158" s="403">
        <f t="shared" si="16"/>
        <v>0</v>
      </c>
      <c r="J158" s="17" t="s">
        <v>710</v>
      </c>
    </row>
    <row r="159" spans="1:10" ht="44.55">
      <c r="A159" s="442">
        <v>0</v>
      </c>
      <c r="B159" s="17" t="s">
        <v>517</v>
      </c>
      <c r="C159" s="204" t="s">
        <v>711</v>
      </c>
      <c r="E159" s="204" t="s">
        <v>712</v>
      </c>
      <c r="F159" s="403">
        <v>320</v>
      </c>
      <c r="H159" s="403">
        <f t="shared" si="15"/>
        <v>320</v>
      </c>
      <c r="I159" s="403">
        <f t="shared" si="16"/>
        <v>0</v>
      </c>
    </row>
    <row r="160" spans="1:10" ht="55.65">
      <c r="A160" s="442">
        <v>0</v>
      </c>
      <c r="B160" s="17" t="s">
        <v>517</v>
      </c>
      <c r="C160" s="17" t="s">
        <v>713</v>
      </c>
      <c r="D160" s="17" t="s">
        <v>714</v>
      </c>
      <c r="E160" s="204" t="s">
        <v>1432</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c r="A169" s="442">
        <f t="shared" si="17"/>
        <v>0</v>
      </c>
      <c r="B169" s="17" t="s">
        <v>539</v>
      </c>
      <c r="C169" s="204" t="s">
        <v>531</v>
      </c>
      <c r="E169" s="17" t="s">
        <v>727</v>
      </c>
      <c r="F169" s="403">
        <v>25</v>
      </c>
      <c r="H169" s="403">
        <f t="shared" si="15"/>
        <v>25</v>
      </c>
      <c r="I169" s="403">
        <f t="shared" si="16"/>
        <v>0</v>
      </c>
    </row>
    <row r="170" spans="1:10">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2840</v>
      </c>
    </row>
    <row r="174" spans="1:10" ht="13.75" customHeight="1">
      <c r="A174" s="997" t="s">
        <v>68</v>
      </c>
      <c r="B174" s="997"/>
      <c r="C174" s="997"/>
      <c r="D174" s="997"/>
      <c r="E174" s="997"/>
    </row>
    <row r="175" spans="1:10">
      <c r="A175" s="442">
        <v>0</v>
      </c>
      <c r="B175" s="17" t="s">
        <v>517</v>
      </c>
      <c r="E175" s="17" t="s">
        <v>1433</v>
      </c>
      <c r="F175" s="403">
        <v>187.5</v>
      </c>
      <c r="H175" s="403">
        <f t="shared" si="15"/>
        <v>187.5</v>
      </c>
      <c r="I175" s="403">
        <f t="shared" ref="I175:I179" si="18">A175*H175</f>
        <v>0</v>
      </c>
      <c r="J175" s="17" t="s">
        <v>1434</v>
      </c>
    </row>
    <row r="176" spans="1:10">
      <c r="A176" s="442">
        <v>1</v>
      </c>
      <c r="B176" s="17" t="s">
        <v>517</v>
      </c>
      <c r="E176" s="17" t="s">
        <v>1435</v>
      </c>
      <c r="F176" s="403">
        <v>250</v>
      </c>
      <c r="H176" s="403">
        <f t="shared" si="15"/>
        <v>250</v>
      </c>
      <c r="I176" s="403">
        <f t="shared" si="18"/>
        <v>250</v>
      </c>
    </row>
    <row r="177" spans="1:9">
      <c r="A177" s="442">
        <v>0</v>
      </c>
      <c r="B177" s="17" t="s">
        <v>505</v>
      </c>
      <c r="E177" s="17" t="s">
        <v>1436</v>
      </c>
      <c r="F177" s="403">
        <v>500</v>
      </c>
      <c r="H177" s="403">
        <f t="shared" si="15"/>
        <v>500</v>
      </c>
      <c r="I177" s="403">
        <f t="shared" si="18"/>
        <v>0</v>
      </c>
    </row>
    <row r="178" spans="1:9" ht="44.55">
      <c r="A178" s="442">
        <v>1</v>
      </c>
      <c r="B178" s="17" t="s">
        <v>517</v>
      </c>
      <c r="C178" s="204" t="s">
        <v>708</v>
      </c>
      <c r="E178" s="204" t="s">
        <v>731</v>
      </c>
      <c r="F178" s="403">
        <f>460/2</f>
        <v>230</v>
      </c>
      <c r="H178" s="403">
        <f t="shared" si="15"/>
        <v>230</v>
      </c>
      <c r="I178" s="403">
        <f t="shared" si="18"/>
        <v>230</v>
      </c>
    </row>
    <row r="179" spans="1:9" ht="44.55">
      <c r="A179" s="442">
        <v>0</v>
      </c>
      <c r="B179" s="17" t="s">
        <v>517</v>
      </c>
      <c r="C179" s="204" t="s">
        <v>711</v>
      </c>
      <c r="E179" s="204" t="s">
        <v>732</v>
      </c>
      <c r="F179" s="403">
        <f>320/2</f>
        <v>160</v>
      </c>
      <c r="H179" s="403">
        <f t="shared" si="15"/>
        <v>160</v>
      </c>
      <c r="I179" s="403">
        <f t="shared" si="18"/>
        <v>0</v>
      </c>
    </row>
    <row r="181" spans="1:9" ht="15.75">
      <c r="E181" s="439" t="s">
        <v>733</v>
      </c>
      <c r="I181" s="168">
        <f>SUM(I174:I180)</f>
        <v>480</v>
      </c>
    </row>
    <row r="182" spans="1:9">
      <c r="E182" s="439"/>
    </row>
  </sheetData>
  <mergeCells count="14">
    <mergeCell ref="B1:F1"/>
    <mergeCell ref="A2:G2"/>
    <mergeCell ref="J12:L12"/>
    <mergeCell ref="J24:L24"/>
    <mergeCell ref="K82:K83"/>
    <mergeCell ref="K109:K119"/>
    <mergeCell ref="A128:E128"/>
    <mergeCell ref="A152:E152"/>
    <mergeCell ref="A174:E174"/>
    <mergeCell ref="K84:K85"/>
    <mergeCell ref="K86:K96"/>
    <mergeCell ref="K103:K104"/>
    <mergeCell ref="K105:K106"/>
    <mergeCell ref="K107:K108"/>
  </mergeCells>
  <hyperlinks>
    <hyperlink ref="C19" r:id="rId1"/>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2.140625" style="204" customWidth="1"/>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2.45">
      <c r="B1" s="1079" t="s">
        <v>192</v>
      </c>
      <c r="C1" s="1079"/>
      <c r="D1" s="1079"/>
      <c r="E1" s="1079"/>
      <c r="F1" s="1079"/>
      <c r="H1" s="405" t="s">
        <v>493</v>
      </c>
      <c r="I1" s="406">
        <v>360</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f>93+30+5</f>
        <v>128</v>
      </c>
      <c r="B4" s="413" t="s">
        <v>505</v>
      </c>
      <c r="C4" s="420" t="s">
        <v>540</v>
      </c>
      <c r="D4" s="413" t="s">
        <v>556</v>
      </c>
      <c r="E4" s="420" t="s">
        <v>1214</v>
      </c>
      <c r="F4" s="421">
        <v>98.59</v>
      </c>
      <c r="G4" s="410"/>
      <c r="H4" s="409">
        <f t="shared" ref="H4:H9" si="0">F4*(1-G4)</f>
        <v>98.59</v>
      </c>
      <c r="I4" s="409">
        <f t="shared" ref="I4:I9" si="1">A4*H4</f>
        <v>12619.52</v>
      </c>
      <c r="J4" s="417">
        <f>F4/$I$1</f>
        <v>0.27386111111111111</v>
      </c>
      <c r="K4" s="403" t="s">
        <v>1421</v>
      </c>
      <c r="L4" s="404"/>
      <c r="M4" s="418">
        <f>I4</f>
        <v>12619.52</v>
      </c>
      <c r="N4" s="418"/>
      <c r="O4" s="418"/>
      <c r="P4" s="418"/>
      <c r="Q4" s="418"/>
      <c r="R4" s="418"/>
      <c r="S4" s="418"/>
    </row>
    <row r="5" spans="1:19" ht="55.65">
      <c r="A5" s="413">
        <v>0</v>
      </c>
      <c r="B5" s="413" t="s">
        <v>505</v>
      </c>
      <c r="C5" s="420" t="s">
        <v>817</v>
      </c>
      <c r="D5" s="413" t="s">
        <v>818</v>
      </c>
      <c r="E5" s="420" t="s">
        <v>819</v>
      </c>
      <c r="F5" s="421">
        <v>267.5</v>
      </c>
      <c r="G5" s="410"/>
      <c r="H5" s="409">
        <f t="shared" si="0"/>
        <v>267.5</v>
      </c>
      <c r="I5" s="409">
        <f t="shared" si="1"/>
        <v>0</v>
      </c>
      <c r="J5" s="417"/>
      <c r="K5" s="403"/>
      <c r="L5" s="404"/>
      <c r="M5" s="418"/>
      <c r="N5" s="418"/>
      <c r="O5" s="418"/>
      <c r="P5" s="418"/>
      <c r="Q5" s="418"/>
      <c r="R5" s="418"/>
      <c r="S5" s="418"/>
    </row>
    <row r="6" spans="1:19" ht="22.25">
      <c r="A6" s="413">
        <f>A4+A5</f>
        <v>128</v>
      </c>
      <c r="B6" s="413" t="s">
        <v>505</v>
      </c>
      <c r="C6" s="423" t="s">
        <v>738</v>
      </c>
      <c r="D6" s="423"/>
      <c r="E6" s="424" t="s">
        <v>1422</v>
      </c>
      <c r="F6" s="425">
        <f>3233/A6</f>
        <v>25.2578125</v>
      </c>
      <c r="G6" s="422"/>
      <c r="H6" s="409">
        <f t="shared" si="0"/>
        <v>25.2578125</v>
      </c>
      <c r="I6" s="409">
        <f t="shared" si="1"/>
        <v>3233</v>
      </c>
      <c r="J6" s="417">
        <f>F6/$I$1</f>
        <v>7.0160590277777782E-2</v>
      </c>
      <c r="K6" s="417"/>
      <c r="L6" s="204"/>
      <c r="M6" s="418">
        <f>I6</f>
        <v>3233</v>
      </c>
      <c r="N6" s="418"/>
      <c r="O6" s="418"/>
      <c r="P6" s="418"/>
      <c r="Q6" s="418"/>
      <c r="R6" s="418"/>
      <c r="S6" s="418"/>
    </row>
    <row r="7" spans="1:19" ht="55.65">
      <c r="A7" s="413">
        <v>1</v>
      </c>
      <c r="B7" s="413" t="s">
        <v>522</v>
      </c>
      <c r="C7" s="413" t="s">
        <v>540</v>
      </c>
      <c r="D7" s="413" t="s">
        <v>1217</v>
      </c>
      <c r="E7" s="420" t="s">
        <v>1437</v>
      </c>
      <c r="F7" s="421">
        <v>316.67</v>
      </c>
      <c r="G7" s="422"/>
      <c r="H7" s="409">
        <f t="shared" si="0"/>
        <v>316.67</v>
      </c>
      <c r="I7" s="409">
        <f t="shared" si="1"/>
        <v>316.67</v>
      </c>
      <c r="J7" s="204"/>
      <c r="L7" s="442"/>
      <c r="M7" s="418"/>
      <c r="N7" s="418"/>
      <c r="O7" s="418"/>
      <c r="P7" s="418"/>
      <c r="Q7" s="418"/>
      <c r="R7" s="418">
        <f t="shared" ref="R7:R9" si="2">I7</f>
        <v>316.67</v>
      </c>
      <c r="S7" s="418"/>
    </row>
    <row r="8" spans="1:19">
      <c r="A8" s="423">
        <v>0</v>
      </c>
      <c r="B8" s="423" t="s">
        <v>522</v>
      </c>
      <c r="C8" s="413"/>
      <c r="D8" s="413"/>
      <c r="E8" s="420"/>
      <c r="F8" s="421"/>
      <c r="G8" s="410"/>
      <c r="H8" s="409">
        <f t="shared" si="0"/>
        <v>0</v>
      </c>
      <c r="I8" s="409">
        <f t="shared" si="1"/>
        <v>0</v>
      </c>
      <c r="J8" s="204"/>
      <c r="L8" s="442"/>
      <c r="M8" s="418"/>
      <c r="N8" s="418"/>
      <c r="O8" s="418"/>
      <c r="P8" s="418"/>
      <c r="Q8" s="418"/>
      <c r="R8" s="418">
        <f t="shared" si="2"/>
        <v>0</v>
      </c>
      <c r="S8" s="418"/>
    </row>
    <row r="9" spans="1:19">
      <c r="A9" s="423">
        <v>1</v>
      </c>
      <c r="B9" s="423" t="s">
        <v>505</v>
      </c>
      <c r="C9" s="423" t="s">
        <v>531</v>
      </c>
      <c r="D9" s="413"/>
      <c r="E9" s="420" t="s">
        <v>1213</v>
      </c>
      <c r="F9" s="421">
        <v>900</v>
      </c>
      <c r="G9" s="410"/>
      <c r="H9" s="409">
        <f t="shared" si="0"/>
        <v>900</v>
      </c>
      <c r="I9" s="409">
        <f t="shared" si="1"/>
        <v>900</v>
      </c>
      <c r="J9" s="204"/>
      <c r="M9" s="418"/>
      <c r="N9" s="418"/>
      <c r="O9" s="418"/>
      <c r="P9" s="418"/>
      <c r="Q9" s="418"/>
      <c r="R9" s="418">
        <f t="shared" si="2"/>
        <v>900</v>
      </c>
      <c r="S9" s="418"/>
    </row>
    <row r="10" spans="1:19">
      <c r="A10" s="407"/>
      <c r="B10" s="407"/>
      <c r="C10" s="407"/>
      <c r="D10" s="407"/>
      <c r="E10" s="408"/>
      <c r="F10" s="409"/>
      <c r="G10" s="410"/>
      <c r="H10" s="409">
        <f t="shared" ref="H10:H64" si="3">F10*(1-G10)</f>
        <v>0</v>
      </c>
      <c r="I10" s="409">
        <f t="shared" ref="I10:I33" si="4">A10*H10</f>
        <v>0</v>
      </c>
      <c r="J10" s="204"/>
      <c r="M10" s="418"/>
      <c r="N10" s="418"/>
      <c r="O10" s="418"/>
      <c r="P10" s="418"/>
      <c r="Q10" s="418"/>
      <c r="R10" s="418">
        <f t="shared" ref="R10:R25" si="5">I10</f>
        <v>0</v>
      </c>
      <c r="S10" s="418"/>
    </row>
    <row r="11" spans="1:19" ht="22.25">
      <c r="A11" s="413">
        <v>1</v>
      </c>
      <c r="B11" s="413" t="s">
        <v>530</v>
      </c>
      <c r="C11" s="420" t="s">
        <v>531</v>
      </c>
      <c r="D11" s="413"/>
      <c r="E11" s="420" t="s">
        <v>1073</v>
      </c>
      <c r="F11" s="421">
        <v>500</v>
      </c>
      <c r="G11" s="410"/>
      <c r="H11" s="409">
        <f t="shared" si="3"/>
        <v>500</v>
      </c>
      <c r="I11" s="409">
        <f t="shared" si="4"/>
        <v>500</v>
      </c>
      <c r="J11" s="204"/>
      <c r="M11" s="418"/>
      <c r="N11" s="418"/>
      <c r="O11" s="418"/>
      <c r="P11" s="418"/>
      <c r="Q11" s="418"/>
      <c r="R11" s="418">
        <f t="shared" si="5"/>
        <v>500</v>
      </c>
      <c r="S11" s="418"/>
    </row>
    <row r="12" spans="1:19" ht="23.9" customHeight="1">
      <c r="A12" s="413">
        <v>0</v>
      </c>
      <c r="B12" s="413" t="s">
        <v>505</v>
      </c>
      <c r="C12" s="420" t="s">
        <v>534</v>
      </c>
      <c r="D12" s="413"/>
      <c r="E12" s="420" t="s">
        <v>535</v>
      </c>
      <c r="F12" s="421">
        <v>3.71</v>
      </c>
      <c r="G12" s="410"/>
      <c r="H12" s="409">
        <f t="shared" si="3"/>
        <v>3.71</v>
      </c>
      <c r="I12" s="409">
        <f t="shared" si="4"/>
        <v>0</v>
      </c>
      <c r="J12" s="1054" t="s">
        <v>795</v>
      </c>
      <c r="K12" s="1054"/>
      <c r="L12" s="1054"/>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13">
        <f>3*(7+2)+10+20+51</f>
        <v>108</v>
      </c>
      <c r="B14" s="413" t="s">
        <v>539</v>
      </c>
      <c r="C14" s="420" t="s">
        <v>540</v>
      </c>
      <c r="D14" s="413" t="s">
        <v>541</v>
      </c>
      <c r="E14" s="420" t="s">
        <v>542</v>
      </c>
      <c r="F14" s="421">
        <v>0.55647999999999997</v>
      </c>
      <c r="G14" s="410"/>
      <c r="H14" s="409">
        <f t="shared" si="3"/>
        <v>0.55647999999999997</v>
      </c>
      <c r="I14" s="409">
        <f t="shared" si="4"/>
        <v>60.09984</v>
      </c>
      <c r="M14" s="418"/>
      <c r="N14" s="418"/>
      <c r="O14" s="418">
        <f t="shared" ref="O14:O28" si="6">I14</f>
        <v>60.09984</v>
      </c>
      <c r="P14" s="418"/>
      <c r="Q14" s="418"/>
      <c r="R14" s="418"/>
      <c r="S14" s="418"/>
    </row>
    <row r="15" spans="1:19" ht="33.4">
      <c r="A15" s="413">
        <f>A14+5*4+6+10*2.5+3+20+27*2.5+5*2.5</f>
        <v>262</v>
      </c>
      <c r="B15" s="413" t="s">
        <v>539</v>
      </c>
      <c r="C15" s="420" t="s">
        <v>540</v>
      </c>
      <c r="D15" s="413" t="s">
        <v>543</v>
      </c>
      <c r="E15" s="420" t="s">
        <v>544</v>
      </c>
      <c r="F15" s="421">
        <v>0.55647999999999997</v>
      </c>
      <c r="G15" s="410"/>
      <c r="H15" s="409">
        <f t="shared" si="3"/>
        <v>0.55647999999999997</v>
      </c>
      <c r="I15" s="409">
        <f t="shared" si="4"/>
        <v>145.79775999999998</v>
      </c>
      <c r="M15" s="418"/>
      <c r="N15" s="418"/>
      <c r="O15" s="418">
        <f t="shared" si="6"/>
        <v>145.79775999999998</v>
      </c>
      <c r="P15" s="418"/>
      <c r="Q15" s="418"/>
      <c r="R15" s="418"/>
      <c r="S15" s="418"/>
    </row>
    <row r="16" spans="1:19" ht="44.55">
      <c r="A16" s="413">
        <v>16</v>
      </c>
      <c r="B16" s="413" t="s">
        <v>517</v>
      </c>
      <c r="C16" s="420" t="s">
        <v>540</v>
      </c>
      <c r="D16" s="413" t="s">
        <v>797</v>
      </c>
      <c r="E16" s="420" t="s">
        <v>798</v>
      </c>
      <c r="F16" s="421">
        <v>0.88</v>
      </c>
      <c r="G16" s="410"/>
      <c r="H16" s="409">
        <f t="shared" si="3"/>
        <v>0.88</v>
      </c>
      <c r="I16" s="409">
        <f t="shared" si="4"/>
        <v>14.08</v>
      </c>
      <c r="J16" s="204" t="s">
        <v>1438</v>
      </c>
      <c r="M16" s="418"/>
      <c r="N16" s="418"/>
      <c r="O16" s="418">
        <f t="shared" si="6"/>
        <v>14.08</v>
      </c>
      <c r="P16" s="418"/>
      <c r="Q16" s="418"/>
      <c r="R16" s="418"/>
      <c r="S16" s="418"/>
    </row>
    <row r="17" spans="1:19" ht="33.4">
      <c r="A17" s="413">
        <f>A16</f>
        <v>16</v>
      </c>
      <c r="B17" s="413" t="s">
        <v>517</v>
      </c>
      <c r="C17" s="420" t="s">
        <v>540</v>
      </c>
      <c r="D17" s="413" t="s">
        <v>800</v>
      </c>
      <c r="E17" s="420" t="s">
        <v>801</v>
      </c>
      <c r="F17" s="421">
        <v>0.67</v>
      </c>
      <c r="G17" s="410"/>
      <c r="H17" s="409">
        <f t="shared" si="3"/>
        <v>0.67</v>
      </c>
      <c r="I17" s="409">
        <f t="shared" si="4"/>
        <v>10.72</v>
      </c>
      <c r="J17" s="204"/>
      <c r="M17" s="418"/>
      <c r="N17" s="418"/>
      <c r="O17" s="418">
        <f t="shared" si="6"/>
        <v>10.72</v>
      </c>
      <c r="P17" s="418"/>
      <c r="Q17" s="418"/>
      <c r="R17" s="418"/>
      <c r="S17" s="418"/>
    </row>
    <row r="18" spans="1:19" ht="22.25">
      <c r="A18" s="413">
        <v>0</v>
      </c>
      <c r="B18" s="413" t="s">
        <v>517</v>
      </c>
      <c r="C18" s="420" t="s">
        <v>540</v>
      </c>
      <c r="D18" s="413" t="s">
        <v>556</v>
      </c>
      <c r="E18" s="420" t="s">
        <v>557</v>
      </c>
      <c r="F18" s="421">
        <v>6.58</v>
      </c>
      <c r="G18" s="410"/>
      <c r="H18" s="409">
        <f t="shared" si="3"/>
        <v>6.58</v>
      </c>
      <c r="I18" s="409">
        <f t="shared" si="4"/>
        <v>0</v>
      </c>
      <c r="J18" s="204"/>
      <c r="M18" s="418"/>
      <c r="N18" s="418"/>
      <c r="O18" s="418">
        <f t="shared" si="6"/>
        <v>0</v>
      </c>
      <c r="P18" s="418"/>
      <c r="Q18" s="418"/>
      <c r="R18" s="418"/>
      <c r="S18" s="418"/>
    </row>
    <row r="19" spans="1:19">
      <c r="A19" s="413">
        <v>1</v>
      </c>
      <c r="B19" s="413" t="s">
        <v>505</v>
      </c>
      <c r="C19" s="741" t="s">
        <v>1285</v>
      </c>
      <c r="D19" s="413"/>
      <c r="E19" s="420" t="s">
        <v>811</v>
      </c>
      <c r="F19" s="421">
        <v>3765</v>
      </c>
      <c r="G19" s="410"/>
      <c r="H19" s="409">
        <f t="shared" si="3"/>
        <v>3765</v>
      </c>
      <c r="I19" s="409">
        <f t="shared" si="4"/>
        <v>3765</v>
      </c>
      <c r="J19" s="204"/>
      <c r="M19" s="418"/>
      <c r="N19" s="418">
        <f t="shared" ref="N19:N22" si="7">I19</f>
        <v>3765</v>
      </c>
      <c r="O19" s="418"/>
      <c r="P19" s="418"/>
      <c r="Q19" s="418"/>
      <c r="R19" s="418"/>
      <c r="S19" s="418"/>
    </row>
    <row r="20" spans="1:19">
      <c r="A20" s="413">
        <v>64</v>
      </c>
      <c r="B20" s="423" t="s">
        <v>522</v>
      </c>
      <c r="C20" s="413" t="s">
        <v>1074</v>
      </c>
      <c r="D20" s="413"/>
      <c r="E20" s="420" t="s">
        <v>1081</v>
      </c>
      <c r="F20" s="421">
        <v>43.2</v>
      </c>
      <c r="G20" s="422"/>
      <c r="H20" s="409">
        <f t="shared" si="3"/>
        <v>43.2</v>
      </c>
      <c r="I20" s="409">
        <f t="shared" si="4"/>
        <v>2764.8</v>
      </c>
      <c r="J20" s="204"/>
      <c r="K20" s="17" t="s">
        <v>1424</v>
      </c>
      <c r="M20" s="418"/>
      <c r="N20" s="418">
        <f t="shared" si="7"/>
        <v>2764.8</v>
      </c>
      <c r="O20" s="418"/>
      <c r="P20" s="418"/>
      <c r="Q20" s="418"/>
      <c r="R20" s="418"/>
      <c r="S20" s="418"/>
    </row>
    <row r="21" spans="1:19">
      <c r="A21" s="407">
        <v>0</v>
      </c>
      <c r="B21" s="407" t="s">
        <v>517</v>
      </c>
      <c r="C21" s="408"/>
      <c r="D21" s="407"/>
      <c r="E21" s="408"/>
      <c r="F21" s="409"/>
      <c r="G21" s="410"/>
      <c r="H21" s="409">
        <f t="shared" si="3"/>
        <v>0</v>
      </c>
      <c r="I21" s="409">
        <f t="shared" si="4"/>
        <v>0</v>
      </c>
      <c r="J21" s="204"/>
      <c r="M21" s="418"/>
      <c r="N21" s="418">
        <f t="shared" si="7"/>
        <v>0</v>
      </c>
      <c r="O21" s="418"/>
      <c r="P21" s="418"/>
      <c r="Q21" s="418"/>
      <c r="R21" s="418"/>
      <c r="S21" s="418"/>
    </row>
    <row r="22" spans="1:19">
      <c r="A22" s="407">
        <v>0</v>
      </c>
      <c r="B22" s="407" t="s">
        <v>517</v>
      </c>
      <c r="C22" s="408"/>
      <c r="D22" s="407"/>
      <c r="E22" s="408"/>
      <c r="F22" s="409"/>
      <c r="G22" s="410"/>
      <c r="H22" s="409">
        <f t="shared" si="3"/>
        <v>0</v>
      </c>
      <c r="I22" s="409">
        <f t="shared" si="4"/>
        <v>0</v>
      </c>
      <c r="J22" s="204"/>
      <c r="M22" s="418"/>
      <c r="N22" s="418">
        <f t="shared" si="7"/>
        <v>0</v>
      </c>
      <c r="O22" s="418"/>
      <c r="P22" s="418"/>
      <c r="Q22" s="418"/>
      <c r="R22" s="418"/>
      <c r="S22" s="418"/>
    </row>
    <row r="23" spans="1:19" ht="33.4">
      <c r="A23" s="413">
        <v>8</v>
      </c>
      <c r="B23" s="413" t="s">
        <v>517</v>
      </c>
      <c r="C23" s="420" t="s">
        <v>540</v>
      </c>
      <c r="D23" s="413" t="s">
        <v>761</v>
      </c>
      <c r="E23" s="420" t="s">
        <v>762</v>
      </c>
      <c r="F23" s="421">
        <v>2.5</v>
      </c>
      <c r="G23" s="410"/>
      <c r="H23" s="409">
        <f t="shared" si="3"/>
        <v>2.5</v>
      </c>
      <c r="I23" s="409">
        <f t="shared" si="4"/>
        <v>20</v>
      </c>
      <c r="J23" s="204"/>
      <c r="M23" s="418"/>
      <c r="N23" s="418"/>
      <c r="O23" s="418"/>
      <c r="P23" s="418"/>
      <c r="Q23" s="418"/>
      <c r="R23" s="418">
        <f t="shared" si="5"/>
        <v>20</v>
      </c>
      <c r="S23" s="418"/>
    </row>
    <row r="24" spans="1:19" ht="35.85" customHeight="1">
      <c r="A24" s="413">
        <v>1</v>
      </c>
      <c r="B24" s="413" t="s">
        <v>522</v>
      </c>
      <c r="C24" s="413" t="s">
        <v>751</v>
      </c>
      <c r="D24" s="413"/>
      <c r="E24" s="420" t="s">
        <v>803</v>
      </c>
      <c r="F24" s="421">
        <v>564.44000000000005</v>
      </c>
      <c r="G24" s="410"/>
      <c r="H24" s="409">
        <f t="shared" si="3"/>
        <v>564.44000000000005</v>
      </c>
      <c r="I24" s="409">
        <f t="shared" si="4"/>
        <v>564.44000000000005</v>
      </c>
      <c r="J24" s="1054" t="s">
        <v>833</v>
      </c>
      <c r="K24" s="1054"/>
      <c r="L24" s="1054"/>
      <c r="M24" s="418"/>
      <c r="N24" s="418"/>
      <c r="O24" s="418"/>
      <c r="P24" s="418"/>
      <c r="Q24" s="418"/>
      <c r="R24" s="418">
        <f t="shared" si="5"/>
        <v>564.44000000000005</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c r="A27" s="413">
        <v>1</v>
      </c>
      <c r="B27" s="413" t="s">
        <v>517</v>
      </c>
      <c r="C27" s="413" t="s">
        <v>751</v>
      </c>
      <c r="D27" s="413"/>
      <c r="E27" s="420" t="s">
        <v>834</v>
      </c>
      <c r="F27" s="421">
        <v>462.5</v>
      </c>
      <c r="G27" s="410"/>
      <c r="H27" s="409">
        <f t="shared" si="3"/>
        <v>462.5</v>
      </c>
      <c r="I27" s="409">
        <f t="shared" si="4"/>
        <v>462.5</v>
      </c>
      <c r="J27" s="204"/>
      <c r="M27" s="418">
        <f>F27</f>
        <v>462.5</v>
      </c>
      <c r="N27" s="418"/>
      <c r="O27" s="418"/>
      <c r="P27" s="418"/>
      <c r="Q27" s="418"/>
      <c r="R27" s="418"/>
      <c r="S27" s="418"/>
    </row>
    <row r="28" spans="1:19">
      <c r="A28" s="413">
        <v>25</v>
      </c>
      <c r="B28" s="413" t="s">
        <v>539</v>
      </c>
      <c r="C28" s="413" t="s">
        <v>690</v>
      </c>
      <c r="D28" s="413"/>
      <c r="E28" s="413" t="s">
        <v>835</v>
      </c>
      <c r="F28" s="421">
        <v>9.32</v>
      </c>
      <c r="G28" s="428"/>
      <c r="H28" s="409">
        <f t="shared" si="3"/>
        <v>9.32</v>
      </c>
      <c r="I28" s="409">
        <f t="shared" si="4"/>
        <v>233</v>
      </c>
      <c r="J28" s="204"/>
      <c r="K28" s="442"/>
      <c r="M28" s="418"/>
      <c r="N28" s="418"/>
      <c r="O28" s="418">
        <f t="shared" si="6"/>
        <v>233</v>
      </c>
      <c r="P28" s="418"/>
      <c r="Q28" s="418"/>
      <c r="R28" s="418"/>
      <c r="S28" s="418"/>
    </row>
    <row r="29" spans="1:19" ht="33.4">
      <c r="A29" s="413">
        <v>1</v>
      </c>
      <c r="B29" s="413" t="s">
        <v>517</v>
      </c>
      <c r="C29" s="420" t="s">
        <v>569</v>
      </c>
      <c r="D29" s="413" t="s">
        <v>570</v>
      </c>
      <c r="E29" s="420" t="s">
        <v>571</v>
      </c>
      <c r="F29" s="421">
        <v>1040</v>
      </c>
      <c r="G29" s="429">
        <v>0.48</v>
      </c>
      <c r="H29" s="430">
        <f t="shared" si="3"/>
        <v>540.80000000000007</v>
      </c>
      <c r="I29" s="409">
        <f t="shared" si="4"/>
        <v>540.80000000000007</v>
      </c>
      <c r="J29" s="204"/>
      <c r="M29" s="418"/>
      <c r="N29" s="418"/>
      <c r="O29" s="418"/>
      <c r="P29" s="418"/>
      <c r="Q29" s="418"/>
      <c r="R29" s="418"/>
      <c r="S29" s="418">
        <f t="shared" ref="S29:S33" si="8">I29</f>
        <v>540.80000000000007</v>
      </c>
    </row>
    <row r="30" spans="1:19" ht="44.55">
      <c r="A30" s="413">
        <v>0</v>
      </c>
      <c r="B30" s="413" t="s">
        <v>517</v>
      </c>
      <c r="C30" s="424" t="s">
        <v>569</v>
      </c>
      <c r="D30" s="423" t="s">
        <v>572</v>
      </c>
      <c r="E30" s="424" t="s">
        <v>573</v>
      </c>
      <c r="F30" s="425">
        <v>1190</v>
      </c>
      <c r="G30" s="429">
        <v>0.48</v>
      </c>
      <c r="H30" s="430">
        <f t="shared" si="3"/>
        <v>618.80000000000007</v>
      </c>
      <c r="I30" s="409">
        <f t="shared" si="4"/>
        <v>0</v>
      </c>
      <c r="J30" s="204"/>
      <c r="M30" s="418"/>
      <c r="N30" s="418"/>
      <c r="O30" s="418"/>
      <c r="P30" s="418"/>
      <c r="Q30" s="418"/>
      <c r="R30" s="418"/>
      <c r="S30" s="418">
        <f t="shared" si="8"/>
        <v>0</v>
      </c>
    </row>
    <row r="31" spans="1:19">
      <c r="A31" s="413">
        <v>0</v>
      </c>
      <c r="B31" s="413" t="s">
        <v>517</v>
      </c>
      <c r="C31" s="420" t="s">
        <v>574</v>
      </c>
      <c r="D31" s="413" t="s">
        <v>575</v>
      </c>
      <c r="E31" s="413" t="s">
        <v>576</v>
      </c>
      <c r="F31" s="421">
        <v>36.700000000000003</v>
      </c>
      <c r="G31" s="410"/>
      <c r="H31" s="409">
        <f t="shared" si="3"/>
        <v>36.700000000000003</v>
      </c>
      <c r="I31" s="409">
        <f t="shared" si="4"/>
        <v>0</v>
      </c>
      <c r="J31" s="204"/>
      <c r="M31" s="418"/>
      <c r="N31" s="418"/>
      <c r="O31" s="418"/>
      <c r="P31" s="418"/>
      <c r="Q31" s="418"/>
      <c r="R31" s="418"/>
      <c r="S31" s="418">
        <f t="shared" si="8"/>
        <v>0</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26634.177600000003</v>
      </c>
      <c r="J36" s="204"/>
      <c r="M36" s="418">
        <f>SUM(M4:M34)</f>
        <v>16315.02</v>
      </c>
      <c r="N36" s="418">
        <f>SUM(N4:N34)</f>
        <v>6529.8</v>
      </c>
      <c r="O36" s="418">
        <f>SUM(O4:O34)</f>
        <v>563.69759999999997</v>
      </c>
      <c r="P36" s="418"/>
      <c r="Q36" s="418"/>
      <c r="R36" s="418">
        <f>SUM(R4:R34)</f>
        <v>2301.11</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33292.722000000002</v>
      </c>
      <c r="J38" s="436"/>
      <c r="K38" s="437"/>
      <c r="L38" s="437"/>
      <c r="M38" s="438">
        <f>M36*(1+$G$37)</f>
        <v>20393.775000000001</v>
      </c>
      <c r="N38" s="438">
        <f>N36*(1+$G$37)</f>
        <v>8162.25</v>
      </c>
      <c r="O38" s="438">
        <f>O36*(1+$G$37)</f>
        <v>704.62199999999996</v>
      </c>
      <c r="P38" s="438">
        <f>P67</f>
        <v>9420</v>
      </c>
      <c r="Q38" s="438">
        <f>Q126</f>
        <v>1270.8399999999999</v>
      </c>
      <c r="R38" s="438">
        <f>R36*(1+$G$37)</f>
        <v>2876.3875000000003</v>
      </c>
      <c r="S38" s="438">
        <f>S36*(1+$G$37)</f>
        <v>1155.6875</v>
      </c>
    </row>
    <row r="41" spans="1:19">
      <c r="E41" s="439" t="s">
        <v>585</v>
      </c>
    </row>
    <row r="42" spans="1:19">
      <c r="A42" s="441">
        <v>6</v>
      </c>
      <c r="B42" s="17" t="s">
        <v>619</v>
      </c>
      <c r="E42" s="17" t="s">
        <v>586</v>
      </c>
      <c r="F42" s="403">
        <f t="shared" ref="F42:F58" si="9">F$62</f>
        <v>55</v>
      </c>
      <c r="H42" s="403">
        <f t="shared" si="3"/>
        <v>55</v>
      </c>
      <c r="I42" s="403">
        <f t="shared" ref="I42:I64" si="10">A42*H42</f>
        <v>330</v>
      </c>
      <c r="J42" s="17" t="s">
        <v>1439</v>
      </c>
    </row>
    <row r="43" spans="1:19">
      <c r="A43" s="441">
        <f>A6/120*8*2</f>
        <v>17.066666666666666</v>
      </c>
      <c r="B43" s="17" t="s">
        <v>619</v>
      </c>
      <c r="E43" s="17" t="s">
        <v>589</v>
      </c>
      <c r="F43" s="403">
        <f t="shared" si="9"/>
        <v>55</v>
      </c>
      <c r="H43" s="403">
        <f t="shared" si="3"/>
        <v>55</v>
      </c>
      <c r="I43" s="403">
        <f t="shared" si="10"/>
        <v>938.66666666666663</v>
      </c>
      <c r="J43" s="17" t="s">
        <v>592</v>
      </c>
    </row>
    <row r="44" spans="1:19">
      <c r="A44" s="441">
        <f>4*1</f>
        <v>4</v>
      </c>
      <c r="B44" s="17" t="s">
        <v>619</v>
      </c>
      <c r="E44" s="17" t="s">
        <v>1426</v>
      </c>
      <c r="F44" s="403">
        <f t="shared" si="9"/>
        <v>55</v>
      </c>
      <c r="H44" s="403">
        <f t="shared" si="3"/>
        <v>55</v>
      </c>
      <c r="I44" s="403">
        <f t="shared" si="10"/>
        <v>220</v>
      </c>
      <c r="J44" s="17" t="s">
        <v>1427</v>
      </c>
    </row>
    <row r="45" spans="1:19">
      <c r="A45" s="441">
        <f>A6/120*16*2</f>
        <v>34.133333333333333</v>
      </c>
      <c r="B45" s="17" t="s">
        <v>619</v>
      </c>
      <c r="E45" s="17" t="s">
        <v>591</v>
      </c>
      <c r="F45" s="403">
        <f t="shared" si="9"/>
        <v>55</v>
      </c>
      <c r="H45" s="403">
        <f t="shared" si="3"/>
        <v>55</v>
      </c>
      <c r="I45" s="403">
        <f t="shared" si="10"/>
        <v>1877.3333333333333</v>
      </c>
      <c r="J45" s="17" t="s">
        <v>592</v>
      </c>
    </row>
    <row r="46" spans="1:19">
      <c r="A46" s="441">
        <v>4</v>
      </c>
      <c r="B46" s="17" t="s">
        <v>619</v>
      </c>
      <c r="E46" s="17" t="s">
        <v>1428</v>
      </c>
      <c r="F46" s="403">
        <f t="shared" si="9"/>
        <v>55</v>
      </c>
      <c r="H46" s="403">
        <f t="shared" si="3"/>
        <v>55</v>
      </c>
      <c r="I46" s="403">
        <f t="shared" si="10"/>
        <v>220</v>
      </c>
    </row>
    <row r="47" spans="1:19">
      <c r="A47" s="441">
        <v>1</v>
      </c>
      <c r="B47" s="17" t="s">
        <v>619</v>
      </c>
      <c r="E47" s="17" t="s">
        <v>1429</v>
      </c>
      <c r="F47" s="403">
        <f t="shared" si="9"/>
        <v>55</v>
      </c>
      <c r="H47" s="403">
        <f t="shared" si="3"/>
        <v>55</v>
      </c>
      <c r="I47" s="403">
        <f t="shared" si="10"/>
        <v>55</v>
      </c>
    </row>
    <row r="48" spans="1:19">
      <c r="A48" s="441">
        <v>3</v>
      </c>
      <c r="B48" s="17" t="s">
        <v>619</v>
      </c>
      <c r="E48" s="17" t="s">
        <v>605</v>
      </c>
      <c r="F48" s="403">
        <f t="shared" si="9"/>
        <v>55</v>
      </c>
      <c r="H48" s="403">
        <f t="shared" si="3"/>
        <v>55</v>
      </c>
      <c r="I48" s="403">
        <f t="shared" si="10"/>
        <v>165</v>
      </c>
      <c r="J48" s="17" t="s">
        <v>1430</v>
      </c>
    </row>
    <row r="49" spans="1:10">
      <c r="A49" s="441">
        <f>2+64/6</f>
        <v>12.666666666666666</v>
      </c>
      <c r="B49" s="17" t="s">
        <v>619</v>
      </c>
      <c r="E49" s="17" t="s">
        <v>607</v>
      </c>
      <c r="F49" s="403">
        <f t="shared" si="9"/>
        <v>55</v>
      </c>
      <c r="H49" s="403">
        <f t="shared" si="3"/>
        <v>55</v>
      </c>
      <c r="I49" s="403">
        <f t="shared" si="10"/>
        <v>696.66666666666663</v>
      </c>
      <c r="J49" s="17" t="s">
        <v>608</v>
      </c>
    </row>
    <row r="50" spans="1:10">
      <c r="A50" s="441">
        <v>0.5</v>
      </c>
      <c r="B50" s="17" t="s">
        <v>619</v>
      </c>
      <c r="E50" s="17" t="s">
        <v>609</v>
      </c>
      <c r="F50" s="403">
        <f t="shared" si="9"/>
        <v>55</v>
      </c>
      <c r="H50" s="403">
        <f t="shared" si="3"/>
        <v>55</v>
      </c>
      <c r="I50" s="403">
        <f t="shared" si="10"/>
        <v>27.5</v>
      </c>
    </row>
    <row r="51" spans="1:10">
      <c r="A51" s="441">
        <v>8</v>
      </c>
      <c r="B51" s="17" t="s">
        <v>619</v>
      </c>
      <c r="E51" s="17" t="s">
        <v>610</v>
      </c>
      <c r="F51" s="403">
        <f t="shared" si="9"/>
        <v>55</v>
      </c>
      <c r="H51" s="403">
        <f t="shared" si="3"/>
        <v>55</v>
      </c>
      <c r="I51" s="403">
        <f t="shared" si="10"/>
        <v>440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6</v>
      </c>
      <c r="B55" s="17" t="s">
        <v>619</v>
      </c>
      <c r="E55" s="17" t="s">
        <v>614</v>
      </c>
      <c r="F55" s="403">
        <f t="shared" si="9"/>
        <v>55</v>
      </c>
      <c r="H55" s="403">
        <f t="shared" si="3"/>
        <v>55</v>
      </c>
      <c r="I55" s="403">
        <f t="shared" si="10"/>
        <v>330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441">
        <f>1+5/7*18</f>
        <v>13.857142857142858</v>
      </c>
      <c r="B58" s="17" t="s">
        <v>619</v>
      </c>
      <c r="E58" s="17" t="s">
        <v>617</v>
      </c>
      <c r="F58" s="403">
        <f t="shared" si="9"/>
        <v>55</v>
      </c>
      <c r="H58" s="403">
        <f t="shared" si="3"/>
        <v>55</v>
      </c>
      <c r="I58" s="403">
        <f t="shared" si="10"/>
        <v>762.14285714285722</v>
      </c>
      <c r="J58" s="17" t="s">
        <v>618</v>
      </c>
    </row>
    <row r="60" spans="1:10">
      <c r="A60" s="17">
        <f>SUM(A42:A59)</f>
        <v>124.22380952380954</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6</v>
      </c>
      <c r="B63" s="17" t="s">
        <v>624</v>
      </c>
      <c r="E63" s="17" t="s">
        <v>625</v>
      </c>
      <c r="F63" s="403">
        <f>A61*8*F62</f>
        <v>1320</v>
      </c>
      <c r="H63" s="403">
        <f t="shared" si="3"/>
        <v>1320</v>
      </c>
      <c r="I63" s="403">
        <f t="shared" si="10"/>
        <v>7920</v>
      </c>
    </row>
    <row r="64" spans="1:10">
      <c r="A64" s="441">
        <v>3</v>
      </c>
      <c r="B64" s="442" t="s">
        <v>517</v>
      </c>
      <c r="C64" s="446"/>
      <c r="D64" s="442"/>
      <c r="E64" s="442" t="s">
        <v>626</v>
      </c>
      <c r="F64" s="447">
        <v>500</v>
      </c>
      <c r="G64" s="444"/>
      <c r="H64" s="403">
        <f t="shared" si="3"/>
        <v>500</v>
      </c>
      <c r="I64" s="403">
        <f t="shared" si="10"/>
        <v>1500</v>
      </c>
      <c r="J64" s="17" t="s">
        <v>1440</v>
      </c>
    </row>
    <row r="65" spans="1:16">
      <c r="A65" s="441"/>
      <c r="F65" s="447"/>
      <c r="H65" s="403"/>
      <c r="I65" s="403"/>
    </row>
    <row r="66" spans="1:16">
      <c r="A66" s="441"/>
      <c r="F66" s="447"/>
      <c r="H66" s="403"/>
      <c r="I66" s="403"/>
    </row>
    <row r="67" spans="1:16" ht="15.75">
      <c r="E67" s="439" t="s">
        <v>628</v>
      </c>
      <c r="I67" s="443">
        <f>SUM(I63:I66)</f>
        <v>9420</v>
      </c>
      <c r="P67" s="438">
        <f>I67</f>
        <v>9420</v>
      </c>
    </row>
    <row r="75" spans="1:16" ht="36.6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1</v>
      </c>
      <c r="B81" s="453" t="s">
        <v>517</v>
      </c>
      <c r="C81" s="454" t="s">
        <v>538</v>
      </c>
      <c r="D81" s="455" t="s">
        <v>636</v>
      </c>
      <c r="E81" s="453" t="s">
        <v>637</v>
      </c>
      <c r="F81" s="456">
        <v>1849</v>
      </c>
      <c r="G81" s="457"/>
      <c r="H81" s="458">
        <f>F81*(1-$G$78)</f>
        <v>1109.3999999999999</v>
      </c>
      <c r="I81" s="458">
        <f t="shared" ref="I81:I99" si="11">A81*H81</f>
        <v>1109.3999999999999</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22.25" customHeight="1">
      <c r="A103" s="452">
        <v>0</v>
      </c>
      <c r="B103" s="453" t="s">
        <v>517</v>
      </c>
      <c r="C103" s="454" t="s">
        <v>538</v>
      </c>
      <c r="D103" s="455" t="s">
        <v>636</v>
      </c>
      <c r="E103" s="453" t="s">
        <v>668</v>
      </c>
      <c r="F103" s="463">
        <v>3732</v>
      </c>
      <c r="G103" s="457"/>
      <c r="H103" s="458">
        <f>F103*(1-G78)</f>
        <v>2239.1999999999998</v>
      </c>
      <c r="I103" s="458">
        <f t="shared" ref="I103:I124" si="13">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3"/>
        <v>0</v>
      </c>
      <c r="J104" s="453" t="s">
        <v>649</v>
      </c>
      <c r="K104" s="1050"/>
      <c r="L104" s="17" t="s">
        <v>672</v>
      </c>
    </row>
    <row r="105" spans="1:12" ht="22.25" customHeight="1">
      <c r="A105" s="461">
        <v>0</v>
      </c>
      <c r="B105" s="453" t="s">
        <v>517</v>
      </c>
      <c r="C105" s="453" t="s">
        <v>538</v>
      </c>
      <c r="D105" s="462" t="s">
        <v>640</v>
      </c>
      <c r="E105" s="453" t="s">
        <v>673</v>
      </c>
      <c r="F105" s="463">
        <v>1968</v>
      </c>
      <c r="G105" s="457"/>
      <c r="H105" s="458">
        <f t="shared" ref="H105:H119" si="14">F105*(1-$G$77)</f>
        <v>1180.8</v>
      </c>
      <c r="I105" s="458">
        <f t="shared" si="13"/>
        <v>0</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22.25"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22.25"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22.25">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1270.8399999999999</v>
      </c>
      <c r="Q126" s="438">
        <f>I126</f>
        <v>1270.8399999999999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9"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55.65">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ht="15.75">
      <c r="E150" s="439" t="s">
        <v>702</v>
      </c>
      <c r="I150" s="168">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1</v>
      </c>
      <c r="B157" s="17" t="s">
        <v>517</v>
      </c>
      <c r="E157" s="17" t="s">
        <v>707</v>
      </c>
      <c r="F157" s="403">
        <v>1500</v>
      </c>
      <c r="H157" s="403">
        <f t="shared" si="15"/>
        <v>1500</v>
      </c>
      <c r="I157" s="403">
        <f t="shared" si="16"/>
        <v>1500</v>
      </c>
    </row>
    <row r="158" spans="1:10" ht="44.55">
      <c r="A158" s="442">
        <v>0</v>
      </c>
      <c r="B158" s="17" t="s">
        <v>517</v>
      </c>
      <c r="C158" s="204" t="s">
        <v>708</v>
      </c>
      <c r="E158" s="204" t="s">
        <v>709</v>
      </c>
      <c r="F158" s="403">
        <v>460</v>
      </c>
      <c r="H158" s="403">
        <f t="shared" si="15"/>
        <v>460</v>
      </c>
      <c r="I158" s="403">
        <f t="shared" si="16"/>
        <v>0</v>
      </c>
      <c r="J158" s="17" t="s">
        <v>710</v>
      </c>
    </row>
    <row r="159" spans="1:10" ht="44.55">
      <c r="A159" s="442">
        <v>0</v>
      </c>
      <c r="B159" s="17" t="s">
        <v>517</v>
      </c>
      <c r="C159" s="204" t="s">
        <v>711</v>
      </c>
      <c r="E159" s="204" t="s">
        <v>712</v>
      </c>
      <c r="F159" s="403">
        <v>320</v>
      </c>
      <c r="H159" s="403">
        <f t="shared" si="15"/>
        <v>320</v>
      </c>
      <c r="I159" s="403">
        <f t="shared" si="16"/>
        <v>0</v>
      </c>
    </row>
    <row r="160" spans="1:10" ht="55.65">
      <c r="A160" s="442">
        <v>0</v>
      </c>
      <c r="B160" s="17" t="s">
        <v>517</v>
      </c>
      <c r="C160" s="17" t="s">
        <v>713</v>
      </c>
      <c r="D160" s="17" t="s">
        <v>714</v>
      </c>
      <c r="E160" s="204" t="s">
        <v>1432</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c r="A169" s="442">
        <f t="shared" si="17"/>
        <v>0</v>
      </c>
      <c r="B169" s="17" t="s">
        <v>539</v>
      </c>
      <c r="C169" s="204" t="s">
        <v>531</v>
      </c>
      <c r="E169" s="17" t="s">
        <v>727</v>
      </c>
      <c r="F169" s="403">
        <v>25</v>
      </c>
      <c r="H169" s="403">
        <f t="shared" si="15"/>
        <v>25</v>
      </c>
      <c r="I169" s="403">
        <f t="shared" si="16"/>
        <v>0</v>
      </c>
    </row>
    <row r="170" spans="1:10">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2840</v>
      </c>
    </row>
    <row r="174" spans="1:10" ht="13.75" customHeight="1">
      <c r="A174" s="997" t="s">
        <v>68</v>
      </c>
      <c r="B174" s="997"/>
      <c r="C174" s="997"/>
      <c r="D174" s="997"/>
      <c r="E174" s="997"/>
    </row>
    <row r="175" spans="1:10">
      <c r="A175" s="442">
        <v>0</v>
      </c>
      <c r="B175" s="17" t="s">
        <v>517</v>
      </c>
      <c r="E175" s="17" t="s">
        <v>1433</v>
      </c>
      <c r="F175" s="403">
        <v>187.5</v>
      </c>
      <c r="H175" s="403">
        <f t="shared" si="15"/>
        <v>187.5</v>
      </c>
      <c r="I175" s="403">
        <f t="shared" ref="I175:I179" si="18">A175*H175</f>
        <v>0</v>
      </c>
      <c r="J175" s="17" t="s">
        <v>1434</v>
      </c>
    </row>
    <row r="176" spans="1:10">
      <c r="A176" s="442">
        <v>1</v>
      </c>
      <c r="B176" s="17" t="s">
        <v>517</v>
      </c>
      <c r="E176" s="17" t="s">
        <v>1435</v>
      </c>
      <c r="F176" s="403">
        <v>250</v>
      </c>
      <c r="H176" s="403">
        <f t="shared" si="15"/>
        <v>250</v>
      </c>
      <c r="I176" s="403">
        <f t="shared" si="18"/>
        <v>250</v>
      </c>
    </row>
    <row r="177" spans="1:9">
      <c r="A177" s="442">
        <v>0</v>
      </c>
      <c r="B177" s="17" t="s">
        <v>505</v>
      </c>
      <c r="E177" s="17" t="s">
        <v>1436</v>
      </c>
      <c r="F177" s="403">
        <v>500</v>
      </c>
      <c r="H177" s="403">
        <f t="shared" si="15"/>
        <v>500</v>
      </c>
      <c r="I177" s="403">
        <f t="shared" si="18"/>
        <v>0</v>
      </c>
    </row>
    <row r="178" spans="1:9" ht="44.55">
      <c r="A178" s="442">
        <v>1</v>
      </c>
      <c r="B178" s="17" t="s">
        <v>517</v>
      </c>
      <c r="C178" s="204" t="s">
        <v>708</v>
      </c>
      <c r="E178" s="204" t="s">
        <v>731</v>
      </c>
      <c r="F178" s="403">
        <f>460/2</f>
        <v>230</v>
      </c>
      <c r="H178" s="403">
        <f t="shared" si="15"/>
        <v>230</v>
      </c>
      <c r="I178" s="403">
        <f t="shared" si="18"/>
        <v>230</v>
      </c>
    </row>
    <row r="179" spans="1:9" ht="44.55">
      <c r="A179" s="442">
        <v>0</v>
      </c>
      <c r="B179" s="17" t="s">
        <v>517</v>
      </c>
      <c r="C179" s="204" t="s">
        <v>711</v>
      </c>
      <c r="E179" s="204" t="s">
        <v>732</v>
      </c>
      <c r="F179" s="403">
        <f>320/2</f>
        <v>160</v>
      </c>
      <c r="H179" s="403">
        <f t="shared" si="15"/>
        <v>160</v>
      </c>
      <c r="I179" s="403">
        <f t="shared" si="18"/>
        <v>0</v>
      </c>
    </row>
    <row r="181" spans="1:9" ht="15.75">
      <c r="E181" s="439" t="s">
        <v>733</v>
      </c>
      <c r="I181" s="168">
        <f>SUM(I174:I180)</f>
        <v>480</v>
      </c>
    </row>
    <row r="182" spans="1:9">
      <c r="E182" s="439"/>
    </row>
  </sheetData>
  <mergeCells count="14">
    <mergeCell ref="B1:F1"/>
    <mergeCell ref="A2:G2"/>
    <mergeCell ref="J12:L12"/>
    <mergeCell ref="J24:L24"/>
    <mergeCell ref="K82:K83"/>
    <mergeCell ref="K109:K119"/>
    <mergeCell ref="A128:E128"/>
    <mergeCell ref="A152:E152"/>
    <mergeCell ref="A174:E174"/>
    <mergeCell ref="K84:K85"/>
    <mergeCell ref="K86:K96"/>
    <mergeCell ref="K103:K104"/>
    <mergeCell ref="K105:K106"/>
    <mergeCell ref="K107:K108"/>
  </mergeCells>
  <hyperlinks>
    <hyperlink ref="C19" r:id="rId1"/>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4"/>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8" width="10.140625" style="17"/>
    <col min="9" max="9" width="11.42578125" style="17" customWidth="1"/>
    <col min="10" max="10" width="24.7109375" style="17" customWidth="1"/>
    <col min="11" max="64" width="10.140625" style="17"/>
  </cols>
  <sheetData>
    <row r="1" spans="1:19" ht="15.05">
      <c r="B1" s="1058" t="s">
        <v>198</v>
      </c>
      <c r="C1" s="1058"/>
      <c r="D1" s="1058"/>
      <c r="E1" s="1058"/>
      <c r="F1" s="1058"/>
      <c r="H1" s="405" t="s">
        <v>493</v>
      </c>
      <c r="I1" s="406">
        <v>360</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23">
        <v>100</v>
      </c>
      <c r="B4" s="423" t="s">
        <v>522</v>
      </c>
      <c r="C4" s="408" t="s">
        <v>1074</v>
      </c>
      <c r="D4" s="407"/>
      <c r="E4" s="408" t="s">
        <v>1075</v>
      </c>
      <c r="F4" s="409">
        <v>198.8</v>
      </c>
      <c r="G4" s="410"/>
      <c r="H4" s="409">
        <f t="shared" ref="H4:H9" si="0">F4*(1-G4)</f>
        <v>198.8</v>
      </c>
      <c r="I4" s="409">
        <f t="shared" ref="I4:I9" si="1">A4*H4</f>
        <v>19880</v>
      </c>
      <c r="J4" s="204"/>
      <c r="K4" s="403"/>
      <c r="L4" s="404"/>
      <c r="M4" s="418">
        <f t="shared" ref="M4:M5" si="2">I4</f>
        <v>19880</v>
      </c>
      <c r="N4" s="418"/>
      <c r="O4" s="418"/>
      <c r="P4" s="418"/>
      <c r="Q4" s="418"/>
      <c r="R4" s="418"/>
      <c r="S4" s="437"/>
    </row>
    <row r="5" spans="1:19" ht="55.65">
      <c r="A5" s="423">
        <v>1</v>
      </c>
      <c r="B5" s="487" t="s">
        <v>522</v>
      </c>
      <c r="C5" s="424" t="s">
        <v>1011</v>
      </c>
      <c r="D5" s="487" t="s">
        <v>556</v>
      </c>
      <c r="E5" s="424" t="s">
        <v>1014</v>
      </c>
      <c r="F5" s="425">
        <f>2623.01*A4/109</f>
        <v>2406.4311926605506</v>
      </c>
      <c r="G5" s="428"/>
      <c r="H5" s="430">
        <f t="shared" si="0"/>
        <v>2406.4311926605506</v>
      </c>
      <c r="I5" s="430">
        <f t="shared" si="1"/>
        <v>2406.4311926605506</v>
      </c>
      <c r="J5" s="722" t="s">
        <v>1441</v>
      </c>
      <c r="K5" s="728"/>
      <c r="L5" s="728"/>
      <c r="M5" s="418">
        <f t="shared" si="2"/>
        <v>2406.4311926605506</v>
      </c>
      <c r="N5" s="418"/>
      <c r="O5" s="418"/>
      <c r="P5" s="418"/>
      <c r="Q5" s="418"/>
      <c r="R5" s="418"/>
      <c r="S5" s="437"/>
    </row>
    <row r="6" spans="1:19" ht="55.65">
      <c r="A6" s="423">
        <v>1</v>
      </c>
      <c r="B6" s="487" t="s">
        <v>522</v>
      </c>
      <c r="C6" s="424" t="s">
        <v>1034</v>
      </c>
      <c r="D6" s="423" t="s">
        <v>556</v>
      </c>
      <c r="E6" s="424" t="s">
        <v>1044</v>
      </c>
      <c r="F6" s="425">
        <v>440</v>
      </c>
      <c r="G6" s="428"/>
      <c r="H6" s="430">
        <f t="shared" si="0"/>
        <v>440</v>
      </c>
      <c r="I6" s="430">
        <f t="shared" si="1"/>
        <v>440</v>
      </c>
      <c r="J6" s="719"/>
      <c r="K6" s="728"/>
      <c r="L6" s="728"/>
      <c r="M6" s="418"/>
      <c r="N6" s="418"/>
      <c r="O6" s="418"/>
      <c r="P6" s="418"/>
      <c r="Q6" s="418"/>
      <c r="R6" s="418">
        <f t="shared" ref="R6:R8" si="3">I6</f>
        <v>440</v>
      </c>
      <c r="S6" s="437"/>
    </row>
    <row r="7" spans="1:19" ht="33.4">
      <c r="A7" s="423">
        <v>1</v>
      </c>
      <c r="B7" s="423" t="s">
        <v>522</v>
      </c>
      <c r="C7" s="424" t="s">
        <v>531</v>
      </c>
      <c r="D7" s="413"/>
      <c r="E7" s="420" t="s">
        <v>1442</v>
      </c>
      <c r="F7" s="421">
        <v>150</v>
      </c>
      <c r="G7" s="428"/>
      <c r="H7" s="430">
        <f t="shared" si="0"/>
        <v>150</v>
      </c>
      <c r="I7" s="430">
        <f t="shared" si="1"/>
        <v>150</v>
      </c>
      <c r="J7" s="719"/>
      <c r="K7" s="728"/>
      <c r="L7" s="728"/>
      <c r="M7" s="418"/>
      <c r="N7" s="418"/>
      <c r="O7" s="418"/>
      <c r="P7" s="418"/>
      <c r="Q7" s="418"/>
      <c r="R7" s="418">
        <f t="shared" si="3"/>
        <v>150</v>
      </c>
      <c r="S7" s="437"/>
    </row>
    <row r="8" spans="1:19" ht="22.25">
      <c r="A8" s="423">
        <v>1</v>
      </c>
      <c r="B8" s="487" t="s">
        <v>522</v>
      </c>
      <c r="C8" s="424" t="s">
        <v>531</v>
      </c>
      <c r="D8" s="487"/>
      <c r="E8" s="424" t="s">
        <v>1443</v>
      </c>
      <c r="F8" s="425">
        <v>450</v>
      </c>
      <c r="G8" s="428"/>
      <c r="H8" s="430">
        <f t="shared" si="0"/>
        <v>450</v>
      </c>
      <c r="I8" s="430">
        <f t="shared" si="1"/>
        <v>450</v>
      </c>
      <c r="J8" s="719"/>
      <c r="K8" s="728"/>
      <c r="L8" s="728"/>
      <c r="M8" s="437"/>
      <c r="N8" s="418"/>
      <c r="O8" s="437"/>
      <c r="P8" s="437"/>
      <c r="Q8" s="437"/>
      <c r="R8" s="418">
        <f t="shared" si="3"/>
        <v>450</v>
      </c>
      <c r="S8" s="437"/>
    </row>
    <row r="9" spans="1:19" ht="22.25">
      <c r="A9" s="423">
        <v>52</v>
      </c>
      <c r="B9" s="487" t="s">
        <v>522</v>
      </c>
      <c r="C9" s="420" t="s">
        <v>786</v>
      </c>
      <c r="D9" s="413"/>
      <c r="E9" s="420" t="s">
        <v>1081</v>
      </c>
      <c r="F9" s="421">
        <v>43.2</v>
      </c>
      <c r="G9" s="428"/>
      <c r="H9" s="430">
        <f t="shared" si="0"/>
        <v>43.2</v>
      </c>
      <c r="I9" s="430">
        <f t="shared" si="1"/>
        <v>2246.4</v>
      </c>
      <c r="J9" s="719"/>
      <c r="K9" s="728"/>
      <c r="L9" s="728"/>
      <c r="M9" s="437"/>
      <c r="N9" s="418">
        <f>I9</f>
        <v>2246.4</v>
      </c>
      <c r="O9" s="437"/>
      <c r="P9" s="437"/>
      <c r="Q9" s="437"/>
      <c r="R9" s="437"/>
      <c r="S9" s="437"/>
    </row>
    <row r="10" spans="1:19">
      <c r="A10" s="487"/>
      <c r="B10" s="487"/>
      <c r="C10" s="492"/>
      <c r="D10" s="487"/>
      <c r="E10" s="492"/>
      <c r="F10" s="430"/>
      <c r="G10" s="428"/>
      <c r="H10" s="430">
        <f t="shared" ref="H10:H67" si="4">F10*(1-G10)</f>
        <v>0</v>
      </c>
      <c r="I10" s="430">
        <f t="shared" ref="I10:I28" si="5">A10*H10</f>
        <v>0</v>
      </c>
      <c r="J10" s="719"/>
      <c r="K10" s="728"/>
      <c r="L10" s="728"/>
      <c r="M10" s="437"/>
      <c r="N10" s="437"/>
      <c r="O10" s="437"/>
      <c r="P10" s="437"/>
      <c r="Q10" s="437"/>
      <c r="R10" s="418">
        <f>I10</f>
        <v>0</v>
      </c>
      <c r="S10" s="437"/>
    </row>
    <row r="11" spans="1:19" ht="55.65">
      <c r="A11" s="423">
        <v>72</v>
      </c>
      <c r="B11" s="487" t="s">
        <v>539</v>
      </c>
      <c r="C11" s="424" t="s">
        <v>1034</v>
      </c>
      <c r="D11" s="423" t="s">
        <v>541</v>
      </c>
      <c r="E11" s="424" t="s">
        <v>542</v>
      </c>
      <c r="F11" s="425">
        <f t="shared" ref="F11:F12" si="6">328.33/500</f>
        <v>0.65666000000000002</v>
      </c>
      <c r="G11" s="428"/>
      <c r="H11" s="430">
        <f t="shared" si="4"/>
        <v>0.65666000000000002</v>
      </c>
      <c r="I11" s="430">
        <f t="shared" si="5"/>
        <v>47.279520000000005</v>
      </c>
      <c r="J11" s="719"/>
      <c r="K11" s="728"/>
      <c r="L11" s="728"/>
      <c r="M11" s="437"/>
      <c r="N11" s="437"/>
      <c r="O11" s="418">
        <f t="shared" ref="O11:O24" si="7">I11</f>
        <v>47.279520000000005</v>
      </c>
      <c r="P11" s="418"/>
      <c r="Q11" s="418"/>
      <c r="R11" s="437"/>
      <c r="S11" s="437"/>
    </row>
    <row r="12" spans="1:19" ht="55.65">
      <c r="A12" s="423">
        <v>72</v>
      </c>
      <c r="B12" s="487" t="s">
        <v>539</v>
      </c>
      <c r="C12" s="424" t="s">
        <v>987</v>
      </c>
      <c r="D12" s="423" t="s">
        <v>543</v>
      </c>
      <c r="E12" s="424" t="s">
        <v>544</v>
      </c>
      <c r="F12" s="425">
        <f t="shared" si="6"/>
        <v>0.65666000000000002</v>
      </c>
      <c r="G12" s="428"/>
      <c r="H12" s="430">
        <f t="shared" si="4"/>
        <v>0.65666000000000002</v>
      </c>
      <c r="I12" s="430">
        <f t="shared" si="5"/>
        <v>47.279520000000005</v>
      </c>
      <c r="J12" s="719"/>
      <c r="K12" s="728"/>
      <c r="L12" s="728"/>
      <c r="M12" s="437"/>
      <c r="N12" s="437"/>
      <c r="O12" s="418">
        <f t="shared" si="7"/>
        <v>47.279520000000005</v>
      </c>
      <c r="P12" s="418"/>
      <c r="Q12" s="418"/>
      <c r="R12" s="437"/>
      <c r="S12" s="437"/>
    </row>
    <row r="13" spans="1:19" ht="22.25">
      <c r="A13" s="423">
        <v>18</v>
      </c>
      <c r="B13" s="423" t="s">
        <v>522</v>
      </c>
      <c r="C13" s="424" t="s">
        <v>1074</v>
      </c>
      <c r="D13" s="423"/>
      <c r="E13" s="424" t="s">
        <v>1079</v>
      </c>
      <c r="F13" s="425">
        <v>1.3</v>
      </c>
      <c r="G13" s="428"/>
      <c r="H13" s="430">
        <f t="shared" si="4"/>
        <v>1.3</v>
      </c>
      <c r="I13" s="430">
        <f t="shared" si="5"/>
        <v>23.400000000000002</v>
      </c>
      <c r="J13" s="719"/>
      <c r="K13" s="728"/>
      <c r="L13" s="728"/>
      <c r="M13" s="437"/>
      <c r="N13" s="437"/>
      <c r="O13" s="418">
        <f t="shared" si="7"/>
        <v>23.400000000000002</v>
      </c>
      <c r="P13" s="437"/>
      <c r="Q13" s="437"/>
      <c r="R13" s="418"/>
      <c r="S13" s="437"/>
    </row>
    <row r="14" spans="1:19" ht="22.25">
      <c r="A14" s="423">
        <v>18</v>
      </c>
      <c r="B14" s="423" t="s">
        <v>522</v>
      </c>
      <c r="C14" s="424" t="s">
        <v>1074</v>
      </c>
      <c r="D14" s="423"/>
      <c r="E14" s="424" t="s">
        <v>1080</v>
      </c>
      <c r="F14" s="425">
        <v>0.98</v>
      </c>
      <c r="G14" s="428"/>
      <c r="H14" s="430">
        <f t="shared" si="4"/>
        <v>0.98</v>
      </c>
      <c r="I14" s="430">
        <f t="shared" si="5"/>
        <v>17.64</v>
      </c>
      <c r="J14" s="719"/>
      <c r="K14" s="728"/>
      <c r="L14" s="728"/>
      <c r="M14" s="437"/>
      <c r="N14" s="437"/>
      <c r="O14" s="418">
        <f t="shared" si="7"/>
        <v>17.64</v>
      </c>
      <c r="P14" s="437"/>
      <c r="Q14" s="437"/>
      <c r="R14" s="418"/>
      <c r="S14" s="437"/>
    </row>
    <row r="15" spans="1:19" ht="22.25">
      <c r="A15" s="423">
        <v>1</v>
      </c>
      <c r="B15" s="423" t="s">
        <v>522</v>
      </c>
      <c r="C15" s="420" t="s">
        <v>1074</v>
      </c>
      <c r="D15" s="413"/>
      <c r="E15" s="420" t="s">
        <v>1024</v>
      </c>
      <c r="F15" s="421">
        <v>1674</v>
      </c>
      <c r="G15" s="428"/>
      <c r="H15" s="430">
        <f t="shared" si="4"/>
        <v>1674</v>
      </c>
      <c r="I15" s="430">
        <f t="shared" si="5"/>
        <v>1674</v>
      </c>
      <c r="J15" s="719"/>
      <c r="K15" s="728"/>
      <c r="L15" s="728"/>
      <c r="M15" s="437"/>
      <c r="N15" s="418">
        <f t="shared" ref="N15:N17" si="8">I15</f>
        <v>1674</v>
      </c>
      <c r="O15" s="437"/>
      <c r="P15" s="437"/>
      <c r="Q15" s="437"/>
      <c r="R15" s="437"/>
      <c r="S15" s="437"/>
    </row>
    <row r="16" spans="1:19">
      <c r="A16" s="423"/>
      <c r="B16" s="423"/>
      <c r="C16" s="424"/>
      <c r="D16" s="423"/>
      <c r="E16" s="424"/>
      <c r="F16" s="425"/>
      <c r="G16" s="428"/>
      <c r="H16" s="430">
        <f t="shared" si="4"/>
        <v>0</v>
      </c>
      <c r="I16" s="430">
        <f t="shared" si="5"/>
        <v>0</v>
      </c>
      <c r="J16" s="719"/>
      <c r="K16" s="728"/>
      <c r="L16" s="728"/>
      <c r="M16" s="437"/>
      <c r="N16" s="418">
        <f t="shared" si="8"/>
        <v>0</v>
      </c>
      <c r="O16" s="437"/>
      <c r="P16" s="437"/>
      <c r="Q16" s="437"/>
      <c r="R16" s="437"/>
      <c r="S16" s="437"/>
    </row>
    <row r="17" spans="1:19" ht="55.65">
      <c r="A17" s="423">
        <v>1</v>
      </c>
      <c r="B17" s="423" t="s">
        <v>522</v>
      </c>
      <c r="C17" s="424" t="s">
        <v>1034</v>
      </c>
      <c r="D17" s="423" t="s">
        <v>1025</v>
      </c>
      <c r="E17" s="424" t="s">
        <v>1026</v>
      </c>
      <c r="F17" s="425">
        <v>19.07</v>
      </c>
      <c r="G17" s="428"/>
      <c r="H17" s="430">
        <f t="shared" si="4"/>
        <v>19.07</v>
      </c>
      <c r="I17" s="430">
        <f t="shared" si="5"/>
        <v>19.07</v>
      </c>
      <c r="J17" s="719" t="s">
        <v>1027</v>
      </c>
      <c r="K17" s="728"/>
      <c r="L17" s="728"/>
      <c r="M17" s="437"/>
      <c r="N17" s="418">
        <f t="shared" si="8"/>
        <v>19.07</v>
      </c>
      <c r="O17" s="437"/>
      <c r="P17" s="437"/>
      <c r="Q17" s="437"/>
      <c r="R17" s="437"/>
      <c r="S17" s="437"/>
    </row>
    <row r="18" spans="1:19" ht="55.65">
      <c r="A18" s="423">
        <v>8</v>
      </c>
      <c r="B18" s="423" t="s">
        <v>522</v>
      </c>
      <c r="C18" s="424" t="s">
        <v>1034</v>
      </c>
      <c r="D18" s="423" t="s">
        <v>761</v>
      </c>
      <c r="E18" s="424" t="s">
        <v>762</v>
      </c>
      <c r="F18" s="425">
        <v>2.5</v>
      </c>
      <c r="G18" s="428"/>
      <c r="H18" s="430">
        <f t="shared" si="4"/>
        <v>2.5</v>
      </c>
      <c r="I18" s="430">
        <f t="shared" si="5"/>
        <v>20</v>
      </c>
      <c r="J18" s="719" t="s">
        <v>1020</v>
      </c>
      <c r="K18" s="728"/>
      <c r="L18" s="728"/>
      <c r="M18" s="437"/>
      <c r="N18" s="437"/>
      <c r="O18" s="437"/>
      <c r="P18" s="437"/>
      <c r="Q18" s="437"/>
      <c r="R18" s="418">
        <f t="shared" ref="R18:R19" si="9">I18</f>
        <v>20</v>
      </c>
      <c r="S18" s="437"/>
    </row>
    <row r="19" spans="1:19" ht="69.25" customHeight="1">
      <c r="A19" s="423">
        <v>2</v>
      </c>
      <c r="B19" s="487" t="s">
        <v>522</v>
      </c>
      <c r="C19" s="424" t="s">
        <v>1034</v>
      </c>
      <c r="D19" s="413" t="s">
        <v>1047</v>
      </c>
      <c r="E19" s="420" t="s">
        <v>1216</v>
      </c>
      <c r="F19" s="421">
        <v>115.56</v>
      </c>
      <c r="G19" s="428"/>
      <c r="H19" s="430">
        <f t="shared" si="4"/>
        <v>115.56</v>
      </c>
      <c r="I19" s="430">
        <f t="shared" si="5"/>
        <v>231.12</v>
      </c>
      <c r="J19" s="1080" t="s">
        <v>1444</v>
      </c>
      <c r="K19" s="1080"/>
      <c r="L19" s="1080"/>
      <c r="M19" s="437"/>
      <c r="N19" s="437"/>
      <c r="O19" s="437"/>
      <c r="P19" s="437"/>
      <c r="Q19" s="437"/>
      <c r="R19" s="418">
        <f t="shared" si="9"/>
        <v>231.12</v>
      </c>
      <c r="S19" s="437"/>
    </row>
    <row r="20" spans="1:19" ht="22.25">
      <c r="A20" s="413">
        <v>1</v>
      </c>
      <c r="B20" s="413" t="s">
        <v>522</v>
      </c>
      <c r="C20" s="420" t="s">
        <v>531</v>
      </c>
      <c r="D20" s="413"/>
      <c r="E20" s="420" t="s">
        <v>695</v>
      </c>
      <c r="F20" s="421">
        <v>100</v>
      </c>
      <c r="G20" s="410"/>
      <c r="H20" s="409">
        <f t="shared" si="4"/>
        <v>100</v>
      </c>
      <c r="I20" s="409">
        <f t="shared" si="5"/>
        <v>100</v>
      </c>
      <c r="J20" s="204" t="s">
        <v>696</v>
      </c>
      <c r="M20" s="437"/>
      <c r="N20" s="437"/>
      <c r="O20" s="418">
        <f t="shared" si="7"/>
        <v>100</v>
      </c>
      <c r="P20" s="437"/>
      <c r="Q20" s="437"/>
      <c r="R20" s="418"/>
      <c r="S20" s="437"/>
    </row>
    <row r="21" spans="1:19" ht="55.65">
      <c r="A21" s="413">
        <v>1</v>
      </c>
      <c r="B21" s="407"/>
      <c r="C21" s="424" t="s">
        <v>1034</v>
      </c>
      <c r="D21" s="413" t="s">
        <v>769</v>
      </c>
      <c r="E21" s="413" t="s">
        <v>567</v>
      </c>
      <c r="F21" s="421">
        <v>343.75</v>
      </c>
      <c r="G21" s="428"/>
      <c r="H21" s="430">
        <f t="shared" si="4"/>
        <v>343.75</v>
      </c>
      <c r="I21" s="430">
        <f t="shared" si="5"/>
        <v>343.75</v>
      </c>
      <c r="J21" s="719"/>
      <c r="K21" s="728"/>
      <c r="L21" s="728"/>
      <c r="M21" s="418">
        <f>F21</f>
        <v>343.75</v>
      </c>
      <c r="N21" s="437"/>
      <c r="O21" s="437"/>
      <c r="P21" s="437"/>
      <c r="Q21" s="437"/>
      <c r="R21" s="437"/>
      <c r="S21" s="437"/>
    </row>
    <row r="22" spans="1:19" ht="22.25">
      <c r="A22" s="413">
        <v>10</v>
      </c>
      <c r="B22" s="413" t="s">
        <v>539</v>
      </c>
      <c r="C22" s="420" t="s">
        <v>1445</v>
      </c>
      <c r="D22" s="413"/>
      <c r="E22" s="413" t="s">
        <v>691</v>
      </c>
      <c r="F22" s="421">
        <f>7.58/1.2</f>
        <v>6.3166666666666673</v>
      </c>
      <c r="G22" s="410"/>
      <c r="H22" s="409">
        <f t="shared" si="4"/>
        <v>6.3166666666666673</v>
      </c>
      <c r="I22" s="409">
        <f t="shared" si="5"/>
        <v>63.166666666666671</v>
      </c>
      <c r="J22" s="204" t="s">
        <v>1446</v>
      </c>
      <c r="K22" s="728"/>
      <c r="L22" s="728"/>
      <c r="M22" s="418"/>
      <c r="N22" s="437"/>
      <c r="O22" s="418">
        <f t="shared" si="7"/>
        <v>63.166666666666671</v>
      </c>
      <c r="P22" s="437"/>
      <c r="Q22" s="437"/>
      <c r="R22" s="437"/>
      <c r="S22" s="437"/>
    </row>
    <row r="23" spans="1:19" ht="22.25">
      <c r="A23" s="423">
        <v>0</v>
      </c>
      <c r="B23" s="413" t="s">
        <v>539</v>
      </c>
      <c r="C23" s="420" t="s">
        <v>1445</v>
      </c>
      <c r="D23" s="413"/>
      <c r="E23" s="413" t="s">
        <v>835</v>
      </c>
      <c r="F23" s="421">
        <f>863/135</f>
        <v>6.3925925925925924</v>
      </c>
      <c r="G23" s="428"/>
      <c r="H23" s="430">
        <f t="shared" si="4"/>
        <v>6.3925925925925924</v>
      </c>
      <c r="I23" s="430">
        <f t="shared" si="5"/>
        <v>0</v>
      </c>
      <c r="K23" s="728"/>
      <c r="L23" s="728"/>
      <c r="M23" s="418"/>
      <c r="N23" s="437"/>
      <c r="O23" s="418">
        <f t="shared" si="7"/>
        <v>0</v>
      </c>
      <c r="P23" s="437"/>
      <c r="Q23" s="437"/>
      <c r="R23" s="437"/>
      <c r="S23" s="437"/>
    </row>
    <row r="24" spans="1:19" ht="66.8">
      <c r="A24" s="423">
        <v>0</v>
      </c>
      <c r="B24" s="413" t="s">
        <v>539</v>
      </c>
      <c r="C24" s="420" t="s">
        <v>1445</v>
      </c>
      <c r="D24" s="413"/>
      <c r="E24" s="413" t="s">
        <v>1052</v>
      </c>
      <c r="F24" s="421">
        <f>1569/125</f>
        <v>12.552</v>
      </c>
      <c r="G24" s="428"/>
      <c r="H24" s="430">
        <f t="shared" si="4"/>
        <v>12.552</v>
      </c>
      <c r="I24" s="430">
        <f t="shared" si="5"/>
        <v>0</v>
      </c>
      <c r="J24" s="204" t="s">
        <v>1447</v>
      </c>
      <c r="K24" s="728"/>
      <c r="L24" s="728"/>
      <c r="M24" s="418"/>
      <c r="N24" s="437"/>
      <c r="O24" s="418">
        <f t="shared" si="7"/>
        <v>0</v>
      </c>
      <c r="P24" s="437"/>
      <c r="Q24" s="437"/>
      <c r="R24" s="437"/>
      <c r="S24" s="437"/>
    </row>
    <row r="25" spans="1:19">
      <c r="A25" s="487">
        <v>1</v>
      </c>
      <c r="B25" s="487" t="s">
        <v>517</v>
      </c>
      <c r="C25" s="408" t="s">
        <v>574</v>
      </c>
      <c r="D25" s="407" t="s">
        <v>1004</v>
      </c>
      <c r="E25" s="408" t="s">
        <v>1005</v>
      </c>
      <c r="F25" s="409">
        <v>370</v>
      </c>
      <c r="G25" s="429">
        <v>0</v>
      </c>
      <c r="H25" s="430">
        <f t="shared" si="4"/>
        <v>370</v>
      </c>
      <c r="I25" s="430">
        <f t="shared" si="5"/>
        <v>370</v>
      </c>
      <c r="J25" s="723" t="s">
        <v>1448</v>
      </c>
      <c r="K25" s="728"/>
      <c r="L25" s="728"/>
      <c r="M25" s="418"/>
      <c r="N25" s="437"/>
      <c r="O25" s="437"/>
      <c r="P25" s="437"/>
      <c r="Q25" s="437"/>
      <c r="R25" s="437"/>
      <c r="S25" s="418">
        <f t="shared" ref="S25:S28" si="10">I25</f>
        <v>370</v>
      </c>
    </row>
    <row r="26" spans="1:19">
      <c r="A26" s="487">
        <v>0</v>
      </c>
      <c r="B26" s="487" t="s">
        <v>517</v>
      </c>
      <c r="C26" s="492" t="s">
        <v>574</v>
      </c>
      <c r="D26" s="487" t="s">
        <v>575</v>
      </c>
      <c r="E26" s="487" t="s">
        <v>576</v>
      </c>
      <c r="F26" s="430">
        <v>36.700000000000003</v>
      </c>
      <c r="G26" s="428"/>
      <c r="H26" s="430">
        <f t="shared" si="4"/>
        <v>36.700000000000003</v>
      </c>
      <c r="I26" s="430">
        <f t="shared" si="5"/>
        <v>0</v>
      </c>
      <c r="J26" s="719"/>
      <c r="K26" s="728"/>
      <c r="L26" s="728"/>
      <c r="M26" s="418"/>
      <c r="N26" s="437"/>
      <c r="O26" s="437"/>
      <c r="P26" s="437"/>
      <c r="Q26" s="437"/>
      <c r="R26" s="437"/>
      <c r="S26" s="418">
        <f t="shared" si="10"/>
        <v>0</v>
      </c>
    </row>
    <row r="27" spans="1:19">
      <c r="A27" s="487">
        <v>5</v>
      </c>
      <c r="B27" s="487" t="s">
        <v>517</v>
      </c>
      <c r="C27" s="492" t="s">
        <v>574</v>
      </c>
      <c r="D27" s="487" t="s">
        <v>577</v>
      </c>
      <c r="E27" s="487" t="s">
        <v>578</v>
      </c>
      <c r="F27" s="430">
        <v>75</v>
      </c>
      <c r="G27" s="428"/>
      <c r="H27" s="430">
        <f t="shared" si="4"/>
        <v>75</v>
      </c>
      <c r="I27" s="430">
        <f t="shared" si="5"/>
        <v>375</v>
      </c>
      <c r="J27" s="719"/>
      <c r="K27" s="728"/>
      <c r="L27" s="728"/>
      <c r="M27" s="418"/>
      <c r="N27" s="437"/>
      <c r="O27" s="437"/>
      <c r="P27" s="437"/>
      <c r="Q27" s="437"/>
      <c r="R27" s="437"/>
      <c r="S27" s="418">
        <f t="shared" si="10"/>
        <v>375</v>
      </c>
    </row>
    <row r="28" spans="1:19">
      <c r="A28" s="487">
        <v>1</v>
      </c>
      <c r="B28" s="487" t="s">
        <v>517</v>
      </c>
      <c r="C28" s="492" t="s">
        <v>574</v>
      </c>
      <c r="D28" s="487"/>
      <c r="E28" s="487" t="s">
        <v>579</v>
      </c>
      <c r="F28" s="430">
        <f>35/4</f>
        <v>8.75</v>
      </c>
      <c r="G28" s="428"/>
      <c r="H28" s="430">
        <f t="shared" si="4"/>
        <v>8.75</v>
      </c>
      <c r="I28" s="430">
        <f t="shared" si="5"/>
        <v>8.75</v>
      </c>
      <c r="J28" s="719"/>
      <c r="K28" s="728"/>
      <c r="L28" s="728"/>
      <c r="M28" s="418"/>
      <c r="N28" s="437"/>
      <c r="O28" s="437"/>
      <c r="P28" s="437"/>
      <c r="Q28" s="437"/>
      <c r="R28" s="437"/>
      <c r="S28" s="418">
        <f t="shared" si="10"/>
        <v>8.75</v>
      </c>
    </row>
    <row r="29" spans="1:19" ht="12.45">
      <c r="A29" s="487"/>
      <c r="B29" s="487"/>
      <c r="C29" s="492"/>
      <c r="D29" s="487"/>
      <c r="E29" s="744"/>
      <c r="F29" s="430"/>
      <c r="G29" s="428"/>
      <c r="H29" s="430"/>
      <c r="I29" s="430"/>
      <c r="J29" s="719"/>
      <c r="K29" s="728"/>
      <c r="L29" s="728"/>
      <c r="M29" s="418"/>
      <c r="N29" s="437"/>
      <c r="O29" s="437"/>
      <c r="P29" s="437"/>
      <c r="Q29" s="437"/>
      <c r="R29" s="437"/>
      <c r="S29" s="437"/>
    </row>
    <row r="30" spans="1:19" ht="12.45">
      <c r="A30" s="487"/>
      <c r="B30" s="487"/>
      <c r="C30" s="492"/>
      <c r="D30" s="487"/>
      <c r="E30" s="744"/>
      <c r="F30" s="430"/>
      <c r="G30" s="428"/>
      <c r="H30" s="430"/>
      <c r="I30" s="430"/>
      <c r="J30" s="719"/>
      <c r="K30" s="728"/>
      <c r="L30" s="728"/>
      <c r="M30" s="418"/>
      <c r="N30" s="437"/>
      <c r="O30" s="437"/>
      <c r="P30" s="437"/>
      <c r="Q30" s="437"/>
      <c r="R30" s="437"/>
      <c r="S30" s="437"/>
    </row>
    <row r="31" spans="1:19">
      <c r="A31" s="407"/>
      <c r="B31" s="407"/>
      <c r="C31" s="408"/>
      <c r="D31" s="407"/>
      <c r="E31" s="407"/>
      <c r="F31" s="409"/>
      <c r="G31" s="410"/>
      <c r="H31" s="409"/>
      <c r="I31" s="409"/>
      <c r="J31" s="204"/>
      <c r="M31" s="437"/>
      <c r="N31" s="437"/>
      <c r="O31" s="437"/>
      <c r="P31" s="437"/>
      <c r="Q31" s="437"/>
      <c r="R31" s="437"/>
      <c r="S31" s="437"/>
    </row>
    <row r="32" spans="1:19">
      <c r="A32" s="407"/>
      <c r="B32" s="407"/>
      <c r="C32" s="408"/>
      <c r="D32" s="407"/>
      <c r="E32" s="432" t="s">
        <v>580</v>
      </c>
      <c r="F32" s="409"/>
      <c r="G32" s="410"/>
      <c r="H32" s="409"/>
      <c r="I32" s="421">
        <f>SUM(I4:I30)</f>
        <v>28913.28689932722</v>
      </c>
      <c r="J32" s="204"/>
      <c r="M32" s="418">
        <f>SUM(M4:M30)</f>
        <v>22630.181192660551</v>
      </c>
      <c r="N32" s="418">
        <f>SUM(N4:N30)</f>
        <v>3939.4700000000003</v>
      </c>
      <c r="O32" s="418">
        <f>SUM(O4:O30)</f>
        <v>298.76570666666669</v>
      </c>
      <c r="P32" s="418"/>
      <c r="Q32" s="418"/>
      <c r="R32" s="418">
        <f>SUM(R4:R30)</f>
        <v>1291.1199999999999</v>
      </c>
      <c r="S32" s="437"/>
    </row>
    <row r="33" spans="1:19">
      <c r="A33" s="407"/>
      <c r="B33" s="407"/>
      <c r="C33" s="408"/>
      <c r="D33" s="407"/>
      <c r="E33" s="413" t="s">
        <v>581</v>
      </c>
      <c r="F33" s="409"/>
      <c r="G33" s="410">
        <v>0.25</v>
      </c>
      <c r="H33" s="409"/>
      <c r="I33" s="421"/>
      <c r="J33" s="204"/>
      <c r="M33" s="418"/>
      <c r="N33" s="418"/>
      <c r="O33" s="418"/>
      <c r="P33" s="418"/>
      <c r="Q33" s="418"/>
      <c r="R33" s="418"/>
      <c r="S33" s="437"/>
    </row>
    <row r="34" spans="1:19" ht="15.75">
      <c r="E34" s="433" t="s">
        <v>582</v>
      </c>
      <c r="F34" s="418"/>
      <c r="G34" s="434"/>
      <c r="H34" s="418"/>
      <c r="I34" s="435">
        <f>I32*(1+$G$33)</f>
        <v>36141.608624159024</v>
      </c>
      <c r="J34" s="436"/>
      <c r="K34" s="437"/>
      <c r="L34" s="437"/>
      <c r="M34" s="165">
        <f>M32*(1+$G$33)</f>
        <v>28287.726490825691</v>
      </c>
      <c r="N34" s="165">
        <f>N32*(1+$G$33)</f>
        <v>4924.3375000000005</v>
      </c>
      <c r="O34" s="165">
        <f>O32*(1+$G$33)</f>
        <v>373.45713333333333</v>
      </c>
      <c r="P34" s="418"/>
      <c r="Q34" s="418"/>
      <c r="R34" s="165">
        <f>R32*(1+$G$33)</f>
        <v>1613.8999999999999</v>
      </c>
      <c r="S34" s="165">
        <f>SUM(S4:S33)</f>
        <v>753.75</v>
      </c>
    </row>
    <row r="37" spans="1:19">
      <c r="E37" s="439" t="s">
        <v>585</v>
      </c>
    </row>
    <row r="38" spans="1:19">
      <c r="A38" s="441">
        <f>3*3.5</f>
        <v>10.5</v>
      </c>
      <c r="B38" s="17" t="s">
        <v>619</v>
      </c>
      <c r="E38" s="17" t="s">
        <v>586</v>
      </c>
      <c r="F38" s="403">
        <f t="shared" ref="F38:F52" si="11">F$56</f>
        <v>55</v>
      </c>
      <c r="H38" s="403">
        <f t="shared" si="4"/>
        <v>55</v>
      </c>
      <c r="I38" s="403">
        <f t="shared" ref="I38:I60" si="12">A38*H38</f>
        <v>577.5</v>
      </c>
      <c r="J38" s="17" t="s">
        <v>1449</v>
      </c>
    </row>
    <row r="39" spans="1:19">
      <c r="A39" s="441">
        <v>73</v>
      </c>
      <c r="B39" s="17" t="s">
        <v>619</v>
      </c>
      <c r="E39" s="17" t="s">
        <v>589</v>
      </c>
      <c r="F39" s="403">
        <f t="shared" si="11"/>
        <v>55</v>
      </c>
      <c r="H39" s="403">
        <f t="shared" si="4"/>
        <v>55</v>
      </c>
      <c r="I39" s="403">
        <f t="shared" si="12"/>
        <v>4015</v>
      </c>
    </row>
    <row r="40" spans="1:19">
      <c r="A40" s="441">
        <f>3.3*7/2</f>
        <v>11.549999999999999</v>
      </c>
      <c r="B40" s="17" t="s">
        <v>619</v>
      </c>
      <c r="E40" s="17" t="s">
        <v>1426</v>
      </c>
      <c r="F40" s="403">
        <f t="shared" si="11"/>
        <v>55</v>
      </c>
      <c r="H40" s="403">
        <f t="shared" si="4"/>
        <v>55</v>
      </c>
      <c r="I40" s="403">
        <f t="shared" si="12"/>
        <v>635.24999999999989</v>
      </c>
      <c r="J40" s="17" t="s">
        <v>1450</v>
      </c>
    </row>
    <row r="41" spans="1:19">
      <c r="A41" s="441">
        <f>7.75*116/30</f>
        <v>29.966666666666665</v>
      </c>
      <c r="B41" s="17" t="s">
        <v>619</v>
      </c>
      <c r="E41" s="17" t="s">
        <v>591</v>
      </c>
      <c r="F41" s="403">
        <f t="shared" si="11"/>
        <v>55</v>
      </c>
      <c r="H41" s="403">
        <f t="shared" si="4"/>
        <v>55</v>
      </c>
      <c r="I41" s="403">
        <f t="shared" si="12"/>
        <v>1648.1666666666665</v>
      </c>
      <c r="J41" s="17" t="s">
        <v>1451</v>
      </c>
    </row>
    <row r="42" spans="1:19">
      <c r="A42" s="441">
        <v>0</v>
      </c>
      <c r="B42" s="17" t="s">
        <v>619</v>
      </c>
      <c r="E42" s="17" t="s">
        <v>1428</v>
      </c>
      <c r="F42" s="403">
        <f t="shared" si="11"/>
        <v>55</v>
      </c>
      <c r="H42" s="403">
        <f t="shared" si="4"/>
        <v>55</v>
      </c>
      <c r="I42" s="403">
        <f t="shared" si="12"/>
        <v>0</v>
      </c>
      <c r="J42" s="17" t="s">
        <v>1452</v>
      </c>
    </row>
    <row r="43" spans="1:19">
      <c r="A43" s="441">
        <v>0</v>
      </c>
      <c r="B43" s="17" t="s">
        <v>619</v>
      </c>
      <c r="E43" s="17" t="s">
        <v>1429</v>
      </c>
      <c r="F43" s="403">
        <f t="shared" si="11"/>
        <v>55</v>
      </c>
      <c r="H43" s="403">
        <f t="shared" si="4"/>
        <v>55</v>
      </c>
      <c r="I43" s="403">
        <f t="shared" si="12"/>
        <v>0</v>
      </c>
      <c r="J43" s="17" t="s">
        <v>1452</v>
      </c>
    </row>
    <row r="44" spans="1:19">
      <c r="A44" s="441">
        <v>0</v>
      </c>
      <c r="B44" s="17" t="s">
        <v>619</v>
      </c>
      <c r="E44" s="17" t="s">
        <v>605</v>
      </c>
      <c r="F44" s="403">
        <f t="shared" si="11"/>
        <v>55</v>
      </c>
      <c r="H44" s="403">
        <f t="shared" si="4"/>
        <v>55</v>
      </c>
      <c r="I44" s="403">
        <f t="shared" si="12"/>
        <v>0</v>
      </c>
      <c r="J44" s="17" t="s">
        <v>1453</v>
      </c>
    </row>
    <row r="45" spans="1:19">
      <c r="A45" s="441">
        <v>8</v>
      </c>
      <c r="B45" s="17" t="s">
        <v>619</v>
      </c>
      <c r="E45" s="17" t="s">
        <v>607</v>
      </c>
      <c r="F45" s="403">
        <f t="shared" si="11"/>
        <v>55</v>
      </c>
      <c r="H45" s="403">
        <f t="shared" si="4"/>
        <v>55</v>
      </c>
      <c r="I45" s="403">
        <f t="shared" si="12"/>
        <v>440</v>
      </c>
    </row>
    <row r="46" spans="1:19">
      <c r="A46" s="441">
        <v>0</v>
      </c>
      <c r="B46" s="17" t="s">
        <v>619</v>
      </c>
      <c r="E46" s="17" t="s">
        <v>609</v>
      </c>
      <c r="F46" s="403">
        <f t="shared" si="11"/>
        <v>55</v>
      </c>
      <c r="H46" s="403">
        <f t="shared" si="4"/>
        <v>55</v>
      </c>
      <c r="I46" s="403">
        <f t="shared" si="12"/>
        <v>0</v>
      </c>
      <c r="J46" s="17" t="s">
        <v>1453</v>
      </c>
    </row>
    <row r="47" spans="1:19">
      <c r="A47" s="441">
        <v>0</v>
      </c>
      <c r="B47" s="17" t="s">
        <v>619</v>
      </c>
      <c r="E47" s="17" t="s">
        <v>610</v>
      </c>
      <c r="F47" s="403">
        <f t="shared" si="11"/>
        <v>55</v>
      </c>
      <c r="H47" s="403">
        <f t="shared" si="4"/>
        <v>55</v>
      </c>
      <c r="I47" s="403">
        <f t="shared" si="12"/>
        <v>0</v>
      </c>
      <c r="J47" s="17" t="s">
        <v>1453</v>
      </c>
    </row>
    <row r="48" spans="1:19">
      <c r="A48" s="441">
        <v>0</v>
      </c>
      <c r="B48" s="17" t="s">
        <v>619</v>
      </c>
      <c r="E48" s="17" t="s">
        <v>611</v>
      </c>
      <c r="F48" s="403">
        <f t="shared" si="11"/>
        <v>55</v>
      </c>
      <c r="H48" s="403">
        <f t="shared" si="4"/>
        <v>55</v>
      </c>
      <c r="I48" s="403">
        <f t="shared" si="12"/>
        <v>0</v>
      </c>
      <c r="J48" s="17" t="s">
        <v>1453</v>
      </c>
    </row>
    <row r="49" spans="1:16">
      <c r="A49" s="441">
        <v>1</v>
      </c>
      <c r="B49" s="17" t="s">
        <v>619</v>
      </c>
      <c r="E49" s="17" t="s">
        <v>1431</v>
      </c>
      <c r="F49" s="403">
        <f t="shared" si="11"/>
        <v>55</v>
      </c>
      <c r="H49" s="403">
        <f t="shared" si="4"/>
        <v>55</v>
      </c>
      <c r="I49" s="403">
        <f t="shared" si="12"/>
        <v>55</v>
      </c>
    </row>
    <row r="50" spans="1:16">
      <c r="A50" s="441">
        <v>5</v>
      </c>
      <c r="B50" s="17" t="s">
        <v>619</v>
      </c>
      <c r="E50" s="17" t="s">
        <v>612</v>
      </c>
      <c r="F50" s="403">
        <f t="shared" si="11"/>
        <v>55</v>
      </c>
      <c r="H50" s="403">
        <f t="shared" si="4"/>
        <v>55</v>
      </c>
      <c r="I50" s="403">
        <f t="shared" si="12"/>
        <v>275</v>
      </c>
      <c r="J50" s="17" t="s">
        <v>1454</v>
      </c>
    </row>
    <row r="51" spans="1:16">
      <c r="A51" s="441">
        <f>3*1.5</f>
        <v>4.5</v>
      </c>
      <c r="B51" s="17" t="s">
        <v>619</v>
      </c>
      <c r="E51" s="17" t="s">
        <v>614</v>
      </c>
      <c r="F51" s="403">
        <f t="shared" si="11"/>
        <v>55</v>
      </c>
      <c r="H51" s="403">
        <f t="shared" si="4"/>
        <v>55</v>
      </c>
      <c r="I51" s="403">
        <f t="shared" si="12"/>
        <v>247.5</v>
      </c>
    </row>
    <row r="52" spans="1:16">
      <c r="A52" s="441">
        <v>4</v>
      </c>
      <c r="B52" s="17" t="s">
        <v>619</v>
      </c>
      <c r="E52" s="17" t="s">
        <v>616</v>
      </c>
      <c r="F52" s="403">
        <f t="shared" si="11"/>
        <v>55</v>
      </c>
      <c r="H52" s="403">
        <f t="shared" si="4"/>
        <v>55</v>
      </c>
      <c r="I52" s="403">
        <f t="shared" si="12"/>
        <v>220</v>
      </c>
    </row>
    <row r="54" spans="1:16">
      <c r="A54" s="17">
        <f>SUM(A38:A53)</f>
        <v>147.51666666666665</v>
      </c>
      <c r="B54" s="17" t="s">
        <v>619</v>
      </c>
      <c r="E54" s="17" t="s">
        <v>620</v>
      </c>
    </row>
    <row r="55" spans="1:16">
      <c r="A55" s="441">
        <v>3</v>
      </c>
      <c r="B55" s="17" t="s">
        <v>517</v>
      </c>
      <c r="E55" s="17" t="s">
        <v>621</v>
      </c>
    </row>
    <row r="56" spans="1:16">
      <c r="A56" s="17">
        <v>1</v>
      </c>
      <c r="B56" s="17" t="s">
        <v>517</v>
      </c>
      <c r="E56" s="17" t="s">
        <v>622</v>
      </c>
      <c r="F56" s="445">
        <v>55</v>
      </c>
      <c r="H56" s="403">
        <f t="shared" si="4"/>
        <v>55</v>
      </c>
      <c r="I56" s="403">
        <f t="shared" si="12"/>
        <v>55</v>
      </c>
      <c r="J56" s="17" t="s">
        <v>623</v>
      </c>
    </row>
    <row r="57" spans="1:16">
      <c r="A57" s="17">
        <f>ROUNDUP(A54/8/A55,0)</f>
        <v>7</v>
      </c>
      <c r="B57" s="17" t="s">
        <v>624</v>
      </c>
      <c r="E57" s="17" t="s">
        <v>625</v>
      </c>
      <c r="F57" s="403">
        <f>A55*8*F56</f>
        <v>1320</v>
      </c>
      <c r="H57" s="403">
        <f t="shared" si="4"/>
        <v>1320</v>
      </c>
      <c r="I57" s="403">
        <f t="shared" si="12"/>
        <v>9240</v>
      </c>
    </row>
    <row r="58" spans="1:16">
      <c r="A58" s="441">
        <v>2</v>
      </c>
      <c r="B58" s="17" t="s">
        <v>1455</v>
      </c>
      <c r="E58" s="17" t="s">
        <v>1456</v>
      </c>
      <c r="F58" s="447">
        <v>1000</v>
      </c>
      <c r="H58" s="403">
        <f t="shared" si="4"/>
        <v>1000</v>
      </c>
      <c r="I58" s="403">
        <f t="shared" si="12"/>
        <v>2000</v>
      </c>
      <c r="J58" s="17" t="s">
        <v>1457</v>
      </c>
    </row>
    <row r="59" spans="1:16">
      <c r="A59" s="441">
        <v>0</v>
      </c>
      <c r="B59" s="17" t="s">
        <v>517</v>
      </c>
      <c r="E59" s="17" t="s">
        <v>1458</v>
      </c>
      <c r="F59" s="447">
        <v>500</v>
      </c>
      <c r="H59" s="403">
        <f t="shared" si="4"/>
        <v>500</v>
      </c>
      <c r="I59" s="403">
        <f t="shared" si="12"/>
        <v>0</v>
      </c>
    </row>
    <row r="60" spans="1:16">
      <c r="A60" s="441">
        <v>0</v>
      </c>
      <c r="B60" s="17" t="s">
        <v>517</v>
      </c>
      <c r="E60" s="17" t="s">
        <v>1459</v>
      </c>
      <c r="F60" s="447">
        <v>1000</v>
      </c>
      <c r="H60" s="403">
        <f t="shared" si="4"/>
        <v>1000</v>
      </c>
      <c r="I60" s="403">
        <f t="shared" si="12"/>
        <v>0</v>
      </c>
    </row>
    <row r="61" spans="1:16" ht="15.75">
      <c r="E61" s="439" t="s">
        <v>628</v>
      </c>
      <c r="I61" s="443">
        <f>SUM(I57:I60)</f>
        <v>11240</v>
      </c>
      <c r="P61" s="165">
        <f>I61</f>
        <v>11240</v>
      </c>
    </row>
    <row r="64" spans="1:16">
      <c r="E64" s="449" t="s">
        <v>630</v>
      </c>
    </row>
    <row r="65" spans="1:17">
      <c r="A65" s="441">
        <v>1</v>
      </c>
      <c r="B65" s="17" t="s">
        <v>517</v>
      </c>
      <c r="E65" s="17" t="s">
        <v>668</v>
      </c>
      <c r="F65" s="445">
        <f>1796*0.6</f>
        <v>1077.5999999999999</v>
      </c>
      <c r="H65" s="403">
        <f t="shared" si="4"/>
        <v>1077.5999999999999</v>
      </c>
      <c r="I65" s="403">
        <f t="shared" ref="I65:I67" si="13">A65*H65</f>
        <v>1077.5999999999999</v>
      </c>
      <c r="J65" s="17" t="s">
        <v>1460</v>
      </c>
    </row>
    <row r="66" spans="1:17">
      <c r="A66" s="441">
        <v>140</v>
      </c>
      <c r="B66" s="17" t="s">
        <v>539</v>
      </c>
      <c r="E66" s="17" t="s">
        <v>1461</v>
      </c>
      <c r="F66" s="445">
        <v>80</v>
      </c>
      <c r="H66" s="403">
        <f t="shared" si="4"/>
        <v>80</v>
      </c>
      <c r="I66" s="403">
        <f t="shared" si="13"/>
        <v>11200</v>
      </c>
      <c r="J66" s="17" t="s">
        <v>1462</v>
      </c>
    </row>
    <row r="67" spans="1:17">
      <c r="A67" s="441">
        <v>1</v>
      </c>
      <c r="B67" s="17" t="s">
        <v>517</v>
      </c>
      <c r="E67" s="17" t="s">
        <v>1463</v>
      </c>
      <c r="F67" s="445">
        <v>2493</v>
      </c>
      <c r="H67" s="403">
        <f t="shared" si="4"/>
        <v>2493</v>
      </c>
      <c r="I67" s="403">
        <f t="shared" si="13"/>
        <v>2493</v>
      </c>
      <c r="J67" s="17" t="s">
        <v>1462</v>
      </c>
    </row>
    <row r="68" spans="1:17" ht="15.75">
      <c r="E68" s="439" t="s">
        <v>676</v>
      </c>
      <c r="I68" s="443">
        <f>SUM(I65:I67)</f>
        <v>14770.6</v>
      </c>
      <c r="Q68" s="165">
        <f>I68</f>
        <v>14770.6</v>
      </c>
    </row>
    <row r="70" spans="1:17" ht="13.75" customHeight="1">
      <c r="A70" s="986" t="s">
        <v>100</v>
      </c>
      <c r="B70" s="986"/>
      <c r="C70" s="986"/>
      <c r="D70" s="986"/>
      <c r="E70" s="986"/>
    </row>
    <row r="76" spans="1:17" ht="15.05" customHeight="1">
      <c r="A76" s="1002" t="s">
        <v>90</v>
      </c>
      <c r="B76" s="1002"/>
      <c r="C76" s="1002"/>
      <c r="D76" s="1002"/>
      <c r="E76" s="1002"/>
    </row>
    <row r="78" spans="1:17" ht="13.75">
      <c r="A78" s="17">
        <v>1</v>
      </c>
      <c r="B78" s="17" t="s">
        <v>517</v>
      </c>
      <c r="E78" s="17" t="s">
        <v>1464</v>
      </c>
      <c r="F78" s="403">
        <v>860</v>
      </c>
      <c r="H78" s="403">
        <f t="shared" ref="H78:H93" si="14">F78*(1-G78)</f>
        <v>860</v>
      </c>
      <c r="I78" s="403">
        <f t="shared" ref="I78:I83" si="15">A78*H78</f>
        <v>860</v>
      </c>
      <c r="J78" s="494" t="s">
        <v>1465</v>
      </c>
    </row>
    <row r="79" spans="1:17">
      <c r="A79" s="17">
        <v>0</v>
      </c>
      <c r="B79" s="17" t="s">
        <v>517</v>
      </c>
      <c r="E79" s="17" t="s">
        <v>707</v>
      </c>
      <c r="F79" s="403">
        <v>1500</v>
      </c>
      <c r="H79" s="403">
        <f t="shared" si="14"/>
        <v>1500</v>
      </c>
      <c r="I79" s="403">
        <f t="shared" si="15"/>
        <v>0</v>
      </c>
      <c r="J79" s="17" t="s">
        <v>1466</v>
      </c>
    </row>
    <row r="80" spans="1:17" ht="55.65">
      <c r="A80" s="17">
        <v>0</v>
      </c>
      <c r="B80" s="17" t="s">
        <v>517</v>
      </c>
      <c r="C80" s="204" t="s">
        <v>708</v>
      </c>
      <c r="E80" s="204" t="s">
        <v>709</v>
      </c>
      <c r="F80" s="403">
        <v>460</v>
      </c>
      <c r="H80" s="403">
        <f t="shared" si="14"/>
        <v>460</v>
      </c>
      <c r="I80" s="403">
        <f t="shared" si="15"/>
        <v>0</v>
      </c>
    </row>
    <row r="81" spans="1:10" ht="55.65">
      <c r="A81" s="17">
        <v>1</v>
      </c>
      <c r="B81" s="17" t="s">
        <v>517</v>
      </c>
      <c r="C81" s="204" t="s">
        <v>711</v>
      </c>
      <c r="E81" s="204" t="s">
        <v>712</v>
      </c>
      <c r="F81" s="403">
        <v>320</v>
      </c>
      <c r="H81" s="403">
        <f t="shared" si="14"/>
        <v>320</v>
      </c>
      <c r="I81" s="403">
        <f t="shared" si="15"/>
        <v>320</v>
      </c>
    </row>
    <row r="82" spans="1:10" ht="44.55">
      <c r="A82" s="17">
        <v>1</v>
      </c>
      <c r="B82" s="17" t="s">
        <v>517</v>
      </c>
      <c r="C82" s="204" t="s">
        <v>1467</v>
      </c>
      <c r="E82" s="204" t="s">
        <v>1468</v>
      </c>
      <c r="F82" s="403">
        <v>249</v>
      </c>
      <c r="H82" s="403">
        <f t="shared" si="14"/>
        <v>249</v>
      </c>
      <c r="I82" s="403">
        <f t="shared" si="15"/>
        <v>249</v>
      </c>
    </row>
    <row r="83" spans="1:10" ht="55.65">
      <c r="A83" s="17">
        <v>0</v>
      </c>
      <c r="B83" s="17" t="s">
        <v>517</v>
      </c>
      <c r="C83" s="17" t="s">
        <v>713</v>
      </c>
      <c r="D83" s="17" t="s">
        <v>714</v>
      </c>
      <c r="E83" s="204" t="s">
        <v>715</v>
      </c>
      <c r="F83" s="403">
        <v>2725</v>
      </c>
      <c r="H83" s="403">
        <f t="shared" si="14"/>
        <v>2725</v>
      </c>
      <c r="I83" s="403">
        <f t="shared" si="15"/>
        <v>0</v>
      </c>
    </row>
    <row r="85" spans="1:10" ht="15.75">
      <c r="E85" s="439" t="s">
        <v>729</v>
      </c>
      <c r="I85" s="168">
        <f>SUM(I76:I84)</f>
        <v>1429</v>
      </c>
    </row>
    <row r="87" spans="1:10" ht="13.75" customHeight="1">
      <c r="A87" s="997" t="s">
        <v>68</v>
      </c>
      <c r="B87" s="997"/>
      <c r="C87" s="997"/>
      <c r="D87" s="997"/>
      <c r="E87" s="997"/>
    </row>
    <row r="88" spans="1:10">
      <c r="A88" s="17">
        <v>0</v>
      </c>
      <c r="B88" s="17" t="s">
        <v>517</v>
      </c>
      <c r="E88" s="17" t="s">
        <v>1469</v>
      </c>
      <c r="F88" s="403">
        <v>187.5</v>
      </c>
      <c r="H88" s="403">
        <f t="shared" si="14"/>
        <v>187.5</v>
      </c>
      <c r="I88" s="403">
        <f t="shared" ref="I88:I93" si="16">A88*H88</f>
        <v>0</v>
      </c>
      <c r="J88" s="17" t="s">
        <v>1470</v>
      </c>
    </row>
    <row r="89" spans="1:10">
      <c r="A89" s="17">
        <v>1</v>
      </c>
      <c r="B89" s="17" t="s">
        <v>517</v>
      </c>
      <c r="E89" s="17" t="s">
        <v>1471</v>
      </c>
      <c r="F89" s="403">
        <v>500</v>
      </c>
      <c r="H89" s="403">
        <f t="shared" si="14"/>
        <v>500</v>
      </c>
      <c r="I89" s="403">
        <f t="shared" si="16"/>
        <v>500</v>
      </c>
      <c r="J89" s="17" t="s">
        <v>696</v>
      </c>
    </row>
    <row r="90" spans="1:10">
      <c r="A90" s="17">
        <v>0</v>
      </c>
      <c r="B90" s="17" t="s">
        <v>517</v>
      </c>
      <c r="E90" s="17" t="s">
        <v>1472</v>
      </c>
      <c r="F90" s="403">
        <v>500</v>
      </c>
      <c r="H90" s="403">
        <f t="shared" si="14"/>
        <v>500</v>
      </c>
      <c r="I90" s="403">
        <f t="shared" si="16"/>
        <v>0</v>
      </c>
      <c r="J90" s="17" t="s">
        <v>696</v>
      </c>
    </row>
    <row r="91" spans="1:10" ht="55.65">
      <c r="A91" s="17">
        <v>0</v>
      </c>
      <c r="B91" s="17" t="s">
        <v>517</v>
      </c>
      <c r="C91" s="204" t="s">
        <v>708</v>
      </c>
      <c r="E91" s="204" t="s">
        <v>731</v>
      </c>
      <c r="F91" s="403">
        <f>460/2</f>
        <v>230</v>
      </c>
      <c r="H91" s="403">
        <f t="shared" si="14"/>
        <v>230</v>
      </c>
      <c r="I91" s="403">
        <f t="shared" si="16"/>
        <v>0</v>
      </c>
    </row>
    <row r="92" spans="1:10" ht="55.65">
      <c r="A92" s="17">
        <v>1</v>
      </c>
      <c r="B92" s="17" t="s">
        <v>517</v>
      </c>
      <c r="C92" s="204" t="s">
        <v>711</v>
      </c>
      <c r="E92" s="204" t="s">
        <v>732</v>
      </c>
      <c r="F92" s="403">
        <f>320/2</f>
        <v>160</v>
      </c>
      <c r="H92" s="403">
        <f t="shared" si="14"/>
        <v>160</v>
      </c>
      <c r="I92" s="403">
        <f t="shared" si="16"/>
        <v>160</v>
      </c>
    </row>
    <row r="93" spans="1:10" ht="22.25">
      <c r="A93" s="17">
        <v>1</v>
      </c>
      <c r="B93" s="17" t="s">
        <v>517</v>
      </c>
      <c r="C93" s="204" t="s">
        <v>531</v>
      </c>
      <c r="E93" s="17" t="s">
        <v>1473</v>
      </c>
      <c r="F93" s="403">
        <f>84/1.2</f>
        <v>70</v>
      </c>
      <c r="H93" s="403">
        <f t="shared" si="14"/>
        <v>70</v>
      </c>
      <c r="I93" s="403">
        <f t="shared" si="16"/>
        <v>70</v>
      </c>
    </row>
    <row r="94" spans="1:10" ht="15.75">
      <c r="E94" s="439" t="s">
        <v>733</v>
      </c>
      <c r="I94" s="168">
        <f>SUM(I87:I93)</f>
        <v>730</v>
      </c>
    </row>
  </sheetData>
  <mergeCells count="6">
    <mergeCell ref="A87:E87"/>
    <mergeCell ref="B1:F1"/>
    <mergeCell ref="A2:G2"/>
    <mergeCell ref="J19:L19"/>
    <mergeCell ref="A70:E70"/>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5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64" width="10.140625" style="17"/>
  </cols>
  <sheetData>
    <row r="1" spans="1:19" ht="15.75">
      <c r="B1" s="1053" t="s">
        <v>1474</v>
      </c>
      <c r="C1" s="1053"/>
      <c r="D1" s="1053"/>
      <c r="E1" s="1053"/>
      <c r="F1" s="1053"/>
      <c r="H1" s="405" t="s">
        <v>493</v>
      </c>
      <c r="I1" s="406">
        <f>VLOOKUP(E4,Catalogue!F:J,5,0)</f>
        <v>360</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33.4">
      <c r="A4" s="413">
        <v>84</v>
      </c>
      <c r="B4" s="413" t="s">
        <v>505</v>
      </c>
      <c r="C4" s="420" t="s">
        <v>540</v>
      </c>
      <c r="D4" s="413" t="s">
        <v>556</v>
      </c>
      <c r="E4" s="420" t="s">
        <v>1214</v>
      </c>
      <c r="F4" s="421">
        <v>98.59</v>
      </c>
      <c r="G4" s="410"/>
      <c r="H4" s="409">
        <f t="shared" ref="H4:H9" si="0">F4*(1-G4)</f>
        <v>98.59</v>
      </c>
      <c r="I4" s="409">
        <f t="shared" ref="I4:I9" si="1">A4*H4</f>
        <v>8281.56</v>
      </c>
      <c r="J4" s="417">
        <f>F4/I1</f>
        <v>0.27386111111111111</v>
      </c>
      <c r="K4" s="403"/>
      <c r="L4" s="404"/>
      <c r="M4" s="437">
        <f t="shared" ref="M4:M5" si="2">I4</f>
        <v>8281.56</v>
      </c>
      <c r="N4" s="437"/>
      <c r="O4" s="437"/>
      <c r="P4" s="437"/>
      <c r="Q4" s="437"/>
      <c r="R4" s="418"/>
      <c r="S4" s="437"/>
    </row>
    <row r="5" spans="1:19" ht="22.25">
      <c r="A5" s="413">
        <f>A4</f>
        <v>84</v>
      </c>
      <c r="B5" s="407"/>
      <c r="C5" s="420" t="s">
        <v>534</v>
      </c>
      <c r="D5" s="413"/>
      <c r="E5" s="420" t="s">
        <v>1475</v>
      </c>
      <c r="F5" s="421">
        <f>2265/A5</f>
        <v>26.964285714285715</v>
      </c>
      <c r="G5" s="410"/>
      <c r="H5" s="409">
        <f t="shared" si="0"/>
        <v>26.964285714285715</v>
      </c>
      <c r="I5" s="409">
        <f t="shared" si="1"/>
        <v>2265</v>
      </c>
      <c r="J5" s="204"/>
      <c r="M5" s="418">
        <f t="shared" si="2"/>
        <v>2265</v>
      </c>
      <c r="N5" s="437"/>
      <c r="O5" s="437"/>
      <c r="P5" s="437"/>
      <c r="Q5" s="437"/>
      <c r="R5" s="418"/>
      <c r="S5" s="437"/>
    </row>
    <row r="6" spans="1:19" ht="22.25">
      <c r="A6" s="413">
        <v>1</v>
      </c>
      <c r="B6" s="413" t="s">
        <v>522</v>
      </c>
      <c r="C6" s="420" t="s">
        <v>1074</v>
      </c>
      <c r="D6" s="413"/>
      <c r="E6" s="420" t="s">
        <v>1077</v>
      </c>
      <c r="F6" s="421">
        <v>440</v>
      </c>
      <c r="G6" s="422"/>
      <c r="H6" s="421">
        <f t="shared" si="0"/>
        <v>440</v>
      </c>
      <c r="I6" s="421">
        <f t="shared" si="1"/>
        <v>440</v>
      </c>
      <c r="J6" s="204"/>
      <c r="M6" s="437"/>
      <c r="N6" s="437"/>
      <c r="O6" s="437"/>
      <c r="P6" s="437"/>
      <c r="Q6" s="437"/>
      <c r="R6" s="418">
        <f t="shared" ref="R6:R8" si="3">I6</f>
        <v>440</v>
      </c>
      <c r="S6" s="437"/>
    </row>
    <row r="7" spans="1:19" ht="44.55">
      <c r="A7" s="413">
        <v>1</v>
      </c>
      <c r="B7" s="413" t="s">
        <v>505</v>
      </c>
      <c r="C7" s="420" t="s">
        <v>531</v>
      </c>
      <c r="D7" s="413"/>
      <c r="E7" s="420" t="s">
        <v>1476</v>
      </c>
      <c r="F7" s="421">
        <v>450</v>
      </c>
      <c r="G7" s="422"/>
      <c r="H7" s="421">
        <f t="shared" si="0"/>
        <v>450</v>
      </c>
      <c r="I7" s="409">
        <f t="shared" si="1"/>
        <v>450</v>
      </c>
      <c r="J7" s="204"/>
      <c r="M7" s="437"/>
      <c r="N7" s="437"/>
      <c r="O7" s="437"/>
      <c r="P7" s="437"/>
      <c r="Q7" s="437"/>
      <c r="R7" s="418">
        <f t="shared" si="3"/>
        <v>450</v>
      </c>
      <c r="S7" s="437"/>
    </row>
    <row r="8" spans="1:19" ht="22.25">
      <c r="A8" s="407">
        <v>1</v>
      </c>
      <c r="B8" s="407" t="s">
        <v>530</v>
      </c>
      <c r="C8" s="408" t="s">
        <v>531</v>
      </c>
      <c r="D8" s="407"/>
      <c r="E8" s="407" t="s">
        <v>532</v>
      </c>
      <c r="F8" s="409">
        <v>500</v>
      </c>
      <c r="G8" s="410"/>
      <c r="H8" s="409">
        <f t="shared" si="0"/>
        <v>500</v>
      </c>
      <c r="I8" s="409">
        <f t="shared" si="1"/>
        <v>500</v>
      </c>
      <c r="J8" s="204"/>
      <c r="M8" s="437"/>
      <c r="N8" s="437"/>
      <c r="O8" s="437"/>
      <c r="P8" s="437"/>
      <c r="Q8" s="437"/>
      <c r="R8" s="418">
        <f t="shared" si="3"/>
        <v>500</v>
      </c>
      <c r="S8" s="437"/>
    </row>
    <row r="9" spans="1:19" ht="44.55">
      <c r="A9" s="413">
        <v>0</v>
      </c>
      <c r="B9" s="413" t="s">
        <v>505</v>
      </c>
      <c r="C9" s="420" t="s">
        <v>534</v>
      </c>
      <c r="D9" s="413"/>
      <c r="E9" s="420" t="s">
        <v>535</v>
      </c>
      <c r="F9" s="421">
        <v>3.71</v>
      </c>
      <c r="G9" s="410"/>
      <c r="H9" s="409">
        <f t="shared" si="0"/>
        <v>3.71</v>
      </c>
      <c r="I9" s="409">
        <f t="shared" si="1"/>
        <v>0</v>
      </c>
      <c r="J9" s="204" t="s">
        <v>1477</v>
      </c>
      <c r="M9" s="437"/>
      <c r="N9" s="437"/>
      <c r="O9" s="418">
        <f>I9</f>
        <v>0</v>
      </c>
      <c r="P9" s="437"/>
      <c r="Q9" s="437"/>
      <c r="R9" s="418"/>
      <c r="S9" s="437"/>
    </row>
    <row r="10" spans="1:19" ht="22.25">
      <c r="A10" s="413">
        <v>0</v>
      </c>
      <c r="B10" s="413" t="s">
        <v>505</v>
      </c>
      <c r="C10" s="420" t="s">
        <v>534</v>
      </c>
      <c r="D10" s="413"/>
      <c r="E10" s="420" t="s">
        <v>537</v>
      </c>
      <c r="F10" s="421">
        <v>3.81</v>
      </c>
      <c r="G10" s="410"/>
      <c r="H10" s="409">
        <f t="shared" ref="H10:H58" si="4">F10*(1-G10)</f>
        <v>3.81</v>
      </c>
      <c r="I10" s="409">
        <f t="shared" ref="I10:I28" si="5">A10*H10</f>
        <v>0</v>
      </c>
      <c r="J10" s="204" t="s">
        <v>538</v>
      </c>
      <c r="M10" s="437"/>
      <c r="N10" s="437"/>
      <c r="O10" s="418">
        <f t="shared" ref="O10:O23" si="6">I10</f>
        <v>0</v>
      </c>
      <c r="P10" s="437"/>
      <c r="Q10" s="437"/>
      <c r="R10" s="418"/>
      <c r="S10" s="437"/>
    </row>
    <row r="11" spans="1:19" ht="55.65">
      <c r="A11" s="413">
        <f>4*(4+8+6)</f>
        <v>72</v>
      </c>
      <c r="B11" s="413" t="s">
        <v>539</v>
      </c>
      <c r="C11" s="420" t="s">
        <v>987</v>
      </c>
      <c r="D11" s="413" t="s">
        <v>541</v>
      </c>
      <c r="E11" s="420" t="s">
        <v>542</v>
      </c>
      <c r="F11" s="421">
        <f t="shared" ref="F11:F12" si="7">328.33/500</f>
        <v>0.65666000000000002</v>
      </c>
      <c r="G11" s="422"/>
      <c r="H11" s="421">
        <f t="shared" si="4"/>
        <v>0.65666000000000002</v>
      </c>
      <c r="I11" s="421">
        <f t="shared" si="5"/>
        <v>47.279520000000005</v>
      </c>
      <c r="J11" s="204"/>
      <c r="M11" s="437"/>
      <c r="N11" s="437"/>
      <c r="O11" s="418">
        <f t="shared" si="6"/>
        <v>47.279520000000005</v>
      </c>
      <c r="P11" s="418"/>
      <c r="Q11" s="418"/>
      <c r="R11" s="437"/>
      <c r="S11" s="437"/>
    </row>
    <row r="12" spans="1:19" ht="55.65">
      <c r="A12" s="413">
        <f>4*(A11+25)</f>
        <v>388</v>
      </c>
      <c r="B12" s="413" t="s">
        <v>539</v>
      </c>
      <c r="C12" s="420" t="s">
        <v>987</v>
      </c>
      <c r="D12" s="413" t="s">
        <v>543</v>
      </c>
      <c r="E12" s="420" t="s">
        <v>544</v>
      </c>
      <c r="F12" s="421">
        <f t="shared" si="7"/>
        <v>0.65666000000000002</v>
      </c>
      <c r="G12" s="422"/>
      <c r="H12" s="421">
        <f t="shared" si="4"/>
        <v>0.65666000000000002</v>
      </c>
      <c r="I12" s="421">
        <f t="shared" si="5"/>
        <v>254.78408000000002</v>
      </c>
      <c r="J12" s="204"/>
      <c r="M12" s="437"/>
      <c r="N12" s="437"/>
      <c r="O12" s="418">
        <f t="shared" si="6"/>
        <v>254.78408000000002</v>
      </c>
      <c r="P12" s="418"/>
      <c r="Q12" s="418"/>
      <c r="R12" s="437"/>
      <c r="S12" s="437"/>
    </row>
    <row r="13" spans="1:19" ht="22.25">
      <c r="A13" s="413">
        <v>12</v>
      </c>
      <c r="B13" s="413" t="s">
        <v>522</v>
      </c>
      <c r="C13" s="420" t="s">
        <v>1074</v>
      </c>
      <c r="D13" s="413"/>
      <c r="E13" s="420" t="s">
        <v>1079</v>
      </c>
      <c r="F13" s="421">
        <v>1.3</v>
      </c>
      <c r="G13" s="422"/>
      <c r="H13" s="421">
        <f t="shared" si="4"/>
        <v>1.3</v>
      </c>
      <c r="I13" s="421">
        <f t="shared" si="5"/>
        <v>15.600000000000001</v>
      </c>
      <c r="J13" s="204"/>
      <c r="M13" s="437"/>
      <c r="N13" s="437"/>
      <c r="O13" s="418">
        <f t="shared" si="6"/>
        <v>15.600000000000001</v>
      </c>
      <c r="P13" s="437"/>
      <c r="Q13" s="437"/>
      <c r="R13" s="418"/>
      <c r="S13" s="437"/>
    </row>
    <row r="14" spans="1:19" ht="22.25">
      <c r="A14" s="413">
        <f>A13</f>
        <v>12</v>
      </c>
      <c r="B14" s="413" t="s">
        <v>522</v>
      </c>
      <c r="C14" s="420" t="s">
        <v>1074</v>
      </c>
      <c r="D14" s="413"/>
      <c r="E14" s="420" t="s">
        <v>1080</v>
      </c>
      <c r="F14" s="421">
        <v>0.98</v>
      </c>
      <c r="G14" s="422"/>
      <c r="H14" s="421">
        <f t="shared" si="4"/>
        <v>0.98</v>
      </c>
      <c r="I14" s="421">
        <f t="shared" si="5"/>
        <v>11.76</v>
      </c>
      <c r="J14" s="204"/>
      <c r="M14" s="437"/>
      <c r="N14" s="437"/>
      <c r="O14" s="418">
        <f t="shared" si="6"/>
        <v>11.76</v>
      </c>
      <c r="P14" s="437"/>
      <c r="Q14" s="437"/>
      <c r="R14" s="418"/>
      <c r="S14" s="437"/>
    </row>
    <row r="15" spans="1:19" ht="33.4">
      <c r="A15" s="413">
        <v>1</v>
      </c>
      <c r="B15" s="413" t="s">
        <v>505</v>
      </c>
      <c r="C15" s="420" t="s">
        <v>1113</v>
      </c>
      <c r="D15" s="413"/>
      <c r="E15" s="420" t="s">
        <v>1114</v>
      </c>
      <c r="F15" s="421">
        <v>2410.8333333333298</v>
      </c>
      <c r="G15" s="426"/>
      <c r="H15" s="425">
        <f t="shared" si="4"/>
        <v>2410.8333333333298</v>
      </c>
      <c r="I15" s="421">
        <f t="shared" si="5"/>
        <v>2410.8333333333298</v>
      </c>
      <c r="J15" s="204" t="s">
        <v>1478</v>
      </c>
      <c r="M15" s="437"/>
      <c r="N15" s="418">
        <f t="shared" ref="N15:N17" si="8">I15</f>
        <v>2410.8333333333298</v>
      </c>
      <c r="O15" s="437"/>
      <c r="P15" s="437"/>
      <c r="Q15" s="437"/>
      <c r="R15" s="437"/>
      <c r="S15" s="437"/>
    </row>
    <row r="16" spans="1:19" ht="22.25">
      <c r="A16" s="413">
        <v>0</v>
      </c>
      <c r="B16" s="413" t="s">
        <v>505</v>
      </c>
      <c r="C16" s="420" t="s">
        <v>534</v>
      </c>
      <c r="D16" s="413"/>
      <c r="E16" s="420" t="s">
        <v>1081</v>
      </c>
      <c r="F16" s="421">
        <v>43.2</v>
      </c>
      <c r="G16" s="410"/>
      <c r="H16" s="409">
        <f t="shared" si="4"/>
        <v>43.2</v>
      </c>
      <c r="I16" s="409">
        <f t="shared" si="5"/>
        <v>0</v>
      </c>
      <c r="J16" s="204"/>
      <c r="M16" s="437"/>
      <c r="N16" s="418">
        <f t="shared" si="8"/>
        <v>0</v>
      </c>
      <c r="O16" s="437"/>
      <c r="P16" s="437"/>
      <c r="Q16" s="437"/>
      <c r="R16" s="437"/>
      <c r="S16" s="437"/>
    </row>
    <row r="17" spans="1:19">
      <c r="A17" s="407"/>
      <c r="B17" s="407"/>
      <c r="C17" s="408"/>
      <c r="D17" s="407"/>
      <c r="E17" s="408"/>
      <c r="F17" s="409"/>
      <c r="G17" s="410"/>
      <c r="H17" s="409">
        <f t="shared" si="4"/>
        <v>0</v>
      </c>
      <c r="I17" s="409">
        <f t="shared" si="5"/>
        <v>0</v>
      </c>
      <c r="J17" s="204"/>
      <c r="M17" s="437"/>
      <c r="N17" s="418">
        <f t="shared" si="8"/>
        <v>0</v>
      </c>
      <c r="O17" s="437"/>
      <c r="P17" s="437"/>
      <c r="Q17" s="437"/>
      <c r="R17" s="437"/>
      <c r="S17" s="437"/>
    </row>
    <row r="18" spans="1:19" ht="55.65">
      <c r="A18" s="413">
        <v>0</v>
      </c>
      <c r="B18" s="413" t="s">
        <v>522</v>
      </c>
      <c r="C18" s="420" t="s">
        <v>987</v>
      </c>
      <c r="D18" s="413" t="s">
        <v>761</v>
      </c>
      <c r="E18" s="420" t="s">
        <v>762</v>
      </c>
      <c r="F18" s="421">
        <v>2.5</v>
      </c>
      <c r="G18" s="422"/>
      <c r="H18" s="421">
        <f t="shared" si="4"/>
        <v>2.5</v>
      </c>
      <c r="I18" s="421">
        <f t="shared" si="5"/>
        <v>0</v>
      </c>
      <c r="J18" s="204"/>
      <c r="M18" s="437"/>
      <c r="N18" s="437"/>
      <c r="O18" s="437"/>
      <c r="P18" s="437"/>
      <c r="Q18" s="437"/>
      <c r="R18" s="418">
        <f t="shared" ref="R18:R20" si="9">I18</f>
        <v>0</v>
      </c>
      <c r="S18" s="437"/>
    </row>
    <row r="19" spans="1:19" ht="33.4">
      <c r="A19" s="413">
        <v>0</v>
      </c>
      <c r="B19" s="413" t="s">
        <v>522</v>
      </c>
      <c r="C19" s="420" t="s">
        <v>1479</v>
      </c>
      <c r="D19" s="413"/>
      <c r="E19" s="420" t="s">
        <v>803</v>
      </c>
      <c r="F19" s="421">
        <v>564.44000000000005</v>
      </c>
      <c r="G19" s="422"/>
      <c r="H19" s="421">
        <f t="shared" si="4"/>
        <v>564.44000000000005</v>
      </c>
      <c r="I19" s="421">
        <f t="shared" si="5"/>
        <v>0</v>
      </c>
      <c r="J19" s="1054"/>
      <c r="K19" s="1054"/>
      <c r="L19" s="1054"/>
      <c r="M19" s="437"/>
      <c r="N19" s="437"/>
      <c r="O19" s="437"/>
      <c r="P19" s="437"/>
      <c r="Q19" s="437"/>
      <c r="R19" s="418">
        <f t="shared" si="9"/>
        <v>0</v>
      </c>
      <c r="S19" s="437"/>
    </row>
    <row r="20" spans="1:19">
      <c r="A20" s="407"/>
      <c r="B20" s="407"/>
      <c r="C20" s="408"/>
      <c r="D20" s="407"/>
      <c r="E20" s="408"/>
      <c r="F20" s="409"/>
      <c r="G20" s="410"/>
      <c r="H20" s="409">
        <f t="shared" si="4"/>
        <v>0</v>
      </c>
      <c r="I20" s="409">
        <f t="shared" si="5"/>
        <v>0</v>
      </c>
      <c r="J20" s="204"/>
      <c r="M20" s="437"/>
      <c r="N20" s="437"/>
      <c r="O20" s="437"/>
      <c r="P20" s="437"/>
      <c r="Q20" s="437"/>
      <c r="R20" s="418">
        <f t="shared" si="9"/>
        <v>0</v>
      </c>
      <c r="S20" s="437"/>
    </row>
    <row r="21" spans="1:19" ht="22.25">
      <c r="A21" s="413">
        <v>1</v>
      </c>
      <c r="B21" s="413" t="s">
        <v>522</v>
      </c>
      <c r="C21" s="420"/>
      <c r="D21" s="413"/>
      <c r="E21" s="420" t="s">
        <v>695</v>
      </c>
      <c r="F21" s="421">
        <v>100</v>
      </c>
      <c r="G21" s="410"/>
      <c r="H21" s="409">
        <f t="shared" si="4"/>
        <v>100</v>
      </c>
      <c r="I21" s="409">
        <f t="shared" si="5"/>
        <v>100</v>
      </c>
      <c r="J21" s="204" t="s">
        <v>696</v>
      </c>
      <c r="M21" s="437"/>
      <c r="N21" s="437"/>
      <c r="O21" s="418">
        <f t="shared" si="6"/>
        <v>100</v>
      </c>
      <c r="P21" s="437"/>
      <c r="Q21" s="437"/>
      <c r="R21" s="418"/>
      <c r="S21" s="437"/>
    </row>
    <row r="22" spans="1:19" ht="22.25">
      <c r="A22" s="413">
        <v>1</v>
      </c>
      <c r="B22" s="413" t="s">
        <v>505</v>
      </c>
      <c r="C22" s="420" t="s">
        <v>534</v>
      </c>
      <c r="D22" s="413"/>
      <c r="E22" s="420" t="s">
        <v>567</v>
      </c>
      <c r="F22" s="421">
        <v>375</v>
      </c>
      <c r="G22" s="410"/>
      <c r="H22" s="409">
        <f t="shared" si="4"/>
        <v>375</v>
      </c>
      <c r="I22" s="409">
        <f t="shared" si="5"/>
        <v>375</v>
      </c>
      <c r="J22" s="204"/>
      <c r="M22" s="418">
        <f>F22</f>
        <v>375</v>
      </c>
      <c r="N22" s="437"/>
      <c r="O22" s="437"/>
      <c r="P22" s="437"/>
      <c r="Q22" s="437"/>
      <c r="R22" s="437"/>
      <c r="S22" s="437"/>
    </row>
    <row r="23" spans="1:19" ht="22.25">
      <c r="A23" s="413">
        <f>20+2+2+4</f>
        <v>28</v>
      </c>
      <c r="B23" s="407" t="s">
        <v>539</v>
      </c>
      <c r="C23" s="420" t="s">
        <v>690</v>
      </c>
      <c r="D23" s="413"/>
      <c r="E23" s="413" t="s">
        <v>835</v>
      </c>
      <c r="F23" s="421">
        <v>9.32</v>
      </c>
      <c r="G23" s="410"/>
      <c r="H23" s="409">
        <f t="shared" si="4"/>
        <v>9.32</v>
      </c>
      <c r="I23" s="409">
        <f t="shared" si="5"/>
        <v>260.96000000000004</v>
      </c>
      <c r="J23" s="204"/>
      <c r="M23" s="418"/>
      <c r="N23" s="437"/>
      <c r="O23" s="418">
        <f t="shared" si="6"/>
        <v>260.96000000000004</v>
      </c>
      <c r="P23" s="437"/>
      <c r="Q23" s="437"/>
      <c r="R23" s="437"/>
      <c r="S23" s="437"/>
    </row>
    <row r="24" spans="1:19" ht="44.55">
      <c r="A24" s="413">
        <v>1</v>
      </c>
      <c r="B24" s="413" t="s">
        <v>517</v>
      </c>
      <c r="C24" s="420" t="s">
        <v>569</v>
      </c>
      <c r="D24" s="413" t="s">
        <v>570</v>
      </c>
      <c r="E24" s="420" t="s">
        <v>571</v>
      </c>
      <c r="F24" s="421">
        <v>1040</v>
      </c>
      <c r="G24" s="429">
        <v>0.48</v>
      </c>
      <c r="H24" s="430">
        <f t="shared" si="4"/>
        <v>540.80000000000007</v>
      </c>
      <c r="I24" s="409">
        <f t="shared" si="5"/>
        <v>540.80000000000007</v>
      </c>
      <c r="J24" s="204"/>
      <c r="M24" s="418"/>
      <c r="N24" s="437"/>
      <c r="O24" s="437"/>
      <c r="P24" s="437"/>
      <c r="Q24" s="437"/>
      <c r="R24" s="437"/>
      <c r="S24" s="437">
        <f t="shared" ref="S24:S28" si="10">I24</f>
        <v>540.80000000000007</v>
      </c>
    </row>
    <row r="25" spans="1:19" ht="44.55">
      <c r="A25" s="407">
        <v>0</v>
      </c>
      <c r="B25" s="407" t="s">
        <v>517</v>
      </c>
      <c r="C25" s="492" t="s">
        <v>569</v>
      </c>
      <c r="D25" s="487" t="s">
        <v>572</v>
      </c>
      <c r="E25" s="492" t="s">
        <v>573</v>
      </c>
      <c r="F25" s="430">
        <v>1190</v>
      </c>
      <c r="G25" s="429">
        <v>0.48</v>
      </c>
      <c r="H25" s="430">
        <f t="shared" si="4"/>
        <v>618.80000000000007</v>
      </c>
      <c r="I25" s="409">
        <f t="shared" si="5"/>
        <v>0</v>
      </c>
      <c r="J25" s="204"/>
      <c r="M25" s="418"/>
      <c r="N25" s="437"/>
      <c r="O25" s="437"/>
      <c r="P25" s="437"/>
      <c r="Q25" s="437"/>
      <c r="R25" s="437"/>
      <c r="S25" s="437">
        <f t="shared" si="10"/>
        <v>0</v>
      </c>
    </row>
    <row r="26" spans="1:19">
      <c r="A26" s="407">
        <v>0</v>
      </c>
      <c r="B26" s="407" t="s">
        <v>517</v>
      </c>
      <c r="C26" s="408" t="s">
        <v>574</v>
      </c>
      <c r="D26" s="407" t="s">
        <v>575</v>
      </c>
      <c r="E26" s="407" t="s">
        <v>576</v>
      </c>
      <c r="F26" s="409">
        <v>36.700000000000003</v>
      </c>
      <c r="G26" s="410"/>
      <c r="H26" s="409">
        <f t="shared" si="4"/>
        <v>36.700000000000003</v>
      </c>
      <c r="I26" s="409">
        <f t="shared" si="5"/>
        <v>0</v>
      </c>
      <c r="J26" s="204"/>
      <c r="M26" s="418"/>
      <c r="N26" s="437"/>
      <c r="O26" s="437"/>
      <c r="P26" s="437"/>
      <c r="Q26" s="437"/>
      <c r="R26" s="437"/>
      <c r="S26" s="437">
        <f t="shared" si="10"/>
        <v>0</v>
      </c>
    </row>
    <row r="27" spans="1:19">
      <c r="A27" s="413">
        <v>5</v>
      </c>
      <c r="B27" s="413" t="s">
        <v>517</v>
      </c>
      <c r="C27" s="420" t="s">
        <v>574</v>
      </c>
      <c r="D27" s="413" t="s">
        <v>577</v>
      </c>
      <c r="E27" s="413" t="s">
        <v>578</v>
      </c>
      <c r="F27" s="421">
        <v>75</v>
      </c>
      <c r="G27" s="410"/>
      <c r="H27" s="409">
        <f t="shared" si="4"/>
        <v>75</v>
      </c>
      <c r="I27" s="409">
        <f t="shared" si="5"/>
        <v>375</v>
      </c>
      <c r="J27" s="204"/>
      <c r="M27" s="418"/>
      <c r="N27" s="437"/>
      <c r="O27" s="437"/>
      <c r="P27" s="437"/>
      <c r="Q27" s="437"/>
      <c r="R27" s="437"/>
      <c r="S27" s="437">
        <f t="shared" si="10"/>
        <v>375</v>
      </c>
    </row>
    <row r="28" spans="1:19">
      <c r="A28" s="413">
        <v>1</v>
      </c>
      <c r="B28" s="413" t="s">
        <v>517</v>
      </c>
      <c r="C28" s="420" t="s">
        <v>574</v>
      </c>
      <c r="D28" s="413"/>
      <c r="E28" s="413" t="s">
        <v>579</v>
      </c>
      <c r="F28" s="421">
        <f>35/4</f>
        <v>8.75</v>
      </c>
      <c r="G28" s="410"/>
      <c r="H28" s="409">
        <f t="shared" si="4"/>
        <v>8.75</v>
      </c>
      <c r="I28" s="409">
        <f t="shared" si="5"/>
        <v>8.75</v>
      </c>
      <c r="J28" s="204"/>
      <c r="M28" s="418"/>
      <c r="N28" s="437"/>
      <c r="O28" s="437"/>
      <c r="P28" s="437"/>
      <c r="Q28" s="437"/>
      <c r="R28" s="437"/>
      <c r="S28" s="437">
        <f t="shared" si="10"/>
        <v>8.75</v>
      </c>
    </row>
    <row r="29" spans="1:19" ht="12.45">
      <c r="A29" s="407"/>
      <c r="B29" s="407"/>
      <c r="C29" s="408"/>
      <c r="D29" s="407"/>
      <c r="E29" s="431"/>
      <c r="F29" s="409"/>
      <c r="G29" s="410"/>
      <c r="H29" s="409"/>
      <c r="I29" s="409"/>
      <c r="J29" s="204"/>
      <c r="M29" s="418"/>
      <c r="N29" s="437"/>
      <c r="O29" s="437"/>
      <c r="P29" s="437"/>
      <c r="Q29" s="437"/>
      <c r="R29" s="437"/>
      <c r="S29" s="437"/>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432" t="s">
        <v>580</v>
      </c>
      <c r="F31" s="409"/>
      <c r="G31" s="410"/>
      <c r="H31" s="409"/>
      <c r="I31" s="421">
        <f>SUM(I4:I29)</f>
        <v>16337.32693333333</v>
      </c>
      <c r="J31" s="204"/>
      <c r="M31" s="418">
        <f>SUM(M4:M29)</f>
        <v>10921.56</v>
      </c>
      <c r="N31" s="418">
        <f>SUM(N4:N29)</f>
        <v>2410.8333333333298</v>
      </c>
      <c r="O31" s="418">
        <f>SUM(O4:O29)</f>
        <v>690.38360000000011</v>
      </c>
      <c r="P31" s="418"/>
      <c r="Q31" s="418"/>
      <c r="R31" s="418">
        <f>SUM(R4:R29)</f>
        <v>1390</v>
      </c>
      <c r="S31" s="418">
        <f>SUM(S4:S29)</f>
        <v>924.55000000000007</v>
      </c>
    </row>
    <row r="32" spans="1:19">
      <c r="A32" s="407"/>
      <c r="B32" s="407"/>
      <c r="C32" s="408"/>
      <c r="D32" s="407"/>
      <c r="E32" s="413" t="s">
        <v>581</v>
      </c>
      <c r="F32" s="409"/>
      <c r="G32" s="410">
        <v>0.25</v>
      </c>
      <c r="H32" s="409"/>
      <c r="I32" s="421"/>
      <c r="J32" s="204"/>
      <c r="M32" s="418"/>
      <c r="N32" s="418"/>
      <c r="O32" s="418"/>
      <c r="P32" s="418"/>
      <c r="Q32" s="418"/>
      <c r="R32" s="418"/>
      <c r="S32" s="418"/>
    </row>
    <row r="33" spans="1:19" ht="15.75">
      <c r="E33" s="433" t="s">
        <v>582</v>
      </c>
      <c r="F33" s="418"/>
      <c r="G33" s="434"/>
      <c r="H33" s="418"/>
      <c r="I33" s="435">
        <f>I31*(1+$G$32)</f>
        <v>20421.658666666663</v>
      </c>
      <c r="J33" s="436"/>
      <c r="K33" s="437"/>
      <c r="L33" s="437"/>
      <c r="M33" s="165">
        <f>M31*(1+$G$32)</f>
        <v>13651.949999999999</v>
      </c>
      <c r="N33" s="165">
        <f>N31*(1+$G$32)</f>
        <v>3013.5416666666624</v>
      </c>
      <c r="O33" s="165">
        <f>O31*(1+$G$32)</f>
        <v>862.97950000000014</v>
      </c>
      <c r="P33" s="165">
        <f>P61</f>
        <v>6600</v>
      </c>
      <c r="Q33" s="165">
        <f>Q126</f>
        <v>1270.8399999999999</v>
      </c>
      <c r="R33" s="165">
        <f>R31*(1+$G$32)</f>
        <v>1737.5</v>
      </c>
      <c r="S33" s="165">
        <f>S31*(1+$G$32)</f>
        <v>1155.6875</v>
      </c>
    </row>
    <row r="36" spans="1:19">
      <c r="E36" s="439" t="s">
        <v>585</v>
      </c>
    </row>
    <row r="37" spans="1:19">
      <c r="A37" s="441">
        <v>8</v>
      </c>
      <c r="B37" s="17" t="s">
        <v>619</v>
      </c>
      <c r="E37" s="17" t="s">
        <v>586</v>
      </c>
      <c r="F37" s="403">
        <f t="shared" ref="F37:F52" si="11">F$56</f>
        <v>55</v>
      </c>
      <c r="H37" s="403">
        <f t="shared" si="4"/>
        <v>55</v>
      </c>
      <c r="I37" s="403">
        <f t="shared" ref="I37:I58" si="12">A37*H37</f>
        <v>440</v>
      </c>
    </row>
    <row r="38" spans="1:19">
      <c r="A38" s="441">
        <f>A5/120*8*2</f>
        <v>11.2</v>
      </c>
      <c r="B38" s="17" t="s">
        <v>619</v>
      </c>
      <c r="E38" s="17" t="s">
        <v>589</v>
      </c>
      <c r="F38" s="403">
        <f t="shared" si="11"/>
        <v>55</v>
      </c>
      <c r="H38" s="403">
        <f t="shared" si="4"/>
        <v>55</v>
      </c>
      <c r="I38" s="403">
        <f t="shared" si="12"/>
        <v>616</v>
      </c>
      <c r="J38" s="17" t="s">
        <v>592</v>
      </c>
    </row>
    <row r="39" spans="1:19">
      <c r="A39" s="441">
        <v>4</v>
      </c>
      <c r="B39" s="17" t="s">
        <v>619</v>
      </c>
      <c r="E39" s="17" t="s">
        <v>1426</v>
      </c>
      <c r="F39" s="403">
        <f t="shared" si="11"/>
        <v>55</v>
      </c>
      <c r="H39" s="403">
        <f t="shared" si="4"/>
        <v>55</v>
      </c>
      <c r="I39" s="403">
        <f t="shared" si="12"/>
        <v>220</v>
      </c>
    </row>
    <row r="40" spans="1:19">
      <c r="A40" s="441">
        <f>1.37*A4-SUM(A37:A39)-SUM(A41:A52)</f>
        <v>47.88000000000001</v>
      </c>
      <c r="B40" s="17" t="s">
        <v>619</v>
      </c>
      <c r="E40" s="17" t="s">
        <v>591</v>
      </c>
      <c r="F40" s="403">
        <f t="shared" si="11"/>
        <v>55</v>
      </c>
      <c r="H40" s="403">
        <f t="shared" si="4"/>
        <v>55</v>
      </c>
      <c r="I40" s="403">
        <f t="shared" si="12"/>
        <v>2633.4000000000005</v>
      </c>
      <c r="J40" s="17" t="s">
        <v>1480</v>
      </c>
    </row>
    <row r="41" spans="1:19">
      <c r="A41" s="441">
        <v>4</v>
      </c>
      <c r="B41" s="17" t="s">
        <v>619</v>
      </c>
      <c r="E41" s="17" t="s">
        <v>1428</v>
      </c>
      <c r="F41" s="403">
        <f t="shared" si="11"/>
        <v>55</v>
      </c>
      <c r="H41" s="403">
        <f t="shared" si="4"/>
        <v>55</v>
      </c>
      <c r="I41" s="403">
        <f t="shared" si="12"/>
        <v>220</v>
      </c>
    </row>
    <row r="42" spans="1:19">
      <c r="A42" s="441">
        <v>4</v>
      </c>
      <c r="B42" s="17" t="s">
        <v>619</v>
      </c>
      <c r="E42" s="17" t="s">
        <v>1429</v>
      </c>
      <c r="F42" s="403">
        <f t="shared" si="11"/>
        <v>55</v>
      </c>
      <c r="H42" s="403">
        <f t="shared" si="4"/>
        <v>55</v>
      </c>
      <c r="I42" s="403">
        <f t="shared" si="12"/>
        <v>220</v>
      </c>
    </row>
    <row r="43" spans="1:19">
      <c r="A43" s="441">
        <v>2</v>
      </c>
      <c r="B43" s="17" t="s">
        <v>619</v>
      </c>
      <c r="E43" s="17" t="s">
        <v>605</v>
      </c>
      <c r="F43" s="403">
        <f t="shared" si="11"/>
        <v>55</v>
      </c>
      <c r="H43" s="403">
        <f t="shared" si="4"/>
        <v>55</v>
      </c>
      <c r="I43" s="403">
        <f t="shared" si="12"/>
        <v>110</v>
      </c>
    </row>
    <row r="44" spans="1:19">
      <c r="A44" s="441">
        <v>2</v>
      </c>
      <c r="B44" s="17" t="s">
        <v>619</v>
      </c>
      <c r="E44" s="17" t="s">
        <v>607</v>
      </c>
      <c r="F44" s="403">
        <f t="shared" si="11"/>
        <v>55</v>
      </c>
      <c r="H44" s="403">
        <f t="shared" si="4"/>
        <v>55</v>
      </c>
      <c r="I44" s="403">
        <f t="shared" si="12"/>
        <v>110</v>
      </c>
    </row>
    <row r="45" spans="1:19">
      <c r="A45" s="441">
        <v>0.5</v>
      </c>
      <c r="B45" s="17" t="s">
        <v>619</v>
      </c>
      <c r="E45" s="17" t="s">
        <v>609</v>
      </c>
      <c r="F45" s="403">
        <f t="shared" si="11"/>
        <v>55</v>
      </c>
      <c r="H45" s="403">
        <f t="shared" si="4"/>
        <v>55</v>
      </c>
      <c r="I45" s="403">
        <f t="shared" si="12"/>
        <v>27.5</v>
      </c>
    </row>
    <row r="46" spans="1:19">
      <c r="A46" s="441">
        <v>8</v>
      </c>
      <c r="B46" s="17" t="s">
        <v>619</v>
      </c>
      <c r="E46" s="17" t="s">
        <v>610</v>
      </c>
      <c r="F46" s="403">
        <f t="shared" si="11"/>
        <v>55</v>
      </c>
      <c r="H46" s="403">
        <f t="shared" si="4"/>
        <v>55</v>
      </c>
      <c r="I46" s="403">
        <f t="shared" si="12"/>
        <v>440</v>
      </c>
    </row>
    <row r="47" spans="1:19">
      <c r="A47" s="441">
        <v>0.5</v>
      </c>
      <c r="B47" s="17" t="s">
        <v>619</v>
      </c>
      <c r="E47" s="17" t="s">
        <v>611</v>
      </c>
      <c r="F47" s="403">
        <f t="shared" si="11"/>
        <v>55</v>
      </c>
      <c r="H47" s="403">
        <f t="shared" si="4"/>
        <v>55</v>
      </c>
      <c r="I47" s="403">
        <f t="shared" si="12"/>
        <v>27.5</v>
      </c>
    </row>
    <row r="48" spans="1:19">
      <c r="A48" s="441">
        <v>1</v>
      </c>
      <c r="B48" s="17" t="s">
        <v>619</v>
      </c>
      <c r="E48" s="17" t="s">
        <v>1431</v>
      </c>
      <c r="F48" s="403">
        <f t="shared" si="11"/>
        <v>55</v>
      </c>
      <c r="H48" s="403">
        <f t="shared" si="4"/>
        <v>55</v>
      </c>
      <c r="I48" s="403">
        <f t="shared" si="12"/>
        <v>55</v>
      </c>
    </row>
    <row r="49" spans="1:16">
      <c r="A49" s="441">
        <f>3*2</f>
        <v>6</v>
      </c>
      <c r="B49" s="17" t="s">
        <v>619</v>
      </c>
      <c r="E49" s="17" t="s">
        <v>612</v>
      </c>
      <c r="F49" s="403">
        <f t="shared" si="11"/>
        <v>55</v>
      </c>
      <c r="H49" s="403">
        <f t="shared" si="4"/>
        <v>55</v>
      </c>
      <c r="I49" s="403">
        <f t="shared" si="12"/>
        <v>330</v>
      </c>
      <c r="J49" s="17" t="s">
        <v>613</v>
      </c>
    </row>
    <row r="50" spans="1:16">
      <c r="A50" s="441">
        <v>8</v>
      </c>
      <c r="B50" s="17" t="s">
        <v>619</v>
      </c>
      <c r="E50" s="17" t="s">
        <v>614</v>
      </c>
      <c r="F50" s="403">
        <f t="shared" si="11"/>
        <v>55</v>
      </c>
      <c r="H50" s="403">
        <f t="shared" si="4"/>
        <v>55</v>
      </c>
      <c r="I50" s="403">
        <f t="shared" si="12"/>
        <v>440</v>
      </c>
    </row>
    <row r="51" spans="1:16">
      <c r="A51" s="441">
        <v>4</v>
      </c>
      <c r="B51" s="17" t="s">
        <v>619</v>
      </c>
      <c r="E51" s="17" t="s">
        <v>615</v>
      </c>
      <c r="F51" s="403">
        <f t="shared" si="11"/>
        <v>55</v>
      </c>
      <c r="H51" s="403">
        <f t="shared" si="4"/>
        <v>55</v>
      </c>
      <c r="I51" s="403">
        <f t="shared" si="12"/>
        <v>220</v>
      </c>
    </row>
    <row r="52" spans="1:16">
      <c r="A52" s="441">
        <v>4</v>
      </c>
      <c r="B52" s="17" t="s">
        <v>619</v>
      </c>
      <c r="E52" s="17" t="s">
        <v>616</v>
      </c>
      <c r="F52" s="403">
        <f t="shared" si="11"/>
        <v>55</v>
      </c>
      <c r="H52" s="403">
        <f t="shared" si="4"/>
        <v>55</v>
      </c>
      <c r="I52" s="403">
        <f t="shared" si="12"/>
        <v>220</v>
      </c>
    </row>
    <row r="54" spans="1:16">
      <c r="A54" s="17">
        <f>SUM(A37:A53)</f>
        <v>115.08000000000001</v>
      </c>
      <c r="B54" s="17" t="s">
        <v>619</v>
      </c>
      <c r="E54" s="17" t="s">
        <v>620</v>
      </c>
    </row>
    <row r="55" spans="1:16">
      <c r="A55" s="441">
        <v>3</v>
      </c>
      <c r="B55" s="17" t="s">
        <v>517</v>
      </c>
      <c r="E55" s="17" t="s">
        <v>621</v>
      </c>
    </row>
    <row r="56" spans="1:16">
      <c r="A56" s="17">
        <v>1</v>
      </c>
      <c r="B56" s="17" t="s">
        <v>517</v>
      </c>
      <c r="E56" s="17" t="s">
        <v>622</v>
      </c>
      <c r="F56" s="445">
        <v>55</v>
      </c>
      <c r="H56" s="403">
        <f t="shared" si="4"/>
        <v>55</v>
      </c>
      <c r="I56" s="403">
        <f t="shared" si="12"/>
        <v>55</v>
      </c>
      <c r="J56" s="17" t="s">
        <v>623</v>
      </c>
    </row>
    <row r="57" spans="1:16">
      <c r="A57" s="17">
        <f>ROUNDUP(A54/8/A55,0)</f>
        <v>5</v>
      </c>
      <c r="B57" s="17" t="s">
        <v>624</v>
      </c>
      <c r="E57" s="17" t="s">
        <v>625</v>
      </c>
      <c r="F57" s="403">
        <f>A55*8*F56</f>
        <v>1320</v>
      </c>
      <c r="H57" s="403">
        <f t="shared" si="4"/>
        <v>1320</v>
      </c>
      <c r="I57" s="403">
        <f t="shared" si="12"/>
        <v>6600</v>
      </c>
    </row>
    <row r="58" spans="1:16">
      <c r="A58" s="441"/>
      <c r="B58" s="17" t="s">
        <v>517</v>
      </c>
      <c r="E58" s="17" t="s">
        <v>626</v>
      </c>
      <c r="F58" s="447"/>
      <c r="H58" s="403">
        <f t="shared" si="4"/>
        <v>0</v>
      </c>
      <c r="I58" s="403">
        <f t="shared" si="12"/>
        <v>0</v>
      </c>
    </row>
    <row r="59" spans="1:16">
      <c r="A59" s="441"/>
      <c r="F59" s="447"/>
      <c r="H59" s="403"/>
      <c r="I59" s="403"/>
    </row>
    <row r="60" spans="1:16">
      <c r="A60" s="441"/>
      <c r="F60" s="447"/>
      <c r="H60" s="403"/>
      <c r="I60" s="403"/>
    </row>
    <row r="61" spans="1:16" ht="15.75">
      <c r="E61" s="439" t="s">
        <v>628</v>
      </c>
      <c r="I61" s="443">
        <f>SUM(I57:I60)</f>
        <v>6600</v>
      </c>
      <c r="P61" s="165">
        <f>I61</f>
        <v>6600</v>
      </c>
    </row>
    <row r="75" spans="3:7" ht="55">
      <c r="C75" s="448" t="s">
        <v>629</v>
      </c>
      <c r="D75" s="448"/>
      <c r="E75" s="449" t="s">
        <v>630</v>
      </c>
    </row>
    <row r="76" spans="3:7">
      <c r="D76" s="448"/>
      <c r="E76" s="449" t="s">
        <v>631</v>
      </c>
    </row>
    <row r="77" spans="3:7">
      <c r="D77" s="17" t="s">
        <v>632</v>
      </c>
      <c r="E77" s="450" t="s">
        <v>633</v>
      </c>
      <c r="G77" s="451">
        <v>0.4</v>
      </c>
    </row>
    <row r="78" spans="3:7">
      <c r="D78" s="17" t="s">
        <v>517</v>
      </c>
      <c r="E78" s="450" t="s">
        <v>634</v>
      </c>
      <c r="G78" s="451">
        <f>G77</f>
        <v>0.4</v>
      </c>
    </row>
    <row r="79" spans="3:7">
      <c r="D79" s="448"/>
      <c r="E79" s="449"/>
    </row>
    <row r="80" spans="3:7">
      <c r="E80" s="449" t="s">
        <v>635</v>
      </c>
    </row>
    <row r="81" spans="1:11" ht="37.35">
      <c r="A81" s="452">
        <v>1</v>
      </c>
      <c r="B81" s="453" t="s">
        <v>517</v>
      </c>
      <c r="C81" s="454" t="s">
        <v>538</v>
      </c>
      <c r="D81" s="455" t="s">
        <v>636</v>
      </c>
      <c r="E81" s="453" t="s">
        <v>637</v>
      </c>
      <c r="F81" s="456">
        <v>1849</v>
      </c>
      <c r="G81" s="457"/>
      <c r="H81" s="458">
        <f>F81*(1-$G$78)</f>
        <v>1109.3999999999999</v>
      </c>
      <c r="I81" s="458">
        <f t="shared" ref="I81:I99" si="13">A81*H81</f>
        <v>1109.3999999999999</v>
      </c>
      <c r="J81" s="459" t="s">
        <v>638</v>
      </c>
      <c r="K81" s="460" t="s">
        <v>639</v>
      </c>
    </row>
    <row r="82" spans="1:11" ht="12.8" customHeight="1">
      <c r="A82" s="461">
        <v>0</v>
      </c>
      <c r="B82" s="453" t="s">
        <v>517</v>
      </c>
      <c r="C82" s="453" t="s">
        <v>538</v>
      </c>
      <c r="D82" s="462" t="s">
        <v>640</v>
      </c>
      <c r="E82" s="453" t="s">
        <v>641</v>
      </c>
      <c r="F82" s="463">
        <v>1949</v>
      </c>
      <c r="G82" s="457"/>
      <c r="H82" s="458">
        <f t="shared" ref="H82:H96" si="14">F82*(1-$G$77)</f>
        <v>1169.3999999999999</v>
      </c>
      <c r="I82" s="458">
        <f t="shared" si="13"/>
        <v>0</v>
      </c>
      <c r="J82" s="459" t="s">
        <v>638</v>
      </c>
      <c r="K82" s="1051" t="s">
        <v>642</v>
      </c>
    </row>
    <row r="83" spans="1:11" ht="24.9">
      <c r="A83" s="452">
        <v>0</v>
      </c>
      <c r="B83" s="453" t="s">
        <v>539</v>
      </c>
      <c r="C83" s="453" t="s">
        <v>538</v>
      </c>
      <c r="D83" s="462" t="s">
        <v>643</v>
      </c>
      <c r="E83" s="453" t="s">
        <v>641</v>
      </c>
      <c r="F83" s="463">
        <v>80</v>
      </c>
      <c r="G83" s="457"/>
      <c r="H83" s="458">
        <f t="shared" si="14"/>
        <v>48</v>
      </c>
      <c r="I83" s="458">
        <f t="shared" si="13"/>
        <v>0</v>
      </c>
      <c r="J83" s="459" t="s">
        <v>638</v>
      </c>
      <c r="K83" s="1051"/>
    </row>
    <row r="84" spans="1:11" ht="12.8" customHeight="1">
      <c r="A84" s="461">
        <v>0</v>
      </c>
      <c r="B84" s="453" t="s">
        <v>517</v>
      </c>
      <c r="C84" s="453" t="s">
        <v>538</v>
      </c>
      <c r="D84" s="464" t="s">
        <v>644</v>
      </c>
      <c r="E84" s="453" t="s">
        <v>645</v>
      </c>
      <c r="F84" s="463">
        <v>10051</v>
      </c>
      <c r="G84" s="457"/>
      <c r="H84" s="458">
        <f t="shared" si="14"/>
        <v>6030.5999999999995</v>
      </c>
      <c r="I84" s="458">
        <f t="shared" si="13"/>
        <v>0</v>
      </c>
      <c r="J84" s="459" t="s">
        <v>638</v>
      </c>
      <c r="K84" s="1052" t="s">
        <v>646</v>
      </c>
    </row>
    <row r="85" spans="1:11" ht="24.9">
      <c r="A85" s="461">
        <v>0</v>
      </c>
      <c r="B85" s="453" t="s">
        <v>517</v>
      </c>
      <c r="C85" s="453" t="s">
        <v>538</v>
      </c>
      <c r="D85" s="464" t="s">
        <v>644</v>
      </c>
      <c r="E85" s="453" t="s">
        <v>647</v>
      </c>
      <c r="F85" s="463">
        <v>17412</v>
      </c>
      <c r="G85" s="457"/>
      <c r="H85" s="458">
        <f t="shared" si="14"/>
        <v>10447.199999999999</v>
      </c>
      <c r="I85" s="458">
        <f t="shared" si="13"/>
        <v>0</v>
      </c>
      <c r="J85" s="459" t="s">
        <v>638</v>
      </c>
      <c r="K85" s="1052"/>
    </row>
    <row r="86" spans="1:11" ht="12.8" customHeight="1">
      <c r="A86" s="461">
        <v>0</v>
      </c>
      <c r="B86" s="453" t="s">
        <v>517</v>
      </c>
      <c r="C86" s="453" t="s">
        <v>538</v>
      </c>
      <c r="D86" s="465" t="s">
        <v>644</v>
      </c>
      <c r="E86" s="453" t="s">
        <v>648</v>
      </c>
      <c r="F86" s="466">
        <v>2345</v>
      </c>
      <c r="G86" s="457"/>
      <c r="H86" s="458">
        <f t="shared" si="14"/>
        <v>1407</v>
      </c>
      <c r="I86" s="458">
        <f t="shared" si="13"/>
        <v>0</v>
      </c>
      <c r="J86" s="453" t="s">
        <v>649</v>
      </c>
      <c r="K86" s="1049" t="s">
        <v>650</v>
      </c>
    </row>
    <row r="87" spans="1:11" ht="24.9">
      <c r="A87" s="461">
        <v>0</v>
      </c>
      <c r="B87" s="453" t="s">
        <v>517</v>
      </c>
      <c r="C87" s="453" t="s">
        <v>538</v>
      </c>
      <c r="D87" s="465" t="s">
        <v>644</v>
      </c>
      <c r="E87" s="453" t="s">
        <v>651</v>
      </c>
      <c r="F87" s="466">
        <v>3258</v>
      </c>
      <c r="G87" s="457"/>
      <c r="H87" s="458">
        <f t="shared" si="14"/>
        <v>1954.8</v>
      </c>
      <c r="I87" s="458">
        <f t="shared" si="13"/>
        <v>0</v>
      </c>
      <c r="J87" s="453" t="s">
        <v>649</v>
      </c>
      <c r="K87" s="1049"/>
    </row>
    <row r="88" spans="1:11" ht="24.9">
      <c r="A88" s="461">
        <v>0</v>
      </c>
      <c r="B88" s="453" t="s">
        <v>517</v>
      </c>
      <c r="C88" s="453" t="s">
        <v>538</v>
      </c>
      <c r="D88" s="465" t="s">
        <v>644</v>
      </c>
      <c r="E88" s="453" t="s">
        <v>652</v>
      </c>
      <c r="F88" s="463">
        <v>5649</v>
      </c>
      <c r="G88" s="457"/>
      <c r="H88" s="458">
        <f t="shared" si="14"/>
        <v>3389.4</v>
      </c>
      <c r="I88" s="458">
        <f t="shared" si="13"/>
        <v>0</v>
      </c>
      <c r="J88" s="453" t="s">
        <v>649</v>
      </c>
      <c r="K88" s="1049"/>
    </row>
    <row r="89" spans="1:11" ht="24.9">
      <c r="A89" s="461">
        <v>0</v>
      </c>
      <c r="B89" s="453" t="s">
        <v>517</v>
      </c>
      <c r="C89" s="453" t="s">
        <v>538</v>
      </c>
      <c r="D89" s="465" t="s">
        <v>644</v>
      </c>
      <c r="E89" s="453" t="s">
        <v>653</v>
      </c>
      <c r="F89" s="463">
        <v>1488</v>
      </c>
      <c r="G89" s="457"/>
      <c r="H89" s="458">
        <f t="shared" si="14"/>
        <v>892.8</v>
      </c>
      <c r="I89" s="458">
        <f t="shared" si="13"/>
        <v>0</v>
      </c>
      <c r="J89" s="453" t="s">
        <v>649</v>
      </c>
      <c r="K89" s="1049"/>
    </row>
    <row r="90" spans="1:11" ht="24.9">
      <c r="A90" s="461">
        <v>0</v>
      </c>
      <c r="B90" s="453" t="s">
        <v>517</v>
      </c>
      <c r="C90" s="453" t="s">
        <v>538</v>
      </c>
      <c r="D90" s="465" t="s">
        <v>644</v>
      </c>
      <c r="E90" s="453" t="s">
        <v>654</v>
      </c>
      <c r="F90" s="463">
        <v>5269</v>
      </c>
      <c r="G90" s="457"/>
      <c r="H90" s="458">
        <f t="shared" si="14"/>
        <v>3161.4</v>
      </c>
      <c r="I90" s="458">
        <f t="shared" si="13"/>
        <v>0</v>
      </c>
      <c r="J90" s="453" t="s">
        <v>649</v>
      </c>
      <c r="K90" s="1049"/>
    </row>
    <row r="91" spans="1:11" ht="24.9">
      <c r="A91" s="461">
        <v>0</v>
      </c>
      <c r="B91" s="453" t="s">
        <v>517</v>
      </c>
      <c r="C91" s="453" t="s">
        <v>538</v>
      </c>
      <c r="D91" s="465" t="s">
        <v>644</v>
      </c>
      <c r="E91" s="453" t="s">
        <v>655</v>
      </c>
      <c r="F91" s="463">
        <v>3078</v>
      </c>
      <c r="G91" s="457"/>
      <c r="H91" s="458">
        <f t="shared" si="14"/>
        <v>1846.8</v>
      </c>
      <c r="I91" s="458">
        <f t="shared" si="13"/>
        <v>0</v>
      </c>
      <c r="J91" s="453" t="s">
        <v>649</v>
      </c>
      <c r="K91" s="1049"/>
    </row>
    <row r="92" spans="1:11" ht="24.9">
      <c r="A92" s="461">
        <v>0</v>
      </c>
      <c r="B92" s="453" t="s">
        <v>517</v>
      </c>
      <c r="C92" s="453" t="s">
        <v>538</v>
      </c>
      <c r="D92" s="465" t="s">
        <v>644</v>
      </c>
      <c r="E92" s="453" t="s">
        <v>656</v>
      </c>
      <c r="F92" s="463">
        <v>3489</v>
      </c>
      <c r="G92" s="457"/>
      <c r="H92" s="458">
        <f t="shared" si="14"/>
        <v>2093.4</v>
      </c>
      <c r="I92" s="458">
        <f t="shared" si="13"/>
        <v>0</v>
      </c>
      <c r="J92" s="453" t="s">
        <v>649</v>
      </c>
      <c r="K92" s="1049"/>
    </row>
    <row r="93" spans="1:11" ht="24.9">
      <c r="A93" s="461">
        <v>0</v>
      </c>
      <c r="B93" s="453" t="s">
        <v>517</v>
      </c>
      <c r="C93" s="453" t="s">
        <v>538</v>
      </c>
      <c r="D93" s="465" t="s">
        <v>644</v>
      </c>
      <c r="E93" s="453" t="s">
        <v>657</v>
      </c>
      <c r="F93" s="467" t="s">
        <v>658</v>
      </c>
      <c r="G93" s="457"/>
      <c r="H93" s="468"/>
      <c r="I93" s="468"/>
      <c r="J93" s="453" t="s">
        <v>649</v>
      </c>
      <c r="K93" s="1049"/>
    </row>
    <row r="94" spans="1:11" ht="24.9">
      <c r="A94" s="461">
        <v>0</v>
      </c>
      <c r="B94" s="453" t="s">
        <v>517</v>
      </c>
      <c r="C94" s="453" t="s">
        <v>538</v>
      </c>
      <c r="D94" s="465" t="s">
        <v>644</v>
      </c>
      <c r="E94" s="453" t="s">
        <v>659</v>
      </c>
      <c r="F94" s="463">
        <v>7456</v>
      </c>
      <c r="G94" s="457"/>
      <c r="H94" s="458">
        <f t="shared" si="14"/>
        <v>4473.5999999999995</v>
      </c>
      <c r="I94" s="458">
        <f t="shared" si="13"/>
        <v>0</v>
      </c>
      <c r="J94" s="453" t="s">
        <v>649</v>
      </c>
      <c r="K94" s="1049"/>
    </row>
    <row r="95" spans="1:11" ht="24.9">
      <c r="A95" s="461">
        <v>0</v>
      </c>
      <c r="B95" s="453" t="s">
        <v>517</v>
      </c>
      <c r="C95" s="453" t="s">
        <v>538</v>
      </c>
      <c r="D95" s="465" t="s">
        <v>644</v>
      </c>
      <c r="E95" s="453" t="s">
        <v>660</v>
      </c>
      <c r="F95" s="463">
        <v>8494</v>
      </c>
      <c r="G95" s="457"/>
      <c r="H95" s="458">
        <f t="shared" si="14"/>
        <v>5096.3999999999996</v>
      </c>
      <c r="I95" s="458">
        <f t="shared" si="13"/>
        <v>0</v>
      </c>
      <c r="J95" s="453" t="s">
        <v>649</v>
      </c>
      <c r="K95" s="1049"/>
    </row>
    <row r="96" spans="1:11" ht="24.9">
      <c r="A96" s="461">
        <v>0</v>
      </c>
      <c r="B96" s="453" t="s">
        <v>517</v>
      </c>
      <c r="C96" s="453" t="s">
        <v>538</v>
      </c>
      <c r="D96" s="465" t="s">
        <v>644</v>
      </c>
      <c r="E96" s="453" t="s">
        <v>661</v>
      </c>
      <c r="F96" s="463">
        <v>9434</v>
      </c>
      <c r="G96" s="457"/>
      <c r="H96" s="458">
        <f t="shared" si="14"/>
        <v>5660.4</v>
      </c>
      <c r="I96" s="458">
        <f t="shared" si="13"/>
        <v>0</v>
      </c>
      <c r="J96" s="453" t="s">
        <v>649</v>
      </c>
      <c r="K96" s="1049"/>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161.69999999999999">
      <c r="A99" s="461">
        <v>0</v>
      </c>
      <c r="B99" s="453" t="s">
        <v>539</v>
      </c>
      <c r="C99" s="453" t="s">
        <v>538</v>
      </c>
      <c r="D99" s="481" t="s">
        <v>664</v>
      </c>
      <c r="E99" s="453" t="s">
        <v>665</v>
      </c>
      <c r="F99" s="463">
        <v>108</v>
      </c>
      <c r="G99" s="463">
        <v>79</v>
      </c>
      <c r="H99" s="458">
        <f>IFERROR((MIN(A99,400)*F99+MAX(A99-400,0)*G99)*(1-G77)/A99,0)</f>
        <v>0</v>
      </c>
      <c r="I99" s="458">
        <f t="shared" si="13"/>
        <v>0</v>
      </c>
      <c r="J99" s="453" t="s">
        <v>638</v>
      </c>
      <c r="K99" s="482" t="s">
        <v>666</v>
      </c>
    </row>
    <row r="100" spans="1:12">
      <c r="A100" s="474"/>
      <c r="B100" s="475"/>
      <c r="C100" s="475"/>
      <c r="D100" s="476"/>
      <c r="E100" s="475"/>
      <c r="F100" s="457"/>
      <c r="G100" s="457"/>
      <c r="H100" s="479"/>
      <c r="I100" s="480"/>
      <c r="J100" s="475"/>
      <c r="K100" s="475"/>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0</v>
      </c>
      <c r="B103" s="453" t="s">
        <v>517</v>
      </c>
      <c r="C103" s="454" t="s">
        <v>538</v>
      </c>
      <c r="D103" s="455" t="s">
        <v>636</v>
      </c>
      <c r="E103" s="453" t="s">
        <v>668</v>
      </c>
      <c r="F103" s="463">
        <v>3732</v>
      </c>
      <c r="G103" s="457"/>
      <c r="H103" s="458">
        <f>F103*(1-G78)</f>
        <v>2239.1999999999998</v>
      </c>
      <c r="I103" s="458">
        <f t="shared" ref="I103:I124" si="15">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5"/>
        <v>0</v>
      </c>
      <c r="J104" s="453" t="s">
        <v>649</v>
      </c>
      <c r="K104" s="1050"/>
      <c r="L104" s="17" t="s">
        <v>672</v>
      </c>
    </row>
    <row r="105" spans="1:12" ht="12.8" customHeight="1">
      <c r="A105" s="461">
        <v>0</v>
      </c>
      <c r="B105" s="453" t="s">
        <v>517</v>
      </c>
      <c r="C105" s="453" t="s">
        <v>538</v>
      </c>
      <c r="D105" s="462" t="s">
        <v>640</v>
      </c>
      <c r="E105" s="453" t="s">
        <v>673</v>
      </c>
      <c r="F105" s="463">
        <v>1968</v>
      </c>
      <c r="G105" s="457"/>
      <c r="H105" s="458">
        <f t="shared" ref="H105:H119" si="16">F105*(1-$G$77)</f>
        <v>1180.8</v>
      </c>
      <c r="I105" s="458">
        <f t="shared" si="15"/>
        <v>0</v>
      </c>
      <c r="J105" s="459" t="s">
        <v>638</v>
      </c>
      <c r="K105" s="1051" t="s">
        <v>642</v>
      </c>
    </row>
    <row r="106" spans="1:12" ht="24.9">
      <c r="A106" s="452">
        <v>0</v>
      </c>
      <c r="B106" s="453" t="s">
        <v>539</v>
      </c>
      <c r="C106" s="453" t="s">
        <v>538</v>
      </c>
      <c r="D106" s="462" t="s">
        <v>643</v>
      </c>
      <c r="E106" s="453" t="s">
        <v>673</v>
      </c>
      <c r="F106" s="463">
        <v>87.9</v>
      </c>
      <c r="G106" s="457"/>
      <c r="H106" s="458">
        <f t="shared" si="16"/>
        <v>52.74</v>
      </c>
      <c r="I106" s="458">
        <f t="shared" si="15"/>
        <v>0</v>
      </c>
      <c r="J106" s="459" t="s">
        <v>638</v>
      </c>
      <c r="K106" s="1051"/>
    </row>
    <row r="107" spans="1:12" ht="12.8" customHeight="1">
      <c r="A107" s="452">
        <v>0</v>
      </c>
      <c r="B107" s="453" t="s">
        <v>517</v>
      </c>
      <c r="C107" s="453" t="s">
        <v>538</v>
      </c>
      <c r="D107" s="464" t="s">
        <v>644</v>
      </c>
      <c r="E107" s="453" t="s">
        <v>645</v>
      </c>
      <c r="F107" s="463">
        <v>10051</v>
      </c>
      <c r="G107" s="457"/>
      <c r="H107" s="458">
        <f t="shared" si="16"/>
        <v>6030.5999999999995</v>
      </c>
      <c r="I107" s="458">
        <f t="shared" si="15"/>
        <v>0</v>
      </c>
      <c r="J107" s="459" t="s">
        <v>638</v>
      </c>
      <c r="K107" s="1052" t="s">
        <v>646</v>
      </c>
    </row>
    <row r="108" spans="1:12" ht="24.9">
      <c r="A108" s="461">
        <v>0</v>
      </c>
      <c r="B108" s="453" t="s">
        <v>517</v>
      </c>
      <c r="C108" s="453" t="s">
        <v>538</v>
      </c>
      <c r="D108" s="464" t="s">
        <v>644</v>
      </c>
      <c r="E108" s="453" t="s">
        <v>647</v>
      </c>
      <c r="F108" s="463">
        <v>17412</v>
      </c>
      <c r="G108" s="457"/>
      <c r="H108" s="458">
        <f t="shared" si="16"/>
        <v>10447.199999999999</v>
      </c>
      <c r="I108" s="458">
        <f t="shared" si="15"/>
        <v>0</v>
      </c>
      <c r="J108" s="459" t="s">
        <v>638</v>
      </c>
      <c r="K108" s="1052"/>
    </row>
    <row r="109" spans="1:12" ht="12.8" customHeight="1">
      <c r="A109" s="461">
        <v>0</v>
      </c>
      <c r="B109" s="453" t="s">
        <v>517</v>
      </c>
      <c r="C109" s="453" t="s">
        <v>538</v>
      </c>
      <c r="D109" s="465" t="s">
        <v>644</v>
      </c>
      <c r="E109" s="453" t="s">
        <v>648</v>
      </c>
      <c r="F109" s="463">
        <v>2345</v>
      </c>
      <c r="G109" s="457"/>
      <c r="H109" s="458">
        <f t="shared" si="16"/>
        <v>1407</v>
      </c>
      <c r="I109" s="458">
        <f t="shared" si="15"/>
        <v>0</v>
      </c>
      <c r="J109" s="453" t="s">
        <v>649</v>
      </c>
      <c r="K109" s="1049" t="s">
        <v>650</v>
      </c>
    </row>
    <row r="110" spans="1:12" ht="24.9">
      <c r="A110" s="461">
        <v>0</v>
      </c>
      <c r="B110" s="453" t="s">
        <v>517</v>
      </c>
      <c r="C110" s="453" t="s">
        <v>538</v>
      </c>
      <c r="D110" s="465" t="s">
        <v>644</v>
      </c>
      <c r="E110" s="453" t="s">
        <v>651</v>
      </c>
      <c r="F110" s="463">
        <v>3258</v>
      </c>
      <c r="G110" s="457"/>
      <c r="H110" s="458">
        <f t="shared" si="16"/>
        <v>1954.8</v>
      </c>
      <c r="I110" s="458">
        <f t="shared" si="15"/>
        <v>0</v>
      </c>
      <c r="J110" s="453" t="s">
        <v>649</v>
      </c>
      <c r="K110" s="1049"/>
    </row>
    <row r="111" spans="1:12" ht="24.9">
      <c r="A111" s="461">
        <v>0</v>
      </c>
      <c r="B111" s="453" t="s">
        <v>517</v>
      </c>
      <c r="C111" s="453" t="s">
        <v>538</v>
      </c>
      <c r="D111" s="465" t="s">
        <v>644</v>
      </c>
      <c r="E111" s="453" t="s">
        <v>652</v>
      </c>
      <c r="F111" s="463">
        <v>5649</v>
      </c>
      <c r="G111" s="457"/>
      <c r="H111" s="458">
        <f t="shared" si="16"/>
        <v>3389.4</v>
      </c>
      <c r="I111" s="458">
        <f t="shared" si="15"/>
        <v>0</v>
      </c>
      <c r="J111" s="453" t="s">
        <v>649</v>
      </c>
      <c r="K111" s="1049"/>
    </row>
    <row r="112" spans="1:12" ht="24.9">
      <c r="A112" s="461">
        <v>0</v>
      </c>
      <c r="B112" s="453" t="s">
        <v>517</v>
      </c>
      <c r="C112" s="453" t="s">
        <v>538</v>
      </c>
      <c r="D112" s="465" t="s">
        <v>644</v>
      </c>
      <c r="E112" s="453" t="s">
        <v>653</v>
      </c>
      <c r="F112" s="463">
        <v>1488</v>
      </c>
      <c r="G112" s="457"/>
      <c r="H112" s="458">
        <f t="shared" si="16"/>
        <v>892.8</v>
      </c>
      <c r="I112" s="458">
        <f t="shared" si="15"/>
        <v>0</v>
      </c>
      <c r="J112" s="453" t="s">
        <v>649</v>
      </c>
      <c r="K112" s="1049"/>
    </row>
    <row r="113" spans="1:17" ht="24.9">
      <c r="A113" s="461">
        <v>0</v>
      </c>
      <c r="B113" s="453" t="s">
        <v>517</v>
      </c>
      <c r="C113" s="453" t="s">
        <v>538</v>
      </c>
      <c r="D113" s="465" t="s">
        <v>644</v>
      </c>
      <c r="E113" s="453" t="s">
        <v>654</v>
      </c>
      <c r="F113" s="463">
        <v>5269</v>
      </c>
      <c r="G113" s="457"/>
      <c r="H113" s="458">
        <f t="shared" si="16"/>
        <v>3161.4</v>
      </c>
      <c r="I113" s="458">
        <f t="shared" si="15"/>
        <v>0</v>
      </c>
      <c r="J113" s="453" t="s">
        <v>649</v>
      </c>
      <c r="K113" s="1049"/>
    </row>
    <row r="114" spans="1:17" ht="24.9">
      <c r="A114" s="461">
        <v>0</v>
      </c>
      <c r="B114" s="453" t="s">
        <v>517</v>
      </c>
      <c r="C114" s="453" t="s">
        <v>538</v>
      </c>
      <c r="D114" s="465" t="s">
        <v>644</v>
      </c>
      <c r="E114" s="453" t="s">
        <v>655</v>
      </c>
      <c r="F114" s="463">
        <v>3078</v>
      </c>
      <c r="G114" s="457"/>
      <c r="H114" s="458">
        <f t="shared" si="16"/>
        <v>1846.8</v>
      </c>
      <c r="I114" s="458">
        <f t="shared" si="15"/>
        <v>0</v>
      </c>
      <c r="J114" s="453" t="s">
        <v>649</v>
      </c>
      <c r="K114" s="1049"/>
    </row>
    <row r="115" spans="1:17" ht="24.9">
      <c r="A115" s="461">
        <v>0</v>
      </c>
      <c r="B115" s="453" t="s">
        <v>517</v>
      </c>
      <c r="C115" s="453" t="s">
        <v>538</v>
      </c>
      <c r="D115" s="465" t="s">
        <v>644</v>
      </c>
      <c r="E115" s="453" t="s">
        <v>656</v>
      </c>
      <c r="F115" s="463">
        <v>3489</v>
      </c>
      <c r="G115" s="457"/>
      <c r="H115" s="458">
        <f t="shared" si="16"/>
        <v>2093.4</v>
      </c>
      <c r="I115" s="458">
        <f t="shared" si="15"/>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6"/>
        <v>4473.5999999999995</v>
      </c>
      <c r="I117" s="458">
        <f t="shared" si="15"/>
        <v>0</v>
      </c>
      <c r="J117" s="453" t="s">
        <v>649</v>
      </c>
      <c r="K117" s="1049"/>
    </row>
    <row r="118" spans="1:17" ht="24.9">
      <c r="A118" s="461">
        <v>0</v>
      </c>
      <c r="B118" s="453" t="s">
        <v>517</v>
      </c>
      <c r="C118" s="453" t="s">
        <v>538</v>
      </c>
      <c r="D118" s="465" t="s">
        <v>644</v>
      </c>
      <c r="E118" s="453" t="s">
        <v>660</v>
      </c>
      <c r="F118" s="463">
        <v>8494</v>
      </c>
      <c r="G118" s="457"/>
      <c r="H118" s="458">
        <f t="shared" si="16"/>
        <v>5096.3999999999996</v>
      </c>
      <c r="I118" s="458">
        <f t="shared" si="15"/>
        <v>0</v>
      </c>
      <c r="J118" s="453" t="s">
        <v>649</v>
      </c>
      <c r="K118" s="1049"/>
    </row>
    <row r="119" spans="1:17" ht="24.9">
      <c r="A119" s="461">
        <v>0</v>
      </c>
      <c r="B119" s="453" t="s">
        <v>517</v>
      </c>
      <c r="C119" s="453" t="s">
        <v>538</v>
      </c>
      <c r="D119" s="465" t="s">
        <v>644</v>
      </c>
      <c r="E119" s="453" t="s">
        <v>661</v>
      </c>
      <c r="F119" s="463">
        <v>9434</v>
      </c>
      <c r="G119" s="457"/>
      <c r="H119" s="458">
        <f t="shared" si="16"/>
        <v>5660.4</v>
      </c>
      <c r="I119" s="458">
        <f t="shared" si="15"/>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161.69999999999999">
      <c r="A122" s="461">
        <v>0</v>
      </c>
      <c r="B122" s="453" t="s">
        <v>539</v>
      </c>
      <c r="C122" s="453" t="s">
        <v>538</v>
      </c>
      <c r="D122" s="481" t="s">
        <v>664</v>
      </c>
      <c r="E122" s="453" t="s">
        <v>665</v>
      </c>
      <c r="F122" s="463">
        <v>108</v>
      </c>
      <c r="G122" s="463">
        <v>79</v>
      </c>
      <c r="H122" s="458">
        <f>IFERROR((MIN(A122,400)*F122+MAX(A122-400,0)*G122)*(1-G77)/A122,0)</f>
        <v>0</v>
      </c>
      <c r="I122" s="458">
        <f t="shared" si="15"/>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5"/>
        <v>161.44</v>
      </c>
    </row>
    <row r="125" spans="1:17">
      <c r="A125" s="204"/>
      <c r="F125" s="485"/>
      <c r="H125" s="403"/>
      <c r="I125" s="403"/>
    </row>
    <row r="126" spans="1:17" ht="15.75">
      <c r="E126" s="439" t="s">
        <v>676</v>
      </c>
      <c r="I126" s="486">
        <f>SUM(I81:I124)</f>
        <v>1270.8399999999999</v>
      </c>
      <c r="Q126" s="165">
        <f>I126</f>
        <v>1270.8399999999999</v>
      </c>
    </row>
    <row r="128" spans="1:17" ht="13.75" customHeight="1">
      <c r="A128" s="986" t="s">
        <v>100</v>
      </c>
      <c r="B128" s="986"/>
      <c r="C128" s="986"/>
      <c r="D128" s="986"/>
      <c r="E128" s="986"/>
    </row>
    <row r="130" spans="1:10" ht="22.25">
      <c r="A130" s="17">
        <v>1</v>
      </c>
      <c r="B130" s="17" t="s">
        <v>517</v>
      </c>
      <c r="C130" s="204" t="s">
        <v>531</v>
      </c>
      <c r="E130" s="17" t="s">
        <v>1481</v>
      </c>
      <c r="F130" s="403">
        <v>500</v>
      </c>
      <c r="H130" s="403">
        <f t="shared" ref="H130:H152" si="17">F130*(1-G130)</f>
        <v>500</v>
      </c>
      <c r="I130" s="403">
        <f t="shared" ref="I130:I131" si="18">A130*H130</f>
        <v>500</v>
      </c>
    </row>
    <row r="131" spans="1:10" ht="22.25">
      <c r="A131" s="17">
        <v>1</v>
      </c>
      <c r="B131" s="17" t="s">
        <v>517</v>
      </c>
      <c r="C131" s="204" t="s">
        <v>531</v>
      </c>
      <c r="E131" s="17" t="s">
        <v>1482</v>
      </c>
      <c r="F131" s="403">
        <v>500</v>
      </c>
      <c r="H131" s="403">
        <f t="shared" si="17"/>
        <v>500</v>
      </c>
      <c r="I131" s="403">
        <f t="shared" si="18"/>
        <v>500</v>
      </c>
    </row>
    <row r="132" spans="1:10">
      <c r="H132" s="403"/>
    </row>
    <row r="133" spans="1:10" ht="15.75">
      <c r="I133" s="168">
        <f>SUM(I128:I131)</f>
        <v>1000</v>
      </c>
    </row>
    <row r="136" spans="1:10" ht="15.05" customHeight="1">
      <c r="A136" s="1002" t="s">
        <v>90</v>
      </c>
      <c r="B136" s="1002"/>
      <c r="C136" s="1002"/>
      <c r="D136" s="1002"/>
      <c r="E136" s="1002"/>
    </row>
    <row r="138" spans="1:10" ht="13.75">
      <c r="A138" s="17">
        <v>1</v>
      </c>
      <c r="B138" s="17" t="s">
        <v>517</v>
      </c>
      <c r="E138" s="17" t="s">
        <v>1464</v>
      </c>
      <c r="F138" s="403">
        <v>860</v>
      </c>
      <c r="H138" s="403">
        <f t="shared" si="17"/>
        <v>860</v>
      </c>
      <c r="I138" s="403">
        <f t="shared" ref="I138:I143" si="19">A138*H138</f>
        <v>860</v>
      </c>
      <c r="J138" s="494" t="s">
        <v>1465</v>
      </c>
    </row>
    <row r="139" spans="1:10">
      <c r="A139" s="17">
        <v>1</v>
      </c>
      <c r="B139" s="17" t="s">
        <v>517</v>
      </c>
      <c r="E139" s="17" t="s">
        <v>706</v>
      </c>
      <c r="F139" s="403">
        <v>40</v>
      </c>
      <c r="H139" s="403">
        <f t="shared" si="17"/>
        <v>40</v>
      </c>
      <c r="I139" s="403">
        <f t="shared" si="19"/>
        <v>40</v>
      </c>
    </row>
    <row r="140" spans="1:10">
      <c r="A140" s="17">
        <v>1</v>
      </c>
      <c r="B140" s="17" t="s">
        <v>517</v>
      </c>
      <c r="E140" s="17" t="s">
        <v>707</v>
      </c>
      <c r="F140" s="403">
        <v>1500</v>
      </c>
      <c r="H140" s="403">
        <f t="shared" si="17"/>
        <v>1500</v>
      </c>
      <c r="I140" s="403">
        <f t="shared" si="19"/>
        <v>1500</v>
      </c>
      <c r="J140" s="17" t="s">
        <v>1483</v>
      </c>
    </row>
    <row r="141" spans="1:10" ht="55.65">
      <c r="A141" s="17">
        <v>0</v>
      </c>
      <c r="B141" s="17" t="s">
        <v>517</v>
      </c>
      <c r="C141" s="204" t="s">
        <v>708</v>
      </c>
      <c r="E141" s="204" t="s">
        <v>709</v>
      </c>
      <c r="F141" s="403">
        <v>460</v>
      </c>
      <c r="H141" s="403">
        <f t="shared" si="17"/>
        <v>460</v>
      </c>
      <c r="I141" s="403">
        <f t="shared" si="19"/>
        <v>0</v>
      </c>
      <c r="J141" s="17" t="s">
        <v>710</v>
      </c>
    </row>
    <row r="142" spans="1:10" ht="55.65">
      <c r="A142" s="17">
        <v>0</v>
      </c>
      <c r="B142" s="17" t="s">
        <v>517</v>
      </c>
      <c r="C142" s="204" t="s">
        <v>711</v>
      </c>
      <c r="E142" s="204" t="s">
        <v>712</v>
      </c>
      <c r="F142" s="403">
        <v>320</v>
      </c>
      <c r="H142" s="403">
        <f t="shared" si="17"/>
        <v>320</v>
      </c>
      <c r="I142" s="403">
        <f t="shared" si="19"/>
        <v>0</v>
      </c>
    </row>
    <row r="143" spans="1:10" ht="55.65">
      <c r="A143" s="17">
        <v>1</v>
      </c>
      <c r="B143" s="17" t="s">
        <v>517</v>
      </c>
      <c r="C143" s="17" t="s">
        <v>713</v>
      </c>
      <c r="D143" s="17" t="s">
        <v>714</v>
      </c>
      <c r="E143" s="204" t="s">
        <v>715</v>
      </c>
      <c r="F143" s="403">
        <v>2725</v>
      </c>
      <c r="H143" s="403">
        <f t="shared" si="17"/>
        <v>2725</v>
      </c>
      <c r="I143" s="403">
        <f t="shared" si="19"/>
        <v>2725</v>
      </c>
    </row>
    <row r="145" spans="1:10" ht="15.75">
      <c r="E145" s="439" t="s">
        <v>729</v>
      </c>
      <c r="I145" s="168">
        <f>SUM(I136:I144)</f>
        <v>5125</v>
      </c>
    </row>
    <row r="147" spans="1:10" ht="13.75" customHeight="1">
      <c r="A147" s="997" t="s">
        <v>68</v>
      </c>
      <c r="B147" s="997"/>
      <c r="C147" s="997"/>
      <c r="D147" s="997"/>
      <c r="E147" s="997"/>
    </row>
    <row r="148" spans="1:10">
      <c r="A148" s="17">
        <v>0</v>
      </c>
      <c r="B148" s="17" t="s">
        <v>517</v>
      </c>
      <c r="E148" s="17" t="s">
        <v>1469</v>
      </c>
      <c r="F148" s="403">
        <v>187.5</v>
      </c>
      <c r="H148" s="403">
        <f t="shared" si="17"/>
        <v>187.5</v>
      </c>
      <c r="I148" s="403">
        <f t="shared" ref="I148:I152" si="20">A148*H148</f>
        <v>0</v>
      </c>
      <c r="J148" s="17" t="s">
        <v>1470</v>
      </c>
    </row>
    <row r="149" spans="1:10">
      <c r="A149" s="17">
        <v>1</v>
      </c>
      <c r="B149" s="17" t="s">
        <v>517</v>
      </c>
      <c r="E149" s="17" t="s">
        <v>1471</v>
      </c>
      <c r="F149" s="403">
        <v>500</v>
      </c>
      <c r="H149" s="403">
        <f t="shared" si="17"/>
        <v>500</v>
      </c>
      <c r="I149" s="403">
        <f t="shared" si="20"/>
        <v>500</v>
      </c>
      <c r="J149" s="17" t="s">
        <v>696</v>
      </c>
    </row>
    <row r="150" spans="1:10">
      <c r="A150" s="17">
        <v>0</v>
      </c>
      <c r="B150" s="17" t="s">
        <v>517</v>
      </c>
      <c r="E150" s="17" t="s">
        <v>1472</v>
      </c>
      <c r="F150" s="403">
        <v>500</v>
      </c>
      <c r="H150" s="403">
        <f t="shared" si="17"/>
        <v>500</v>
      </c>
      <c r="I150" s="403">
        <f t="shared" si="20"/>
        <v>0</v>
      </c>
      <c r="J150" s="17" t="s">
        <v>696</v>
      </c>
    </row>
    <row r="151" spans="1:10" ht="55.65">
      <c r="A151" s="17">
        <v>1</v>
      </c>
      <c r="B151" s="17" t="s">
        <v>517</v>
      </c>
      <c r="C151" s="204" t="s">
        <v>708</v>
      </c>
      <c r="E151" s="204" t="s">
        <v>731</v>
      </c>
      <c r="F151" s="403">
        <f>460/2</f>
        <v>230</v>
      </c>
      <c r="H151" s="403">
        <f t="shared" si="17"/>
        <v>230</v>
      </c>
      <c r="I151" s="403">
        <f t="shared" si="20"/>
        <v>230</v>
      </c>
    </row>
    <row r="152" spans="1:10" ht="55.65">
      <c r="A152" s="17">
        <v>0</v>
      </c>
      <c r="B152" s="17" t="s">
        <v>517</v>
      </c>
      <c r="C152" s="204" t="s">
        <v>711</v>
      </c>
      <c r="E152" s="204" t="s">
        <v>732</v>
      </c>
      <c r="F152" s="403">
        <f>320/2</f>
        <v>160</v>
      </c>
      <c r="H152" s="403">
        <f t="shared" si="17"/>
        <v>160</v>
      </c>
      <c r="I152" s="403">
        <f t="shared" si="20"/>
        <v>0</v>
      </c>
    </row>
    <row r="154" spans="1:10" ht="15.75">
      <c r="E154" s="439" t="s">
        <v>733</v>
      </c>
      <c r="I154" s="168">
        <f>SUM(I147:I153)</f>
        <v>730</v>
      </c>
    </row>
    <row r="155" spans="1:10">
      <c r="E155" s="439"/>
    </row>
  </sheetData>
  <mergeCells count="13">
    <mergeCell ref="B1:F1"/>
    <mergeCell ref="A2:G2"/>
    <mergeCell ref="J19:L19"/>
    <mergeCell ref="K82:K83"/>
    <mergeCell ref="K84:K85"/>
    <mergeCell ref="A128:E128"/>
    <mergeCell ref="A136:E136"/>
    <mergeCell ref="A147:E147"/>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5.8554687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75">
      <c r="B1" s="1053" t="s">
        <v>271</v>
      </c>
      <c r="C1" s="1053"/>
      <c r="D1" s="1053"/>
      <c r="E1" s="1053"/>
      <c r="F1" s="1053"/>
      <c r="H1" s="405" t="s">
        <v>493</v>
      </c>
      <c r="I1" s="406">
        <f>VLOOKUP(E4,Catalogue!F:J,5,0)</f>
        <v>370</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v>277</v>
      </c>
      <c r="B4" s="413" t="s">
        <v>505</v>
      </c>
      <c r="C4" s="420" t="s">
        <v>1306</v>
      </c>
      <c r="D4" s="413"/>
      <c r="E4" s="420" t="s">
        <v>1308</v>
      </c>
      <c r="F4" s="421">
        <v>90.8</v>
      </c>
      <c r="G4" s="410"/>
      <c r="H4" s="409">
        <f t="shared" ref="H4:H9" si="0">F4*(1-G4)</f>
        <v>90.8</v>
      </c>
      <c r="I4" s="409">
        <f t="shared" ref="I4:I9" si="1">A4*H4</f>
        <v>25151.599999999999</v>
      </c>
      <c r="J4" s="417">
        <f>F4/$I$1</f>
        <v>0.2454054054054054</v>
      </c>
      <c r="K4" s="403" t="s">
        <v>1421</v>
      </c>
      <c r="L4" s="404"/>
      <c r="M4" s="418">
        <f>I4</f>
        <v>25151.599999999999</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66.8">
      <c r="A6" s="413">
        <f>A4+A5</f>
        <v>277</v>
      </c>
      <c r="B6" s="413" t="s">
        <v>505</v>
      </c>
      <c r="C6" s="420" t="s">
        <v>540</v>
      </c>
      <c r="D6" s="413" t="s">
        <v>556</v>
      </c>
      <c r="E6" s="420" t="s">
        <v>739</v>
      </c>
      <c r="F6" s="421">
        <f>3312.96/A6</f>
        <v>11.96014440433213</v>
      </c>
      <c r="G6" s="410"/>
      <c r="H6" s="409">
        <f t="shared" si="0"/>
        <v>11.96014440433213</v>
      </c>
      <c r="I6" s="409">
        <f t="shared" si="1"/>
        <v>3312.96</v>
      </c>
      <c r="J6" s="417">
        <f>F6/$I$1</f>
        <v>3.2324714606303054E-2</v>
      </c>
      <c r="K6" s="417" t="s">
        <v>740</v>
      </c>
      <c r="L6" s="204" t="s">
        <v>741</v>
      </c>
      <c r="M6" s="418">
        <f>I6</f>
        <v>3312.96</v>
      </c>
      <c r="N6" s="418"/>
      <c r="O6" s="418"/>
      <c r="P6" s="418"/>
      <c r="Q6" s="418"/>
      <c r="R6" s="418"/>
      <c r="S6" s="418"/>
    </row>
    <row r="7" spans="1:19" ht="33.4">
      <c r="A7" s="413">
        <v>1</v>
      </c>
      <c r="B7" s="413" t="s">
        <v>505</v>
      </c>
      <c r="C7" s="420" t="s">
        <v>540</v>
      </c>
      <c r="D7" s="413" t="s">
        <v>556</v>
      </c>
      <c r="E7" s="420" t="s">
        <v>1215</v>
      </c>
      <c r="F7" s="421">
        <v>1453.33</v>
      </c>
      <c r="G7" s="410"/>
      <c r="H7" s="409">
        <f t="shared" si="0"/>
        <v>1453.33</v>
      </c>
      <c r="I7" s="409">
        <f t="shared" si="1"/>
        <v>1453.33</v>
      </c>
      <c r="J7" s="204"/>
      <c r="K7" s="17" t="s">
        <v>1484</v>
      </c>
      <c r="M7" s="418"/>
      <c r="N7" s="418"/>
      <c r="O7" s="418"/>
      <c r="P7" s="418"/>
      <c r="Q7" s="418"/>
      <c r="R7" s="418">
        <f t="shared" ref="R7:R9" si="2">I7</f>
        <v>1453.33</v>
      </c>
      <c r="S7" s="418"/>
    </row>
    <row r="8" spans="1:19" ht="55.65">
      <c r="A8" s="413">
        <v>1</v>
      </c>
      <c r="B8" s="413" t="s">
        <v>505</v>
      </c>
      <c r="C8" s="420" t="s">
        <v>540</v>
      </c>
      <c r="D8" s="413" t="s">
        <v>1047</v>
      </c>
      <c r="E8" s="420" t="s">
        <v>1216</v>
      </c>
      <c r="F8" s="421">
        <v>115.56</v>
      </c>
      <c r="G8" s="410"/>
      <c r="H8" s="409">
        <f t="shared" si="0"/>
        <v>115.56</v>
      </c>
      <c r="I8" s="409">
        <f t="shared" si="1"/>
        <v>115.56</v>
      </c>
      <c r="J8" s="204"/>
      <c r="M8" s="418"/>
      <c r="N8" s="418"/>
      <c r="O8" s="418"/>
      <c r="P8" s="418"/>
      <c r="Q8" s="418"/>
      <c r="R8" s="418">
        <f t="shared" si="2"/>
        <v>115.56</v>
      </c>
      <c r="S8" s="418"/>
    </row>
    <row r="9" spans="1:19" ht="55.65">
      <c r="A9" s="413">
        <v>3</v>
      </c>
      <c r="B9" s="413" t="s">
        <v>505</v>
      </c>
      <c r="C9" s="420" t="s">
        <v>540</v>
      </c>
      <c r="D9" s="413" t="s">
        <v>1217</v>
      </c>
      <c r="E9" s="420" t="s">
        <v>1437</v>
      </c>
      <c r="F9" s="421">
        <v>316.67</v>
      </c>
      <c r="G9" s="410"/>
      <c r="H9" s="409">
        <f t="shared" si="0"/>
        <v>316.67</v>
      </c>
      <c r="I9" s="409">
        <f t="shared" si="1"/>
        <v>950.01</v>
      </c>
      <c r="J9" s="204"/>
      <c r="M9" s="418"/>
      <c r="N9" s="418"/>
      <c r="O9" s="418"/>
      <c r="P9" s="418"/>
      <c r="Q9" s="418"/>
      <c r="R9" s="418">
        <f t="shared" si="2"/>
        <v>950.01</v>
      </c>
      <c r="S9" s="418"/>
    </row>
    <row r="10" spans="1:19" ht="22.25">
      <c r="A10" s="413">
        <v>0</v>
      </c>
      <c r="B10" s="413" t="s">
        <v>530</v>
      </c>
      <c r="C10" s="420" t="s">
        <v>531</v>
      </c>
      <c r="D10" s="413"/>
      <c r="E10" s="413" t="s">
        <v>532</v>
      </c>
      <c r="F10" s="421">
        <v>500</v>
      </c>
      <c r="G10" s="410"/>
      <c r="H10" s="409">
        <f t="shared" ref="H10:H62" si="3">F10*(1-G10)</f>
        <v>500</v>
      </c>
      <c r="I10" s="409">
        <f t="shared" ref="I10:I32" si="4">A10*H10</f>
        <v>0</v>
      </c>
      <c r="J10" s="204"/>
      <c r="M10" s="418"/>
      <c r="N10" s="418"/>
      <c r="O10" s="418"/>
      <c r="P10" s="418"/>
      <c r="Q10" s="418"/>
      <c r="R10" s="418">
        <f t="shared" ref="R10:R24" si="5">I10</f>
        <v>0</v>
      </c>
      <c r="S10" s="418"/>
    </row>
    <row r="11" spans="1:19" ht="22.25">
      <c r="A11" s="407">
        <f>A18</f>
        <v>3</v>
      </c>
      <c r="B11" s="407" t="s">
        <v>505</v>
      </c>
      <c r="C11" s="408" t="s">
        <v>534</v>
      </c>
      <c r="D11" s="407"/>
      <c r="E11" s="408" t="s">
        <v>535</v>
      </c>
      <c r="F11" s="409">
        <v>3.71</v>
      </c>
      <c r="G11" s="410"/>
      <c r="H11" s="409">
        <f t="shared" si="3"/>
        <v>3.71</v>
      </c>
      <c r="I11" s="409">
        <f t="shared" si="4"/>
        <v>11.129999999999999</v>
      </c>
      <c r="J11" s="204" t="s">
        <v>536</v>
      </c>
      <c r="M11" s="418"/>
      <c r="N11" s="418"/>
      <c r="O11" s="418"/>
      <c r="P11" s="418"/>
      <c r="Q11" s="418"/>
      <c r="R11" s="418">
        <f t="shared" si="5"/>
        <v>11.129999999999999</v>
      </c>
      <c r="S11" s="418"/>
    </row>
    <row r="12" spans="1:19" ht="22.25">
      <c r="A12" s="407">
        <f>A11</f>
        <v>3</v>
      </c>
      <c r="B12" s="407" t="s">
        <v>505</v>
      </c>
      <c r="C12" s="408" t="s">
        <v>534</v>
      </c>
      <c r="D12" s="407"/>
      <c r="E12" s="408" t="s">
        <v>537</v>
      </c>
      <c r="F12" s="409">
        <v>3.81</v>
      </c>
      <c r="G12" s="410"/>
      <c r="H12" s="409">
        <f t="shared" si="3"/>
        <v>3.81</v>
      </c>
      <c r="I12" s="409">
        <f t="shared" si="4"/>
        <v>11.43</v>
      </c>
      <c r="J12" s="204" t="s">
        <v>538</v>
      </c>
      <c r="M12" s="418"/>
      <c r="N12" s="418"/>
      <c r="O12" s="418"/>
      <c r="P12" s="418"/>
      <c r="Q12" s="418"/>
      <c r="R12" s="418">
        <f t="shared" si="5"/>
        <v>11.43</v>
      </c>
      <c r="S12" s="418"/>
    </row>
    <row r="13" spans="1:19" ht="44.55">
      <c r="A13" s="407">
        <v>720</v>
      </c>
      <c r="B13" s="413" t="s">
        <v>539</v>
      </c>
      <c r="C13" s="420" t="s">
        <v>540</v>
      </c>
      <c r="D13" s="413" t="s">
        <v>541</v>
      </c>
      <c r="E13" s="420" t="s">
        <v>542</v>
      </c>
      <c r="F13" s="421">
        <f t="shared" ref="F13:F14" si="6">2*278.24/A13</f>
        <v>0.77288888888888896</v>
      </c>
      <c r="G13" s="410"/>
      <c r="H13" s="409">
        <f t="shared" si="3"/>
        <v>0.77288888888888896</v>
      </c>
      <c r="I13" s="409">
        <f t="shared" si="4"/>
        <v>556.48</v>
      </c>
      <c r="J13" s="491" t="s">
        <v>756</v>
      </c>
      <c r="M13" s="418"/>
      <c r="N13" s="418"/>
      <c r="O13" s="418">
        <f t="shared" ref="O13:O27" si="7">I13</f>
        <v>556.48</v>
      </c>
      <c r="P13" s="418"/>
      <c r="Q13" s="418"/>
      <c r="R13" s="418"/>
      <c r="S13" s="418"/>
    </row>
    <row r="14" spans="1:19" ht="44.55">
      <c r="A14" s="407">
        <v>1400</v>
      </c>
      <c r="B14" s="413" t="s">
        <v>539</v>
      </c>
      <c r="C14" s="420" t="s">
        <v>540</v>
      </c>
      <c r="D14" s="413" t="s">
        <v>543</v>
      </c>
      <c r="E14" s="420" t="s">
        <v>544</v>
      </c>
      <c r="F14" s="421">
        <f t="shared" si="6"/>
        <v>0.39748571428571428</v>
      </c>
      <c r="G14" s="410"/>
      <c r="H14" s="409">
        <f t="shared" si="3"/>
        <v>0.39748571428571428</v>
      </c>
      <c r="I14" s="409">
        <f t="shared" si="4"/>
        <v>556.48</v>
      </c>
      <c r="J14" s="491" t="s">
        <v>758</v>
      </c>
      <c r="M14" s="418"/>
      <c r="N14" s="418"/>
      <c r="O14" s="418">
        <f t="shared" si="7"/>
        <v>556.48</v>
      </c>
      <c r="P14" s="418"/>
      <c r="Q14" s="418"/>
      <c r="R14" s="418"/>
      <c r="S14" s="418"/>
    </row>
    <row r="15" spans="1:19" ht="33.4">
      <c r="A15" s="413">
        <v>34</v>
      </c>
      <c r="B15" s="407" t="s">
        <v>517</v>
      </c>
      <c r="C15" s="420" t="s">
        <v>540</v>
      </c>
      <c r="D15" s="413" t="s">
        <v>797</v>
      </c>
      <c r="E15" s="420" t="s">
        <v>798</v>
      </c>
      <c r="F15" s="421">
        <v>0.88</v>
      </c>
      <c r="G15" s="410"/>
      <c r="H15" s="409">
        <f t="shared" si="3"/>
        <v>0.88</v>
      </c>
      <c r="I15" s="409">
        <f t="shared" si="4"/>
        <v>29.92</v>
      </c>
      <c r="J15" s="204"/>
      <c r="M15" s="418"/>
      <c r="N15" s="418"/>
      <c r="O15" s="418">
        <f t="shared" si="7"/>
        <v>29.92</v>
      </c>
      <c r="P15" s="418"/>
      <c r="Q15" s="418"/>
      <c r="R15" s="418"/>
      <c r="S15" s="418"/>
    </row>
    <row r="16" spans="1:19" ht="33.4">
      <c r="A16" s="413">
        <f>A15</f>
        <v>34</v>
      </c>
      <c r="B16" s="407" t="s">
        <v>517</v>
      </c>
      <c r="C16" s="420" t="s">
        <v>540</v>
      </c>
      <c r="D16" s="413" t="s">
        <v>800</v>
      </c>
      <c r="E16" s="420" t="s">
        <v>801</v>
      </c>
      <c r="F16" s="421">
        <v>0.67</v>
      </c>
      <c r="G16" s="410"/>
      <c r="H16" s="409">
        <f t="shared" si="3"/>
        <v>0.67</v>
      </c>
      <c r="I16" s="409">
        <f t="shared" si="4"/>
        <v>22.78</v>
      </c>
      <c r="J16" s="204"/>
      <c r="M16" s="418"/>
      <c r="N16" s="418"/>
      <c r="O16" s="418">
        <f t="shared" si="7"/>
        <v>22.78</v>
      </c>
      <c r="P16" s="418"/>
      <c r="Q16" s="418"/>
      <c r="R16" s="418"/>
      <c r="S16" s="418"/>
    </row>
    <row r="17" spans="1:19" ht="33.4">
      <c r="A17" s="413">
        <v>15</v>
      </c>
      <c r="B17" s="413" t="s">
        <v>517</v>
      </c>
      <c r="C17" s="420" t="s">
        <v>540</v>
      </c>
      <c r="D17" s="413" t="s">
        <v>556</v>
      </c>
      <c r="E17" s="420" t="s">
        <v>557</v>
      </c>
      <c r="F17" s="421">
        <v>6.58</v>
      </c>
      <c r="G17" s="410"/>
      <c r="H17" s="409">
        <f t="shared" si="3"/>
        <v>6.58</v>
      </c>
      <c r="I17" s="409">
        <f t="shared" si="4"/>
        <v>98.7</v>
      </c>
      <c r="J17" s="204"/>
      <c r="K17" s="17" t="s">
        <v>558</v>
      </c>
      <c r="M17" s="418"/>
      <c r="N17" s="418"/>
      <c r="O17" s="418">
        <f t="shared" si="7"/>
        <v>98.7</v>
      </c>
      <c r="P17" s="418"/>
      <c r="Q17" s="418"/>
      <c r="R17" s="418"/>
      <c r="S17" s="418"/>
    </row>
    <row r="18" spans="1:19" ht="44.55">
      <c r="A18" s="413">
        <v>3</v>
      </c>
      <c r="B18" s="413" t="s">
        <v>517</v>
      </c>
      <c r="C18" s="420" t="s">
        <v>540</v>
      </c>
      <c r="D18" s="413" t="s">
        <v>821</v>
      </c>
      <c r="E18" s="420" t="s">
        <v>822</v>
      </c>
      <c r="F18" s="421">
        <v>1810</v>
      </c>
      <c r="G18" s="410"/>
      <c r="H18" s="409">
        <f t="shared" si="3"/>
        <v>1810</v>
      </c>
      <c r="I18" s="409">
        <f t="shared" si="4"/>
        <v>5430</v>
      </c>
      <c r="J18" s="204"/>
      <c r="M18" s="418"/>
      <c r="N18" s="418">
        <f t="shared" ref="N18:N21" si="8">I18</f>
        <v>5430</v>
      </c>
      <c r="O18" s="418"/>
      <c r="P18" s="418"/>
      <c r="Q18" s="418"/>
      <c r="R18" s="418"/>
      <c r="S18" s="418"/>
    </row>
    <row r="19" spans="1:19" ht="55.65">
      <c r="A19" s="413">
        <v>1</v>
      </c>
      <c r="B19" s="413" t="s">
        <v>517</v>
      </c>
      <c r="C19" s="420" t="s">
        <v>540</v>
      </c>
      <c r="D19" s="413" t="s">
        <v>1221</v>
      </c>
      <c r="E19" s="420" t="s">
        <v>1485</v>
      </c>
      <c r="F19" s="421">
        <v>1031.97</v>
      </c>
      <c r="G19" s="410"/>
      <c r="H19" s="409">
        <f t="shared" si="3"/>
        <v>1031.97</v>
      </c>
      <c r="I19" s="409">
        <f t="shared" si="4"/>
        <v>1031.97</v>
      </c>
      <c r="J19" s="204"/>
      <c r="M19" s="418"/>
      <c r="N19" s="418">
        <f t="shared" si="8"/>
        <v>1031.97</v>
      </c>
      <c r="O19" s="418"/>
      <c r="P19" s="418"/>
      <c r="Q19" s="418"/>
      <c r="R19" s="418"/>
      <c r="S19" s="418"/>
    </row>
    <row r="20" spans="1:19" ht="33.4">
      <c r="A20" s="413">
        <v>3</v>
      </c>
      <c r="B20" s="413" t="s">
        <v>517</v>
      </c>
      <c r="C20" s="420" t="s">
        <v>540</v>
      </c>
      <c r="D20" s="413" t="s">
        <v>990</v>
      </c>
      <c r="E20" s="420" t="s">
        <v>991</v>
      </c>
      <c r="F20" s="421">
        <v>33.21</v>
      </c>
      <c r="G20" s="410"/>
      <c r="H20" s="409">
        <f t="shared" si="3"/>
        <v>33.21</v>
      </c>
      <c r="I20" s="409">
        <f t="shared" si="4"/>
        <v>99.63</v>
      </c>
      <c r="J20" s="204"/>
      <c r="M20" s="418"/>
      <c r="N20" s="418">
        <f t="shared" si="8"/>
        <v>99.63</v>
      </c>
      <c r="O20" s="418"/>
      <c r="P20" s="418"/>
      <c r="Q20" s="418"/>
      <c r="R20" s="418"/>
      <c r="S20" s="418"/>
    </row>
    <row r="21" spans="1:19" ht="33.4">
      <c r="A21" s="413">
        <v>1</v>
      </c>
      <c r="B21" s="413" t="s">
        <v>517</v>
      </c>
      <c r="C21" s="420" t="s">
        <v>540</v>
      </c>
      <c r="D21" s="413" t="s">
        <v>998</v>
      </c>
      <c r="E21" s="420" t="s">
        <v>999</v>
      </c>
      <c r="F21" s="421">
        <v>116.67</v>
      </c>
      <c r="G21" s="410"/>
      <c r="H21" s="409">
        <f t="shared" si="3"/>
        <v>116.67</v>
      </c>
      <c r="I21" s="409">
        <f t="shared" si="4"/>
        <v>116.67</v>
      </c>
      <c r="J21" s="204"/>
      <c r="M21" s="418"/>
      <c r="N21" s="418">
        <f t="shared" si="8"/>
        <v>116.67</v>
      </c>
      <c r="O21" s="418"/>
      <c r="P21" s="418"/>
      <c r="Q21" s="418"/>
      <c r="R21" s="418"/>
      <c r="S21" s="418"/>
    </row>
    <row r="22" spans="1:19" ht="33.4">
      <c r="A22" s="413">
        <v>26</v>
      </c>
      <c r="B22" s="413" t="s">
        <v>517</v>
      </c>
      <c r="C22" s="420" t="s">
        <v>540</v>
      </c>
      <c r="D22" s="413" t="s">
        <v>761</v>
      </c>
      <c r="E22" s="420" t="s">
        <v>762</v>
      </c>
      <c r="F22" s="421">
        <v>2.5</v>
      </c>
      <c r="G22" s="410"/>
      <c r="H22" s="409">
        <f t="shared" si="3"/>
        <v>2.5</v>
      </c>
      <c r="I22" s="409">
        <f t="shared" si="4"/>
        <v>65</v>
      </c>
      <c r="J22" s="204"/>
      <c r="M22" s="418"/>
      <c r="N22" s="418"/>
      <c r="O22" s="418"/>
      <c r="P22" s="418"/>
      <c r="Q22" s="418"/>
      <c r="R22" s="418">
        <f t="shared" si="5"/>
        <v>65</v>
      </c>
      <c r="S22" s="418"/>
    </row>
    <row r="23" spans="1:19" ht="35.85" customHeight="1">
      <c r="A23" s="413">
        <v>1</v>
      </c>
      <c r="B23" s="413" t="s">
        <v>517</v>
      </c>
      <c r="C23" s="420" t="s">
        <v>540</v>
      </c>
      <c r="D23" s="413" t="s">
        <v>978</v>
      </c>
      <c r="E23" s="420" t="s">
        <v>979</v>
      </c>
      <c r="F23" s="421">
        <v>564.44000000000005</v>
      </c>
      <c r="G23" s="410"/>
      <c r="H23" s="409">
        <f t="shared" si="3"/>
        <v>564.44000000000005</v>
      </c>
      <c r="I23" s="409">
        <f t="shared" si="4"/>
        <v>564.44000000000005</v>
      </c>
      <c r="J23" s="1054"/>
      <c r="K23" s="1054"/>
      <c r="L23" s="1054"/>
      <c r="M23" s="418"/>
      <c r="N23" s="418"/>
      <c r="O23" s="418"/>
      <c r="P23" s="418"/>
      <c r="Q23" s="418"/>
      <c r="R23" s="418">
        <f t="shared" si="5"/>
        <v>564.44000000000005</v>
      </c>
      <c r="S23" s="418"/>
    </row>
    <row r="24" spans="1:19">
      <c r="A24" s="407"/>
      <c r="B24" s="407"/>
      <c r="C24" s="408"/>
      <c r="D24" s="407"/>
      <c r="E24" s="408"/>
      <c r="F24" s="409"/>
      <c r="G24" s="410"/>
      <c r="H24" s="409">
        <f t="shared" si="3"/>
        <v>0</v>
      </c>
      <c r="I24" s="409">
        <f t="shared" si="4"/>
        <v>0</v>
      </c>
      <c r="J24" s="204"/>
      <c r="M24" s="418"/>
      <c r="N24" s="418"/>
      <c r="O24" s="418"/>
      <c r="P24" s="418"/>
      <c r="Q24" s="418"/>
      <c r="R24" s="418">
        <f t="shared" si="5"/>
        <v>0</v>
      </c>
      <c r="S24" s="418"/>
    </row>
    <row r="25" spans="1:19" ht="22.25">
      <c r="A25" s="407">
        <v>1</v>
      </c>
      <c r="B25" s="407" t="s">
        <v>522</v>
      </c>
      <c r="C25" s="408" t="s">
        <v>531</v>
      </c>
      <c r="D25" s="407"/>
      <c r="E25" s="408" t="s">
        <v>695</v>
      </c>
      <c r="F25" s="409">
        <v>100</v>
      </c>
      <c r="G25" s="410"/>
      <c r="H25" s="409">
        <f t="shared" si="3"/>
        <v>100</v>
      </c>
      <c r="I25" s="409">
        <f t="shared" si="4"/>
        <v>100</v>
      </c>
      <c r="J25" s="204"/>
      <c r="M25" s="418"/>
      <c r="N25" s="418"/>
      <c r="O25" s="418">
        <f t="shared" si="7"/>
        <v>100</v>
      </c>
      <c r="P25" s="418"/>
      <c r="Q25" s="418"/>
      <c r="R25" s="418"/>
      <c r="S25" s="418"/>
    </row>
    <row r="26" spans="1:19" ht="33.4">
      <c r="A26" s="413">
        <v>1</v>
      </c>
      <c r="B26" s="413" t="s">
        <v>517</v>
      </c>
      <c r="C26" s="420" t="s">
        <v>540</v>
      </c>
      <c r="D26" s="413" t="s">
        <v>769</v>
      </c>
      <c r="E26" s="420" t="s">
        <v>567</v>
      </c>
      <c r="F26" s="421">
        <v>750</v>
      </c>
      <c r="G26" s="410"/>
      <c r="H26" s="409">
        <f t="shared" si="3"/>
        <v>750</v>
      </c>
      <c r="I26" s="409">
        <f t="shared" si="4"/>
        <v>750</v>
      </c>
      <c r="J26" s="204"/>
      <c r="M26" s="418">
        <f>F26</f>
        <v>750</v>
      </c>
      <c r="N26" s="418"/>
      <c r="O26" s="418"/>
      <c r="P26" s="418"/>
      <c r="Q26" s="418"/>
      <c r="R26" s="418"/>
      <c r="S26" s="418"/>
    </row>
    <row r="27" spans="1:19" ht="44.55">
      <c r="A27" s="413">
        <v>30</v>
      </c>
      <c r="B27" s="407" t="s">
        <v>539</v>
      </c>
      <c r="C27" s="408" t="s">
        <v>552</v>
      </c>
      <c r="D27" s="407"/>
      <c r="E27" s="407" t="s">
        <v>1057</v>
      </c>
      <c r="F27" s="409">
        <v>26.45</v>
      </c>
      <c r="G27" s="428"/>
      <c r="H27" s="409">
        <f t="shared" si="3"/>
        <v>26.45</v>
      </c>
      <c r="I27" s="409">
        <f t="shared" si="4"/>
        <v>793.5</v>
      </c>
      <c r="J27" s="491" t="s">
        <v>756</v>
      </c>
      <c r="M27" s="418"/>
      <c r="N27" s="418"/>
      <c r="O27" s="418">
        <f t="shared" si="7"/>
        <v>793.5</v>
      </c>
      <c r="P27" s="418"/>
      <c r="Q27" s="418"/>
      <c r="R27" s="418"/>
      <c r="S27" s="418"/>
    </row>
    <row r="28" spans="1:19" ht="44.55">
      <c r="A28" s="407">
        <v>0</v>
      </c>
      <c r="B28" s="407" t="s">
        <v>517</v>
      </c>
      <c r="C28" s="408" t="s">
        <v>569</v>
      </c>
      <c r="D28" s="407" t="s">
        <v>570</v>
      </c>
      <c r="E28" s="408" t="s">
        <v>571</v>
      </c>
      <c r="F28" s="409">
        <v>1040</v>
      </c>
      <c r="G28" s="429">
        <v>0.48</v>
      </c>
      <c r="H28" s="430">
        <f t="shared" si="3"/>
        <v>540.80000000000007</v>
      </c>
      <c r="I28" s="409">
        <f t="shared" si="4"/>
        <v>0</v>
      </c>
      <c r="J28" s="204"/>
      <c r="M28" s="418"/>
      <c r="N28" s="418"/>
      <c r="O28" s="418"/>
      <c r="P28" s="418"/>
      <c r="Q28" s="418"/>
      <c r="R28" s="418"/>
      <c r="S28" s="418">
        <f t="shared" ref="S28:S32" si="9">I28</f>
        <v>0</v>
      </c>
    </row>
    <row r="29" spans="1:19" ht="44.55">
      <c r="A29" s="407">
        <v>1</v>
      </c>
      <c r="B29" s="407" t="s">
        <v>517</v>
      </c>
      <c r="C29" s="492" t="s">
        <v>569</v>
      </c>
      <c r="D29" s="487" t="s">
        <v>572</v>
      </c>
      <c r="E29" s="492" t="s">
        <v>573</v>
      </c>
      <c r="F29" s="430">
        <v>1190</v>
      </c>
      <c r="G29" s="429">
        <v>0.48</v>
      </c>
      <c r="H29" s="430">
        <f t="shared" si="3"/>
        <v>618.80000000000007</v>
      </c>
      <c r="I29" s="409">
        <f t="shared" si="4"/>
        <v>618.80000000000007</v>
      </c>
      <c r="J29" s="204"/>
      <c r="M29" s="418"/>
      <c r="N29" s="418"/>
      <c r="O29" s="418"/>
      <c r="P29" s="418"/>
      <c r="Q29" s="418"/>
      <c r="R29" s="418"/>
      <c r="S29" s="418">
        <f t="shared" si="9"/>
        <v>618.80000000000007</v>
      </c>
    </row>
    <row r="30" spans="1:19">
      <c r="A30" s="407">
        <v>3</v>
      </c>
      <c r="B30" s="407" t="s">
        <v>517</v>
      </c>
      <c r="C30" s="408" t="s">
        <v>574</v>
      </c>
      <c r="D30" s="407" t="s">
        <v>575</v>
      </c>
      <c r="E30" s="407" t="s">
        <v>576</v>
      </c>
      <c r="F30" s="409">
        <v>36.700000000000003</v>
      </c>
      <c r="G30" s="410"/>
      <c r="H30" s="409">
        <f t="shared" si="3"/>
        <v>36.700000000000003</v>
      </c>
      <c r="I30" s="409">
        <f t="shared" si="4"/>
        <v>110.10000000000001</v>
      </c>
      <c r="J30" s="204"/>
      <c r="M30" s="418"/>
      <c r="N30" s="418"/>
      <c r="O30" s="418"/>
      <c r="P30" s="418"/>
      <c r="Q30" s="418"/>
      <c r="R30" s="418"/>
      <c r="S30" s="418">
        <f t="shared" si="9"/>
        <v>110.10000000000001</v>
      </c>
    </row>
    <row r="31" spans="1:19">
      <c r="A31" s="407">
        <v>5</v>
      </c>
      <c r="B31" s="407" t="s">
        <v>517</v>
      </c>
      <c r="C31" s="408" t="s">
        <v>574</v>
      </c>
      <c r="D31" s="407" t="s">
        <v>577</v>
      </c>
      <c r="E31" s="407" t="s">
        <v>578</v>
      </c>
      <c r="F31" s="409">
        <v>75</v>
      </c>
      <c r="G31" s="410"/>
      <c r="H31" s="409">
        <f t="shared" si="3"/>
        <v>75</v>
      </c>
      <c r="I31" s="409">
        <f t="shared" si="4"/>
        <v>375</v>
      </c>
      <c r="J31" s="204"/>
      <c r="M31" s="418"/>
      <c r="N31" s="418"/>
      <c r="O31" s="418"/>
      <c r="P31" s="418"/>
      <c r="Q31" s="418"/>
      <c r="R31" s="418"/>
      <c r="S31" s="418">
        <f t="shared" si="9"/>
        <v>375</v>
      </c>
    </row>
    <row r="32" spans="1:19">
      <c r="A32" s="407">
        <v>1</v>
      </c>
      <c r="B32" s="407" t="s">
        <v>517</v>
      </c>
      <c r="C32" s="408" t="s">
        <v>574</v>
      </c>
      <c r="D32" s="407"/>
      <c r="E32" s="407" t="s">
        <v>579</v>
      </c>
      <c r="F32" s="409">
        <f>35/4</f>
        <v>8.75</v>
      </c>
      <c r="G32" s="410"/>
      <c r="H32" s="409">
        <f t="shared" si="3"/>
        <v>8.75</v>
      </c>
      <c r="I32" s="409">
        <f t="shared" si="4"/>
        <v>8.75</v>
      </c>
      <c r="J32" s="204"/>
      <c r="M32" s="418"/>
      <c r="N32" s="418"/>
      <c r="O32" s="418"/>
      <c r="P32" s="418"/>
      <c r="Q32" s="418"/>
      <c r="R32" s="418"/>
      <c r="S32" s="418">
        <f t="shared" si="9"/>
        <v>8.75</v>
      </c>
    </row>
    <row r="33" spans="1:19" ht="12.45">
      <c r="A33" s="407"/>
      <c r="B33" s="407"/>
      <c r="C33" s="408"/>
      <c r="D33" s="407"/>
      <c r="E33" s="431"/>
      <c r="F33" s="409"/>
      <c r="G33" s="410"/>
      <c r="H33" s="409"/>
      <c r="I33" s="409"/>
      <c r="J33" s="204"/>
      <c r="M33" s="418"/>
      <c r="N33" s="418"/>
      <c r="O33" s="418"/>
      <c r="P33" s="418"/>
      <c r="Q33" s="418"/>
      <c r="R33" s="418"/>
      <c r="S33" s="418"/>
    </row>
    <row r="34" spans="1:19">
      <c r="A34" s="407"/>
      <c r="B34" s="407"/>
      <c r="C34" s="408"/>
      <c r="D34" s="407"/>
      <c r="E34" s="407"/>
      <c r="F34" s="409"/>
      <c r="G34" s="410"/>
      <c r="H34" s="409"/>
      <c r="I34" s="409"/>
      <c r="J34" s="204"/>
      <c r="M34" s="418"/>
      <c r="N34" s="418"/>
      <c r="O34" s="418"/>
      <c r="P34" s="418"/>
      <c r="Q34" s="418"/>
      <c r="R34" s="418"/>
      <c r="S34" s="418"/>
    </row>
    <row r="35" spans="1:19">
      <c r="A35" s="407"/>
      <c r="B35" s="407"/>
      <c r="C35" s="408"/>
      <c r="D35" s="407"/>
      <c r="E35" s="432" t="s">
        <v>580</v>
      </c>
      <c r="F35" s="409"/>
      <c r="G35" s="410"/>
      <c r="H35" s="409"/>
      <c r="I35" s="421">
        <f>SUM(I4:I33)</f>
        <v>42334.239999999998</v>
      </c>
      <c r="J35" s="204"/>
      <c r="M35" s="418">
        <f>SUM(M4:M33)</f>
        <v>29214.559999999998</v>
      </c>
      <c r="N35" s="418">
        <f>SUM(N4:N33)</f>
        <v>6678.27</v>
      </c>
      <c r="O35" s="418">
        <f>SUM(O4:O33)</f>
        <v>2157.86</v>
      </c>
      <c r="P35" s="418"/>
      <c r="Q35" s="418"/>
      <c r="R35" s="418">
        <f>SUM(R4:R33)</f>
        <v>3170.8999999999996</v>
      </c>
      <c r="S35" s="418">
        <f>SUM(S4:S33)</f>
        <v>1112.6500000000001</v>
      </c>
    </row>
    <row r="36" spans="1:19">
      <c r="A36" s="407"/>
      <c r="B36" s="407"/>
      <c r="C36" s="408"/>
      <c r="D36" s="407"/>
      <c r="E36" s="413" t="s">
        <v>581</v>
      </c>
      <c r="F36" s="409"/>
      <c r="G36" s="410">
        <v>0.25</v>
      </c>
      <c r="H36" s="409"/>
      <c r="I36" s="421"/>
      <c r="J36" s="204"/>
      <c r="M36" s="418"/>
      <c r="N36" s="418"/>
      <c r="O36" s="418"/>
      <c r="P36" s="418"/>
      <c r="Q36" s="418"/>
      <c r="R36" s="418"/>
      <c r="S36" s="418"/>
    </row>
    <row r="37" spans="1:19" ht="15.75">
      <c r="E37" s="433" t="s">
        <v>582</v>
      </c>
      <c r="F37" s="418"/>
      <c r="G37" s="434"/>
      <c r="H37" s="418"/>
      <c r="I37" s="435">
        <f>I35*(1+$G$36)</f>
        <v>52917.799999999996</v>
      </c>
      <c r="J37" s="436"/>
      <c r="K37" s="437"/>
      <c r="L37" s="437"/>
      <c r="M37" s="438">
        <f>M35*(1+$G$36)</f>
        <v>36518.199999999997</v>
      </c>
      <c r="N37" s="438">
        <f>N35*(1+$G$36)</f>
        <v>8347.8375000000015</v>
      </c>
      <c r="O37" s="438">
        <f>O35*(1+$G$36)</f>
        <v>2697.3250000000003</v>
      </c>
      <c r="P37" s="418"/>
      <c r="Q37" s="418"/>
      <c r="R37" s="438">
        <f>R35*(1+$G$36)</f>
        <v>3963.6249999999995</v>
      </c>
      <c r="S37" s="438">
        <f>S35*(1+$G$36)</f>
        <v>1390.8125</v>
      </c>
    </row>
    <row r="40" spans="1:19">
      <c r="E40" s="439" t="s">
        <v>585</v>
      </c>
    </row>
    <row r="41" spans="1:19">
      <c r="A41" s="441">
        <v>16</v>
      </c>
      <c r="B41" s="17" t="s">
        <v>619</v>
      </c>
      <c r="E41" s="17" t="s">
        <v>586</v>
      </c>
      <c r="F41" s="403">
        <f t="shared" ref="F41:F57" si="10">F$61</f>
        <v>55</v>
      </c>
      <c r="H41" s="403">
        <f t="shared" si="3"/>
        <v>55</v>
      </c>
      <c r="I41" s="403">
        <f t="shared" ref="I41:I63" si="11">A41*H41</f>
        <v>880</v>
      </c>
    </row>
    <row r="42" spans="1:19">
      <c r="A42" s="441">
        <f>A6/120*8*2</f>
        <v>36.93333333333333</v>
      </c>
      <c r="B42" s="17" t="s">
        <v>619</v>
      </c>
      <c r="E42" s="17" t="s">
        <v>589</v>
      </c>
      <c r="F42" s="403">
        <f t="shared" si="10"/>
        <v>55</v>
      </c>
      <c r="H42" s="403">
        <f t="shared" si="3"/>
        <v>55</v>
      </c>
      <c r="I42" s="403">
        <f t="shared" si="11"/>
        <v>2031.3333333333333</v>
      </c>
      <c r="J42" s="17" t="s">
        <v>592</v>
      </c>
    </row>
    <row r="43" spans="1:19">
      <c r="A43" s="441">
        <v>8</v>
      </c>
      <c r="B43" s="17" t="s">
        <v>619</v>
      </c>
      <c r="E43" s="17" t="s">
        <v>1426</v>
      </c>
      <c r="F43" s="403">
        <f t="shared" si="10"/>
        <v>55</v>
      </c>
      <c r="H43" s="403">
        <f t="shared" si="3"/>
        <v>55</v>
      </c>
      <c r="I43" s="403">
        <f t="shared" si="11"/>
        <v>440</v>
      </c>
      <c r="J43" s="17" t="s">
        <v>1486</v>
      </c>
    </row>
    <row r="44" spans="1:19">
      <c r="A44" s="441">
        <f>A6/120*16*2</f>
        <v>73.86666666666666</v>
      </c>
      <c r="B44" s="17" t="s">
        <v>619</v>
      </c>
      <c r="E44" s="17" t="s">
        <v>591</v>
      </c>
      <c r="F44" s="403">
        <f t="shared" si="10"/>
        <v>55</v>
      </c>
      <c r="H44" s="403">
        <f t="shared" si="3"/>
        <v>55</v>
      </c>
      <c r="I44" s="403">
        <f t="shared" si="11"/>
        <v>4062.6666666666665</v>
      </c>
      <c r="J44" s="17" t="s">
        <v>592</v>
      </c>
    </row>
    <row r="45" spans="1:19">
      <c r="A45" s="441">
        <v>4</v>
      </c>
      <c r="B45" s="17" t="s">
        <v>619</v>
      </c>
      <c r="E45" s="17" t="s">
        <v>1428</v>
      </c>
      <c r="F45" s="403">
        <f t="shared" si="10"/>
        <v>55</v>
      </c>
      <c r="H45" s="403">
        <f t="shared" si="3"/>
        <v>55</v>
      </c>
      <c r="I45" s="403">
        <f t="shared" si="11"/>
        <v>220</v>
      </c>
    </row>
    <row r="46" spans="1:19">
      <c r="A46" s="441">
        <v>4</v>
      </c>
      <c r="B46" s="17" t="s">
        <v>619</v>
      </c>
      <c r="E46" s="17" t="s">
        <v>1429</v>
      </c>
      <c r="F46" s="403">
        <f t="shared" si="10"/>
        <v>55</v>
      </c>
      <c r="H46" s="403">
        <f t="shared" si="3"/>
        <v>55</v>
      </c>
      <c r="I46" s="403">
        <f t="shared" si="11"/>
        <v>220</v>
      </c>
    </row>
    <row r="47" spans="1:19">
      <c r="A47" s="441">
        <v>8</v>
      </c>
      <c r="B47" s="17" t="s">
        <v>619</v>
      </c>
      <c r="E47" s="17" t="s">
        <v>605</v>
      </c>
      <c r="F47" s="403">
        <f t="shared" si="10"/>
        <v>55</v>
      </c>
      <c r="H47" s="403">
        <f t="shared" si="3"/>
        <v>55</v>
      </c>
      <c r="I47" s="403">
        <f t="shared" si="11"/>
        <v>440</v>
      </c>
      <c r="J47" s="17" t="s">
        <v>1487</v>
      </c>
    </row>
    <row r="48" spans="1:19">
      <c r="A48" s="441">
        <v>4</v>
      </c>
      <c r="B48" s="17" t="s">
        <v>619</v>
      </c>
      <c r="E48" s="17" t="s">
        <v>607</v>
      </c>
      <c r="F48" s="403">
        <f t="shared" si="10"/>
        <v>55</v>
      </c>
      <c r="H48" s="403">
        <f t="shared" si="3"/>
        <v>55</v>
      </c>
      <c r="I48" s="403">
        <f t="shared" si="11"/>
        <v>220</v>
      </c>
      <c r="J48" s="17" t="s">
        <v>608</v>
      </c>
    </row>
    <row r="49" spans="1:10">
      <c r="A49" s="441">
        <v>0.5</v>
      </c>
      <c r="B49" s="17" t="s">
        <v>619</v>
      </c>
      <c r="E49" s="17" t="s">
        <v>609</v>
      </c>
      <c r="F49" s="403">
        <f t="shared" si="10"/>
        <v>55</v>
      </c>
      <c r="H49" s="403">
        <f t="shared" si="3"/>
        <v>55</v>
      </c>
      <c r="I49" s="403">
        <f t="shared" si="11"/>
        <v>27.5</v>
      </c>
    </row>
    <row r="50" spans="1:10">
      <c r="A50" s="441">
        <v>16</v>
      </c>
      <c r="B50" s="17" t="s">
        <v>619</v>
      </c>
      <c r="E50" s="17" t="s">
        <v>610</v>
      </c>
      <c r="F50" s="403">
        <f t="shared" si="10"/>
        <v>55</v>
      </c>
      <c r="H50" s="403">
        <f t="shared" si="3"/>
        <v>55</v>
      </c>
      <c r="I50" s="403">
        <f t="shared" si="11"/>
        <v>880</v>
      </c>
    </row>
    <row r="51" spans="1:10">
      <c r="A51" s="441">
        <v>1</v>
      </c>
      <c r="B51" s="17" t="s">
        <v>619</v>
      </c>
      <c r="E51" s="17" t="s">
        <v>611</v>
      </c>
      <c r="F51" s="403">
        <f t="shared" si="10"/>
        <v>55</v>
      </c>
      <c r="H51" s="403">
        <f t="shared" si="3"/>
        <v>55</v>
      </c>
      <c r="I51" s="403">
        <f t="shared" si="11"/>
        <v>55</v>
      </c>
    </row>
    <row r="52" spans="1:10">
      <c r="A52" s="441">
        <v>1</v>
      </c>
      <c r="B52" s="17" t="s">
        <v>619</v>
      </c>
      <c r="E52" s="17" t="s">
        <v>1431</v>
      </c>
      <c r="F52" s="403">
        <f t="shared" si="10"/>
        <v>55</v>
      </c>
      <c r="H52" s="403">
        <f t="shared" si="3"/>
        <v>55</v>
      </c>
      <c r="I52" s="403">
        <f t="shared" si="11"/>
        <v>55</v>
      </c>
    </row>
    <row r="53" spans="1:10">
      <c r="A53" s="441">
        <f>3*2</f>
        <v>6</v>
      </c>
      <c r="B53" s="17" t="s">
        <v>619</v>
      </c>
      <c r="E53" s="17" t="s">
        <v>612</v>
      </c>
      <c r="F53" s="403">
        <f t="shared" si="10"/>
        <v>55</v>
      </c>
      <c r="H53" s="403">
        <f t="shared" si="3"/>
        <v>55</v>
      </c>
      <c r="I53" s="403">
        <f t="shared" si="11"/>
        <v>330</v>
      </c>
      <c r="J53" s="17" t="s">
        <v>613</v>
      </c>
    </row>
    <row r="54" spans="1:10">
      <c r="A54" s="441">
        <f>A41</f>
        <v>16</v>
      </c>
      <c r="B54" s="17" t="s">
        <v>619</v>
      </c>
      <c r="E54" s="17" t="s">
        <v>614</v>
      </c>
      <c r="F54" s="403">
        <f t="shared" si="10"/>
        <v>55</v>
      </c>
      <c r="H54" s="403">
        <f t="shared" si="3"/>
        <v>55</v>
      </c>
      <c r="I54" s="403">
        <f t="shared" si="11"/>
        <v>880</v>
      </c>
    </row>
    <row r="55" spans="1:10">
      <c r="A55" s="441">
        <v>4</v>
      </c>
      <c r="B55" s="17" t="s">
        <v>619</v>
      </c>
      <c r="E55" s="17" t="s">
        <v>615</v>
      </c>
      <c r="F55" s="403">
        <f t="shared" si="10"/>
        <v>55</v>
      </c>
      <c r="H55" s="403">
        <f t="shared" si="3"/>
        <v>55</v>
      </c>
      <c r="I55" s="403">
        <f t="shared" si="11"/>
        <v>220</v>
      </c>
    </row>
    <row r="56" spans="1:10">
      <c r="A56" s="441">
        <v>4</v>
      </c>
      <c r="B56" s="17" t="s">
        <v>619</v>
      </c>
      <c r="E56" s="17" t="s">
        <v>616</v>
      </c>
      <c r="F56" s="403">
        <f t="shared" si="10"/>
        <v>55</v>
      </c>
      <c r="H56" s="403">
        <f t="shared" si="3"/>
        <v>55</v>
      </c>
      <c r="I56" s="403">
        <f t="shared" si="11"/>
        <v>220</v>
      </c>
    </row>
    <row r="57" spans="1:10">
      <c r="A57" s="745">
        <f>30*0.25</f>
        <v>7.5</v>
      </c>
      <c r="B57" s="442" t="s">
        <v>619</v>
      </c>
      <c r="C57" s="446"/>
      <c r="D57" s="442"/>
      <c r="E57" s="17" t="s">
        <v>617</v>
      </c>
      <c r="F57" s="443">
        <f t="shared" si="10"/>
        <v>55</v>
      </c>
      <c r="G57" s="444"/>
      <c r="H57" s="443">
        <f t="shared" si="3"/>
        <v>55</v>
      </c>
      <c r="I57" s="443">
        <f t="shared" si="11"/>
        <v>412.5</v>
      </c>
      <c r="J57" s="17" t="s">
        <v>618</v>
      </c>
    </row>
    <row r="59" spans="1:10">
      <c r="A59" s="17">
        <f>SUM(A41:A58)</f>
        <v>210.79999999999998</v>
      </c>
      <c r="B59" s="17" t="s">
        <v>619</v>
      </c>
      <c r="E59" s="17" t="s">
        <v>620</v>
      </c>
    </row>
    <row r="60" spans="1:10">
      <c r="A60" s="441">
        <v>3</v>
      </c>
      <c r="B60" s="17" t="s">
        <v>517</v>
      </c>
      <c r="E60" s="17" t="s">
        <v>621</v>
      </c>
    </row>
    <row r="61" spans="1:10">
      <c r="A61" s="17">
        <v>1</v>
      </c>
      <c r="B61" s="17" t="s">
        <v>517</v>
      </c>
      <c r="E61" s="17" t="s">
        <v>622</v>
      </c>
      <c r="F61" s="445">
        <v>55</v>
      </c>
      <c r="H61" s="403">
        <f t="shared" si="3"/>
        <v>55</v>
      </c>
      <c r="I61" s="403">
        <f t="shared" si="11"/>
        <v>55</v>
      </c>
      <c r="J61" s="17" t="s">
        <v>623</v>
      </c>
    </row>
    <row r="62" spans="1:10">
      <c r="A62" s="17">
        <f>ROUNDUP(A59/8/A60,0)</f>
        <v>9</v>
      </c>
      <c r="B62" s="17" t="s">
        <v>624</v>
      </c>
      <c r="E62" s="17" t="s">
        <v>625</v>
      </c>
      <c r="F62" s="403">
        <f>A60*8*F61</f>
        <v>1320</v>
      </c>
      <c r="H62" s="403">
        <f t="shared" si="3"/>
        <v>1320</v>
      </c>
      <c r="I62" s="403">
        <f t="shared" si="11"/>
        <v>11880</v>
      </c>
    </row>
    <row r="63" spans="1:10">
      <c r="A63" s="441">
        <v>1</v>
      </c>
      <c r="B63" s="442" t="s">
        <v>517</v>
      </c>
      <c r="C63" s="446"/>
      <c r="D63" s="442"/>
      <c r="E63" s="442" t="s">
        <v>626</v>
      </c>
      <c r="F63" s="447">
        <v>500</v>
      </c>
      <c r="G63" s="444"/>
      <c r="H63" s="403">
        <v>1000</v>
      </c>
      <c r="I63" s="403">
        <f t="shared" si="11"/>
        <v>1000</v>
      </c>
      <c r="J63" s="17" t="s">
        <v>627</v>
      </c>
    </row>
    <row r="64" spans="1:10">
      <c r="A64" s="441"/>
      <c r="F64" s="447"/>
      <c r="H64" s="403"/>
      <c r="I64" s="403"/>
    </row>
    <row r="65" spans="1:16">
      <c r="A65" s="441"/>
      <c r="F65" s="447"/>
      <c r="H65" s="403"/>
      <c r="I65" s="403"/>
    </row>
    <row r="66" spans="1:16" ht="15.75">
      <c r="E66" s="439" t="s">
        <v>628</v>
      </c>
      <c r="I66" s="443">
        <f>SUM(I62:I65)</f>
        <v>12880</v>
      </c>
      <c r="P66" s="438">
        <f>I66</f>
        <v>12880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2">A81*H81</f>
        <v>0</v>
      </c>
      <c r="J81" s="459" t="s">
        <v>638</v>
      </c>
      <c r="K81" s="460" t="s">
        <v>639</v>
      </c>
    </row>
    <row r="82" spans="1:12" ht="12.8" customHeight="1">
      <c r="A82" s="461">
        <v>0</v>
      </c>
      <c r="B82" s="453" t="s">
        <v>517</v>
      </c>
      <c r="C82" s="453" t="s">
        <v>538</v>
      </c>
      <c r="D82" s="462" t="s">
        <v>640</v>
      </c>
      <c r="E82" s="453" t="s">
        <v>641</v>
      </c>
      <c r="F82" s="463">
        <v>1949</v>
      </c>
      <c r="G82" s="457"/>
      <c r="H82" s="458">
        <f t="shared" ref="H82:H96" si="13">F82*(1-$G$77)</f>
        <v>1169.3999999999999</v>
      </c>
      <c r="I82" s="458">
        <f t="shared" si="12"/>
        <v>0</v>
      </c>
      <c r="J82" s="459" t="s">
        <v>638</v>
      </c>
      <c r="K82" s="1051" t="s">
        <v>642</v>
      </c>
    </row>
    <row r="83" spans="1:12" ht="24.9">
      <c r="A83" s="452">
        <v>0</v>
      </c>
      <c r="B83" s="453" t="s">
        <v>539</v>
      </c>
      <c r="C83" s="453" t="s">
        <v>538</v>
      </c>
      <c r="D83" s="462" t="s">
        <v>643</v>
      </c>
      <c r="E83" s="453" t="s">
        <v>641</v>
      </c>
      <c r="F83" s="463">
        <v>80</v>
      </c>
      <c r="G83" s="457"/>
      <c r="H83" s="458">
        <f t="shared" si="13"/>
        <v>48</v>
      </c>
      <c r="I83" s="458">
        <f t="shared" si="12"/>
        <v>0</v>
      </c>
      <c r="J83" s="459" t="s">
        <v>638</v>
      </c>
      <c r="K83" s="1051"/>
    </row>
    <row r="84" spans="1:12" ht="12.8" customHeight="1">
      <c r="A84" s="461">
        <v>0</v>
      </c>
      <c r="B84" s="453" t="s">
        <v>517</v>
      </c>
      <c r="C84" s="453" t="s">
        <v>538</v>
      </c>
      <c r="D84" s="464" t="s">
        <v>644</v>
      </c>
      <c r="E84" s="453" t="s">
        <v>645</v>
      </c>
      <c r="F84" s="463">
        <v>10051</v>
      </c>
      <c r="G84" s="457"/>
      <c r="H84" s="458">
        <f t="shared" si="13"/>
        <v>6030.5999999999995</v>
      </c>
      <c r="I84" s="458">
        <f t="shared" si="12"/>
        <v>0</v>
      </c>
      <c r="J84" s="459" t="s">
        <v>638</v>
      </c>
      <c r="K84" s="1052" t="s">
        <v>646</v>
      </c>
    </row>
    <row r="85" spans="1:12" ht="24.9">
      <c r="A85" s="461">
        <v>0</v>
      </c>
      <c r="B85" s="453" t="s">
        <v>517</v>
      </c>
      <c r="C85" s="453" t="s">
        <v>538</v>
      </c>
      <c r="D85" s="464" t="s">
        <v>644</v>
      </c>
      <c r="E85" s="453" t="s">
        <v>647</v>
      </c>
      <c r="F85" s="463">
        <v>17412</v>
      </c>
      <c r="G85" s="457"/>
      <c r="H85" s="458">
        <f t="shared" si="13"/>
        <v>10447.199999999999</v>
      </c>
      <c r="I85" s="458">
        <f t="shared" si="12"/>
        <v>0</v>
      </c>
      <c r="J85" s="459" t="s">
        <v>638</v>
      </c>
      <c r="K85" s="1052"/>
    </row>
    <row r="86" spans="1:12" ht="12.8" customHeight="1">
      <c r="A86" s="461">
        <v>0</v>
      </c>
      <c r="B86" s="453" t="s">
        <v>517</v>
      </c>
      <c r="C86" s="453" t="s">
        <v>538</v>
      </c>
      <c r="D86" s="465" t="s">
        <v>644</v>
      </c>
      <c r="E86" s="453" t="s">
        <v>648</v>
      </c>
      <c r="F86" s="466">
        <v>2345</v>
      </c>
      <c r="G86" s="457"/>
      <c r="H86" s="458">
        <f t="shared" si="13"/>
        <v>1407</v>
      </c>
      <c r="I86" s="458">
        <f t="shared" si="12"/>
        <v>0</v>
      </c>
      <c r="J86" s="453" t="s">
        <v>649</v>
      </c>
      <c r="K86" s="1049" t="s">
        <v>650</v>
      </c>
    </row>
    <row r="87" spans="1:12" ht="24.9">
      <c r="A87" s="461">
        <v>0</v>
      </c>
      <c r="B87" s="453" t="s">
        <v>517</v>
      </c>
      <c r="C87" s="453" t="s">
        <v>538</v>
      </c>
      <c r="D87" s="465" t="s">
        <v>644</v>
      </c>
      <c r="E87" s="453" t="s">
        <v>651</v>
      </c>
      <c r="F87" s="466">
        <v>3258</v>
      </c>
      <c r="G87" s="457"/>
      <c r="H87" s="458">
        <f t="shared" si="13"/>
        <v>1954.8</v>
      </c>
      <c r="I87" s="458">
        <f t="shared" si="12"/>
        <v>0</v>
      </c>
      <c r="J87" s="453" t="s">
        <v>649</v>
      </c>
      <c r="K87" s="1049"/>
    </row>
    <row r="88" spans="1:12" ht="24.9">
      <c r="A88" s="461">
        <v>0</v>
      </c>
      <c r="B88" s="453" t="s">
        <v>517</v>
      </c>
      <c r="C88" s="453" t="s">
        <v>538</v>
      </c>
      <c r="D88" s="465" t="s">
        <v>644</v>
      </c>
      <c r="E88" s="453" t="s">
        <v>652</v>
      </c>
      <c r="F88" s="463">
        <v>5649</v>
      </c>
      <c r="G88" s="457"/>
      <c r="H88" s="458">
        <f t="shared" si="13"/>
        <v>3389.4</v>
      </c>
      <c r="I88" s="458">
        <f t="shared" si="12"/>
        <v>0</v>
      </c>
      <c r="J88" s="453" t="s">
        <v>649</v>
      </c>
      <c r="K88" s="1049"/>
    </row>
    <row r="89" spans="1:12" ht="24.9">
      <c r="A89" s="461">
        <v>0</v>
      </c>
      <c r="B89" s="453" t="s">
        <v>517</v>
      </c>
      <c r="C89" s="453" t="s">
        <v>538</v>
      </c>
      <c r="D89" s="465" t="s">
        <v>644</v>
      </c>
      <c r="E89" s="453" t="s">
        <v>653</v>
      </c>
      <c r="F89" s="463">
        <v>1488</v>
      </c>
      <c r="G89" s="457"/>
      <c r="H89" s="458">
        <f t="shared" si="13"/>
        <v>892.8</v>
      </c>
      <c r="I89" s="458">
        <f t="shared" si="12"/>
        <v>0</v>
      </c>
      <c r="J89" s="453" t="s">
        <v>649</v>
      </c>
      <c r="K89" s="1049"/>
    </row>
    <row r="90" spans="1:12" ht="24.9">
      <c r="A90" s="461">
        <v>0</v>
      </c>
      <c r="B90" s="453" t="s">
        <v>517</v>
      </c>
      <c r="C90" s="453" t="s">
        <v>538</v>
      </c>
      <c r="D90" s="465" t="s">
        <v>644</v>
      </c>
      <c r="E90" s="453" t="s">
        <v>654</v>
      </c>
      <c r="F90" s="463">
        <v>5269</v>
      </c>
      <c r="G90" s="457"/>
      <c r="H90" s="458">
        <f t="shared" si="13"/>
        <v>3161.4</v>
      </c>
      <c r="I90" s="458">
        <f t="shared" si="12"/>
        <v>0</v>
      </c>
      <c r="J90" s="453" t="s">
        <v>649</v>
      </c>
      <c r="K90" s="1049"/>
    </row>
    <row r="91" spans="1:12" ht="24.9">
      <c r="A91" s="461">
        <v>0</v>
      </c>
      <c r="B91" s="453" t="s">
        <v>517</v>
      </c>
      <c r="C91" s="453" t="s">
        <v>538</v>
      </c>
      <c r="D91" s="465" t="s">
        <v>644</v>
      </c>
      <c r="E91" s="453" t="s">
        <v>655</v>
      </c>
      <c r="F91" s="463">
        <v>3078</v>
      </c>
      <c r="G91" s="457"/>
      <c r="H91" s="458">
        <f t="shared" si="13"/>
        <v>1846.8</v>
      </c>
      <c r="I91" s="458">
        <f t="shared" si="12"/>
        <v>0</v>
      </c>
      <c r="J91" s="453" t="s">
        <v>649</v>
      </c>
      <c r="K91" s="1049"/>
    </row>
    <row r="92" spans="1:12" ht="24.9">
      <c r="A92" s="461">
        <v>0</v>
      </c>
      <c r="B92" s="453" t="s">
        <v>517</v>
      </c>
      <c r="C92" s="453" t="s">
        <v>538</v>
      </c>
      <c r="D92" s="465" t="s">
        <v>644</v>
      </c>
      <c r="E92" s="453" t="s">
        <v>656</v>
      </c>
      <c r="F92" s="463">
        <v>3489</v>
      </c>
      <c r="G92" s="457"/>
      <c r="H92" s="458">
        <f t="shared" si="13"/>
        <v>2093.4</v>
      </c>
      <c r="I92" s="458">
        <f t="shared" si="12"/>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3"/>
        <v>4473.5999999999995</v>
      </c>
      <c r="I94" s="458">
        <f t="shared" si="12"/>
        <v>0</v>
      </c>
      <c r="J94" s="453" t="s">
        <v>649</v>
      </c>
      <c r="K94" s="1049"/>
    </row>
    <row r="95" spans="1:12" ht="24.9">
      <c r="A95" s="461">
        <v>0</v>
      </c>
      <c r="B95" s="453" t="s">
        <v>517</v>
      </c>
      <c r="C95" s="453" t="s">
        <v>538</v>
      </c>
      <c r="D95" s="465" t="s">
        <v>644</v>
      </c>
      <c r="E95" s="453" t="s">
        <v>660</v>
      </c>
      <c r="F95" s="463">
        <v>8494</v>
      </c>
      <c r="G95" s="457"/>
      <c r="H95" s="458">
        <f t="shared" si="13"/>
        <v>5096.3999999999996</v>
      </c>
      <c r="I95" s="458">
        <f t="shared" si="12"/>
        <v>0</v>
      </c>
      <c r="J95" s="453" t="s">
        <v>649</v>
      </c>
      <c r="K95" s="1049"/>
    </row>
    <row r="96" spans="1:12" ht="24.9">
      <c r="A96" s="461">
        <v>0</v>
      </c>
      <c r="B96" s="453" t="s">
        <v>517</v>
      </c>
      <c r="C96" s="453" t="s">
        <v>538</v>
      </c>
      <c r="D96" s="465" t="s">
        <v>644</v>
      </c>
      <c r="E96" s="453" t="s">
        <v>661</v>
      </c>
      <c r="F96" s="463">
        <v>9434</v>
      </c>
      <c r="G96" s="457"/>
      <c r="H96" s="458">
        <f t="shared" si="13"/>
        <v>5660.4</v>
      </c>
      <c r="I96" s="458">
        <f t="shared" si="12"/>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2"/>
        <v>0</v>
      </c>
      <c r="J99" s="453" t="s">
        <v>638</v>
      </c>
      <c r="K99" s="482" t="s">
        <v>666</v>
      </c>
      <c r="L99" s="204"/>
    </row>
    <row r="100" spans="1:12">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33.4" customHeight="1">
      <c r="A103" s="452">
        <v>1</v>
      </c>
      <c r="B103" s="453" t="s">
        <v>517</v>
      </c>
      <c r="C103" s="454" t="s">
        <v>538</v>
      </c>
      <c r="D103" s="455" t="s">
        <v>636</v>
      </c>
      <c r="E103" s="453" t="s">
        <v>668</v>
      </c>
      <c r="F103" s="463">
        <v>3732</v>
      </c>
      <c r="G103" s="457"/>
      <c r="H103" s="458">
        <f>F103*(1-G78)</f>
        <v>2239.1999999999998</v>
      </c>
      <c r="I103" s="458">
        <f t="shared" ref="I103:I124" si="14">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4"/>
        <v>53.22</v>
      </c>
      <c r="J104" s="453" t="s">
        <v>649</v>
      </c>
      <c r="K104" s="1050"/>
      <c r="L104" s="17" t="s">
        <v>672</v>
      </c>
    </row>
    <row r="105" spans="1:12" ht="33.4" customHeight="1">
      <c r="A105" s="461">
        <v>1</v>
      </c>
      <c r="B105" s="453" t="s">
        <v>517</v>
      </c>
      <c r="C105" s="453" t="s">
        <v>538</v>
      </c>
      <c r="D105" s="462" t="s">
        <v>640</v>
      </c>
      <c r="E105" s="453" t="s">
        <v>673</v>
      </c>
      <c r="F105" s="463">
        <v>1968</v>
      </c>
      <c r="G105" s="457"/>
      <c r="H105" s="458">
        <f t="shared" ref="H105:H119" si="15">F105*(1-$G$77)</f>
        <v>1180.8</v>
      </c>
      <c r="I105" s="458">
        <f t="shared" si="14"/>
        <v>1180.8</v>
      </c>
      <c r="J105" s="459" t="s">
        <v>638</v>
      </c>
      <c r="K105" s="1051" t="s">
        <v>642</v>
      </c>
    </row>
    <row r="106" spans="1:12" ht="24.9">
      <c r="A106" s="452">
        <v>32</v>
      </c>
      <c r="B106" s="453" t="s">
        <v>539</v>
      </c>
      <c r="C106" s="453" t="s">
        <v>538</v>
      </c>
      <c r="D106" s="462" t="s">
        <v>643</v>
      </c>
      <c r="E106" s="453" t="s">
        <v>673</v>
      </c>
      <c r="F106" s="463">
        <v>87.9</v>
      </c>
      <c r="G106" s="457"/>
      <c r="H106" s="458">
        <f t="shared" si="15"/>
        <v>52.74</v>
      </c>
      <c r="I106" s="458">
        <f t="shared" si="14"/>
        <v>1687.68</v>
      </c>
      <c r="J106" s="459" t="s">
        <v>638</v>
      </c>
      <c r="K106" s="1051"/>
    </row>
    <row r="107" spans="1:12" ht="33.4" customHeight="1">
      <c r="A107" s="452">
        <v>1</v>
      </c>
      <c r="B107" s="453" t="s">
        <v>517</v>
      </c>
      <c r="C107" s="453" t="s">
        <v>538</v>
      </c>
      <c r="D107" s="464" t="s">
        <v>644</v>
      </c>
      <c r="E107" s="453" t="s">
        <v>645</v>
      </c>
      <c r="F107" s="463">
        <v>10051</v>
      </c>
      <c r="G107" s="457"/>
      <c r="H107" s="458">
        <f t="shared" si="15"/>
        <v>6030.5999999999995</v>
      </c>
      <c r="I107" s="458">
        <f t="shared" si="14"/>
        <v>6030.5999999999995</v>
      </c>
      <c r="J107" s="459" t="s">
        <v>638</v>
      </c>
      <c r="K107" s="1052" t="s">
        <v>646</v>
      </c>
    </row>
    <row r="108" spans="1:12" ht="24.9">
      <c r="A108" s="461">
        <v>0</v>
      </c>
      <c r="B108" s="453" t="s">
        <v>517</v>
      </c>
      <c r="C108" s="453" t="s">
        <v>538</v>
      </c>
      <c r="D108" s="464" t="s">
        <v>644</v>
      </c>
      <c r="E108" s="453" t="s">
        <v>647</v>
      </c>
      <c r="F108" s="463">
        <v>17412</v>
      </c>
      <c r="G108" s="457"/>
      <c r="H108" s="458">
        <f t="shared" si="15"/>
        <v>10447.199999999999</v>
      </c>
      <c r="I108" s="458">
        <f t="shared" si="14"/>
        <v>0</v>
      </c>
      <c r="J108" s="459" t="s">
        <v>638</v>
      </c>
      <c r="K108" s="1052"/>
    </row>
    <row r="109" spans="1:12" ht="33.4" customHeight="1">
      <c r="A109" s="461">
        <v>0</v>
      </c>
      <c r="B109" s="453" t="s">
        <v>517</v>
      </c>
      <c r="C109" s="453" t="s">
        <v>538</v>
      </c>
      <c r="D109" s="465" t="s">
        <v>644</v>
      </c>
      <c r="E109" s="453" t="s">
        <v>648</v>
      </c>
      <c r="F109" s="463">
        <v>2345</v>
      </c>
      <c r="G109" s="457"/>
      <c r="H109" s="458">
        <f t="shared" si="15"/>
        <v>1407</v>
      </c>
      <c r="I109" s="458">
        <f t="shared" si="14"/>
        <v>0</v>
      </c>
      <c r="J109" s="453" t="s">
        <v>649</v>
      </c>
      <c r="K109" s="1049" t="s">
        <v>650</v>
      </c>
    </row>
    <row r="110" spans="1:12" ht="24.9">
      <c r="A110" s="461">
        <v>0</v>
      </c>
      <c r="B110" s="453" t="s">
        <v>517</v>
      </c>
      <c r="C110" s="453" t="s">
        <v>538</v>
      </c>
      <c r="D110" s="465" t="s">
        <v>644</v>
      </c>
      <c r="E110" s="453" t="s">
        <v>651</v>
      </c>
      <c r="F110" s="463">
        <v>3258</v>
      </c>
      <c r="G110" s="457"/>
      <c r="H110" s="458">
        <f t="shared" si="15"/>
        <v>1954.8</v>
      </c>
      <c r="I110" s="458">
        <f t="shared" si="14"/>
        <v>0</v>
      </c>
      <c r="J110" s="453" t="s">
        <v>649</v>
      </c>
      <c r="K110" s="1049"/>
    </row>
    <row r="111" spans="1:12" ht="24.9">
      <c r="A111" s="461">
        <v>0</v>
      </c>
      <c r="B111" s="453" t="s">
        <v>517</v>
      </c>
      <c r="C111" s="453" t="s">
        <v>538</v>
      </c>
      <c r="D111" s="465" t="s">
        <v>644</v>
      </c>
      <c r="E111" s="453" t="s">
        <v>652</v>
      </c>
      <c r="F111" s="463">
        <v>5649</v>
      </c>
      <c r="G111" s="457"/>
      <c r="H111" s="458">
        <f t="shared" si="15"/>
        <v>3389.4</v>
      </c>
      <c r="I111" s="458">
        <f t="shared" si="14"/>
        <v>0</v>
      </c>
      <c r="J111" s="453" t="s">
        <v>649</v>
      </c>
      <c r="K111" s="1049"/>
    </row>
    <row r="112" spans="1:12" ht="24.9">
      <c r="A112" s="461">
        <v>0</v>
      </c>
      <c r="B112" s="453" t="s">
        <v>517</v>
      </c>
      <c r="C112" s="453" t="s">
        <v>538</v>
      </c>
      <c r="D112" s="465" t="s">
        <v>644</v>
      </c>
      <c r="E112" s="453" t="s">
        <v>653</v>
      </c>
      <c r="F112" s="463">
        <v>1488</v>
      </c>
      <c r="G112" s="457"/>
      <c r="H112" s="458">
        <f t="shared" si="15"/>
        <v>892.8</v>
      </c>
      <c r="I112" s="458">
        <f t="shared" si="14"/>
        <v>0</v>
      </c>
      <c r="J112" s="453" t="s">
        <v>649</v>
      </c>
      <c r="K112" s="1049"/>
    </row>
    <row r="113" spans="1:17" ht="24.9">
      <c r="A113" s="461">
        <v>0</v>
      </c>
      <c r="B113" s="453" t="s">
        <v>517</v>
      </c>
      <c r="C113" s="453" t="s">
        <v>538</v>
      </c>
      <c r="D113" s="465" t="s">
        <v>644</v>
      </c>
      <c r="E113" s="453" t="s">
        <v>654</v>
      </c>
      <c r="F113" s="463">
        <v>5269</v>
      </c>
      <c r="G113" s="457"/>
      <c r="H113" s="458">
        <f t="shared" si="15"/>
        <v>3161.4</v>
      </c>
      <c r="I113" s="458">
        <f t="shared" si="14"/>
        <v>0</v>
      </c>
      <c r="J113" s="453" t="s">
        <v>649</v>
      </c>
      <c r="K113" s="1049"/>
    </row>
    <row r="114" spans="1:17" ht="24.9">
      <c r="A114" s="461">
        <v>0</v>
      </c>
      <c r="B114" s="453" t="s">
        <v>517</v>
      </c>
      <c r="C114" s="453" t="s">
        <v>538</v>
      </c>
      <c r="D114" s="465" t="s">
        <v>644</v>
      </c>
      <c r="E114" s="453" t="s">
        <v>655</v>
      </c>
      <c r="F114" s="463">
        <v>3078</v>
      </c>
      <c r="G114" s="457"/>
      <c r="H114" s="458">
        <f t="shared" si="15"/>
        <v>1846.8</v>
      </c>
      <c r="I114" s="458">
        <f t="shared" si="14"/>
        <v>0</v>
      </c>
      <c r="J114" s="453" t="s">
        <v>649</v>
      </c>
      <c r="K114" s="1049"/>
    </row>
    <row r="115" spans="1:17" ht="24.9">
      <c r="A115" s="461">
        <v>0</v>
      </c>
      <c r="B115" s="453" t="s">
        <v>517</v>
      </c>
      <c r="C115" s="453" t="s">
        <v>538</v>
      </c>
      <c r="D115" s="465" t="s">
        <v>644</v>
      </c>
      <c r="E115" s="453" t="s">
        <v>656</v>
      </c>
      <c r="F115" s="463">
        <v>3489</v>
      </c>
      <c r="G115" s="457"/>
      <c r="H115" s="458">
        <f t="shared" si="15"/>
        <v>2093.4</v>
      </c>
      <c r="I115" s="458">
        <f t="shared" si="14"/>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5"/>
        <v>4473.5999999999995</v>
      </c>
      <c r="I117" s="458">
        <f t="shared" si="14"/>
        <v>0</v>
      </c>
      <c r="J117" s="453" t="s">
        <v>649</v>
      </c>
      <c r="K117" s="1049"/>
    </row>
    <row r="118" spans="1:17" ht="24.9">
      <c r="A118" s="461">
        <v>0</v>
      </c>
      <c r="B118" s="453" t="s">
        <v>517</v>
      </c>
      <c r="C118" s="453" t="s">
        <v>538</v>
      </c>
      <c r="D118" s="465" t="s">
        <v>644</v>
      </c>
      <c r="E118" s="453" t="s">
        <v>660</v>
      </c>
      <c r="F118" s="463">
        <v>8494</v>
      </c>
      <c r="G118" s="457"/>
      <c r="H118" s="458">
        <f t="shared" si="15"/>
        <v>5096.3999999999996</v>
      </c>
      <c r="I118" s="458">
        <f t="shared" si="14"/>
        <v>0</v>
      </c>
      <c r="J118" s="453" t="s">
        <v>649</v>
      </c>
      <c r="K118" s="1049"/>
    </row>
    <row r="119" spans="1:17" ht="24.9">
      <c r="A119" s="461">
        <v>0</v>
      </c>
      <c r="B119" s="453" t="s">
        <v>517</v>
      </c>
      <c r="C119" s="453" t="s">
        <v>538</v>
      </c>
      <c r="D119" s="465" t="s">
        <v>644</v>
      </c>
      <c r="E119" s="453" t="s">
        <v>661</v>
      </c>
      <c r="F119" s="463">
        <v>9434</v>
      </c>
      <c r="G119" s="457"/>
      <c r="H119" s="458">
        <f t="shared" si="15"/>
        <v>5660.4</v>
      </c>
      <c r="I119" s="458">
        <f t="shared" si="14"/>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411</v>
      </c>
      <c r="B122" s="453" t="s">
        <v>539</v>
      </c>
      <c r="C122" s="453" t="s">
        <v>538</v>
      </c>
      <c r="D122" s="481" t="s">
        <v>664</v>
      </c>
      <c r="E122" s="453" t="s">
        <v>665</v>
      </c>
      <c r="F122" s="463">
        <v>108</v>
      </c>
      <c r="G122" s="463">
        <v>79</v>
      </c>
      <c r="H122" s="458">
        <f>IFERROR((MIN(A122,400)*F122+MAX(A122-400,0)*G122)*(1-G77)/A122,0)</f>
        <v>64.334306569343056</v>
      </c>
      <c r="I122" s="458">
        <f t="shared" si="14"/>
        <v>26441.399999999998</v>
      </c>
      <c r="J122" s="453" t="s">
        <v>638</v>
      </c>
      <c r="K122" s="482" t="s">
        <v>666</v>
      </c>
    </row>
    <row r="123" spans="1:17">
      <c r="A123" s="204"/>
      <c r="F123" s="17"/>
      <c r="H123" s="403"/>
      <c r="I123" s="403"/>
    </row>
    <row r="124" spans="1:17" ht="33.4">
      <c r="A124" s="204">
        <v>1</v>
      </c>
      <c r="B124" s="17" t="s">
        <v>517</v>
      </c>
      <c r="C124" s="204" t="s">
        <v>674</v>
      </c>
      <c r="E124" s="17" t="s">
        <v>675</v>
      </c>
      <c r="F124" s="445">
        <v>161.44</v>
      </c>
      <c r="G124" s="404">
        <v>0</v>
      </c>
      <c r="H124" s="458">
        <f>F124*(1-G124)</f>
        <v>161.44</v>
      </c>
      <c r="I124" s="458">
        <f t="shared" si="14"/>
        <v>161.44</v>
      </c>
    </row>
    <row r="125" spans="1:17">
      <c r="A125" s="204"/>
      <c r="F125" s="485"/>
      <c r="H125" s="403"/>
      <c r="I125" s="403"/>
    </row>
    <row r="126" spans="1:17" ht="15.75">
      <c r="E126" s="439" t="s">
        <v>676</v>
      </c>
      <c r="I126" s="486">
        <f>SUM(I81:I124)</f>
        <v>37794.339999999997</v>
      </c>
      <c r="Q126" s="438">
        <f>I126</f>
        <v>37794.339999999997</v>
      </c>
    </row>
    <row r="128" spans="1:17" ht="13.75" customHeight="1">
      <c r="A128" s="986" t="s">
        <v>100</v>
      </c>
      <c r="B128" s="986"/>
      <c r="C128" s="986"/>
      <c r="D128" s="986"/>
      <c r="E128" s="986"/>
    </row>
    <row r="130" spans="1:10">
      <c r="E130" s="442" t="s">
        <v>677</v>
      </c>
      <c r="J130" s="403" t="s">
        <v>779</v>
      </c>
    </row>
    <row r="131" spans="1:10" ht="22.25">
      <c r="A131" s="407">
        <v>0</v>
      </c>
      <c r="B131" s="407" t="s">
        <v>522</v>
      </c>
      <c r="C131" s="408" t="s">
        <v>678</v>
      </c>
      <c r="D131" s="407" t="s">
        <v>679</v>
      </c>
      <c r="E131" s="408" t="s">
        <v>680</v>
      </c>
      <c r="F131" s="409">
        <v>2801.13</v>
      </c>
      <c r="G131" s="410"/>
      <c r="H131" s="409">
        <f t="shared" ref="H131:H177" si="16">F131*(1-G131)</f>
        <v>2801.13</v>
      </c>
      <c r="I131" s="409"/>
    </row>
    <row r="132" spans="1:10" ht="22.25">
      <c r="A132" s="407">
        <v>0</v>
      </c>
      <c r="B132" s="407" t="s">
        <v>522</v>
      </c>
      <c r="C132" s="408" t="s">
        <v>678</v>
      </c>
      <c r="D132" s="407" t="s">
        <v>681</v>
      </c>
      <c r="E132" s="408" t="s">
        <v>682</v>
      </c>
      <c r="F132" s="409">
        <v>772.15</v>
      </c>
      <c r="G132" s="410"/>
      <c r="H132" s="409">
        <f t="shared" si="16"/>
        <v>772.15</v>
      </c>
      <c r="I132" s="409"/>
    </row>
    <row r="133" spans="1:10" ht="22.25">
      <c r="A133" s="407">
        <v>0</v>
      </c>
      <c r="B133" s="407" t="s">
        <v>522</v>
      </c>
      <c r="C133" s="408" t="s">
        <v>678</v>
      </c>
      <c r="D133" s="407" t="s">
        <v>683</v>
      </c>
      <c r="E133" s="408" t="s">
        <v>684</v>
      </c>
      <c r="F133" s="409">
        <v>150.26</v>
      </c>
      <c r="G133" s="410"/>
      <c r="H133" s="409">
        <f t="shared" si="16"/>
        <v>150.26</v>
      </c>
      <c r="I133" s="409"/>
    </row>
    <row r="134" spans="1:10" ht="22.25">
      <c r="A134" s="407">
        <v>0</v>
      </c>
      <c r="B134" s="407" t="s">
        <v>522</v>
      </c>
      <c r="C134" s="408" t="s">
        <v>678</v>
      </c>
      <c r="D134" s="407" t="s">
        <v>685</v>
      </c>
      <c r="E134" s="408" t="s">
        <v>686</v>
      </c>
      <c r="F134" s="409">
        <v>10.58</v>
      </c>
      <c r="G134" s="410"/>
      <c r="H134" s="409">
        <f t="shared" si="16"/>
        <v>10.58</v>
      </c>
      <c r="I134" s="409"/>
    </row>
    <row r="135" spans="1:10" ht="22.25">
      <c r="A135" s="407">
        <v>0</v>
      </c>
      <c r="B135" s="407" t="s">
        <v>522</v>
      </c>
      <c r="C135" s="408" t="s">
        <v>678</v>
      </c>
      <c r="D135" s="407" t="s">
        <v>687</v>
      </c>
      <c r="E135" s="408" t="s">
        <v>688</v>
      </c>
      <c r="F135" s="409">
        <v>69.78</v>
      </c>
      <c r="G135" s="410"/>
      <c r="H135" s="409">
        <f t="shared" si="16"/>
        <v>69.78</v>
      </c>
      <c r="I135" s="409"/>
      <c r="J135" s="17" t="s">
        <v>689</v>
      </c>
    </row>
    <row r="136" spans="1:10" ht="22.25">
      <c r="A136" s="487">
        <v>0</v>
      </c>
      <c r="B136" s="407" t="s">
        <v>539</v>
      </c>
      <c r="C136" s="408" t="s">
        <v>690</v>
      </c>
      <c r="D136" s="407"/>
      <c r="E136" s="407" t="s">
        <v>691</v>
      </c>
      <c r="F136" s="409">
        <v>7.58</v>
      </c>
      <c r="G136" s="410"/>
      <c r="H136" s="409">
        <f t="shared" si="16"/>
        <v>7.58</v>
      </c>
      <c r="I136" s="409"/>
      <c r="J136" s="17" t="s">
        <v>692</v>
      </c>
    </row>
    <row r="137" spans="1:10" ht="22.25">
      <c r="A137" s="487">
        <v>0</v>
      </c>
      <c r="B137" s="407" t="s">
        <v>539</v>
      </c>
      <c r="C137" s="408" t="s">
        <v>690</v>
      </c>
      <c r="D137" s="407"/>
      <c r="E137" s="407" t="s">
        <v>693</v>
      </c>
      <c r="F137" s="409">
        <v>2.04</v>
      </c>
      <c r="G137" s="410"/>
      <c r="H137" s="409">
        <f t="shared" si="16"/>
        <v>2.04</v>
      </c>
      <c r="I137" s="409"/>
      <c r="J137" s="17" t="s">
        <v>694</v>
      </c>
    </row>
    <row r="138" spans="1:10" ht="22.25">
      <c r="A138" s="407">
        <v>0</v>
      </c>
      <c r="B138" s="407" t="s">
        <v>522</v>
      </c>
      <c r="C138" s="408"/>
      <c r="D138" s="407"/>
      <c r="E138" s="408" t="s">
        <v>695</v>
      </c>
      <c r="F138" s="409">
        <v>50</v>
      </c>
      <c r="G138" s="410"/>
      <c r="H138" s="409">
        <f t="shared" si="16"/>
        <v>50</v>
      </c>
      <c r="I138" s="409"/>
      <c r="J138" s="204" t="s">
        <v>696</v>
      </c>
    </row>
    <row r="139" spans="1:10">
      <c r="A139" s="407">
        <v>0</v>
      </c>
      <c r="B139" s="407" t="s">
        <v>619</v>
      </c>
      <c r="C139" s="408"/>
      <c r="D139" s="407"/>
      <c r="E139" s="408" t="s">
        <v>697</v>
      </c>
      <c r="F139" s="409">
        <f>F61</f>
        <v>55</v>
      </c>
      <c r="G139" s="410"/>
      <c r="H139" s="409">
        <f t="shared" si="16"/>
        <v>55</v>
      </c>
      <c r="I139" s="409"/>
    </row>
    <row r="140" spans="1:10" ht="66.8">
      <c r="A140" s="407">
        <v>0</v>
      </c>
      <c r="B140" s="407" t="s">
        <v>517</v>
      </c>
      <c r="C140" s="408" t="s">
        <v>698</v>
      </c>
      <c r="D140" s="407" t="s">
        <v>636</v>
      </c>
      <c r="E140" s="408" t="s">
        <v>637</v>
      </c>
      <c r="F140" s="409">
        <v>1809</v>
      </c>
      <c r="G140" s="410">
        <v>0.75</v>
      </c>
      <c r="H140" s="409">
        <f t="shared" si="16"/>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17">
        <v>1</v>
      </c>
      <c r="B154" s="17" t="s">
        <v>517</v>
      </c>
      <c r="E154" s="17" t="s">
        <v>703</v>
      </c>
      <c r="F154" s="403">
        <v>800</v>
      </c>
      <c r="H154" s="403">
        <f t="shared" si="16"/>
        <v>800</v>
      </c>
      <c r="I154" s="403">
        <f t="shared" ref="I154:I170" si="17">A154*H154</f>
        <v>800</v>
      </c>
      <c r="J154" s="17" t="s">
        <v>704</v>
      </c>
    </row>
    <row r="155" spans="1:10">
      <c r="A155" s="17">
        <v>1</v>
      </c>
      <c r="B155" s="17" t="s">
        <v>517</v>
      </c>
      <c r="E155" s="17" t="s">
        <v>705</v>
      </c>
      <c r="F155" s="403">
        <v>500</v>
      </c>
      <c r="H155" s="403">
        <f t="shared" si="16"/>
        <v>500</v>
      </c>
      <c r="I155" s="403">
        <f t="shared" si="17"/>
        <v>500</v>
      </c>
      <c r="J155" s="17" t="s">
        <v>704</v>
      </c>
    </row>
    <row r="156" spans="1:10">
      <c r="A156" s="17">
        <v>1</v>
      </c>
      <c r="B156" s="17" t="s">
        <v>517</v>
      </c>
      <c r="E156" s="17" t="s">
        <v>706</v>
      </c>
      <c r="F156" s="403">
        <v>40</v>
      </c>
      <c r="H156" s="403">
        <f t="shared" si="16"/>
        <v>40</v>
      </c>
      <c r="I156" s="403">
        <f t="shared" si="17"/>
        <v>40</v>
      </c>
    </row>
    <row r="157" spans="1:10">
      <c r="A157" s="17">
        <v>0</v>
      </c>
      <c r="B157" s="17" t="s">
        <v>517</v>
      </c>
      <c r="E157" s="17" t="s">
        <v>707</v>
      </c>
      <c r="F157" s="403">
        <v>1500</v>
      </c>
      <c r="H157" s="403">
        <f t="shared" si="16"/>
        <v>1500</v>
      </c>
      <c r="I157" s="403">
        <f t="shared" si="17"/>
        <v>0</v>
      </c>
    </row>
    <row r="158" spans="1:10" ht="55.65">
      <c r="B158" s="17" t="s">
        <v>517</v>
      </c>
      <c r="C158" s="204" t="s">
        <v>708</v>
      </c>
      <c r="E158" s="204" t="s">
        <v>709</v>
      </c>
      <c r="F158" s="403">
        <v>460</v>
      </c>
      <c r="H158" s="403">
        <f t="shared" si="16"/>
        <v>460</v>
      </c>
      <c r="I158" s="403">
        <f t="shared" si="17"/>
        <v>0</v>
      </c>
      <c r="J158" s="17" t="s">
        <v>710</v>
      </c>
    </row>
    <row r="159" spans="1:10" ht="55.65">
      <c r="A159" s="17">
        <v>0</v>
      </c>
      <c r="B159" s="17" t="s">
        <v>517</v>
      </c>
      <c r="C159" s="204" t="s">
        <v>711</v>
      </c>
      <c r="E159" s="204" t="s">
        <v>712</v>
      </c>
      <c r="F159" s="403">
        <v>320</v>
      </c>
      <c r="H159" s="403">
        <f t="shared" si="16"/>
        <v>320</v>
      </c>
      <c r="I159" s="403">
        <f t="shared" si="17"/>
        <v>0</v>
      </c>
    </row>
    <row r="160" spans="1:10" ht="55.65">
      <c r="A160" s="17">
        <v>0</v>
      </c>
      <c r="B160" s="17" t="s">
        <v>517</v>
      </c>
      <c r="C160" s="17" t="s">
        <v>713</v>
      </c>
      <c r="D160" s="17" t="s">
        <v>714</v>
      </c>
      <c r="E160" s="204" t="s">
        <v>715</v>
      </c>
      <c r="F160" s="403">
        <v>2725</v>
      </c>
      <c r="H160" s="403">
        <f t="shared" si="16"/>
        <v>2725</v>
      </c>
      <c r="I160" s="403">
        <f t="shared" si="17"/>
        <v>0</v>
      </c>
    </row>
    <row r="161" spans="1:9" ht="33.4">
      <c r="A161" s="17">
        <v>1</v>
      </c>
      <c r="B161" s="17" t="s">
        <v>517</v>
      </c>
      <c r="C161" s="204" t="s">
        <v>716</v>
      </c>
      <c r="E161" s="17" t="s">
        <v>717</v>
      </c>
      <c r="F161" s="403">
        <f>1840*1.04</f>
        <v>1913.6000000000001</v>
      </c>
      <c r="H161" s="403">
        <f t="shared" si="16"/>
        <v>1913.6000000000001</v>
      </c>
      <c r="I161" s="403">
        <f t="shared" si="17"/>
        <v>1913.6000000000001</v>
      </c>
    </row>
    <row r="162" spans="1:9">
      <c r="H162" s="403"/>
      <c r="I162" s="403"/>
    </row>
    <row r="163" spans="1:9">
      <c r="E163" s="446" t="s">
        <v>719</v>
      </c>
      <c r="H163" s="403"/>
      <c r="I163" s="403"/>
    </row>
    <row r="164" spans="1:9" ht="22.25">
      <c r="A164" s="17">
        <f>2*16</f>
        <v>32</v>
      </c>
      <c r="B164" s="17" t="s">
        <v>619</v>
      </c>
      <c r="C164" s="204" t="s">
        <v>531</v>
      </c>
      <c r="E164" s="17" t="s">
        <v>720</v>
      </c>
      <c r="F164" s="403">
        <v>50</v>
      </c>
      <c r="H164" s="403">
        <f t="shared" si="16"/>
        <v>50</v>
      </c>
      <c r="I164" s="403">
        <f t="shared" si="17"/>
        <v>1600</v>
      </c>
    </row>
    <row r="165" spans="1:9">
      <c r="A165" s="17">
        <f>ROUND((51-2)/2*6,0)</f>
        <v>147</v>
      </c>
      <c r="B165" s="17" t="s">
        <v>517</v>
      </c>
      <c r="C165" s="204" t="s">
        <v>721</v>
      </c>
      <c r="E165" s="17" t="s">
        <v>722</v>
      </c>
      <c r="F165" s="403">
        <f>69/100</f>
        <v>0.69</v>
      </c>
      <c r="H165" s="403">
        <f t="shared" si="16"/>
        <v>0.69</v>
      </c>
      <c r="I165" s="403">
        <f t="shared" si="17"/>
        <v>101.42999999999999</v>
      </c>
    </row>
    <row r="166" spans="1:9">
      <c r="A166" s="17">
        <f t="shared" ref="A166:A167" si="18">A165</f>
        <v>147</v>
      </c>
      <c r="B166" s="17" t="s">
        <v>517</v>
      </c>
      <c r="C166" s="204" t="s">
        <v>721</v>
      </c>
      <c r="E166" s="17" t="s">
        <v>723</v>
      </c>
      <c r="F166" s="403">
        <v>0.1</v>
      </c>
      <c r="H166" s="403">
        <f t="shared" si="16"/>
        <v>0.1</v>
      </c>
      <c r="I166" s="403">
        <f t="shared" si="17"/>
        <v>14.700000000000001</v>
      </c>
    </row>
    <row r="167" spans="1:9">
      <c r="A167" s="17">
        <f t="shared" si="18"/>
        <v>147</v>
      </c>
      <c r="B167" s="17" t="s">
        <v>517</v>
      </c>
      <c r="C167" s="204" t="s">
        <v>721</v>
      </c>
      <c r="E167" s="17" t="s">
        <v>724</v>
      </c>
      <c r="F167" s="403">
        <f>13.25/1.2/100</f>
        <v>0.11041666666666668</v>
      </c>
      <c r="H167" s="403">
        <f t="shared" si="16"/>
        <v>0.11041666666666668</v>
      </c>
      <c r="I167" s="403">
        <f t="shared" si="17"/>
        <v>16.231250000000003</v>
      </c>
    </row>
    <row r="168" spans="1:9" ht="22.25">
      <c r="A168" s="17">
        <f>ROUNDUP(2*(16.4+8.5/12.9*11.3)/4,0)</f>
        <v>12</v>
      </c>
      <c r="B168" s="17" t="s">
        <v>539</v>
      </c>
      <c r="C168" s="204" t="s">
        <v>725</v>
      </c>
      <c r="E168" s="17" t="s">
        <v>726</v>
      </c>
      <c r="F168" s="403">
        <f>15.73/1.2</f>
        <v>13.108333333333334</v>
      </c>
      <c r="H168" s="403">
        <f t="shared" si="16"/>
        <v>13.108333333333334</v>
      </c>
      <c r="I168" s="403">
        <f t="shared" si="17"/>
        <v>157.30000000000001</v>
      </c>
    </row>
    <row r="169" spans="1:9" ht="22.25">
      <c r="A169" s="17">
        <f>A168</f>
        <v>12</v>
      </c>
      <c r="B169" s="17" t="s">
        <v>539</v>
      </c>
      <c r="C169" s="204" t="s">
        <v>531</v>
      </c>
      <c r="E169" s="17" t="s">
        <v>727</v>
      </c>
      <c r="F169" s="403">
        <v>25</v>
      </c>
      <c r="H169" s="403">
        <f t="shared" si="16"/>
        <v>25</v>
      </c>
      <c r="I169" s="403">
        <f t="shared" si="17"/>
        <v>300</v>
      </c>
    </row>
    <row r="170" spans="1:9" ht="22.25">
      <c r="A170" s="17">
        <f>A169*4</f>
        <v>48</v>
      </c>
      <c r="B170" s="17" t="s">
        <v>517</v>
      </c>
      <c r="C170" s="204" t="s">
        <v>531</v>
      </c>
      <c r="E170" s="17" t="s">
        <v>728</v>
      </c>
      <c r="F170" s="403">
        <v>0.1</v>
      </c>
      <c r="H170" s="403">
        <f t="shared" si="16"/>
        <v>0.1</v>
      </c>
      <c r="I170" s="403">
        <f t="shared" si="17"/>
        <v>4.8000000000000007</v>
      </c>
    </row>
    <row r="171" spans="1:9">
      <c r="H171" s="403"/>
      <c r="I171" s="403"/>
    </row>
    <row r="172" spans="1:9" ht="15.75">
      <c r="E172" s="439" t="s">
        <v>729</v>
      </c>
      <c r="I172" s="168">
        <f>SUM(I152:I161)</f>
        <v>3253.6000000000004</v>
      </c>
    </row>
    <row r="174" spans="1:9" ht="13.75" customHeight="1">
      <c r="A174" s="997" t="s">
        <v>68</v>
      </c>
      <c r="B174" s="997"/>
      <c r="C174" s="997"/>
      <c r="D174" s="997"/>
      <c r="E174" s="997"/>
    </row>
    <row r="175" spans="1:9">
      <c r="A175" s="17">
        <v>1</v>
      </c>
      <c r="B175" s="17" t="s">
        <v>517</v>
      </c>
      <c r="E175" s="17" t="s">
        <v>730</v>
      </c>
      <c r="F175" s="403">
        <v>500</v>
      </c>
      <c r="H175" s="403">
        <f t="shared" si="16"/>
        <v>500</v>
      </c>
      <c r="I175" s="403">
        <f t="shared" ref="I175:I177" si="19">A175*H175</f>
        <v>500</v>
      </c>
    </row>
    <row r="176" spans="1:9" ht="55.65">
      <c r="A176" s="17">
        <v>0</v>
      </c>
      <c r="B176" s="17" t="s">
        <v>517</v>
      </c>
      <c r="C176" s="204" t="s">
        <v>708</v>
      </c>
      <c r="E176" s="204" t="s">
        <v>731</v>
      </c>
      <c r="F176" s="403">
        <f>460/2</f>
        <v>230</v>
      </c>
      <c r="H176" s="403">
        <f t="shared" si="16"/>
        <v>230</v>
      </c>
      <c r="I176" s="403">
        <f t="shared" si="19"/>
        <v>0</v>
      </c>
    </row>
    <row r="177" spans="1:9" ht="55.65">
      <c r="A177" s="17">
        <v>0</v>
      </c>
      <c r="B177" s="17" t="s">
        <v>517</v>
      </c>
      <c r="C177" s="204" t="s">
        <v>711</v>
      </c>
      <c r="E177" s="204" t="s">
        <v>732</v>
      </c>
      <c r="F177" s="403">
        <f>320/2</f>
        <v>160</v>
      </c>
      <c r="H177" s="403">
        <f t="shared" si="16"/>
        <v>160</v>
      </c>
      <c r="I177" s="403">
        <f t="shared" si="19"/>
        <v>0</v>
      </c>
    </row>
    <row r="179" spans="1:9" ht="15.75">
      <c r="E179" s="439" t="s">
        <v>733</v>
      </c>
      <c r="I179" s="168">
        <f>SUM(I174:I178)</f>
        <v>500</v>
      </c>
    </row>
    <row r="180" spans="1:9">
      <c r="E180" s="439"/>
    </row>
  </sheetData>
  <mergeCells count="13">
    <mergeCell ref="B1:F1"/>
    <mergeCell ref="A2:G2"/>
    <mergeCell ref="J23:L23"/>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DD116"/>
  <sheetViews>
    <sheetView showGridLines="0" zoomScale="95" workbookViewId="0">
      <pane xSplit="4" ySplit="6" topLeftCell="AC21" activePane="bottomRight" state="frozen"/>
      <selection activeCell="G97" sqref="G97"/>
      <selection pane="topRight"/>
      <selection pane="bottomLeft"/>
      <selection pane="bottomRight" activeCell="AQ40" sqref="AQ40"/>
    </sheetView>
  </sheetViews>
  <sheetFormatPr baseColWidth="10" defaultColWidth="10.140625" defaultRowHeight="13.1"/>
  <cols>
    <col min="1" max="1" width="4.85546875" style="49" customWidth="1"/>
    <col min="2" max="2" width="8.28515625" style="50" customWidth="1"/>
    <col min="3" max="3" width="6.140625" style="50" customWidth="1"/>
    <col min="4" max="4" width="15.42578125" style="49" customWidth="1"/>
    <col min="5" max="5" width="24.7109375" style="51" customWidth="1"/>
    <col min="6" max="6" width="18.85546875" style="49" customWidth="1"/>
    <col min="7" max="7" width="15.42578125" style="49" customWidth="1"/>
    <col min="8" max="8" width="18.7109375" style="49" customWidth="1"/>
    <col min="9" max="9" width="3.140625" style="49" customWidth="1"/>
    <col min="10" max="11" width="9.140625" style="49" customWidth="1"/>
    <col min="12" max="12" width="13.28515625" style="49" customWidth="1"/>
    <col min="13" max="13" width="12" style="52" customWidth="1"/>
    <col min="14" max="14" width="12.85546875" style="52" customWidth="1"/>
    <col min="15" max="15" width="2.42578125" style="49" customWidth="1"/>
    <col min="16" max="16" width="10" style="52" customWidth="1"/>
    <col min="17" max="19" width="9.140625" style="52" customWidth="1"/>
    <col min="20" max="21" width="13.28515625" style="52" customWidth="1"/>
    <col min="22" max="22" width="11.7109375" style="52" customWidth="1"/>
    <col min="23" max="23" width="11.42578125" style="53" customWidth="1"/>
    <col min="24" max="24" width="19.42578125" style="49" customWidth="1"/>
    <col min="25" max="25" width="12" style="52" customWidth="1"/>
    <col min="26" max="26" width="12" style="49" customWidth="1"/>
    <col min="27" max="27" width="14" style="49" customWidth="1"/>
    <col min="28" max="28" width="9.85546875" style="52" customWidth="1"/>
    <col min="29" max="29" width="12.140625" style="52" customWidth="1"/>
    <col min="30" max="30" width="16.140625" style="49" customWidth="1"/>
    <col min="31" max="31" width="15" style="49" customWidth="1"/>
    <col min="32" max="32" width="11.140625" style="49" customWidth="1"/>
    <col min="33" max="33" width="13" style="49" customWidth="1"/>
    <col min="34" max="34" width="10.85546875" style="52" customWidth="1"/>
    <col min="35" max="35" width="8.85546875" style="49" customWidth="1"/>
    <col min="36" max="36" width="10.5703125" style="52" customWidth="1"/>
    <col min="37" max="37" width="1.85546875" style="49" customWidth="1"/>
    <col min="38" max="38" width="11.7109375" style="49" customWidth="1"/>
    <col min="39" max="39" width="15" style="49" customWidth="1"/>
    <col min="40" max="40" width="7.28515625" style="49" customWidth="1"/>
    <col min="41" max="41" width="14" style="49" customWidth="1"/>
    <col min="42" max="43" width="12" style="49" customWidth="1"/>
    <col min="44" max="44" width="9.7109375" style="49" customWidth="1"/>
    <col min="45" max="45" width="9.85546875" style="52" customWidth="1"/>
    <col min="46" max="46" width="2.140625" customWidth="1"/>
    <col min="47" max="47" width="10" style="49" customWidth="1"/>
    <col min="48" max="48" width="8.85546875" style="49" customWidth="1"/>
    <col min="49" max="49" width="9.140625" style="49" customWidth="1"/>
    <col min="50" max="50" width="1.85546875" customWidth="1"/>
    <col min="51" max="51" width="14.5703125" style="1" customWidth="1"/>
    <col min="52" max="52" width="10.85546875" style="54" customWidth="1"/>
    <col min="53" max="53" width="3" customWidth="1"/>
    <col min="54" max="54" width="14.7109375" customWidth="1"/>
    <col min="55" max="55" width="13.7109375" customWidth="1"/>
    <col min="56" max="56" width="3" customWidth="1"/>
    <col min="57" max="60" width="11.28515625" style="1" customWidth="1"/>
    <col min="61" max="61" width="4.28515625" style="49" customWidth="1"/>
    <col min="62" max="62" width="9.140625" style="49" customWidth="1"/>
    <col min="63" max="63" width="32.85546875" style="49" customWidth="1"/>
    <col min="64" max="64" width="17.140625" style="49" customWidth="1"/>
    <col min="65" max="65" width="16.7109375" style="49" customWidth="1"/>
    <col min="66" max="66" width="15" style="49" customWidth="1"/>
    <col min="67" max="68" width="11.28515625" style="49" customWidth="1"/>
    <col min="69" max="69" width="18.5703125" style="55" customWidth="1"/>
    <col min="70" max="70" width="13.85546875" style="49" customWidth="1"/>
    <col min="71" max="71" width="11.28515625" style="49" customWidth="1"/>
    <col min="72" max="72" width="8.140625" style="49" customWidth="1"/>
    <col min="73" max="73" width="8.5703125" style="49" customWidth="1"/>
    <col min="74" max="74" width="8.140625" style="49" customWidth="1"/>
    <col min="75" max="75" width="8.42578125" style="51" customWidth="1"/>
    <col min="76" max="76" width="7.140625" style="49" customWidth="1"/>
    <col min="77" max="77" width="4.42578125" style="49" customWidth="1"/>
    <col min="78" max="78" width="15.5703125" customWidth="1"/>
    <col min="79" max="79" width="11.28515625" style="51" customWidth="1"/>
    <col min="80" max="80" width="11.28515625" style="49" customWidth="1"/>
    <col min="81" max="81" width="16.85546875" style="49" customWidth="1"/>
    <col min="82" max="83" width="9.140625" style="49" customWidth="1"/>
    <col min="84" max="84" width="11.28515625" style="49" customWidth="1"/>
    <col min="85" max="85" width="7.140625" style="49" customWidth="1"/>
    <col min="86" max="86" width="3.140625" style="49" customWidth="1"/>
    <col min="87" max="87" width="14.42578125" style="49" customWidth="1"/>
    <col min="88" max="88" width="21.7109375" style="49" customWidth="1"/>
    <col min="89" max="89" width="22.5703125" style="49" customWidth="1"/>
    <col min="90" max="90" width="3.140625" style="49" customWidth="1"/>
    <col min="91" max="91" width="15.28515625" style="49" customWidth="1"/>
    <col min="92" max="94" width="9.140625" style="49" customWidth="1"/>
    <col min="95" max="95" width="8.140625" style="49" customWidth="1"/>
    <col min="96" max="96" width="8.42578125" style="49" customWidth="1"/>
    <col min="97" max="106" width="11.28515625" style="49" customWidth="1"/>
  </cols>
  <sheetData>
    <row r="1" spans="1:108" ht="24.55" customHeight="1">
      <c r="A1" s="49" t="s">
        <v>31</v>
      </c>
      <c r="B1" s="49" t="s">
        <v>32</v>
      </c>
      <c r="C1" s="49" t="s">
        <v>33</v>
      </c>
      <c r="D1" s="49" t="s">
        <v>34</v>
      </c>
      <c r="E1" s="49" t="s">
        <v>35</v>
      </c>
      <c r="F1" s="49" t="s">
        <v>36</v>
      </c>
      <c r="G1" s="49" t="s">
        <v>37</v>
      </c>
      <c r="H1" s="49" t="s">
        <v>38</v>
      </c>
      <c r="I1" s="49" t="s">
        <v>39</v>
      </c>
      <c r="J1" s="49" t="s">
        <v>40</v>
      </c>
      <c r="K1" s="49" t="s">
        <v>41</v>
      </c>
      <c r="L1" s="56"/>
      <c r="M1" s="49" t="s">
        <v>42</v>
      </c>
      <c r="N1" s="49" t="s">
        <v>43</v>
      </c>
      <c r="O1" s="49" t="s">
        <v>44</v>
      </c>
      <c r="P1" s="49" t="s">
        <v>45</v>
      </c>
      <c r="Q1" s="49" t="s">
        <v>46</v>
      </c>
      <c r="R1" s="49" t="s">
        <v>47</v>
      </c>
      <c r="S1" s="49" t="s">
        <v>48</v>
      </c>
      <c r="T1" s="49" t="s">
        <v>49</v>
      </c>
      <c r="U1" s="49" t="s">
        <v>50</v>
      </c>
      <c r="V1" s="49" t="s">
        <v>51</v>
      </c>
      <c r="W1" s="49" t="s">
        <v>52</v>
      </c>
      <c r="X1" s="49" t="s">
        <v>53</v>
      </c>
      <c r="Y1" s="49" t="s">
        <v>54</v>
      </c>
      <c r="Z1" s="49" t="s">
        <v>55</v>
      </c>
      <c r="AA1" s="49" t="s">
        <v>56</v>
      </c>
      <c r="AB1" s="49" t="s">
        <v>57</v>
      </c>
      <c r="AC1" s="49" t="s">
        <v>58</v>
      </c>
      <c r="AD1" s="49" t="s">
        <v>59</v>
      </c>
      <c r="AE1" s="49" t="s">
        <v>60</v>
      </c>
      <c r="AF1" s="49" t="s">
        <v>61</v>
      </c>
      <c r="AG1" s="49" t="s">
        <v>62</v>
      </c>
      <c r="AH1" s="49" t="s">
        <v>63</v>
      </c>
      <c r="AI1" s="49" t="s">
        <v>64</v>
      </c>
      <c r="AJ1" s="49" t="s">
        <v>65</v>
      </c>
      <c r="AK1" s="49" t="s">
        <v>66</v>
      </c>
      <c r="AL1" s="49" t="s">
        <v>67</v>
      </c>
      <c r="AM1" s="49" t="s">
        <v>68</v>
      </c>
      <c r="AN1" s="49" t="s">
        <v>69</v>
      </c>
      <c r="AO1" s="49" t="s">
        <v>70</v>
      </c>
      <c r="AQ1" s="49" t="s">
        <v>71</v>
      </c>
      <c r="AR1" s="49" t="s">
        <v>72</v>
      </c>
      <c r="AS1" s="49" t="s">
        <v>73</v>
      </c>
      <c r="AT1" s="49" t="s">
        <v>74</v>
      </c>
      <c r="AU1" s="49" t="s">
        <v>75</v>
      </c>
      <c r="AV1" s="49" t="s">
        <v>76</v>
      </c>
      <c r="AW1" s="49" t="s">
        <v>77</v>
      </c>
      <c r="AX1" s="49" t="s">
        <v>78</v>
      </c>
      <c r="AY1" s="1" t="s">
        <v>79</v>
      </c>
      <c r="AZ1" s="1" t="s">
        <v>80</v>
      </c>
      <c r="BA1" s="49" t="s">
        <v>81</v>
      </c>
      <c r="BB1" s="49"/>
      <c r="BC1" s="49"/>
      <c r="BD1" s="49"/>
      <c r="BE1" s="1" t="s">
        <v>82</v>
      </c>
      <c r="BF1" s="1" t="s">
        <v>83</v>
      </c>
      <c r="BG1" s="1" t="s">
        <v>84</v>
      </c>
      <c r="BH1" s="1" t="s">
        <v>85</v>
      </c>
      <c r="BJ1" s="49" t="s">
        <v>86</v>
      </c>
    </row>
    <row r="2" spans="1:108" ht="19.649999999999999" customHeight="1">
      <c r="M2" s="57"/>
      <c r="N2" s="57"/>
      <c r="P2" s="57"/>
      <c r="Q2" s="57"/>
      <c r="R2" s="57"/>
      <c r="S2" s="57"/>
      <c r="T2" s="57"/>
      <c r="U2" s="57"/>
      <c r="V2" s="57"/>
      <c r="W2" s="57"/>
      <c r="Y2" s="57"/>
      <c r="AB2" s="57"/>
      <c r="AC2" s="57"/>
      <c r="AH2" s="57"/>
      <c r="AJ2" s="57"/>
      <c r="AS2" s="57"/>
      <c r="AZ2" s="58"/>
      <c r="DC2" s="49"/>
      <c r="DD2" s="49"/>
    </row>
    <row r="3" spans="1:108" ht="16.399999999999999" customHeight="1">
      <c r="A3" s="59"/>
      <c r="B3" s="60"/>
      <c r="C3" s="60"/>
      <c r="D3" s="998" t="s">
        <v>87</v>
      </c>
      <c r="E3" s="998"/>
      <c r="F3" s="998"/>
      <c r="G3" s="998"/>
      <c r="H3" s="59"/>
      <c r="I3" s="59"/>
      <c r="J3" s="59"/>
      <c r="K3" s="59"/>
      <c r="L3" s="59"/>
      <c r="M3" s="61"/>
      <c r="N3" s="61"/>
      <c r="O3" s="62"/>
      <c r="P3" s="999" t="s">
        <v>88</v>
      </c>
      <c r="Q3" s="999"/>
      <c r="R3" s="999"/>
      <c r="S3" s="999"/>
      <c r="T3" s="999"/>
      <c r="U3" s="999"/>
      <c r="V3" s="999"/>
      <c r="W3" s="999"/>
      <c r="X3" s="999"/>
      <c r="Y3" s="999"/>
      <c r="Z3" s="999"/>
      <c r="AA3" s="999"/>
      <c r="AB3" s="999"/>
      <c r="AC3" s="999"/>
      <c r="AD3" s="999"/>
      <c r="AE3" s="999"/>
      <c r="AF3" s="999"/>
      <c r="AG3" s="999"/>
      <c r="AH3" s="1000" t="s">
        <v>63</v>
      </c>
      <c r="AI3" s="1001" t="s">
        <v>89</v>
      </c>
      <c r="AJ3" s="1002" t="s">
        <v>90</v>
      </c>
      <c r="AK3" s="62"/>
      <c r="AL3" s="993" t="s">
        <v>91</v>
      </c>
      <c r="AM3" s="993"/>
      <c r="AN3" s="993"/>
      <c r="AO3" s="993"/>
      <c r="AP3" s="993"/>
      <c r="AQ3" s="993"/>
      <c r="AR3" s="993"/>
      <c r="AS3" s="994" t="s">
        <v>73</v>
      </c>
      <c r="AU3" s="989" t="s">
        <v>92</v>
      </c>
      <c r="AV3" s="989"/>
      <c r="AW3" s="989"/>
      <c r="AX3" s="64"/>
      <c r="AY3" s="995" t="s">
        <v>93</v>
      </c>
      <c r="AZ3" s="995"/>
      <c r="BA3" s="64"/>
      <c r="BB3" s="996" t="s">
        <v>94</v>
      </c>
      <c r="BC3" s="996"/>
      <c r="BD3" s="64"/>
      <c r="BE3" s="981" t="s">
        <v>95</v>
      </c>
      <c r="BF3" s="981"/>
      <c r="BG3" s="981"/>
      <c r="BH3" s="981"/>
      <c r="BI3" s="65"/>
      <c r="BJ3" s="63"/>
      <c r="BK3" s="59"/>
      <c r="BO3" s="59"/>
      <c r="BP3" s="59"/>
      <c r="BQ3" s="66"/>
      <c r="BR3" s="59"/>
      <c r="BS3" s="59"/>
      <c r="BT3" s="59"/>
      <c r="BU3" s="59"/>
      <c r="BV3" s="59"/>
      <c r="BW3" s="59"/>
      <c r="BX3" s="59"/>
      <c r="BY3" s="59"/>
      <c r="CA3" s="59"/>
      <c r="CB3" s="59"/>
      <c r="CC3" s="59"/>
      <c r="CD3" s="59"/>
      <c r="CE3" s="59"/>
      <c r="CF3" s="59"/>
      <c r="CG3" s="59"/>
      <c r="CH3" s="59"/>
      <c r="CI3" s="59"/>
      <c r="CJ3" s="59"/>
      <c r="CK3" s="59"/>
      <c r="CL3" s="59"/>
      <c r="CM3" s="59"/>
      <c r="CN3" s="59"/>
      <c r="CO3" s="59"/>
      <c r="CP3" s="59"/>
      <c r="CQ3" s="59"/>
      <c r="CR3" s="59"/>
      <c r="CS3" s="59"/>
      <c r="CT3" s="59"/>
      <c r="CU3" s="59"/>
      <c r="CV3" s="67"/>
      <c r="CW3" s="67"/>
      <c r="CX3" s="67"/>
      <c r="CY3" s="67"/>
      <c r="CZ3" s="67"/>
      <c r="DA3" s="67"/>
      <c r="DB3" s="67"/>
      <c r="DC3" s="49"/>
      <c r="DD3" s="49"/>
    </row>
    <row r="4" spans="1:108" ht="29" customHeight="1">
      <c r="B4" s="60"/>
      <c r="C4" s="60"/>
      <c r="E4" s="982" t="s">
        <v>96</v>
      </c>
      <c r="F4" s="982"/>
      <c r="G4" s="982"/>
      <c r="H4" s="982"/>
      <c r="I4" s="62"/>
      <c r="J4" s="983" t="s">
        <v>97</v>
      </c>
      <c r="K4" s="983"/>
      <c r="L4" s="983"/>
      <c r="M4" s="983"/>
      <c r="N4" s="983"/>
      <c r="O4" s="62"/>
      <c r="P4" s="984" t="s">
        <v>98</v>
      </c>
      <c r="Q4" s="984"/>
      <c r="R4" s="984"/>
      <c r="S4" s="984"/>
      <c r="T4" s="984"/>
      <c r="U4" s="984"/>
      <c r="V4" s="984"/>
      <c r="W4" s="985" t="s">
        <v>99</v>
      </c>
      <c r="X4" s="986" t="s">
        <v>100</v>
      </c>
      <c r="Y4" s="986"/>
      <c r="Z4" s="986"/>
      <c r="AA4" s="986"/>
      <c r="AB4" s="986"/>
      <c r="AC4" s="985" t="s">
        <v>58</v>
      </c>
      <c r="AD4" s="987" t="s">
        <v>101</v>
      </c>
      <c r="AE4" s="987"/>
      <c r="AF4" s="987"/>
      <c r="AG4" s="987"/>
      <c r="AH4" s="1000"/>
      <c r="AI4" s="1001" t="s">
        <v>89</v>
      </c>
      <c r="AJ4" s="1002" t="s">
        <v>89</v>
      </c>
      <c r="AK4" s="62"/>
      <c r="AL4" s="988" t="s">
        <v>102</v>
      </c>
      <c r="AM4" s="988"/>
      <c r="AN4" s="988"/>
      <c r="AO4" s="988"/>
      <c r="AP4" s="68"/>
      <c r="AQ4" s="989" t="s">
        <v>103</v>
      </c>
      <c r="AR4" s="989"/>
      <c r="AS4" s="994"/>
      <c r="AU4" s="69" t="s">
        <v>104</v>
      </c>
      <c r="AV4" s="70">
        <v>10</v>
      </c>
      <c r="AW4" s="975" t="s">
        <v>77</v>
      </c>
      <c r="AX4" s="64"/>
      <c r="AY4" s="990" t="s">
        <v>79</v>
      </c>
      <c r="AZ4" s="991" t="s">
        <v>80</v>
      </c>
      <c r="BA4" s="64"/>
      <c r="BB4" s="992" t="s">
        <v>105</v>
      </c>
      <c r="BC4" s="991" t="s">
        <v>106</v>
      </c>
      <c r="BD4" s="64"/>
      <c r="BE4" s="974" t="s">
        <v>82</v>
      </c>
      <c r="BF4" s="974" t="s">
        <v>83</v>
      </c>
      <c r="BG4" s="974" t="s">
        <v>84</v>
      </c>
      <c r="BH4" s="974" t="s">
        <v>85</v>
      </c>
      <c r="BI4" s="71"/>
      <c r="BJ4" s="975" t="s">
        <v>107</v>
      </c>
      <c r="BO4" s="72"/>
      <c r="BP4" s="72"/>
      <c r="BQ4" s="66"/>
      <c r="CC4" s="59"/>
      <c r="CD4" s="59"/>
      <c r="CE4" s="59"/>
      <c r="CF4" s="59"/>
      <c r="CG4" s="59"/>
      <c r="CH4" s="59"/>
      <c r="CI4" s="59"/>
      <c r="CJ4" s="59"/>
      <c r="CK4" s="59"/>
      <c r="CL4" s="59"/>
      <c r="CM4" s="66"/>
      <c r="CN4" s="976" t="s">
        <v>108</v>
      </c>
      <c r="CO4" s="976"/>
      <c r="CP4" s="976"/>
      <c r="CQ4" s="976"/>
      <c r="CR4" s="976"/>
      <c r="CS4" s="976"/>
      <c r="CT4" s="976"/>
      <c r="CU4" s="59"/>
      <c r="DC4" s="49"/>
      <c r="DD4" s="49"/>
    </row>
    <row r="5" spans="1:108" ht="68.75" customHeight="1">
      <c r="A5" s="62"/>
      <c r="B5" s="74"/>
      <c r="C5" s="74"/>
      <c r="D5" s="75" t="s">
        <v>109</v>
      </c>
      <c r="E5" s="75" t="s">
        <v>110</v>
      </c>
      <c r="F5" s="75" t="s">
        <v>36</v>
      </c>
      <c r="G5" s="75" t="s">
        <v>37</v>
      </c>
      <c r="H5" s="75" t="s">
        <v>111</v>
      </c>
      <c r="I5" s="62"/>
      <c r="J5" s="75" t="s">
        <v>112</v>
      </c>
      <c r="K5" s="75" t="s">
        <v>113</v>
      </c>
      <c r="L5" s="75" t="s">
        <v>114</v>
      </c>
      <c r="M5" s="76" t="s">
        <v>115</v>
      </c>
      <c r="N5" s="76" t="s">
        <v>116</v>
      </c>
      <c r="O5" s="62"/>
      <c r="P5" s="77" t="s">
        <v>117</v>
      </c>
      <c r="Q5" s="77" t="s">
        <v>46</v>
      </c>
      <c r="R5" s="77" t="s">
        <v>47</v>
      </c>
      <c r="S5" s="77" t="s">
        <v>118</v>
      </c>
      <c r="T5" s="77" t="s">
        <v>119</v>
      </c>
      <c r="U5" s="77" t="s">
        <v>120</v>
      </c>
      <c r="V5" s="78" t="s">
        <v>51</v>
      </c>
      <c r="W5" s="985"/>
      <c r="X5" s="79" t="s">
        <v>59</v>
      </c>
      <c r="Y5" s="77" t="s">
        <v>121</v>
      </c>
      <c r="Z5" s="79" t="s">
        <v>122</v>
      </c>
      <c r="AA5" s="79" t="s">
        <v>56</v>
      </c>
      <c r="AB5" s="77" t="s">
        <v>57</v>
      </c>
      <c r="AC5" s="985"/>
      <c r="AD5" s="80" t="s">
        <v>59</v>
      </c>
      <c r="AE5" s="81" t="s">
        <v>60</v>
      </c>
      <c r="AF5" s="81" t="s">
        <v>61</v>
      </c>
      <c r="AG5" s="81" t="s">
        <v>123</v>
      </c>
      <c r="AH5" s="1000"/>
      <c r="AI5" s="1001"/>
      <c r="AJ5" s="1002"/>
      <c r="AK5" s="62"/>
      <c r="AL5" s="82" t="s">
        <v>67</v>
      </c>
      <c r="AM5" s="82" t="s">
        <v>68</v>
      </c>
      <c r="AN5" s="997" t="s">
        <v>124</v>
      </c>
      <c r="AO5" s="997"/>
      <c r="AP5" s="82" t="s">
        <v>125</v>
      </c>
      <c r="AQ5" s="83" t="s">
        <v>126</v>
      </c>
      <c r="AR5" s="84" t="s">
        <v>127</v>
      </c>
      <c r="AS5" s="994"/>
      <c r="AU5" s="82"/>
      <c r="AV5" s="82" t="s">
        <v>128</v>
      </c>
      <c r="AW5" s="975"/>
      <c r="AX5" s="64"/>
      <c r="AY5" s="990"/>
      <c r="AZ5" s="991"/>
      <c r="BA5" s="64"/>
      <c r="BB5" s="992"/>
      <c r="BC5" s="991"/>
      <c r="BD5" s="64"/>
      <c r="BE5" s="974"/>
      <c r="BF5" s="974"/>
      <c r="BG5" s="974"/>
      <c r="BH5" s="974"/>
      <c r="BI5" s="66"/>
      <c r="BJ5" s="975"/>
      <c r="BK5" s="62"/>
      <c r="BL5" s="82" t="s">
        <v>129</v>
      </c>
      <c r="BM5" s="82" t="s">
        <v>130</v>
      </c>
      <c r="BN5" s="82" t="s">
        <v>131</v>
      </c>
      <c r="BO5" s="62"/>
      <c r="BP5" s="62"/>
      <c r="BQ5" s="977" t="s">
        <v>124</v>
      </c>
      <c r="BR5" s="978" t="s">
        <v>132</v>
      </c>
      <c r="BS5" s="62"/>
      <c r="BT5" s="979" t="s">
        <v>133</v>
      </c>
      <c r="BU5" s="979" t="s">
        <v>134</v>
      </c>
      <c r="BV5" s="979" t="s">
        <v>135</v>
      </c>
      <c r="BW5" s="979" t="s">
        <v>136</v>
      </c>
      <c r="BX5" s="977" t="s">
        <v>137</v>
      </c>
      <c r="BY5" s="977"/>
      <c r="BZ5" s="979" t="s">
        <v>138</v>
      </c>
      <c r="CA5" s="85" t="s">
        <v>139</v>
      </c>
      <c r="CB5" s="62"/>
      <c r="CC5" s="87" t="s">
        <v>140</v>
      </c>
      <c r="CD5" s="88" t="s">
        <v>79</v>
      </c>
      <c r="CE5" s="88" t="s">
        <v>141</v>
      </c>
      <c r="CF5" s="73" t="s">
        <v>142</v>
      </c>
      <c r="CG5" s="88" t="s">
        <v>143</v>
      </c>
      <c r="CI5" s="980" t="s">
        <v>144</v>
      </c>
      <c r="CJ5" s="980"/>
      <c r="CK5" s="980"/>
      <c r="CM5" s="88" t="s">
        <v>140</v>
      </c>
      <c r="CN5" s="73" t="s">
        <v>145</v>
      </c>
      <c r="CO5" s="73" t="s">
        <v>146</v>
      </c>
      <c r="CP5" s="73" t="s">
        <v>147</v>
      </c>
      <c r="CQ5" s="73" t="s">
        <v>148</v>
      </c>
      <c r="CR5" s="73" t="s">
        <v>149</v>
      </c>
      <c r="CS5" s="73" t="s">
        <v>150</v>
      </c>
      <c r="CT5" s="73" t="s">
        <v>151</v>
      </c>
      <c r="CU5" s="59"/>
      <c r="DC5" s="49"/>
      <c r="DD5" s="49"/>
    </row>
    <row r="6" spans="1:108" ht="63" customHeight="1">
      <c r="D6" s="90"/>
      <c r="E6" s="90"/>
      <c r="F6" s="90"/>
      <c r="G6" s="90"/>
      <c r="H6" s="90"/>
      <c r="I6" s="90"/>
      <c r="J6" s="90"/>
      <c r="K6" s="91"/>
      <c r="L6" s="91"/>
      <c r="M6" s="92"/>
      <c r="N6" s="92"/>
      <c r="P6" s="92"/>
      <c r="Q6" s="92"/>
      <c r="R6" s="92"/>
      <c r="S6" s="92"/>
      <c r="T6" s="92"/>
      <c r="U6" s="92"/>
      <c r="V6" s="92"/>
      <c r="W6" s="93"/>
      <c r="X6" s="91"/>
      <c r="Y6" s="92"/>
      <c r="Z6" s="91"/>
      <c r="AA6" s="91"/>
      <c r="AB6" s="92"/>
      <c r="AC6" s="92"/>
      <c r="AD6" s="91"/>
      <c r="AE6" s="91"/>
      <c r="AF6" s="91"/>
      <c r="AG6" s="91"/>
      <c r="AH6" s="92"/>
      <c r="AJ6" s="52">
        <v>300</v>
      </c>
      <c r="AL6" s="91"/>
      <c r="AM6" s="91"/>
      <c r="AN6" s="91"/>
      <c r="AO6" s="91"/>
      <c r="AP6" s="91"/>
      <c r="AQ6" s="91"/>
      <c r="AR6" s="91"/>
      <c r="AY6" s="94"/>
      <c r="AZ6" s="95"/>
      <c r="BB6" s="96"/>
      <c r="BC6" s="96"/>
      <c r="BE6" s="97"/>
      <c r="BF6" s="97"/>
      <c r="BL6" s="91"/>
      <c r="BM6" s="91"/>
      <c r="BN6" s="91"/>
      <c r="BQ6" s="977"/>
      <c r="BR6" s="978"/>
      <c r="BT6" s="979"/>
      <c r="BU6" s="979"/>
      <c r="BV6" s="979"/>
      <c r="BW6" s="979"/>
      <c r="BX6" s="977"/>
      <c r="BY6" s="977"/>
      <c r="BZ6" s="979"/>
      <c r="CA6" s="98">
        <v>0</v>
      </c>
      <c r="CC6" s="99" t="s">
        <v>152</v>
      </c>
      <c r="CD6" s="100">
        <v>17.89</v>
      </c>
      <c r="CE6" s="101">
        <v>1600</v>
      </c>
      <c r="CF6" s="101">
        <v>5</v>
      </c>
      <c r="CG6" s="101">
        <v>3</v>
      </c>
      <c r="CI6" s="102" t="s">
        <v>153</v>
      </c>
      <c r="CJ6" s="102" t="s">
        <v>154</v>
      </c>
      <c r="CK6" s="102" t="s">
        <v>155</v>
      </c>
      <c r="CM6" s="103" t="s">
        <v>152</v>
      </c>
      <c r="CN6" s="104">
        <v>18.440000000000001</v>
      </c>
      <c r="CO6" s="104">
        <v>17.97</v>
      </c>
      <c r="CP6" s="104">
        <v>17.89</v>
      </c>
      <c r="CQ6" s="104">
        <v>17.79</v>
      </c>
      <c r="CR6" s="104">
        <v>17.89</v>
      </c>
      <c r="CS6" s="104">
        <v>17.89</v>
      </c>
      <c r="CT6" s="104" t="s">
        <v>156</v>
      </c>
      <c r="CU6" s="59"/>
      <c r="CW6" s="67"/>
      <c r="DC6" s="49"/>
      <c r="DD6" s="49"/>
    </row>
    <row r="7" spans="1:108" ht="30.8" hidden="1" customHeight="1">
      <c r="A7" s="105">
        <f t="shared" ref="A7:A9" si="0">ROW(A7)</f>
        <v>7</v>
      </c>
      <c r="B7" s="106" t="s">
        <v>157</v>
      </c>
      <c r="C7" s="107">
        <f t="shared" ref="C7:C9" si="1">VALUE(LEFT(D7,3))</f>
        <v>41</v>
      </c>
      <c r="D7" s="108" t="s">
        <v>158</v>
      </c>
      <c r="E7" s="109" t="s">
        <v>159</v>
      </c>
      <c r="F7" s="109" t="s">
        <v>160</v>
      </c>
      <c r="G7" s="109"/>
      <c r="H7" s="109" t="s">
        <v>161</v>
      </c>
      <c r="I7" s="110"/>
      <c r="J7" s="109">
        <f t="shared" ref="J7:J9" si="2">K7/0.18</f>
        <v>50</v>
      </c>
      <c r="K7" s="111">
        <v>9</v>
      </c>
      <c r="L7" s="112">
        <v>9</v>
      </c>
      <c r="M7" s="113">
        <f t="shared" ref="M7:M9" si="3">IF(K7&lt;&gt;0,N7/K7,0)</f>
        <v>1110.2222222222222</v>
      </c>
      <c r="N7" s="114">
        <v>9992</v>
      </c>
      <c r="O7" s="110"/>
      <c r="P7" s="115">
        <f>'041'!M61</f>
        <v>8268.3972000976464</v>
      </c>
      <c r="Q7" s="115">
        <f>'041'!N61</f>
        <v>1590.892540169737</v>
      </c>
      <c r="R7" s="115">
        <f>'041'!O61</f>
        <v>1569.3050665180849</v>
      </c>
      <c r="S7" s="115">
        <f>'041'!P61</f>
        <v>3419.5394753169294</v>
      </c>
      <c r="T7" s="116">
        <f>'041'!Q97</f>
        <v>1386.1000000000001</v>
      </c>
      <c r="U7" s="115">
        <f>'041'!R61</f>
        <v>389.9054812823864</v>
      </c>
      <c r="V7" s="115">
        <f>'041'!S61</f>
        <v>562.27500000000009</v>
      </c>
      <c r="W7" s="117">
        <f t="shared" ref="W7:W9" si="4">SUM(P7:V7)</f>
        <v>17186.414763384786</v>
      </c>
      <c r="X7" s="118" t="s">
        <v>162</v>
      </c>
      <c r="Y7" s="119">
        <f>'041'!I109</f>
        <v>1676.33949576706</v>
      </c>
      <c r="Z7" s="120">
        <v>1</v>
      </c>
      <c r="AA7" s="112"/>
      <c r="AB7" s="113">
        <f t="shared" ref="AB7:AB9" si="5">Z7*Y7+(1-Z7)*Y7*BX7</f>
        <v>1676.33949576706</v>
      </c>
      <c r="AC7" s="117">
        <f t="shared" ref="AC7:AC9" si="6">W7+AB7</f>
        <v>18862.754259151847</v>
      </c>
      <c r="AD7" s="112"/>
      <c r="AE7" s="112" t="s">
        <v>157</v>
      </c>
      <c r="AF7" s="121"/>
      <c r="AG7" s="122">
        <f t="shared" ref="AG7:AG9" si="7">IF(AF7="",0,MIN(AF7,20*K7*AQ7)*BY7)</f>
        <v>0</v>
      </c>
      <c r="AH7" s="117">
        <f t="shared" ref="AH7:AH9" si="8">AC7+AG7</f>
        <v>18862.754259151847</v>
      </c>
      <c r="AI7" s="109">
        <v>516.16999999999996</v>
      </c>
      <c r="AJ7" s="114">
        <f>'041'!I118</f>
        <v>1285.29</v>
      </c>
      <c r="AK7" s="110"/>
      <c r="AL7" s="123"/>
      <c r="AM7" s="109">
        <f>'041'!I125</f>
        <v>300.7</v>
      </c>
      <c r="AN7" s="124">
        <f t="shared" ref="AN7:AN9" si="9">IF(AO7&lt;&gt;0,VLOOKUP(AO7,$BQ$7:$BR$9,2)," ")</f>
        <v>35.06</v>
      </c>
      <c r="AO7" s="109" t="s">
        <v>163</v>
      </c>
      <c r="AP7" s="125">
        <f t="shared" ref="AP7:AP9" si="10">IF(K7&gt;=100,3.206*K7,0)</f>
        <v>0</v>
      </c>
      <c r="AQ7" s="126">
        <v>0</v>
      </c>
      <c r="AR7" s="127">
        <f t="shared" ref="AR7:AR9" si="11">IF(AND(AA7="oui",AE7="oui"),MAX((20*J7*AQ7-(1-Z7)*Y7-AF7)/20,0),IF(AND(AA7="oui",AE7="NON"),MAX((20*J7*AQ7-(1-Z7)*Y7)/20,0),IF(AND(AA7="non",AE7="oui"),MAX((20*J7*AQ7-AF7)/20,0),K7*AQ7)))</f>
        <v>0</v>
      </c>
      <c r="AS7" s="128">
        <f t="shared" ref="AS7:AS9" si="12">SUM(AL7:AN7,AP7,AR7)</f>
        <v>335.76</v>
      </c>
      <c r="AT7" s="129"/>
      <c r="AU7" s="130"/>
      <c r="AV7" s="126"/>
      <c r="AW7" s="126">
        <v>200</v>
      </c>
      <c r="AX7" s="129"/>
      <c r="AY7" s="131">
        <v>17.920000000000002</v>
      </c>
      <c r="AZ7" s="132">
        <f t="shared" ref="AZ7:AZ9" si="13">AY7*N7/100</f>
        <v>1790.5664000000002</v>
      </c>
      <c r="BA7" s="129"/>
      <c r="BB7" s="126"/>
      <c r="BC7" s="133">
        <f t="shared" ref="BC7:BC9" ca="1" si="14">IF(BB7="oui",IF(TODAY()&lt;$CJ$10,(IF(K7&lt;100,$CJ$7,IF(K7&lt;250,$CJ$8,IF(K7&lt;=500,$CJ$9,0)))),IF(TODAY()&lt;$CK$10,(IF(K7&lt;100,$CK$7,IF(K7&lt;250,$CK$8,IF(K7&lt;=500,$CK$9,0)))),0)),0)*K7*1000</f>
        <v>0</v>
      </c>
      <c r="BD7" s="129"/>
      <c r="BE7" s="134">
        <f t="shared" ref="BE7:BE9" si="15">IF(AH7&lt;&gt;0,AZ7/AH7," ")</f>
        <v>9.4926031235934252E-2</v>
      </c>
      <c r="BF7" s="134">
        <f t="shared" ref="BF7:BF9" si="16">IF(AC7&lt;&gt;0,AZ7/AC7," ")</f>
        <v>9.4926031235934252E-2</v>
      </c>
      <c r="BG7" s="135">
        <f t="shared" ref="BG7:BG9" si="17">IF(K7&lt;&gt;0,W7/(1000*K7),"")</f>
        <v>1.9096016403760874</v>
      </c>
      <c r="BH7" s="136">
        <f t="shared" ref="BH7:BH9" si="18">IF(K7&lt;&gt;0,AH7/(K7*1000)," ")</f>
        <v>2.0958615843502053</v>
      </c>
      <c r="BI7" s="137"/>
      <c r="BJ7" s="126"/>
      <c r="BK7" s="129"/>
      <c r="BL7" s="138">
        <f t="shared" ref="BL7:BL9" si="19">IF(AA7="oui",(1-Z7)*U7,0)</f>
        <v>0</v>
      </c>
      <c r="BM7" s="123">
        <f t="shared" ref="BM7:BM9" si="20">IF(AE7="non",0,AF7)</f>
        <v>0</v>
      </c>
      <c r="BN7" s="139">
        <f t="shared" ref="BN7:BN9" si="21">IF(AE7="non",AF7,IF(J7*20*AQ7&lt;AF7,AF7-J7*20*AQ7,0))</f>
        <v>0</v>
      </c>
      <c r="BO7" s="129"/>
      <c r="BP7" s="129"/>
      <c r="BQ7" s="140" t="s">
        <v>163</v>
      </c>
      <c r="BR7" s="141">
        <v>35.06</v>
      </c>
      <c r="BS7" s="142"/>
      <c r="BT7" s="143">
        <f t="shared" ref="BT7:BT9" si="22">IF(B7="oui",1,0)</f>
        <v>0</v>
      </c>
      <c r="BU7" s="142"/>
      <c r="BV7" s="144">
        <v>10</v>
      </c>
      <c r="BW7" s="143">
        <v>3</v>
      </c>
      <c r="BX7" s="143">
        <f t="shared" ref="BX7:BX9" si="23">IF(AA7="non",0,1)</f>
        <v>1</v>
      </c>
      <c r="BY7" s="143">
        <f t="shared" ref="BY7:BY9" si="24">IF(AE7="non",0,1)</f>
        <v>0</v>
      </c>
      <c r="BZ7" s="145">
        <v>20</v>
      </c>
      <c r="CA7" s="146">
        <f t="shared" ref="CA7:CA10" si="25">CA6+0.05</f>
        <v>0.05</v>
      </c>
      <c r="CB7" s="142"/>
      <c r="CC7" s="147" t="s">
        <v>164</v>
      </c>
      <c r="CD7" s="148">
        <v>15.21</v>
      </c>
      <c r="CE7" s="148">
        <v>1600</v>
      </c>
      <c r="CF7" s="148">
        <v>5</v>
      </c>
      <c r="CG7" s="148">
        <v>9</v>
      </c>
      <c r="CI7" s="149" t="s">
        <v>165</v>
      </c>
      <c r="CJ7" s="89">
        <v>0.23799999999999999</v>
      </c>
      <c r="CK7" s="89">
        <v>0.13300000000000001</v>
      </c>
      <c r="CM7" s="148" t="s">
        <v>164</v>
      </c>
      <c r="CN7" s="150">
        <v>15.67</v>
      </c>
      <c r="CO7" s="150">
        <v>15.27</v>
      </c>
      <c r="CP7" s="150">
        <v>15.21</v>
      </c>
      <c r="CQ7" s="150">
        <v>15.12</v>
      </c>
      <c r="CR7" s="150">
        <v>15.21</v>
      </c>
      <c r="CS7" s="150">
        <v>15.21</v>
      </c>
      <c r="CT7" s="150" t="s">
        <v>166</v>
      </c>
      <c r="CU7" s="59"/>
      <c r="CX7" s="67"/>
      <c r="CY7" s="67"/>
      <c r="CZ7" s="67"/>
      <c r="DA7" s="67"/>
      <c r="DC7" s="49"/>
      <c r="DD7" s="49"/>
    </row>
    <row r="8" spans="1:108" ht="30.8" hidden="1" customHeight="1">
      <c r="A8" s="105">
        <f t="shared" si="0"/>
        <v>8</v>
      </c>
      <c r="B8" s="106" t="s">
        <v>157</v>
      </c>
      <c r="C8" s="107">
        <f t="shared" si="1"/>
        <v>245</v>
      </c>
      <c r="D8" s="108" t="s">
        <v>167</v>
      </c>
      <c r="E8" s="109" t="s">
        <v>159</v>
      </c>
      <c r="F8" s="109" t="s">
        <v>168</v>
      </c>
      <c r="G8" s="109"/>
      <c r="H8" s="109" t="s">
        <v>169</v>
      </c>
      <c r="I8" s="110"/>
      <c r="J8" s="109">
        <f t="shared" si="2"/>
        <v>50</v>
      </c>
      <c r="K8" s="111">
        <v>9</v>
      </c>
      <c r="L8" s="112">
        <v>9</v>
      </c>
      <c r="M8" s="113">
        <f t="shared" si="3"/>
        <v>1132</v>
      </c>
      <c r="N8" s="114">
        <v>10188</v>
      </c>
      <c r="O8" s="110"/>
      <c r="P8" s="115">
        <f>'245'!M61</f>
        <v>8279.9086365655985</v>
      </c>
      <c r="Q8" s="115">
        <f>'245'!N61</f>
        <v>1590.8925288923906</v>
      </c>
      <c r="R8" s="115">
        <f>'245'!O61</f>
        <v>1502.8012525351833</v>
      </c>
      <c r="S8" s="115">
        <f>'245'!P61</f>
        <v>2325.7519771276961</v>
      </c>
      <c r="T8" s="116">
        <f>'245'!Q97</f>
        <v>1119.72</v>
      </c>
      <c r="U8" s="115">
        <f>'245'!R61</f>
        <v>389.90547851846674</v>
      </c>
      <c r="V8" s="115">
        <f>'245'!S61</f>
        <v>562.27500000000009</v>
      </c>
      <c r="W8" s="117">
        <f t="shared" si="4"/>
        <v>15771.254873639336</v>
      </c>
      <c r="X8" s="118"/>
      <c r="Y8" s="119"/>
      <c r="Z8" s="120">
        <v>1</v>
      </c>
      <c r="AA8" s="112"/>
      <c r="AB8" s="113">
        <f t="shared" si="5"/>
        <v>0</v>
      </c>
      <c r="AC8" s="117">
        <f t="shared" si="6"/>
        <v>15771.254873639336</v>
      </c>
      <c r="AD8" s="112">
        <v>5000</v>
      </c>
      <c r="AE8" s="112" t="s">
        <v>157</v>
      </c>
      <c r="AF8" s="121"/>
      <c r="AG8" s="122">
        <f t="shared" si="7"/>
        <v>0</v>
      </c>
      <c r="AH8" s="117">
        <f t="shared" si="8"/>
        <v>15771.254873639336</v>
      </c>
      <c r="AI8" s="109">
        <v>518.25</v>
      </c>
      <c r="AJ8" s="114">
        <f>'245'!I112</f>
        <v>1285.29</v>
      </c>
      <c r="AK8" s="110"/>
      <c r="AL8" s="123"/>
      <c r="AM8" s="109">
        <f>'245'!I119</f>
        <v>198.5</v>
      </c>
      <c r="AN8" s="124">
        <f t="shared" si="9"/>
        <v>35.06</v>
      </c>
      <c r="AO8" s="109" t="s">
        <v>163</v>
      </c>
      <c r="AP8" s="125">
        <f t="shared" si="10"/>
        <v>0</v>
      </c>
      <c r="AQ8" s="126">
        <v>15</v>
      </c>
      <c r="AR8" s="127">
        <f t="shared" si="11"/>
        <v>135</v>
      </c>
      <c r="AS8" s="128">
        <f t="shared" si="12"/>
        <v>368.56</v>
      </c>
      <c r="AT8" s="129"/>
      <c r="AU8" s="130"/>
      <c r="AV8" s="126"/>
      <c r="AW8" s="126">
        <v>200</v>
      </c>
      <c r="AX8" s="129"/>
      <c r="AY8" s="131">
        <v>17.920000000000002</v>
      </c>
      <c r="AZ8" s="132">
        <f t="shared" si="13"/>
        <v>1825.6896000000002</v>
      </c>
      <c r="BA8" s="129"/>
      <c r="BB8" s="126"/>
      <c r="BC8" s="133">
        <f t="shared" ca="1" si="14"/>
        <v>0</v>
      </c>
      <c r="BD8" s="129"/>
      <c r="BE8" s="134">
        <f t="shared" si="15"/>
        <v>0.11576057927080526</v>
      </c>
      <c r="BF8" s="134">
        <f t="shared" si="16"/>
        <v>0.11576057927080526</v>
      </c>
      <c r="BG8" s="135">
        <f t="shared" si="17"/>
        <v>1.752361652626593</v>
      </c>
      <c r="BH8" s="136">
        <f t="shared" si="18"/>
        <v>1.752361652626593</v>
      </c>
      <c r="BI8" s="151"/>
      <c r="BJ8" s="126"/>
      <c r="BK8" s="129"/>
      <c r="BL8" s="138">
        <f t="shared" si="19"/>
        <v>0</v>
      </c>
      <c r="BM8" s="123">
        <f t="shared" si="20"/>
        <v>0</v>
      </c>
      <c r="BN8" s="139">
        <f t="shared" si="21"/>
        <v>0</v>
      </c>
      <c r="BO8" s="129"/>
      <c r="BP8" s="129"/>
      <c r="BQ8" s="140" t="s">
        <v>170</v>
      </c>
      <c r="BR8" s="141">
        <v>447.78</v>
      </c>
      <c r="BT8" s="143">
        <f t="shared" si="22"/>
        <v>0</v>
      </c>
      <c r="BU8" s="152" t="s">
        <v>157</v>
      </c>
      <c r="BV8" s="144">
        <v>5</v>
      </c>
      <c r="BW8" s="143">
        <v>2</v>
      </c>
      <c r="BX8" s="143">
        <f t="shared" si="23"/>
        <v>1</v>
      </c>
      <c r="BY8" s="143">
        <f t="shared" si="24"/>
        <v>0</v>
      </c>
      <c r="BZ8" s="145">
        <v>10</v>
      </c>
      <c r="CA8" s="146">
        <f t="shared" si="25"/>
        <v>0.1</v>
      </c>
      <c r="CC8" s="147" t="s">
        <v>171</v>
      </c>
      <c r="CD8" s="148">
        <v>10.89</v>
      </c>
      <c r="CE8" s="148">
        <v>1600</v>
      </c>
      <c r="CF8" s="148">
        <v>5</v>
      </c>
      <c r="CG8" s="148">
        <v>36</v>
      </c>
      <c r="CI8" s="149" t="s">
        <v>172</v>
      </c>
      <c r="CJ8" s="89">
        <v>0.23499999999999999</v>
      </c>
      <c r="CK8" s="89" t="s">
        <v>173</v>
      </c>
      <c r="CM8" s="148" t="s">
        <v>171</v>
      </c>
      <c r="CN8" s="150">
        <v>11.74</v>
      </c>
      <c r="CO8" s="150">
        <v>11.35</v>
      </c>
      <c r="CP8" s="150">
        <v>11.21</v>
      </c>
      <c r="CQ8" s="150">
        <v>10.95</v>
      </c>
      <c r="CR8" s="150">
        <v>10.89</v>
      </c>
      <c r="CS8" s="150">
        <v>10.89</v>
      </c>
      <c r="CT8" s="150" t="s">
        <v>174</v>
      </c>
      <c r="CU8" s="59"/>
      <c r="DC8" s="49"/>
      <c r="DD8" s="49"/>
    </row>
    <row r="9" spans="1:108" ht="30.8" hidden="1" customHeight="1">
      <c r="A9" s="105">
        <f t="shared" si="0"/>
        <v>9</v>
      </c>
      <c r="B9" s="106" t="s">
        <v>157</v>
      </c>
      <c r="C9" s="107">
        <f t="shared" si="1"/>
        <v>51</v>
      </c>
      <c r="D9" s="108" t="s">
        <v>175</v>
      </c>
      <c r="E9" s="109" t="s">
        <v>159</v>
      </c>
      <c r="F9" s="109" t="s">
        <v>176</v>
      </c>
      <c r="G9" s="109"/>
      <c r="H9" s="109" t="s">
        <v>169</v>
      </c>
      <c r="I9" s="110"/>
      <c r="J9" s="109">
        <f t="shared" si="2"/>
        <v>50</v>
      </c>
      <c r="K9" s="111">
        <v>9</v>
      </c>
      <c r="L9" s="112">
        <v>9</v>
      </c>
      <c r="M9" s="113">
        <f t="shared" si="3"/>
        <v>1120.8888888888889</v>
      </c>
      <c r="N9" s="114">
        <v>10088</v>
      </c>
      <c r="O9" s="110"/>
      <c r="P9" s="115">
        <f>'051'!M63</f>
        <v>8683.6708868860351</v>
      </c>
      <c r="Q9" s="115">
        <f>'051'!N63</f>
        <v>1590.8925288923906</v>
      </c>
      <c r="R9" s="115">
        <f>'051'!O63</f>
        <v>911.91562375121282</v>
      </c>
      <c r="S9" s="115">
        <f>'051'!P63</f>
        <v>6560.3196131295399</v>
      </c>
      <c r="T9" s="116">
        <f>'051'!Q99</f>
        <v>1119.72</v>
      </c>
      <c r="U9" s="115">
        <f>'051'!R63</f>
        <v>389.90547851846674</v>
      </c>
      <c r="V9" s="115">
        <f>'051'!S63</f>
        <v>562.27500000000009</v>
      </c>
      <c r="W9" s="117">
        <f t="shared" si="4"/>
        <v>19818.699131177647</v>
      </c>
      <c r="X9" s="112"/>
      <c r="Y9" s="114"/>
      <c r="Z9" s="120">
        <v>1</v>
      </c>
      <c r="AA9" s="112"/>
      <c r="AB9" s="113">
        <f t="shared" si="5"/>
        <v>0</v>
      </c>
      <c r="AC9" s="117">
        <f t="shared" si="6"/>
        <v>19818.699131177647</v>
      </c>
      <c r="AD9" s="112"/>
      <c r="AE9" s="112" t="s">
        <v>157</v>
      </c>
      <c r="AF9" s="121"/>
      <c r="AG9" s="122">
        <f t="shared" si="7"/>
        <v>0</v>
      </c>
      <c r="AH9" s="117">
        <f t="shared" si="8"/>
        <v>19818.699131177647</v>
      </c>
      <c r="AI9" s="109">
        <v>508.87</v>
      </c>
      <c r="AJ9" s="114">
        <f>'051'!I120</f>
        <v>1285.29</v>
      </c>
      <c r="AK9" s="110"/>
      <c r="AL9" s="123"/>
      <c r="AM9" s="109">
        <f>'051'!I127</f>
        <v>276.7</v>
      </c>
      <c r="AN9" s="124">
        <f t="shared" si="9"/>
        <v>35.06</v>
      </c>
      <c r="AO9" s="109" t="s">
        <v>163</v>
      </c>
      <c r="AP9" s="125">
        <f t="shared" si="10"/>
        <v>0</v>
      </c>
      <c r="AQ9" s="126">
        <v>15</v>
      </c>
      <c r="AR9" s="127">
        <f t="shared" si="11"/>
        <v>135</v>
      </c>
      <c r="AS9" s="128">
        <f t="shared" si="12"/>
        <v>446.76</v>
      </c>
      <c r="AT9" s="129"/>
      <c r="AU9" s="130"/>
      <c r="AV9" s="126"/>
      <c r="AW9" s="126">
        <v>200</v>
      </c>
      <c r="AX9" s="129"/>
      <c r="AY9" s="131">
        <v>17.920000000000002</v>
      </c>
      <c r="AZ9" s="132">
        <f t="shared" si="13"/>
        <v>1807.7696000000003</v>
      </c>
      <c r="BA9" s="129"/>
      <c r="BB9" s="126"/>
      <c r="BC9" s="133">
        <f t="shared" ca="1" si="14"/>
        <v>0</v>
      </c>
      <c r="BD9" s="129"/>
      <c r="BE9" s="134">
        <f t="shared" si="15"/>
        <v>9.1215351120403271E-2</v>
      </c>
      <c r="BF9" s="134">
        <f t="shared" si="16"/>
        <v>9.1215351120403271E-2</v>
      </c>
      <c r="BG9" s="135">
        <f t="shared" si="17"/>
        <v>2.2020776812419607</v>
      </c>
      <c r="BH9" s="136">
        <f t="shared" si="18"/>
        <v>2.2020776812419607</v>
      </c>
      <c r="BI9" s="153"/>
      <c r="BJ9" s="126"/>
      <c r="BL9" s="138">
        <f t="shared" si="19"/>
        <v>0</v>
      </c>
      <c r="BM9" s="123">
        <f t="shared" si="20"/>
        <v>0</v>
      </c>
      <c r="BN9" s="139">
        <f t="shared" si="21"/>
        <v>0</v>
      </c>
      <c r="BO9" s="129"/>
      <c r="BP9" s="129"/>
      <c r="BQ9" s="154" t="s">
        <v>177</v>
      </c>
      <c r="BR9" s="155">
        <v>737.76</v>
      </c>
      <c r="BT9" s="143">
        <f t="shared" si="22"/>
        <v>0</v>
      </c>
      <c r="BV9" s="144">
        <v>15</v>
      </c>
      <c r="BW9" s="143">
        <v>4</v>
      </c>
      <c r="BX9" s="143">
        <f t="shared" si="23"/>
        <v>1</v>
      </c>
      <c r="BY9" s="143">
        <f t="shared" si="24"/>
        <v>0</v>
      </c>
      <c r="BZ9" s="129"/>
      <c r="CA9" s="146">
        <f t="shared" si="25"/>
        <v>0.15000000000000002</v>
      </c>
      <c r="CC9" s="147" t="s">
        <v>178</v>
      </c>
      <c r="CD9" s="148">
        <v>9.4700000000000006</v>
      </c>
      <c r="CE9" s="148">
        <v>1600</v>
      </c>
      <c r="CF9" s="148">
        <v>5</v>
      </c>
      <c r="CG9" s="148">
        <v>100</v>
      </c>
      <c r="CI9" s="149" t="s">
        <v>179</v>
      </c>
      <c r="CJ9" s="89">
        <v>0.23300000000000001</v>
      </c>
      <c r="CK9" s="89">
        <v>0.125</v>
      </c>
      <c r="CM9" s="148" t="s">
        <v>178</v>
      </c>
      <c r="CN9" s="150">
        <v>10.23</v>
      </c>
      <c r="CO9" s="150">
        <v>9.8699999999999992</v>
      </c>
      <c r="CP9" s="150">
        <v>9.74</v>
      </c>
      <c r="CQ9" s="150">
        <v>9.52</v>
      </c>
      <c r="CR9" s="150">
        <v>9.4700000000000006</v>
      </c>
      <c r="CS9" s="150">
        <v>9.4700000000000006</v>
      </c>
      <c r="CT9" s="150" t="s">
        <v>180</v>
      </c>
      <c r="CU9" s="59"/>
      <c r="DC9" s="49"/>
      <c r="DD9" s="49"/>
    </row>
    <row r="10" spans="1:108" ht="30.8" hidden="1" customHeight="1">
      <c r="A10" s="105">
        <f t="shared" ref="A10:A73" si="26">ROW(A10)</f>
        <v>10</v>
      </c>
      <c r="B10" s="106" t="s">
        <v>157</v>
      </c>
      <c r="C10" s="107">
        <f t="shared" ref="C10:C73" si="27">VALUE(LEFT(D10,3))</f>
        <v>76</v>
      </c>
      <c r="D10" s="108" t="s">
        <v>181</v>
      </c>
      <c r="E10" s="109" t="s">
        <v>159</v>
      </c>
      <c r="F10" s="109" t="s">
        <v>182</v>
      </c>
      <c r="G10" s="109"/>
      <c r="H10" s="109" t="s">
        <v>169</v>
      </c>
      <c r="I10" s="110"/>
      <c r="J10" s="109">
        <f>K10/0.18</f>
        <v>50</v>
      </c>
      <c r="K10" s="111">
        <v>9</v>
      </c>
      <c r="L10" s="112">
        <v>9</v>
      </c>
      <c r="M10" s="113">
        <f>IF(K10&lt;&gt;0,N10/K10,0)</f>
        <v>1127.7777777777778</v>
      </c>
      <c r="N10" s="114">
        <v>10150</v>
      </c>
      <c r="O10" s="110"/>
      <c r="P10" s="115">
        <f>'076'!M61</f>
        <v>8268.3971414855296</v>
      </c>
      <c r="Q10" s="115">
        <f>'076'!N61</f>
        <v>1590.8925288923906</v>
      </c>
      <c r="R10" s="115">
        <f>'076'!O61</f>
        <v>1198.7795404090787</v>
      </c>
      <c r="S10" s="115">
        <f>'076'!P61</f>
        <v>4484.4016063189065</v>
      </c>
      <c r="T10" s="116">
        <f>'076'!Q97</f>
        <v>1119.72</v>
      </c>
      <c r="U10" s="115">
        <f>'076'!R61</f>
        <v>1469.7188964706115</v>
      </c>
      <c r="V10" s="115">
        <f>'076'!S61</f>
        <v>562.27500000000009</v>
      </c>
      <c r="W10" s="117">
        <f t="shared" ref="W10:W73" si="28">SUM(P10:V10)</f>
        <v>18694.18471357652</v>
      </c>
      <c r="X10" s="118"/>
      <c r="Y10" s="119"/>
      <c r="Z10" s="120">
        <v>1</v>
      </c>
      <c r="AA10" s="112"/>
      <c r="AB10" s="113">
        <f t="shared" ref="AB10:AB21" si="29">Z10*Y10+(1-Z10)*Y10*BX10</f>
        <v>0</v>
      </c>
      <c r="AC10" s="117">
        <f t="shared" ref="AC10:AC73" si="30">W10+AB10</f>
        <v>18694.18471357652</v>
      </c>
      <c r="AD10" s="112"/>
      <c r="AE10" s="112" t="s">
        <v>157</v>
      </c>
      <c r="AF10" s="121"/>
      <c r="AG10" s="122">
        <f t="shared" ref="AG10:AG16" si="31">IF(AF10="",0,MIN(AF10,20*K10*AQ10)*BY10)</f>
        <v>0</v>
      </c>
      <c r="AH10" s="117">
        <f t="shared" ref="AH10:AH73" si="32">AC10+AG10</f>
        <v>18694.18471357652</v>
      </c>
      <c r="AI10" s="109"/>
      <c r="AJ10" s="114">
        <f>'076'!I112</f>
        <v>3985.29</v>
      </c>
      <c r="AK10" s="110"/>
      <c r="AL10" s="123"/>
      <c r="AM10" s="109">
        <f>'076'!I119</f>
        <v>625.5</v>
      </c>
      <c r="AN10" s="124">
        <f t="shared" ref="AN10:AN73" si="33">IF(AO10&lt;&gt;0,VLOOKUP(AO10,$BQ$7:$BR$9,2)," ")</f>
        <v>35.06</v>
      </c>
      <c r="AO10" s="109" t="s">
        <v>163</v>
      </c>
      <c r="AP10" s="125">
        <f t="shared" ref="AP10:AP73" si="34">IF(K10&gt;=100,3.206*K10,0)</f>
        <v>0</v>
      </c>
      <c r="AQ10" s="126">
        <v>0</v>
      </c>
      <c r="AR10" s="127">
        <f t="shared" ref="AR10:AR73" si="35">IF(AND(AA10="oui",AE10="oui"),MAX((20*J10*AQ10-(1-Z10)*Y10-AF10)/20,0),IF(AND(AA10="oui",AE10="NON"),MAX((20*J10*AQ10-(1-Z10)*Y10)/20,0),IF(AND(AA10="non",AE10="oui"),MAX((20*J10*AQ10-AF10)/20,0),K10*AQ10)))</f>
        <v>0</v>
      </c>
      <c r="AS10" s="128">
        <f t="shared" ref="AS10:AS73" si="36">SUM(AL10:AN10,AP10,AR10)</f>
        <v>660.56</v>
      </c>
      <c r="AT10" s="129"/>
      <c r="AU10" s="130"/>
      <c r="AV10" s="126"/>
      <c r="AW10" s="126">
        <v>200</v>
      </c>
      <c r="AX10" s="129"/>
      <c r="AY10" s="131">
        <v>17.260000000000002</v>
      </c>
      <c r="AZ10" s="132">
        <f>AY10*N10/100</f>
        <v>1751.8900000000003</v>
      </c>
      <c r="BA10" s="129"/>
      <c r="BB10" s="126"/>
      <c r="BC10" s="133">
        <f t="shared" ref="BC10:BC73" ca="1" si="37">IF(BB10="oui",IF(TODAY()&lt;$CJ$10,(IF(K10&lt;100,$CJ$7,IF(K10&lt;250,$CJ$8,IF(K10&lt;=500,$CJ$9,0)))),IF(TODAY()&lt;$CK$10,(IF(K10&lt;100,$CK$7,IF(K10&lt;250,$CK$8,IF(K10&lt;=500,$CK$9,0)))),0)),0)*K10*1000</f>
        <v>0</v>
      </c>
      <c r="BD10" s="129"/>
      <c r="BE10" s="134">
        <f t="shared" ref="BE10:BE73" si="38">IF(AH10&lt;&gt;0,AZ10/AH10," ")</f>
        <v>9.3713099920731097E-2</v>
      </c>
      <c r="BF10" s="134">
        <f t="shared" ref="BF10:BF73" si="39">IF(AC10&lt;&gt;0,AZ10/AC10," ")</f>
        <v>9.3713099920731097E-2</v>
      </c>
      <c r="BG10" s="135">
        <f t="shared" ref="BG10:BG73" si="40">IF(K10&lt;&gt;0,W10/(1000*K10),"")</f>
        <v>2.0771316348418356</v>
      </c>
      <c r="BH10" s="136">
        <f t="shared" ref="BH10:BH73" si="41">IF(K10&lt;&gt;0,AH10/(K10*1000)," ")</f>
        <v>2.0771316348418356</v>
      </c>
      <c r="BI10" s="151"/>
      <c r="BJ10" s="126"/>
      <c r="BK10" s="129"/>
      <c r="BL10" s="138">
        <f t="shared" ref="BL10:BL73" si="42">IF(AA10="oui",(1-Z10)*U10,0)</f>
        <v>0</v>
      </c>
      <c r="BM10" s="123">
        <f t="shared" ref="BM10:BM73" si="43">IF(AE10="non",0,AF10)</f>
        <v>0</v>
      </c>
      <c r="BN10" s="139">
        <f t="shared" ref="BN10:BN73" si="44">IF(AE10="non",AF10,IF(J10*20*AQ10&lt;AF10,AF10-J10*20*AQ10,0))</f>
        <v>0</v>
      </c>
      <c r="BO10" s="129"/>
      <c r="BP10" s="129"/>
      <c r="BR10" s="55"/>
      <c r="BS10" s="156"/>
      <c r="BT10" s="143">
        <f t="shared" ref="BT10:BT73" si="45">IF(B10="oui",1,0)</f>
        <v>0</v>
      </c>
      <c r="BU10" s="152" t="s">
        <v>183</v>
      </c>
      <c r="BV10" s="144">
        <v>0</v>
      </c>
      <c r="BW10" s="143">
        <v>1</v>
      </c>
      <c r="BX10" s="143">
        <f t="shared" ref="BX10:BX11" si="46">IF(AA10="non",0,1)</f>
        <v>1</v>
      </c>
      <c r="BY10" s="143">
        <f t="shared" ref="BY10:BY11" si="47">IF(AE10="non",0,1)</f>
        <v>0</v>
      </c>
      <c r="BZ10" s="143">
        <v>0</v>
      </c>
      <c r="CA10" s="146">
        <f t="shared" si="25"/>
        <v>0.2</v>
      </c>
      <c r="CB10" s="156"/>
      <c r="CC10" s="157" t="s">
        <v>184</v>
      </c>
      <c r="CD10" s="158">
        <v>9.8000000000000007</v>
      </c>
      <c r="CE10" s="158">
        <v>1100</v>
      </c>
      <c r="CF10" s="158">
        <v>4</v>
      </c>
      <c r="CG10" s="158">
        <v>500</v>
      </c>
      <c r="CI10" s="149"/>
      <c r="CJ10" s="159">
        <v>44840</v>
      </c>
      <c r="CK10" s="159">
        <v>45205</v>
      </c>
      <c r="CM10" s="158" t="s">
        <v>184</v>
      </c>
      <c r="CN10" s="160">
        <v>0</v>
      </c>
      <c r="CO10" s="160">
        <v>0</v>
      </c>
      <c r="CP10" s="160">
        <v>9.8000000000000007</v>
      </c>
      <c r="CQ10" s="160"/>
      <c r="CR10" s="160"/>
      <c r="CS10" s="160">
        <v>9.8000000000000007</v>
      </c>
      <c r="CT10" s="160" t="s">
        <v>185</v>
      </c>
      <c r="CU10" s="59"/>
      <c r="DC10" s="49"/>
      <c r="DD10" s="49"/>
    </row>
    <row r="11" spans="1:108" ht="57.6" hidden="1" customHeight="1">
      <c r="A11" s="105">
        <f t="shared" si="26"/>
        <v>11</v>
      </c>
      <c r="B11" s="161" t="s">
        <v>157</v>
      </c>
      <c r="C11" s="106">
        <f t="shared" si="27"/>
        <v>58</v>
      </c>
      <c r="D11" s="108" t="s">
        <v>186</v>
      </c>
      <c r="E11" s="109" t="s">
        <v>187</v>
      </c>
      <c r="F11" s="112" t="s">
        <v>188</v>
      </c>
      <c r="G11" s="112" t="s">
        <v>189</v>
      </c>
      <c r="H11" s="109" t="s">
        <v>190</v>
      </c>
      <c r="I11" s="110"/>
      <c r="J11" s="162">
        <f>'058'!A4*1.7</f>
        <v>173.4</v>
      </c>
      <c r="K11" s="163">
        <f>'058'!A4*'058'!I1/1000</f>
        <v>31.62</v>
      </c>
      <c r="L11" s="164">
        <v>30</v>
      </c>
      <c r="M11" s="114">
        <v>1190</v>
      </c>
      <c r="N11" s="113">
        <f t="shared" ref="N11:N74" si="48">K11*M11</f>
        <v>37627.800000000003</v>
      </c>
      <c r="O11" s="110"/>
      <c r="P11" s="165">
        <f>'058'!M33</f>
        <v>17502.934879032258</v>
      </c>
      <c r="Q11" s="165">
        <f>'058'!N33</f>
        <v>5531.25</v>
      </c>
      <c r="R11" s="165">
        <f>'058'!O33</f>
        <v>1840.7426916666668</v>
      </c>
      <c r="S11" s="165">
        <f>'058'!P61</f>
        <v>14740</v>
      </c>
      <c r="T11" s="165">
        <f>'058'!Q68</f>
        <v>1077.5999999999999</v>
      </c>
      <c r="U11" s="166">
        <f>'058'!R33</f>
        <v>5036.1000000000004</v>
      </c>
      <c r="V11" s="166">
        <f>'058'!S33</f>
        <v>924.55000000000007</v>
      </c>
      <c r="W11" s="117">
        <f t="shared" si="28"/>
        <v>46653.177570698928</v>
      </c>
      <c r="X11" s="112"/>
      <c r="Y11" s="114"/>
      <c r="Z11" s="120">
        <v>1</v>
      </c>
      <c r="AA11" s="112"/>
      <c r="AB11" s="113">
        <f t="shared" si="29"/>
        <v>0</v>
      </c>
      <c r="AC11" s="117">
        <f t="shared" si="30"/>
        <v>46653.177570698928</v>
      </c>
      <c r="AD11" s="112"/>
      <c r="AE11" s="112" t="s">
        <v>157</v>
      </c>
      <c r="AF11" s="121"/>
      <c r="AG11" s="122">
        <f t="shared" si="31"/>
        <v>0</v>
      </c>
      <c r="AH11" s="117">
        <f t="shared" si="32"/>
        <v>46653.177570698928</v>
      </c>
      <c r="AI11" s="167">
        <v>0</v>
      </c>
      <c r="AJ11" s="168">
        <f>'058'!I85</f>
        <v>4685</v>
      </c>
      <c r="AK11" s="110"/>
      <c r="AL11" s="123"/>
      <c r="AM11" s="167">
        <f>'058'!I92</f>
        <v>507</v>
      </c>
      <c r="AN11" s="124">
        <f t="shared" si="33"/>
        <v>35.06</v>
      </c>
      <c r="AO11" s="109" t="s">
        <v>163</v>
      </c>
      <c r="AP11" s="125">
        <f t="shared" si="34"/>
        <v>0</v>
      </c>
      <c r="AQ11" s="126">
        <v>2</v>
      </c>
      <c r="AR11" s="127">
        <f t="shared" si="35"/>
        <v>63.24</v>
      </c>
      <c r="AS11" s="128">
        <f t="shared" si="36"/>
        <v>605.29999999999995</v>
      </c>
      <c r="AT11" s="129"/>
      <c r="AU11" s="130"/>
      <c r="AV11" s="126"/>
      <c r="AW11" s="126">
        <f>5*75</f>
        <v>375</v>
      </c>
      <c r="AX11" s="129"/>
      <c r="AY11" s="169">
        <f t="shared" ref="AY11:AY74" si="49">IF(K11=0,0,IF(K11&lt;=$CG$6,$CD$6,IF(K11&lt;=$CG$7,$CD$7,IF(K11&lt;=$CG$8,$CD$8,IF(K11&lt;=$CG$9,$CD$9,IF(K11&lt;=$CG$10,$CD$10,0))))))</f>
        <v>10.89</v>
      </c>
      <c r="AZ11" s="132">
        <f t="shared" ref="AZ11:AZ37" si="50">IF(K11&lt;=$CG$6,IF(M11&lt;=$CE$6,M11*$CD$6,$CE$6*$CD$6+(M11-$CE$6)*$CF$6),IF(K11&lt;=$CG$7,IF(M11&lt;=$CE$7,M11*$CD$7,$CE$7*$CD$7+(M11-$CE$7)*$CF$7),IF(K11&lt;=$CG$8,IF(M11&lt;=$CE$8,M11*$CD$8,$CE$8*$CD$8+(M11-$CE$8)*$CF$8),IF(K11&lt;=$CG$9,IF(M11&lt;=$CE$9,M11*$CD$9,$CE$9*$CD$9+(M11-$CE$9)*$CF$9),IF(K11&lt;=$CG$10,IF(M11&lt;=$CE$10,M11*$CD$10,$CE$10*$CD$10+(M11-$CE$10)*$CF$10),0)))))*K11/100</f>
        <v>4097.6674200000007</v>
      </c>
      <c r="BA11" s="129"/>
      <c r="BB11" s="126"/>
      <c r="BC11" s="133">
        <f t="shared" ca="1" si="37"/>
        <v>0</v>
      </c>
      <c r="BD11" s="129"/>
      <c r="BE11" s="134">
        <f t="shared" si="38"/>
        <v>8.7832547178385303E-2</v>
      </c>
      <c r="BF11" s="134">
        <f t="shared" si="39"/>
        <v>8.7832547178385303E-2</v>
      </c>
      <c r="BG11" s="135">
        <f t="shared" si="40"/>
        <v>1.4754325607431666</v>
      </c>
      <c r="BH11" s="136">
        <f t="shared" si="41"/>
        <v>1.4754325607431666</v>
      </c>
      <c r="BI11" s="153"/>
      <c r="BJ11" s="126"/>
      <c r="BK11" s="129"/>
      <c r="BL11" s="138">
        <f t="shared" si="42"/>
        <v>0</v>
      </c>
      <c r="BM11" s="123">
        <f t="shared" si="43"/>
        <v>0</v>
      </c>
      <c r="BN11" s="139">
        <f t="shared" si="44"/>
        <v>0</v>
      </c>
      <c r="BQ11" s="170"/>
      <c r="BR11" s="55"/>
      <c r="BT11" s="143">
        <f t="shared" si="45"/>
        <v>0</v>
      </c>
      <c r="BW11" s="171">
        <v>17</v>
      </c>
      <c r="BX11" s="143">
        <f t="shared" si="46"/>
        <v>1</v>
      </c>
      <c r="BY11" s="143">
        <f t="shared" si="47"/>
        <v>0</v>
      </c>
      <c r="BZ11" s="129"/>
      <c r="CA11" s="146">
        <f>CA10+0.05</f>
        <v>0.25</v>
      </c>
      <c r="CC11" s="59"/>
      <c r="CD11" s="59"/>
      <c r="CE11" s="59"/>
      <c r="CF11" s="59"/>
      <c r="CG11" s="59"/>
      <c r="CH11" s="59"/>
      <c r="CI11" s="59"/>
      <c r="CJ11" s="59"/>
      <c r="CK11" s="59"/>
      <c r="CL11" s="59"/>
      <c r="CM11" s="59"/>
      <c r="CN11" s="59"/>
      <c r="CO11" s="59"/>
      <c r="CP11" s="59"/>
      <c r="CQ11" s="59"/>
      <c r="CR11" s="59"/>
      <c r="CS11" s="59"/>
      <c r="CT11" s="59" t="s">
        <v>191</v>
      </c>
      <c r="CU11" s="59"/>
      <c r="DC11" s="49"/>
      <c r="DD11" s="49"/>
    </row>
    <row r="12" spans="1:108" ht="62.85" hidden="1">
      <c r="A12" s="105">
        <f t="shared" si="26"/>
        <v>12</v>
      </c>
      <c r="B12" s="106" t="s">
        <v>157</v>
      </c>
      <c r="C12" s="106">
        <f t="shared" si="27"/>
        <v>335</v>
      </c>
      <c r="D12" s="172" t="s">
        <v>192</v>
      </c>
      <c r="E12" s="109" t="s">
        <v>193</v>
      </c>
      <c r="F12" s="112" t="s">
        <v>194</v>
      </c>
      <c r="G12" s="112" t="s">
        <v>195</v>
      </c>
      <c r="H12" s="109" t="s">
        <v>196</v>
      </c>
      <c r="I12" s="110"/>
      <c r="J12" s="162">
        <f>'335-36kVA'!A4*1.7</f>
        <v>158.1</v>
      </c>
      <c r="K12" s="163">
        <f>'335-36kVA'!A4*'335-36kVA'!I1/1000</f>
        <v>33.479999999999997</v>
      </c>
      <c r="L12" s="164">
        <v>34</v>
      </c>
      <c r="M12" s="114">
        <v>1137</v>
      </c>
      <c r="N12" s="113">
        <f t="shared" si="48"/>
        <v>38066.759999999995</v>
      </c>
      <c r="O12" s="110"/>
      <c r="P12" s="165">
        <f>'335-36kVA'!M38</f>
        <v>14069.845703125</v>
      </c>
      <c r="Q12" s="165">
        <f>'335-36kVA'!N38</f>
        <v>7244.25</v>
      </c>
      <c r="R12" s="165">
        <f>'335-36kVA'!O38</f>
        <v>585.57600000000002</v>
      </c>
      <c r="S12" s="165">
        <f>'335-36kVA'!P38</f>
        <v>5280</v>
      </c>
      <c r="T12" s="165">
        <f>'335-36kVA'!Q38</f>
        <v>1270.8399999999999</v>
      </c>
      <c r="U12" s="165">
        <f>'335-36kVA'!R38</f>
        <v>2243.75</v>
      </c>
      <c r="V12" s="165">
        <f>'335-36kVA'!S38</f>
        <v>1155.6875</v>
      </c>
      <c r="W12" s="117">
        <f t="shared" si="28"/>
        <v>31849.949203125001</v>
      </c>
      <c r="X12" s="112"/>
      <c r="Y12" s="114"/>
      <c r="Z12" s="120"/>
      <c r="AA12" s="112"/>
      <c r="AB12" s="113">
        <f t="shared" si="29"/>
        <v>0</v>
      </c>
      <c r="AC12" s="117">
        <f t="shared" si="30"/>
        <v>31849.949203125001</v>
      </c>
      <c r="AD12" s="112"/>
      <c r="AE12" s="112" t="s">
        <v>157</v>
      </c>
      <c r="AF12" s="121"/>
      <c r="AG12" s="122">
        <f t="shared" si="31"/>
        <v>0</v>
      </c>
      <c r="AH12" s="117">
        <f t="shared" si="32"/>
        <v>31849.949203125001</v>
      </c>
      <c r="AI12" s="167">
        <v>0</v>
      </c>
      <c r="AJ12" s="168">
        <f>'335-36kVA'!I172</f>
        <v>2840</v>
      </c>
      <c r="AK12" s="110"/>
      <c r="AL12" s="123"/>
      <c r="AM12" s="167">
        <f>'335-36kVA'!I181</f>
        <v>480</v>
      </c>
      <c r="AN12" s="124">
        <f t="shared" si="33"/>
        <v>35.06</v>
      </c>
      <c r="AO12" s="109" t="s">
        <v>163</v>
      </c>
      <c r="AP12" s="125">
        <f t="shared" si="34"/>
        <v>0</v>
      </c>
      <c r="AQ12" s="126">
        <v>5</v>
      </c>
      <c r="AR12" s="127">
        <f t="shared" si="35"/>
        <v>167.39999999999998</v>
      </c>
      <c r="AS12" s="128">
        <f t="shared" si="36"/>
        <v>682.45999999999992</v>
      </c>
      <c r="AT12" s="129"/>
      <c r="AU12" s="130"/>
      <c r="AV12" s="126"/>
      <c r="AW12" s="126">
        <v>375</v>
      </c>
      <c r="AX12" s="129"/>
      <c r="AY12" s="169">
        <f t="shared" si="49"/>
        <v>10.89</v>
      </c>
      <c r="AZ12" s="132">
        <f t="shared" si="50"/>
        <v>4145.4701639999994</v>
      </c>
      <c r="BA12" s="129"/>
      <c r="BB12" s="126"/>
      <c r="BC12" s="133">
        <f t="shared" ca="1" si="37"/>
        <v>0</v>
      </c>
      <c r="BD12" s="129"/>
      <c r="BE12" s="134">
        <f t="shared" si="38"/>
        <v>0.13015625668857458</v>
      </c>
      <c r="BF12" s="134">
        <f t="shared" si="39"/>
        <v>0.13015625668857458</v>
      </c>
      <c r="BG12" s="135">
        <f t="shared" si="40"/>
        <v>0.95131270021281367</v>
      </c>
      <c r="BH12" s="136">
        <f t="shared" si="41"/>
        <v>0.95131270021281367</v>
      </c>
      <c r="BI12" s="153"/>
      <c r="BJ12" s="126">
        <v>0</v>
      </c>
      <c r="BK12" s="129"/>
      <c r="BL12" s="138">
        <f t="shared" si="42"/>
        <v>0</v>
      </c>
      <c r="BM12" s="123">
        <f t="shared" si="43"/>
        <v>0</v>
      </c>
      <c r="BN12" s="139">
        <f t="shared" si="44"/>
        <v>0</v>
      </c>
      <c r="BQ12" s="173"/>
      <c r="BT12" s="143">
        <f t="shared" si="45"/>
        <v>0</v>
      </c>
      <c r="BV12" s="143">
        <v>2.5</v>
      </c>
      <c r="BW12" s="143">
        <v>8</v>
      </c>
      <c r="BX12" s="143">
        <f>IF(AA16="non",0,1)</f>
        <v>0</v>
      </c>
      <c r="BY12" s="143">
        <f>IF(AE16="non",0,1)</f>
        <v>0</v>
      </c>
      <c r="BZ12" s="129"/>
      <c r="CA12" s="146">
        <v>0.3</v>
      </c>
      <c r="CC12" s="59"/>
      <c r="CD12" s="59"/>
      <c r="CE12" s="59"/>
      <c r="CF12" s="59"/>
      <c r="CG12" s="59"/>
      <c r="CH12" s="59"/>
      <c r="CI12" s="59"/>
      <c r="CJ12" s="59"/>
      <c r="CK12" s="59"/>
      <c r="CL12" s="59"/>
      <c r="CM12" s="59"/>
      <c r="CN12" s="59"/>
      <c r="CO12" s="59"/>
      <c r="CP12" s="59"/>
      <c r="CQ12" s="59"/>
      <c r="CR12" s="59"/>
      <c r="CS12" s="59"/>
      <c r="CT12" s="59"/>
      <c r="CU12" s="59"/>
      <c r="DC12" s="49"/>
      <c r="DD12" s="49"/>
    </row>
    <row r="13" spans="1:108" ht="62.85" hidden="1">
      <c r="A13" s="105">
        <f t="shared" si="26"/>
        <v>13</v>
      </c>
      <c r="B13" s="106" t="s">
        <v>157</v>
      </c>
      <c r="C13" s="106">
        <f t="shared" si="27"/>
        <v>335</v>
      </c>
      <c r="D13" s="172" t="s">
        <v>192</v>
      </c>
      <c r="E13" s="109" t="s">
        <v>197</v>
      </c>
      <c r="F13" s="112" t="s">
        <v>194</v>
      </c>
      <c r="G13" s="112" t="s">
        <v>195</v>
      </c>
      <c r="H13" s="109" t="s">
        <v>196</v>
      </c>
      <c r="I13" s="110"/>
      <c r="J13" s="162">
        <f>'335-Max'!A4*1.7</f>
        <v>217.6</v>
      </c>
      <c r="K13" s="163">
        <f>'335-Max'!A4*'335-Max'!I1/1000</f>
        <v>46.08</v>
      </c>
      <c r="L13" s="164">
        <v>41</v>
      </c>
      <c r="M13" s="114">
        <f>52390/K13</f>
        <v>1136.9357638888889</v>
      </c>
      <c r="N13" s="113">
        <f t="shared" si="48"/>
        <v>52390</v>
      </c>
      <c r="O13" s="110"/>
      <c r="P13" s="165">
        <f>'335-Max'!M38</f>
        <v>20393.775000000001</v>
      </c>
      <c r="Q13" s="165">
        <f>'335-Max'!N38</f>
        <v>8162.25</v>
      </c>
      <c r="R13" s="165">
        <f>'335-Max'!O38</f>
        <v>704.62199999999996</v>
      </c>
      <c r="S13" s="165">
        <f>'335-Max'!P38</f>
        <v>9420</v>
      </c>
      <c r="T13" s="165">
        <f>'335-Max'!I126</f>
        <v>1270.8399999999999</v>
      </c>
      <c r="U13" s="165">
        <f>'335-Max'!R38</f>
        <v>2876.3875000000003</v>
      </c>
      <c r="V13" s="165">
        <f>'335-Max'!S38</f>
        <v>1155.6875</v>
      </c>
      <c r="W13" s="117">
        <f t="shared" si="28"/>
        <v>43983.561999999991</v>
      </c>
      <c r="X13" s="112"/>
      <c r="Y13" s="114"/>
      <c r="Z13" s="120"/>
      <c r="AA13" s="112"/>
      <c r="AB13" s="113">
        <f t="shared" si="29"/>
        <v>0</v>
      </c>
      <c r="AC13" s="117">
        <f t="shared" si="30"/>
        <v>43983.561999999991</v>
      </c>
      <c r="AD13" s="112"/>
      <c r="AE13" s="112" t="s">
        <v>157</v>
      </c>
      <c r="AF13" s="121"/>
      <c r="AG13" s="122">
        <f t="shared" si="31"/>
        <v>0</v>
      </c>
      <c r="AH13" s="117">
        <f t="shared" si="32"/>
        <v>43983.561999999991</v>
      </c>
      <c r="AI13" s="167">
        <v>0</v>
      </c>
      <c r="AJ13" s="168">
        <f>'335-Max'!I172</f>
        <v>2840</v>
      </c>
      <c r="AK13" s="110"/>
      <c r="AL13" s="123"/>
      <c r="AM13" s="167">
        <f>'335-Max'!I181</f>
        <v>480</v>
      </c>
      <c r="AN13" s="124">
        <f t="shared" si="33"/>
        <v>447.78</v>
      </c>
      <c r="AO13" s="109" t="s">
        <v>170</v>
      </c>
      <c r="AP13" s="125">
        <f t="shared" si="34"/>
        <v>0</v>
      </c>
      <c r="AQ13" s="126">
        <v>5</v>
      </c>
      <c r="AR13" s="127">
        <f t="shared" si="35"/>
        <v>230.39999999999998</v>
      </c>
      <c r="AS13" s="128">
        <f t="shared" si="36"/>
        <v>1158.1799999999998</v>
      </c>
      <c r="AT13" s="129"/>
      <c r="AU13" s="130"/>
      <c r="AV13" s="126"/>
      <c r="AW13" s="126">
        <v>375</v>
      </c>
      <c r="AX13" s="129"/>
      <c r="AY13" s="169">
        <f t="shared" si="49"/>
        <v>9.4700000000000006</v>
      </c>
      <c r="AZ13" s="132">
        <f t="shared" si="50"/>
        <v>4961.3330000000005</v>
      </c>
      <c r="BA13" s="129"/>
      <c r="BB13" s="126"/>
      <c r="BC13" s="133">
        <f t="shared" ca="1" si="37"/>
        <v>0</v>
      </c>
      <c r="BD13" s="129"/>
      <c r="BE13" s="134">
        <f t="shared" si="38"/>
        <v>0.11279970912769642</v>
      </c>
      <c r="BF13" s="134">
        <f t="shared" si="39"/>
        <v>0.11279970912769642</v>
      </c>
      <c r="BG13" s="135">
        <f t="shared" si="40"/>
        <v>0.95450438368055535</v>
      </c>
      <c r="BH13" s="136">
        <f t="shared" si="41"/>
        <v>0.95450438368055535</v>
      </c>
      <c r="BI13" s="153"/>
      <c r="BJ13" s="126">
        <v>0</v>
      </c>
      <c r="BK13" s="129"/>
      <c r="BL13" s="138">
        <f t="shared" si="42"/>
        <v>0</v>
      </c>
      <c r="BM13" s="123">
        <f t="shared" si="43"/>
        <v>0</v>
      </c>
      <c r="BN13" s="139">
        <f t="shared" si="44"/>
        <v>0</v>
      </c>
      <c r="BQ13" s="173"/>
      <c r="BT13" s="143">
        <f t="shared" si="45"/>
        <v>0</v>
      </c>
      <c r="BV13" s="143">
        <v>2.5</v>
      </c>
      <c r="BW13" s="143">
        <v>8</v>
      </c>
      <c r="BX13" s="143">
        <f>IF(AA22="non",0,1)</f>
        <v>1</v>
      </c>
      <c r="BY13" s="143">
        <f>IF(AE22="non",0,1)</f>
        <v>0</v>
      </c>
      <c r="BZ13" s="129"/>
      <c r="CA13" s="146">
        <v>0.3</v>
      </c>
      <c r="CC13" s="59"/>
      <c r="CD13" s="59"/>
      <c r="CE13" s="59"/>
      <c r="CF13" s="59"/>
      <c r="CG13" s="59"/>
      <c r="CH13" s="59"/>
      <c r="CI13" s="59"/>
      <c r="CJ13" s="59"/>
      <c r="CK13" s="59"/>
      <c r="CL13" s="59"/>
      <c r="CM13" s="59"/>
      <c r="CN13" s="59"/>
      <c r="CO13" s="59"/>
      <c r="CP13" s="59"/>
      <c r="CQ13" s="59"/>
      <c r="CR13" s="59"/>
      <c r="CS13" s="59"/>
      <c r="CT13" s="59"/>
      <c r="CU13" s="59"/>
      <c r="DC13" s="49"/>
      <c r="DD13" s="49"/>
    </row>
    <row r="14" spans="1:108" ht="47.15" hidden="1">
      <c r="A14" s="105">
        <f t="shared" si="26"/>
        <v>14</v>
      </c>
      <c r="B14" s="106"/>
      <c r="C14" s="106">
        <f t="shared" si="27"/>
        <v>337</v>
      </c>
      <c r="D14" s="108" t="s">
        <v>198</v>
      </c>
      <c r="E14" s="109" t="s">
        <v>199</v>
      </c>
      <c r="F14" s="112" t="s">
        <v>200</v>
      </c>
      <c r="G14" s="112" t="s">
        <v>195</v>
      </c>
      <c r="H14" s="109" t="s">
        <v>190</v>
      </c>
      <c r="I14" s="110"/>
      <c r="J14" s="162">
        <f>'337-Sur-F'!A4*1.7</f>
        <v>176.79999999999998</v>
      </c>
      <c r="K14" s="163">
        <f>'337-Sur-F'!A4*'337-Sur-F'!I1/1000</f>
        <v>35.36</v>
      </c>
      <c r="L14" s="164">
        <f>27+3.7</f>
        <v>30.7</v>
      </c>
      <c r="M14" s="114">
        <v>1134</v>
      </c>
      <c r="N14" s="113">
        <f t="shared" si="48"/>
        <v>40098.239999999998</v>
      </c>
      <c r="O14" s="110"/>
      <c r="P14" s="165">
        <f>'337-Sur-F'!M34</f>
        <v>15246.348050458713</v>
      </c>
      <c r="Q14" s="165">
        <f>'337-Sur-F'!N34</f>
        <v>3394.1750000000002</v>
      </c>
      <c r="R14" s="165">
        <f>'337-Sur-F'!O34</f>
        <v>1283.2602500000003</v>
      </c>
      <c r="S14" s="165">
        <f>'337-Sur-F'!P61</f>
        <v>13240</v>
      </c>
      <c r="T14" s="165">
        <f>'337-Sur-F'!Q83</f>
        <v>1373.3999999999999</v>
      </c>
      <c r="U14" s="165">
        <f>'337-Sur-F'!R34</f>
        <v>2326.6851319994239</v>
      </c>
      <c r="V14" s="165">
        <f>'337-Sur-F'!S34</f>
        <v>924.55000000000007</v>
      </c>
      <c r="W14" s="117">
        <f t="shared" si="28"/>
        <v>37788.418432458144</v>
      </c>
      <c r="X14" s="112"/>
      <c r="Y14" s="114"/>
      <c r="Z14" s="120"/>
      <c r="AA14" s="112"/>
      <c r="AB14" s="113">
        <f t="shared" si="29"/>
        <v>0</v>
      </c>
      <c r="AC14" s="117">
        <f t="shared" si="30"/>
        <v>37788.418432458144</v>
      </c>
      <c r="AD14" s="112"/>
      <c r="AE14" s="112" t="s">
        <v>157</v>
      </c>
      <c r="AF14" s="121"/>
      <c r="AG14" s="122">
        <f t="shared" si="31"/>
        <v>0</v>
      </c>
      <c r="AH14" s="117">
        <f t="shared" si="32"/>
        <v>37788.418432458144</v>
      </c>
      <c r="AI14" s="167">
        <v>520</v>
      </c>
      <c r="AJ14" s="168">
        <f>'337-Sur-F'!I101</f>
        <v>2973</v>
      </c>
      <c r="AK14" s="110"/>
      <c r="AL14" s="123"/>
      <c r="AM14" s="167">
        <f>'337-Sur-F'!I110</f>
        <v>660</v>
      </c>
      <c r="AN14" s="124">
        <f t="shared" si="33"/>
        <v>35.06</v>
      </c>
      <c r="AO14" s="109" t="s">
        <v>163</v>
      </c>
      <c r="AP14" s="125">
        <f t="shared" si="34"/>
        <v>0</v>
      </c>
      <c r="AQ14" s="126">
        <v>7.5</v>
      </c>
      <c r="AR14" s="127">
        <f t="shared" si="35"/>
        <v>265.2</v>
      </c>
      <c r="AS14" s="128">
        <f t="shared" si="36"/>
        <v>960.26</v>
      </c>
      <c r="AT14" s="129"/>
      <c r="AU14" s="130"/>
      <c r="AV14" s="126"/>
      <c r="AW14" s="126">
        <v>375</v>
      </c>
      <c r="AX14" s="129"/>
      <c r="AY14" s="169">
        <f t="shared" si="49"/>
        <v>10.89</v>
      </c>
      <c r="AZ14" s="132">
        <f t="shared" si="50"/>
        <v>4366.6983360000004</v>
      </c>
      <c r="BA14" s="129"/>
      <c r="BB14" s="126"/>
      <c r="BC14" s="133">
        <f t="shared" ca="1" si="37"/>
        <v>0</v>
      </c>
      <c r="BD14" s="129"/>
      <c r="BE14" s="134">
        <f t="shared" si="38"/>
        <v>0.11555652544191292</v>
      </c>
      <c r="BF14" s="134">
        <f t="shared" si="39"/>
        <v>0.11555652544191292</v>
      </c>
      <c r="BG14" s="135">
        <f t="shared" si="40"/>
        <v>1.0686769918681602</v>
      </c>
      <c r="BH14" s="136">
        <f t="shared" si="41"/>
        <v>1.0686769918681602</v>
      </c>
      <c r="BI14" s="153"/>
      <c r="BJ14" s="126"/>
      <c r="BK14" s="129"/>
      <c r="BL14" s="138">
        <f t="shared" si="42"/>
        <v>0</v>
      </c>
      <c r="BM14" s="123">
        <f t="shared" si="43"/>
        <v>0</v>
      </c>
      <c r="BN14" s="139">
        <f t="shared" si="44"/>
        <v>0</v>
      </c>
      <c r="BQ14" s="173"/>
      <c r="BT14" s="143">
        <f t="shared" si="45"/>
        <v>0</v>
      </c>
      <c r="BV14" s="143">
        <v>2.5</v>
      </c>
      <c r="BW14" s="143">
        <v>8</v>
      </c>
      <c r="BX14" s="143">
        <f>IF(AA22="non",0,1)</f>
        <v>1</v>
      </c>
      <c r="BY14" s="143">
        <f>IF(AE22="non",0,1)</f>
        <v>0</v>
      </c>
      <c r="BZ14" s="129"/>
      <c r="CA14" s="146">
        <v>0.3</v>
      </c>
      <c r="CC14" s="59"/>
      <c r="CD14" s="59"/>
      <c r="CE14" s="59"/>
      <c r="CF14" s="59"/>
      <c r="CG14" s="59"/>
      <c r="CH14" s="59"/>
      <c r="CI14" s="59"/>
      <c r="CJ14" s="59"/>
      <c r="CK14" s="59"/>
      <c r="CL14" s="59"/>
      <c r="CM14" s="59"/>
      <c r="CN14" s="59"/>
      <c r="CO14" s="59"/>
      <c r="CP14" s="59"/>
      <c r="CQ14" s="59"/>
      <c r="CR14" s="59"/>
      <c r="CS14" s="59"/>
      <c r="CT14" s="59"/>
      <c r="CU14" s="59"/>
      <c r="DC14" s="49"/>
      <c r="DD14" s="49"/>
    </row>
    <row r="15" spans="1:108" ht="47.15" hidden="1">
      <c r="A15" s="105">
        <f t="shared" si="26"/>
        <v>15</v>
      </c>
      <c r="B15" s="106"/>
      <c r="C15" s="106">
        <f t="shared" si="27"/>
        <v>337</v>
      </c>
      <c r="D15" s="108" t="s">
        <v>198</v>
      </c>
      <c r="E15" s="109" t="s">
        <v>201</v>
      </c>
      <c r="F15" s="112" t="s">
        <v>200</v>
      </c>
      <c r="G15" s="112" t="s">
        <v>195</v>
      </c>
      <c r="H15" s="109" t="s">
        <v>190</v>
      </c>
      <c r="I15" s="110"/>
      <c r="J15" s="162">
        <f>'337-Sur-SE'!A4*1.7</f>
        <v>170</v>
      </c>
      <c r="K15" s="163">
        <f>'337-Sur-SE'!A4*'337-Sur-SE'!I1/1000</f>
        <v>36</v>
      </c>
      <c r="L15" s="164">
        <v>27.6</v>
      </c>
      <c r="M15" s="114">
        <v>1135</v>
      </c>
      <c r="N15" s="113">
        <f t="shared" si="48"/>
        <v>40860</v>
      </c>
      <c r="O15" s="110"/>
      <c r="P15" s="165">
        <f>'337-Sur-SE'!M34</f>
        <v>28287.726490825691</v>
      </c>
      <c r="Q15" s="165">
        <f>'337-Sur-SE'!N34</f>
        <v>4924.3375000000005</v>
      </c>
      <c r="R15" s="165">
        <f>'337-Sur-SE'!O34</f>
        <v>373.45713333333333</v>
      </c>
      <c r="S15" s="165">
        <f>'337-Sur-SE'!P61</f>
        <v>11240</v>
      </c>
      <c r="T15" s="165">
        <f>'337-Sur-SE'!Q68</f>
        <v>14770.6</v>
      </c>
      <c r="U15" s="165">
        <f>'337-Sur-SE'!R34</f>
        <v>1613.8999999999999</v>
      </c>
      <c r="V15" s="165">
        <f>'337-Sur-SE'!S34</f>
        <v>753.75</v>
      </c>
      <c r="W15" s="117">
        <f t="shared" si="28"/>
        <v>61963.77112415903</v>
      </c>
      <c r="X15" s="112"/>
      <c r="Y15" s="114"/>
      <c r="Z15" s="120"/>
      <c r="AA15" s="112"/>
      <c r="AB15" s="113">
        <f t="shared" si="29"/>
        <v>0</v>
      </c>
      <c r="AC15" s="117">
        <f t="shared" si="30"/>
        <v>61963.77112415903</v>
      </c>
      <c r="AD15" s="112"/>
      <c r="AE15" s="112" t="s">
        <v>157</v>
      </c>
      <c r="AF15" s="121"/>
      <c r="AG15" s="122">
        <f t="shared" si="31"/>
        <v>0</v>
      </c>
      <c r="AH15" s="117">
        <f t="shared" si="32"/>
        <v>61963.77112415903</v>
      </c>
      <c r="AI15" s="167">
        <v>520</v>
      </c>
      <c r="AJ15" s="168">
        <f>'337-Sur-SE'!I85</f>
        <v>1429</v>
      </c>
      <c r="AK15" s="110"/>
      <c r="AL15" s="123"/>
      <c r="AM15" s="167">
        <f>'337-Sur-SE'!I94</f>
        <v>730</v>
      </c>
      <c r="AN15" s="124">
        <f t="shared" si="33"/>
        <v>35.06</v>
      </c>
      <c r="AO15" s="109" t="s">
        <v>163</v>
      </c>
      <c r="AP15" s="125">
        <f t="shared" si="34"/>
        <v>0</v>
      </c>
      <c r="AQ15" s="126">
        <v>7.5</v>
      </c>
      <c r="AR15" s="127">
        <f t="shared" si="35"/>
        <v>270</v>
      </c>
      <c r="AS15" s="128">
        <f t="shared" si="36"/>
        <v>1035.06</v>
      </c>
      <c r="AT15" s="129"/>
      <c r="AU15" s="130"/>
      <c r="AV15" s="126"/>
      <c r="AW15" s="126">
        <v>375</v>
      </c>
      <c r="AX15" s="129"/>
      <c r="AY15" s="169">
        <f t="shared" si="49"/>
        <v>10.89</v>
      </c>
      <c r="AZ15" s="132">
        <f t="shared" si="50"/>
        <v>4449.6540000000005</v>
      </c>
      <c r="BA15" s="129"/>
      <c r="BB15" s="126"/>
      <c r="BC15" s="133">
        <f t="shared" ca="1" si="37"/>
        <v>0</v>
      </c>
      <c r="BD15" s="129"/>
      <c r="BE15" s="134">
        <f t="shared" si="38"/>
        <v>7.1810574457840365E-2</v>
      </c>
      <c r="BF15" s="134">
        <f t="shared" si="39"/>
        <v>7.1810574457840365E-2</v>
      </c>
      <c r="BG15" s="135">
        <f t="shared" si="40"/>
        <v>1.7212158645599731</v>
      </c>
      <c r="BH15" s="136">
        <f t="shared" si="41"/>
        <v>1.7212158645599731</v>
      </c>
      <c r="BI15" s="153"/>
      <c r="BJ15" s="126"/>
      <c r="BK15" s="129"/>
      <c r="BL15" s="138">
        <f t="shared" si="42"/>
        <v>0</v>
      </c>
      <c r="BM15" s="123">
        <f t="shared" si="43"/>
        <v>0</v>
      </c>
      <c r="BN15" s="139">
        <f t="shared" si="44"/>
        <v>0</v>
      </c>
      <c r="BO15" s="174"/>
      <c r="BP15" s="174"/>
      <c r="BQ15" s="170"/>
      <c r="BR15" s="174"/>
      <c r="BS15" s="174"/>
      <c r="BT15" s="143">
        <f t="shared" si="45"/>
        <v>0</v>
      </c>
      <c r="BU15" s="174"/>
      <c r="BV15" s="174"/>
      <c r="BW15" s="143">
        <v>9</v>
      </c>
      <c r="BX15" s="143">
        <f t="shared" ref="BX15:BX16" si="51">IF(AA15="non",0,1)</f>
        <v>1</v>
      </c>
      <c r="BY15" s="143">
        <f t="shared" ref="BY15:BY16" si="52">IF(AE15="non",0,1)</f>
        <v>0</v>
      </c>
      <c r="BZ15" s="129"/>
      <c r="CA15" s="146">
        <f t="shared" ref="CA15:CA20" si="53">CA14+0.05</f>
        <v>0.35</v>
      </c>
      <c r="CB15" s="174"/>
      <c r="CC15" s="59"/>
      <c r="CD15" s="59"/>
      <c r="CE15" s="59"/>
      <c r="CF15" s="59"/>
      <c r="CG15" s="59"/>
      <c r="CH15" s="59"/>
      <c r="CI15" s="59"/>
      <c r="CJ15" s="59"/>
      <c r="CK15" s="59"/>
      <c r="CL15" s="59"/>
      <c r="CM15" s="59"/>
      <c r="CN15" s="59"/>
      <c r="CO15" s="59"/>
      <c r="CP15" s="59"/>
      <c r="CQ15" s="59"/>
      <c r="CR15" s="59"/>
      <c r="CS15" s="59"/>
      <c r="CT15" s="59"/>
      <c r="CU15" s="59"/>
      <c r="DC15" s="49"/>
      <c r="DD15" s="49"/>
    </row>
    <row r="16" spans="1:108" ht="62.85" hidden="1">
      <c r="A16" s="105">
        <f t="shared" si="26"/>
        <v>16</v>
      </c>
      <c r="B16" s="106" t="s">
        <v>157</v>
      </c>
      <c r="C16" s="106">
        <f t="shared" si="27"/>
        <v>337</v>
      </c>
      <c r="D16" s="108" t="s">
        <v>198</v>
      </c>
      <c r="E16" s="109" t="s">
        <v>202</v>
      </c>
      <c r="F16" s="112" t="s">
        <v>200</v>
      </c>
      <c r="G16" s="112" t="s">
        <v>195</v>
      </c>
      <c r="H16" s="109" t="s">
        <v>190</v>
      </c>
      <c r="I16" s="110"/>
      <c r="J16" s="162">
        <f>'337-H-375'!A4*1.7</f>
        <v>163.19999999999999</v>
      </c>
      <c r="K16" s="163">
        <f>'337-H-375'!A4*'337-H-375'!I1/1000</f>
        <v>36</v>
      </c>
      <c r="L16" s="164">
        <f>27+4.5</f>
        <v>31.5</v>
      </c>
      <c r="M16" s="114">
        <v>1181</v>
      </c>
      <c r="N16" s="113">
        <f t="shared" si="48"/>
        <v>42516</v>
      </c>
      <c r="O16" s="110"/>
      <c r="P16" s="165">
        <f>'337-H-375'!M35</f>
        <v>16517.404931192661</v>
      </c>
      <c r="Q16" s="165">
        <f>'337-H-375'!N35</f>
        <v>2493.75</v>
      </c>
      <c r="R16" s="165">
        <f>'337-H-375'!O35</f>
        <v>558.53024999999991</v>
      </c>
      <c r="S16" s="165">
        <f>'337-H-375'!P62</f>
        <v>10920</v>
      </c>
      <c r="T16" s="165">
        <f>'337-H-375'!Q70</f>
        <v>1127.53</v>
      </c>
      <c r="U16" s="165">
        <f>'337-H-375'!R35</f>
        <v>2602.3851319994237</v>
      </c>
      <c r="V16" s="165">
        <f>'337-H-375'!S35</f>
        <v>924.55000000000007</v>
      </c>
      <c r="W16" s="117">
        <f t="shared" si="28"/>
        <v>35144.150313192084</v>
      </c>
      <c r="X16" s="112" t="s">
        <v>203</v>
      </c>
      <c r="Y16" s="114">
        <f>'337-H-375'!I78</f>
        <v>9580</v>
      </c>
      <c r="Z16" s="120">
        <v>1</v>
      </c>
      <c r="AA16" s="112" t="s">
        <v>157</v>
      </c>
      <c r="AB16" s="113">
        <f t="shared" si="29"/>
        <v>9580</v>
      </c>
      <c r="AC16" s="117">
        <f t="shared" si="30"/>
        <v>44724.150313192084</v>
      </c>
      <c r="AD16" s="112"/>
      <c r="AE16" s="112" t="s">
        <v>157</v>
      </c>
      <c r="AF16" s="121"/>
      <c r="AG16" s="122">
        <f t="shared" si="31"/>
        <v>0</v>
      </c>
      <c r="AH16" s="117">
        <f t="shared" si="32"/>
        <v>44724.150313192084</v>
      </c>
      <c r="AI16" s="167">
        <v>0</v>
      </c>
      <c r="AJ16" s="168">
        <f>'337-H-375'!I91</f>
        <v>1469</v>
      </c>
      <c r="AK16" s="110"/>
      <c r="AL16" s="123"/>
      <c r="AM16" s="167">
        <f>'337-H-375'!I107</f>
        <v>570</v>
      </c>
      <c r="AN16" s="124">
        <f t="shared" si="33"/>
        <v>35.06</v>
      </c>
      <c r="AO16" s="109" t="s">
        <v>163</v>
      </c>
      <c r="AP16" s="125">
        <f t="shared" si="34"/>
        <v>0</v>
      </c>
      <c r="AQ16" s="126">
        <v>7.5</v>
      </c>
      <c r="AR16" s="127">
        <f t="shared" si="35"/>
        <v>270</v>
      </c>
      <c r="AS16" s="128">
        <f t="shared" si="36"/>
        <v>875.06</v>
      </c>
      <c r="AT16" s="129"/>
      <c r="AU16" s="130"/>
      <c r="AV16" s="126"/>
      <c r="AW16" s="126">
        <v>375</v>
      </c>
      <c r="AX16" s="129"/>
      <c r="AY16" s="169">
        <f t="shared" si="49"/>
        <v>10.89</v>
      </c>
      <c r="AZ16" s="132">
        <f t="shared" si="50"/>
        <v>4629.9924000000001</v>
      </c>
      <c r="BA16" s="129"/>
      <c r="BB16" s="126"/>
      <c r="BC16" s="133">
        <f t="shared" ca="1" si="37"/>
        <v>0</v>
      </c>
      <c r="BD16" s="129"/>
      <c r="BE16" s="134">
        <f t="shared" si="38"/>
        <v>0.10352331721401785</v>
      </c>
      <c r="BF16" s="134">
        <f t="shared" si="39"/>
        <v>0.10352331721401785</v>
      </c>
      <c r="BG16" s="135">
        <f t="shared" si="40"/>
        <v>0.97622639758866903</v>
      </c>
      <c r="BH16" s="136">
        <f t="shared" si="41"/>
        <v>1.2423375086997801</v>
      </c>
      <c r="BI16" s="153"/>
      <c r="BJ16" s="126">
        <v>0</v>
      </c>
      <c r="BK16" s="129"/>
      <c r="BL16" s="138">
        <f t="shared" si="42"/>
        <v>0</v>
      </c>
      <c r="BM16" s="123">
        <f t="shared" si="43"/>
        <v>0</v>
      </c>
      <c r="BN16" s="139">
        <f t="shared" si="44"/>
        <v>0</v>
      </c>
      <c r="BO16" s="174"/>
      <c r="BP16" s="174"/>
      <c r="BQ16" s="170"/>
      <c r="BR16" s="174"/>
      <c r="BS16" s="174"/>
      <c r="BT16" s="143">
        <f t="shared" si="45"/>
        <v>0</v>
      </c>
      <c r="BU16" s="174"/>
      <c r="BV16" s="174"/>
      <c r="BW16" s="143">
        <v>9</v>
      </c>
      <c r="BX16" s="143">
        <f t="shared" si="51"/>
        <v>0</v>
      </c>
      <c r="BY16" s="143">
        <f t="shared" si="52"/>
        <v>0</v>
      </c>
      <c r="BZ16" s="129"/>
      <c r="CA16" s="146">
        <f t="shared" si="53"/>
        <v>0.39999999999999997</v>
      </c>
      <c r="CB16" s="174"/>
      <c r="CC16" s="59"/>
      <c r="CD16" s="59"/>
      <c r="CE16" s="59"/>
      <c r="CF16" s="59"/>
      <c r="CG16" s="59"/>
      <c r="CH16" s="59"/>
      <c r="CI16" s="59"/>
      <c r="CJ16" s="59"/>
      <c r="CK16" s="59"/>
      <c r="CL16" s="59"/>
      <c r="CM16" s="59"/>
      <c r="CN16" s="59"/>
      <c r="CO16" s="59"/>
      <c r="CP16" s="59"/>
      <c r="CQ16" s="59"/>
      <c r="CR16" s="59"/>
      <c r="CS16" s="59"/>
      <c r="CT16" s="59"/>
      <c r="CU16" s="59"/>
      <c r="DC16" s="49"/>
      <c r="DD16" s="49"/>
    </row>
    <row r="17" spans="1:108" ht="94.25" hidden="1">
      <c r="A17" s="105">
        <f t="shared" si="26"/>
        <v>17</v>
      </c>
      <c r="B17" s="161" t="s">
        <v>157</v>
      </c>
      <c r="C17" s="106">
        <f t="shared" si="27"/>
        <v>337</v>
      </c>
      <c r="D17" s="108" t="s">
        <v>198</v>
      </c>
      <c r="E17" s="109" t="s">
        <v>204</v>
      </c>
      <c r="F17" s="112" t="s">
        <v>200</v>
      </c>
      <c r="G17" s="112" t="s">
        <v>195</v>
      </c>
      <c r="H17" s="109" t="s">
        <v>205</v>
      </c>
      <c r="I17" s="110"/>
      <c r="J17" s="162">
        <v>163</v>
      </c>
      <c r="K17" s="163">
        <v>36</v>
      </c>
      <c r="L17" s="164">
        <v>35</v>
      </c>
      <c r="M17" s="114">
        <v>1181</v>
      </c>
      <c r="N17" s="113">
        <f t="shared" si="48"/>
        <v>42516</v>
      </c>
      <c r="O17" s="110"/>
      <c r="P17" s="165">
        <v>26229.200000000001</v>
      </c>
      <c r="Q17" s="165">
        <v>9370.2000000000007</v>
      </c>
      <c r="R17" s="165">
        <v>1877.95</v>
      </c>
      <c r="S17" s="165">
        <v>8383.39</v>
      </c>
      <c r="T17" s="165">
        <f t="shared" ref="T17:T21" si="54">T16</f>
        <v>1127.53</v>
      </c>
      <c r="U17" s="165">
        <v>721.64</v>
      </c>
      <c r="V17" s="165">
        <v>925</v>
      </c>
      <c r="W17" s="117">
        <f t="shared" si="28"/>
        <v>48634.909999999996</v>
      </c>
      <c r="X17" s="112" t="s">
        <v>206</v>
      </c>
      <c r="Y17" s="114">
        <v>1580</v>
      </c>
      <c r="Z17" s="120">
        <v>1</v>
      </c>
      <c r="AA17" s="112" t="s">
        <v>157</v>
      </c>
      <c r="AB17" s="113">
        <f t="shared" si="29"/>
        <v>1580</v>
      </c>
      <c r="AC17" s="117">
        <f t="shared" si="30"/>
        <v>50214.909999999996</v>
      </c>
      <c r="AD17" s="112"/>
      <c r="AE17" s="112" t="s">
        <v>157</v>
      </c>
      <c r="AF17" s="121"/>
      <c r="AG17" s="122">
        <f>IF(AF17="",0,MIN(AF17,20*K17*AQ17)*#REF!)</f>
        <v>0</v>
      </c>
      <c r="AH17" s="117">
        <f t="shared" si="32"/>
        <v>50214.909999999996</v>
      </c>
      <c r="AI17" s="167">
        <v>0</v>
      </c>
      <c r="AJ17" s="168">
        <v>1109</v>
      </c>
      <c r="AK17" s="110"/>
      <c r="AL17" s="123"/>
      <c r="AM17" s="167">
        <v>255</v>
      </c>
      <c r="AN17" s="124">
        <f t="shared" si="33"/>
        <v>35.06</v>
      </c>
      <c r="AO17" s="109" t="s">
        <v>163</v>
      </c>
      <c r="AP17" s="125">
        <f t="shared" si="34"/>
        <v>0</v>
      </c>
      <c r="AQ17" s="126">
        <v>7.5</v>
      </c>
      <c r="AR17" s="127">
        <f t="shared" si="35"/>
        <v>270</v>
      </c>
      <c r="AS17" s="128">
        <f t="shared" si="36"/>
        <v>560.05999999999995</v>
      </c>
      <c r="AT17" s="129"/>
      <c r="AU17" s="130"/>
      <c r="AV17" s="126"/>
      <c r="AW17" s="126">
        <v>375</v>
      </c>
      <c r="AX17" s="129"/>
      <c r="AY17" s="169">
        <f t="shared" si="49"/>
        <v>10.89</v>
      </c>
      <c r="AZ17" s="132">
        <f t="shared" si="50"/>
        <v>4629.9924000000001</v>
      </c>
      <c r="BA17" s="129"/>
      <c r="BB17" s="126"/>
      <c r="BC17" s="133">
        <f t="shared" ca="1" si="37"/>
        <v>0</v>
      </c>
      <c r="BD17" s="175"/>
      <c r="BE17" s="134">
        <f t="shared" si="38"/>
        <v>9.220353874974585E-2</v>
      </c>
      <c r="BF17" s="134">
        <f t="shared" si="39"/>
        <v>9.220353874974585E-2</v>
      </c>
      <c r="BG17" s="135">
        <f t="shared" si="40"/>
        <v>1.3509697222222221</v>
      </c>
      <c r="BH17" s="136">
        <f t="shared" si="41"/>
        <v>1.394858611111111</v>
      </c>
      <c r="BI17" s="176"/>
      <c r="BJ17" s="126">
        <v>0</v>
      </c>
      <c r="BK17" s="129"/>
      <c r="BL17" s="138">
        <f t="shared" si="42"/>
        <v>0</v>
      </c>
      <c r="BM17" s="123">
        <f t="shared" si="43"/>
        <v>0</v>
      </c>
      <c r="BN17" s="139">
        <f t="shared" si="44"/>
        <v>0</v>
      </c>
      <c r="BO17" s="174"/>
      <c r="BP17" s="174"/>
      <c r="BQ17" s="170"/>
      <c r="BR17" s="174"/>
      <c r="BS17" s="174"/>
      <c r="BT17" s="143">
        <f t="shared" si="45"/>
        <v>0</v>
      </c>
      <c r="BU17" s="174"/>
      <c r="BV17" s="174"/>
      <c r="BW17" s="143">
        <v>10</v>
      </c>
      <c r="BX17" s="143">
        <f t="shared" ref="BX17:BX20" si="55">IF(AA22="non",0,1)</f>
        <v>1</v>
      </c>
      <c r="BY17" s="143">
        <f t="shared" ref="BY17:BY20" si="56">IF(AE22="non",0,1)</f>
        <v>0</v>
      </c>
      <c r="BZ17" s="129"/>
      <c r="CA17" s="146">
        <f t="shared" si="53"/>
        <v>0.44999999999999996</v>
      </c>
      <c r="CB17" s="174"/>
      <c r="CC17" s="59"/>
      <c r="CD17" s="59"/>
      <c r="CE17" s="59"/>
      <c r="CF17" s="59"/>
      <c r="CG17" s="59"/>
      <c r="CH17" s="59"/>
      <c r="CI17" s="59"/>
      <c r="CJ17" s="59"/>
      <c r="CK17" s="59"/>
      <c r="CL17" s="59"/>
      <c r="CM17" s="59"/>
      <c r="CN17" s="59"/>
      <c r="CO17" s="59"/>
      <c r="CP17" s="59"/>
      <c r="CQ17" s="59"/>
      <c r="CR17" s="59"/>
      <c r="CS17" s="59"/>
      <c r="CT17" s="59"/>
      <c r="CU17" s="59"/>
      <c r="DC17" s="49"/>
      <c r="DD17" s="49"/>
    </row>
    <row r="18" spans="1:108" ht="78.55" hidden="1">
      <c r="A18" s="105">
        <f t="shared" si="26"/>
        <v>18</v>
      </c>
      <c r="B18" s="161" t="s">
        <v>157</v>
      </c>
      <c r="C18" s="106">
        <f t="shared" si="27"/>
        <v>337</v>
      </c>
      <c r="D18" s="108" t="s">
        <v>198</v>
      </c>
      <c r="E18" s="109" t="s">
        <v>207</v>
      </c>
      <c r="F18" s="112" t="s">
        <v>200</v>
      </c>
      <c r="G18" s="112" t="s">
        <v>195</v>
      </c>
      <c r="H18" s="109" t="s">
        <v>208</v>
      </c>
      <c r="I18" s="110"/>
      <c r="J18" s="162">
        <v>163</v>
      </c>
      <c r="K18" s="163">
        <v>36</v>
      </c>
      <c r="L18" s="164">
        <v>35</v>
      </c>
      <c r="M18" s="114">
        <v>1181</v>
      </c>
      <c r="N18" s="113">
        <f t="shared" si="48"/>
        <v>42516</v>
      </c>
      <c r="O18" s="110"/>
      <c r="P18" s="165">
        <v>23027.599999999999</v>
      </c>
      <c r="Q18" s="165">
        <v>9259.7999999999993</v>
      </c>
      <c r="R18" s="165">
        <v>1877.95</v>
      </c>
      <c r="S18" s="165">
        <v>8230.2099999999991</v>
      </c>
      <c r="T18" s="165">
        <f t="shared" si="54"/>
        <v>1127.53</v>
      </c>
      <c r="U18" s="165">
        <v>721.64</v>
      </c>
      <c r="V18" s="165">
        <v>925</v>
      </c>
      <c r="W18" s="117">
        <f t="shared" si="28"/>
        <v>45169.729999999996</v>
      </c>
      <c r="X18" s="112" t="s">
        <v>206</v>
      </c>
      <c r="Y18" s="114">
        <v>1580</v>
      </c>
      <c r="Z18" s="120">
        <v>1</v>
      </c>
      <c r="AA18" s="112" t="s">
        <v>157</v>
      </c>
      <c r="AB18" s="113">
        <f t="shared" si="29"/>
        <v>1580</v>
      </c>
      <c r="AC18" s="117">
        <f t="shared" si="30"/>
        <v>46749.729999999996</v>
      </c>
      <c r="AD18" s="112"/>
      <c r="AE18" s="112" t="s">
        <v>157</v>
      </c>
      <c r="AF18" s="121"/>
      <c r="AG18" s="122">
        <f>IF(AF18="",0,MIN(AF18,20*K18*AQ18)*#REF!)</f>
        <v>0</v>
      </c>
      <c r="AH18" s="117">
        <f t="shared" si="32"/>
        <v>46749.729999999996</v>
      </c>
      <c r="AI18" s="167">
        <v>0</v>
      </c>
      <c r="AJ18" s="168">
        <v>1109</v>
      </c>
      <c r="AK18" s="110"/>
      <c r="AL18" s="123"/>
      <c r="AM18" s="167">
        <v>255</v>
      </c>
      <c r="AN18" s="124">
        <f t="shared" si="33"/>
        <v>35.06</v>
      </c>
      <c r="AO18" s="109" t="s">
        <v>163</v>
      </c>
      <c r="AP18" s="125">
        <f t="shared" si="34"/>
        <v>0</v>
      </c>
      <c r="AQ18" s="126">
        <v>7.5</v>
      </c>
      <c r="AR18" s="127">
        <f t="shared" si="35"/>
        <v>270</v>
      </c>
      <c r="AS18" s="128">
        <f t="shared" si="36"/>
        <v>560.05999999999995</v>
      </c>
      <c r="AT18" s="129"/>
      <c r="AU18" s="130"/>
      <c r="AV18" s="126"/>
      <c r="AW18" s="126">
        <v>375</v>
      </c>
      <c r="AX18" s="129"/>
      <c r="AY18" s="169">
        <f t="shared" si="49"/>
        <v>10.89</v>
      </c>
      <c r="AZ18" s="132">
        <f t="shared" si="50"/>
        <v>4629.9924000000001</v>
      </c>
      <c r="BA18" s="129"/>
      <c r="BB18" s="126"/>
      <c r="BC18" s="133">
        <f t="shared" ca="1" si="37"/>
        <v>0</v>
      </c>
      <c r="BD18" s="175"/>
      <c r="BE18" s="134">
        <f t="shared" si="38"/>
        <v>9.9037842571497212E-2</v>
      </c>
      <c r="BF18" s="134">
        <f t="shared" si="39"/>
        <v>9.9037842571497212E-2</v>
      </c>
      <c r="BG18" s="135">
        <f t="shared" si="40"/>
        <v>1.2547147222222221</v>
      </c>
      <c r="BH18" s="136">
        <f t="shared" si="41"/>
        <v>1.298603611111111</v>
      </c>
      <c r="BI18" s="176"/>
      <c r="BJ18" s="126">
        <v>0</v>
      </c>
      <c r="BK18" s="129"/>
      <c r="BL18" s="138">
        <f t="shared" si="42"/>
        <v>0</v>
      </c>
      <c r="BM18" s="123">
        <f t="shared" si="43"/>
        <v>0</v>
      </c>
      <c r="BN18" s="139">
        <f t="shared" si="44"/>
        <v>0</v>
      </c>
      <c r="BO18" s="174"/>
      <c r="BP18" s="174"/>
      <c r="BQ18" s="170"/>
      <c r="BR18" s="174"/>
      <c r="BS18" s="174"/>
      <c r="BT18" s="143">
        <f t="shared" si="45"/>
        <v>0</v>
      </c>
      <c r="BU18" s="174"/>
      <c r="BV18" s="174"/>
      <c r="BW18" s="143">
        <v>11</v>
      </c>
      <c r="BX18" s="143">
        <f t="shared" si="55"/>
        <v>0</v>
      </c>
      <c r="BY18" s="143">
        <f t="shared" si="56"/>
        <v>0</v>
      </c>
      <c r="BZ18" s="129"/>
      <c r="CA18" s="146">
        <f t="shared" si="53"/>
        <v>0.49999999999999994</v>
      </c>
      <c r="CB18" s="174"/>
      <c r="CC18" s="59"/>
      <c r="CD18" s="59"/>
      <c r="CE18" s="59"/>
      <c r="CF18" s="59"/>
      <c r="CG18" s="59"/>
      <c r="CH18" s="59"/>
      <c r="CI18" s="59"/>
      <c r="CJ18" s="59"/>
      <c r="CK18" s="59"/>
      <c r="CL18" s="59"/>
      <c r="CM18" s="59"/>
      <c r="CN18" s="59"/>
      <c r="CO18" s="59"/>
      <c r="CP18" s="59"/>
      <c r="CQ18" s="59"/>
      <c r="CR18" s="59"/>
      <c r="CS18" s="59"/>
      <c r="CT18" s="59"/>
      <c r="CU18" s="59"/>
      <c r="DC18" s="49"/>
      <c r="DD18" s="49"/>
    </row>
    <row r="19" spans="1:108" ht="47.15" hidden="1">
      <c r="A19" s="105">
        <f t="shared" si="26"/>
        <v>19</v>
      </c>
      <c r="B19" s="161" t="s">
        <v>157</v>
      </c>
      <c r="C19" s="106">
        <f t="shared" si="27"/>
        <v>337</v>
      </c>
      <c r="D19" s="108" t="s">
        <v>198</v>
      </c>
      <c r="E19" s="109" t="s">
        <v>209</v>
      </c>
      <c r="F19" s="112" t="s">
        <v>200</v>
      </c>
      <c r="G19" s="112" t="s">
        <v>195</v>
      </c>
      <c r="H19" s="109" t="s">
        <v>210</v>
      </c>
      <c r="I19" s="110"/>
      <c r="J19" s="162"/>
      <c r="K19" s="163">
        <v>36</v>
      </c>
      <c r="L19" s="164">
        <v>35</v>
      </c>
      <c r="M19" s="114">
        <v>1181</v>
      </c>
      <c r="N19" s="113">
        <f t="shared" si="48"/>
        <v>42516</v>
      </c>
      <c r="O19" s="110"/>
      <c r="P19" s="165">
        <v>22790</v>
      </c>
      <c r="Q19" s="165">
        <v>2970</v>
      </c>
      <c r="R19" s="165">
        <v>730</v>
      </c>
      <c r="S19" s="165">
        <v>8750</v>
      </c>
      <c r="T19" s="165">
        <f t="shared" si="54"/>
        <v>1127.53</v>
      </c>
      <c r="U19" s="165">
        <v>2600</v>
      </c>
      <c r="V19" s="165">
        <v>925</v>
      </c>
      <c r="W19" s="117">
        <f t="shared" si="28"/>
        <v>39892.53</v>
      </c>
      <c r="X19" s="112" t="s">
        <v>206</v>
      </c>
      <c r="Y19" s="114">
        <v>1580</v>
      </c>
      <c r="Z19" s="120">
        <v>1</v>
      </c>
      <c r="AA19" s="112" t="s">
        <v>157</v>
      </c>
      <c r="AB19" s="113">
        <f t="shared" si="29"/>
        <v>1580</v>
      </c>
      <c r="AC19" s="117">
        <f t="shared" si="30"/>
        <v>41472.53</v>
      </c>
      <c r="AD19" s="112"/>
      <c r="AE19" s="112" t="s">
        <v>157</v>
      </c>
      <c r="AF19" s="121"/>
      <c r="AG19" s="122">
        <f>IF(AF19="",0,MIN(AF19,20*K19*AQ19)*#REF!)</f>
        <v>0</v>
      </c>
      <c r="AH19" s="117">
        <f t="shared" si="32"/>
        <v>41472.53</v>
      </c>
      <c r="AI19" s="167">
        <v>0</v>
      </c>
      <c r="AJ19" s="168">
        <v>1109</v>
      </c>
      <c r="AK19" s="110"/>
      <c r="AL19" s="123"/>
      <c r="AM19" s="167">
        <f>1500/5</f>
        <v>300</v>
      </c>
      <c r="AN19" s="124">
        <f t="shared" si="33"/>
        <v>35.06</v>
      </c>
      <c r="AO19" s="109" t="s">
        <v>163</v>
      </c>
      <c r="AP19" s="125">
        <f t="shared" si="34"/>
        <v>0</v>
      </c>
      <c r="AQ19" s="126">
        <v>7.5</v>
      </c>
      <c r="AR19" s="127">
        <f t="shared" si="35"/>
        <v>270</v>
      </c>
      <c r="AS19" s="128">
        <f t="shared" si="36"/>
        <v>605.05999999999995</v>
      </c>
      <c r="AT19" s="129"/>
      <c r="AU19" s="130"/>
      <c r="AV19" s="126"/>
      <c r="AW19" s="126">
        <v>375</v>
      </c>
      <c r="AX19" s="129"/>
      <c r="AY19" s="169">
        <f t="shared" si="49"/>
        <v>10.89</v>
      </c>
      <c r="AZ19" s="132">
        <f t="shared" si="50"/>
        <v>4629.9924000000001</v>
      </c>
      <c r="BA19" s="129"/>
      <c r="BB19" s="126"/>
      <c r="BC19" s="133">
        <f t="shared" ca="1" si="37"/>
        <v>0</v>
      </c>
      <c r="BD19" s="175"/>
      <c r="BE19" s="134">
        <f t="shared" si="38"/>
        <v>0.11163997952379563</v>
      </c>
      <c r="BF19" s="134">
        <f t="shared" si="39"/>
        <v>0.11163997952379563</v>
      </c>
      <c r="BG19" s="135">
        <f t="shared" si="40"/>
        <v>1.1081258333333333</v>
      </c>
      <c r="BH19" s="136">
        <f t="shared" si="41"/>
        <v>1.1520147222222221</v>
      </c>
      <c r="BI19" s="176"/>
      <c r="BJ19" s="126">
        <v>0</v>
      </c>
      <c r="BK19" s="129"/>
      <c r="BL19" s="138">
        <f t="shared" si="42"/>
        <v>0</v>
      </c>
      <c r="BM19" s="123">
        <f t="shared" si="43"/>
        <v>0</v>
      </c>
      <c r="BN19" s="139">
        <f t="shared" si="44"/>
        <v>0</v>
      </c>
      <c r="BO19" s="174"/>
      <c r="BP19" s="174"/>
      <c r="BQ19" s="170"/>
      <c r="BR19" s="174"/>
      <c r="BS19" s="174"/>
      <c r="BT19" s="143">
        <f t="shared" si="45"/>
        <v>0</v>
      </c>
      <c r="BU19" s="174"/>
      <c r="BV19" s="174"/>
      <c r="BW19" s="143">
        <v>11</v>
      </c>
      <c r="BX19" s="143">
        <f t="shared" si="55"/>
        <v>0</v>
      </c>
      <c r="BY19" s="143">
        <f t="shared" si="56"/>
        <v>0</v>
      </c>
      <c r="BZ19" s="129"/>
      <c r="CA19" s="146">
        <f t="shared" si="53"/>
        <v>0.54999999999999993</v>
      </c>
      <c r="CB19" s="174"/>
      <c r="CC19" s="59"/>
      <c r="CD19" s="59"/>
      <c r="CE19" s="59"/>
      <c r="CF19" s="59"/>
      <c r="CG19" s="59"/>
      <c r="CH19" s="59"/>
      <c r="CI19" s="59"/>
      <c r="CJ19" s="59"/>
      <c r="CK19" s="59"/>
      <c r="CL19" s="59"/>
      <c r="CM19" s="59"/>
      <c r="CN19" s="59"/>
      <c r="CO19" s="59"/>
      <c r="CP19" s="59"/>
      <c r="CQ19" s="59"/>
      <c r="CR19" s="59"/>
      <c r="CS19" s="59"/>
      <c r="CT19" s="59"/>
      <c r="CU19" s="59"/>
      <c r="DC19" s="49"/>
      <c r="DD19" s="49"/>
    </row>
    <row r="20" spans="1:108" ht="78.55" hidden="1">
      <c r="A20" s="177">
        <f t="shared" si="26"/>
        <v>20</v>
      </c>
      <c r="B20" s="161" t="s">
        <v>157</v>
      </c>
      <c r="C20" s="106">
        <f t="shared" si="27"/>
        <v>337</v>
      </c>
      <c r="D20" s="108" t="s">
        <v>198</v>
      </c>
      <c r="E20" s="109" t="s">
        <v>211</v>
      </c>
      <c r="F20" s="112" t="s">
        <v>200</v>
      </c>
      <c r="G20" s="112" t="s">
        <v>195</v>
      </c>
      <c r="H20" s="109" t="s">
        <v>212</v>
      </c>
      <c r="I20" s="178"/>
      <c r="J20" s="162"/>
      <c r="K20" s="163">
        <v>36</v>
      </c>
      <c r="L20" s="164">
        <v>35</v>
      </c>
      <c r="M20" s="114">
        <v>1181</v>
      </c>
      <c r="N20" s="113">
        <f t="shared" si="48"/>
        <v>42516</v>
      </c>
      <c r="O20" s="178"/>
      <c r="P20" s="165">
        <v>24420</v>
      </c>
      <c r="Q20" s="165">
        <v>7090</v>
      </c>
      <c r="R20" s="165">
        <v>1540</v>
      </c>
      <c r="S20" s="165">
        <v>8195</v>
      </c>
      <c r="T20" s="165">
        <f t="shared" si="54"/>
        <v>1127.53</v>
      </c>
      <c r="U20" s="165">
        <v>3510</v>
      </c>
      <c r="V20" s="165">
        <v>925</v>
      </c>
      <c r="W20" s="117">
        <f t="shared" si="28"/>
        <v>46807.53</v>
      </c>
      <c r="X20" s="112" t="s">
        <v>206</v>
      </c>
      <c r="Y20" s="114">
        <v>1580</v>
      </c>
      <c r="Z20" s="120">
        <v>1</v>
      </c>
      <c r="AA20" s="112" t="s">
        <v>157</v>
      </c>
      <c r="AB20" s="113">
        <f t="shared" si="29"/>
        <v>1580</v>
      </c>
      <c r="AC20" s="117">
        <f t="shared" si="30"/>
        <v>48387.53</v>
      </c>
      <c r="AD20" s="112"/>
      <c r="AE20" s="112" t="s">
        <v>157</v>
      </c>
      <c r="AF20" s="121"/>
      <c r="AG20" s="122">
        <f>IF(AF20="",0,MIN(AF20,20*K20*AQ20)*#REF!)</f>
        <v>0</v>
      </c>
      <c r="AH20" s="117">
        <f t="shared" si="32"/>
        <v>48387.53</v>
      </c>
      <c r="AI20" s="167">
        <v>0</v>
      </c>
      <c r="AJ20" s="168">
        <v>1109</v>
      </c>
      <c r="AK20" s="178"/>
      <c r="AL20" s="123"/>
      <c r="AM20" s="167">
        <v>180</v>
      </c>
      <c r="AN20" s="124">
        <f t="shared" si="33"/>
        <v>35.06</v>
      </c>
      <c r="AO20" s="109" t="s">
        <v>163</v>
      </c>
      <c r="AP20" s="125">
        <f t="shared" si="34"/>
        <v>0</v>
      </c>
      <c r="AQ20" s="126">
        <v>7.5</v>
      </c>
      <c r="AR20" s="127">
        <f t="shared" si="35"/>
        <v>270</v>
      </c>
      <c r="AS20" s="128">
        <f t="shared" si="36"/>
        <v>485.06</v>
      </c>
      <c r="AT20" s="175"/>
      <c r="AU20" s="130"/>
      <c r="AV20" s="126"/>
      <c r="AW20" s="126">
        <v>375</v>
      </c>
      <c r="AX20" s="175"/>
      <c r="AY20" s="169">
        <f t="shared" si="49"/>
        <v>10.89</v>
      </c>
      <c r="AZ20" s="132">
        <f t="shared" si="50"/>
        <v>4629.9924000000001</v>
      </c>
      <c r="BA20" s="129"/>
      <c r="BB20" s="126"/>
      <c r="BC20" s="133">
        <f t="shared" ca="1" si="37"/>
        <v>0</v>
      </c>
      <c r="BD20" s="175"/>
      <c r="BE20" s="134">
        <f t="shared" si="38"/>
        <v>9.5685652894454423E-2</v>
      </c>
      <c r="BF20" s="134">
        <f t="shared" si="39"/>
        <v>9.5685652894454423E-2</v>
      </c>
      <c r="BG20" s="135">
        <f t="shared" si="40"/>
        <v>1.3002091666666666</v>
      </c>
      <c r="BH20" s="136">
        <f t="shared" si="41"/>
        <v>1.3440980555555555</v>
      </c>
      <c r="BI20" s="176"/>
      <c r="BJ20" s="126">
        <v>0</v>
      </c>
      <c r="BK20" s="175"/>
      <c r="BL20" s="138">
        <f t="shared" si="42"/>
        <v>0</v>
      </c>
      <c r="BM20" s="123">
        <f t="shared" si="43"/>
        <v>0</v>
      </c>
      <c r="BN20" s="139">
        <f t="shared" si="44"/>
        <v>0</v>
      </c>
      <c r="BO20" s="179"/>
      <c r="BP20" s="174"/>
      <c r="BQ20" s="170"/>
      <c r="BR20" s="174"/>
      <c r="BS20" s="180"/>
      <c r="BT20" s="143">
        <f t="shared" si="45"/>
        <v>0</v>
      </c>
      <c r="BU20" s="179"/>
      <c r="BV20" s="180"/>
      <c r="BW20" s="143">
        <v>11</v>
      </c>
      <c r="BX20" s="143">
        <f t="shared" si="55"/>
        <v>1</v>
      </c>
      <c r="BY20" s="143">
        <f t="shared" si="56"/>
        <v>0</v>
      </c>
      <c r="BZ20" s="175"/>
      <c r="CA20" s="146">
        <f t="shared" si="53"/>
        <v>0.6</v>
      </c>
      <c r="CB20" s="179"/>
      <c r="CC20" s="59"/>
      <c r="CD20" s="59"/>
      <c r="CE20" s="59"/>
      <c r="CF20" s="59"/>
      <c r="CG20" s="59"/>
      <c r="CH20" s="59"/>
      <c r="CI20" s="59"/>
      <c r="CJ20" s="59"/>
      <c r="CK20" s="59"/>
      <c r="CL20" s="59"/>
      <c r="CM20" s="59"/>
      <c r="CN20" s="59"/>
      <c r="CO20" s="59"/>
      <c r="CP20" s="59"/>
      <c r="CQ20" s="59"/>
      <c r="CR20" s="59"/>
      <c r="CS20" s="59"/>
      <c r="CT20" s="59"/>
      <c r="CU20" s="59"/>
      <c r="DC20" s="49"/>
      <c r="DD20" s="49"/>
    </row>
    <row r="21" spans="1:108" ht="62.85">
      <c r="A21" s="177">
        <f t="shared" si="26"/>
        <v>21</v>
      </c>
      <c r="B21" s="161" t="s">
        <v>183</v>
      </c>
      <c r="C21" s="106">
        <f t="shared" si="27"/>
        <v>337</v>
      </c>
      <c r="D21" s="108" t="s">
        <v>198</v>
      </c>
      <c r="E21" s="109" t="s">
        <v>213</v>
      </c>
      <c r="F21" s="112" t="s">
        <v>200</v>
      </c>
      <c r="G21" s="112" t="s">
        <v>195</v>
      </c>
      <c r="H21" s="109" t="s">
        <v>214</v>
      </c>
      <c r="I21" s="110"/>
      <c r="J21" s="162"/>
      <c r="K21" s="163">
        <v>36</v>
      </c>
      <c r="L21" s="164" t="s">
        <v>215</v>
      </c>
      <c r="M21" s="114">
        <v>1186</v>
      </c>
      <c r="N21" s="113">
        <f t="shared" si="48"/>
        <v>42696</v>
      </c>
      <c r="O21" s="110"/>
      <c r="P21" s="165">
        <v>25062.89</v>
      </c>
      <c r="Q21" s="165">
        <v>5647.84</v>
      </c>
      <c r="R21" s="165">
        <v>1284.57</v>
      </c>
      <c r="S21" s="165">
        <v>13134.64</v>
      </c>
      <c r="T21" s="165">
        <f t="shared" si="54"/>
        <v>1127.53</v>
      </c>
      <c r="U21" s="165">
        <v>1058.72</v>
      </c>
      <c r="V21" s="165">
        <v>925</v>
      </c>
      <c r="W21" s="117">
        <f t="shared" si="28"/>
        <v>48241.19</v>
      </c>
      <c r="X21" s="112" t="s">
        <v>206</v>
      </c>
      <c r="Y21" s="114">
        <v>1580</v>
      </c>
      <c r="Z21" s="120">
        <v>1</v>
      </c>
      <c r="AA21" s="112" t="s">
        <v>157</v>
      </c>
      <c r="AB21" s="113">
        <f t="shared" si="29"/>
        <v>1580</v>
      </c>
      <c r="AC21" s="117">
        <f t="shared" si="30"/>
        <v>49821.19</v>
      </c>
      <c r="AD21" s="112"/>
      <c r="AE21" s="112" t="s">
        <v>157</v>
      </c>
      <c r="AF21" s="121"/>
      <c r="AG21" s="122">
        <f>IF(AF21="",0,MIN(AF21,20*K21*AQ21)*#REF!)</f>
        <v>0</v>
      </c>
      <c r="AH21" s="117">
        <f t="shared" si="32"/>
        <v>49821.19</v>
      </c>
      <c r="AI21" s="167">
        <v>0</v>
      </c>
      <c r="AJ21" s="168">
        <v>1109</v>
      </c>
      <c r="AK21" s="178"/>
      <c r="AL21" s="123"/>
      <c r="AM21" s="167">
        <v>300</v>
      </c>
      <c r="AN21" s="124">
        <f t="shared" si="33"/>
        <v>35.06</v>
      </c>
      <c r="AO21" s="109" t="s">
        <v>163</v>
      </c>
      <c r="AP21" s="125">
        <f t="shared" si="34"/>
        <v>0</v>
      </c>
      <c r="AQ21" s="126">
        <v>7.5</v>
      </c>
      <c r="AR21" s="127">
        <f t="shared" si="35"/>
        <v>270</v>
      </c>
      <c r="AS21" s="128">
        <f t="shared" si="36"/>
        <v>605.05999999999995</v>
      </c>
      <c r="AT21" s="175"/>
      <c r="AU21" s="130"/>
      <c r="AV21" s="126"/>
      <c r="AW21" s="126">
        <v>375</v>
      </c>
      <c r="AX21" s="129"/>
      <c r="AY21" s="169">
        <f t="shared" si="49"/>
        <v>10.89</v>
      </c>
      <c r="AZ21" s="132">
        <f t="shared" si="50"/>
        <v>4649.5944000000009</v>
      </c>
      <c r="BA21" s="129"/>
      <c r="BB21" s="126"/>
      <c r="BC21" s="133">
        <f t="shared" ca="1" si="37"/>
        <v>0</v>
      </c>
      <c r="BD21" s="175"/>
      <c r="BE21" s="134">
        <f t="shared" si="38"/>
        <v>9.332563915073086E-2</v>
      </c>
      <c r="BF21" s="134">
        <f t="shared" si="39"/>
        <v>9.332563915073086E-2</v>
      </c>
      <c r="BG21" s="135">
        <f t="shared" si="40"/>
        <v>1.3400330555555555</v>
      </c>
      <c r="BH21" s="136">
        <f t="shared" si="41"/>
        <v>1.3839219444444446</v>
      </c>
      <c r="BI21" s="153"/>
      <c r="BJ21" s="126">
        <v>0</v>
      </c>
      <c r="BK21" s="129"/>
      <c r="BL21" s="138"/>
      <c r="BM21" s="123"/>
      <c r="BN21" s="139"/>
      <c r="BO21" s="174"/>
      <c r="BP21" s="174"/>
      <c r="BQ21" s="170"/>
      <c r="BR21" s="174"/>
      <c r="BS21" s="174"/>
      <c r="BT21" s="143"/>
      <c r="BU21" s="174"/>
      <c r="BV21" s="174"/>
      <c r="BW21" s="143"/>
      <c r="BX21" s="143"/>
      <c r="BY21" s="143"/>
      <c r="BZ21" s="129"/>
      <c r="CA21" s="146"/>
      <c r="CB21" s="174"/>
      <c r="CC21" s="59"/>
      <c r="CD21" s="59"/>
      <c r="CE21" s="59"/>
      <c r="CF21" s="59"/>
      <c r="CG21" s="59"/>
      <c r="CH21" s="59"/>
      <c r="CI21" s="59"/>
      <c r="CJ21" s="59"/>
      <c r="CK21" s="59"/>
      <c r="CL21" s="59"/>
      <c r="CM21" s="59"/>
      <c r="CN21" s="59"/>
      <c r="CO21" s="59"/>
      <c r="CP21" s="59"/>
      <c r="CQ21" s="59"/>
      <c r="CR21" s="59"/>
      <c r="CS21" s="59"/>
      <c r="CT21" s="59"/>
      <c r="CU21" s="59"/>
      <c r="DC21" s="49"/>
      <c r="DD21" s="49"/>
    </row>
    <row r="22" spans="1:108" ht="78.55" hidden="1">
      <c r="A22" s="105">
        <f t="shared" si="26"/>
        <v>22</v>
      </c>
      <c r="B22" s="106" t="s">
        <v>157</v>
      </c>
      <c r="C22" s="106">
        <f t="shared" si="27"/>
        <v>338</v>
      </c>
      <c r="D22" s="181" t="s">
        <v>216</v>
      </c>
      <c r="E22" s="109" t="s">
        <v>217</v>
      </c>
      <c r="F22" s="109" t="s">
        <v>218</v>
      </c>
      <c r="G22" s="109"/>
      <c r="H22" s="109" t="s">
        <v>219</v>
      </c>
      <c r="I22" s="110"/>
      <c r="J22" s="162">
        <f>'338'!A4*1.7</f>
        <v>375.7</v>
      </c>
      <c r="K22" s="163">
        <f>'338'!A4*'338'!I1/1000</f>
        <v>79.56</v>
      </c>
      <c r="L22" s="164">
        <f t="shared" ref="L22:L41" si="57">K22</f>
        <v>79.56</v>
      </c>
      <c r="M22" s="114">
        <v>1075</v>
      </c>
      <c r="N22" s="113">
        <f t="shared" si="48"/>
        <v>85527</v>
      </c>
      <c r="O22" s="110"/>
      <c r="P22" s="165">
        <f>'338'!M33</f>
        <v>31211.737499999999</v>
      </c>
      <c r="Q22" s="165">
        <f>'338'!N33</f>
        <v>6677.7</v>
      </c>
      <c r="R22" s="165">
        <f>'338'!O33</f>
        <v>1570.4500000000003</v>
      </c>
      <c r="S22" s="165">
        <f>'338'!P33</f>
        <v>9240</v>
      </c>
      <c r="T22" s="165">
        <f>'338'!Q33</f>
        <v>32927.621433066059</v>
      </c>
      <c r="U22" s="165">
        <f>'338'!R33</f>
        <v>3422.2250000000004</v>
      </c>
      <c r="V22" s="182">
        <f>'338'!S33</f>
        <v>1390.8125</v>
      </c>
      <c r="W22" s="117">
        <f t="shared" si="28"/>
        <v>86440.546433066062</v>
      </c>
      <c r="X22" s="112"/>
      <c r="Y22" s="114"/>
      <c r="Z22" s="120"/>
      <c r="AA22" s="112"/>
      <c r="AB22" s="113">
        <f t="shared" ref="AB22:AB24" si="58">Z22*Y22+(1-Z22)*Y22*BX17</f>
        <v>0</v>
      </c>
      <c r="AC22" s="117">
        <f t="shared" si="30"/>
        <v>86440.546433066062</v>
      </c>
      <c r="AD22" s="112" t="s">
        <v>220</v>
      </c>
      <c r="AE22" s="112" t="s">
        <v>157</v>
      </c>
      <c r="AF22" s="121"/>
      <c r="AG22" s="122">
        <f t="shared" ref="AG22:AG24" si="59">IF(AF22="",0,MIN(AF22,20*K22*AQ22)*BY17)</f>
        <v>0</v>
      </c>
      <c r="AH22" s="117">
        <f t="shared" si="32"/>
        <v>86440.546433066062</v>
      </c>
      <c r="AI22" s="167">
        <v>0</v>
      </c>
      <c r="AJ22" s="168">
        <f>'338'!I108</f>
        <v>1960</v>
      </c>
      <c r="AK22" s="110"/>
      <c r="AL22" s="123"/>
      <c r="AM22" s="167">
        <f>'338'!I117</f>
        <v>730</v>
      </c>
      <c r="AN22" s="124">
        <f t="shared" si="33"/>
        <v>447.78</v>
      </c>
      <c r="AO22" s="109" t="s">
        <v>170</v>
      </c>
      <c r="AP22" s="125">
        <f t="shared" si="34"/>
        <v>0</v>
      </c>
      <c r="AQ22" s="126">
        <f>AQ15</f>
        <v>7.5</v>
      </c>
      <c r="AR22" s="127">
        <f t="shared" si="35"/>
        <v>596.70000000000005</v>
      </c>
      <c r="AS22" s="128">
        <f t="shared" si="36"/>
        <v>1774.48</v>
      </c>
      <c r="AT22" s="129"/>
      <c r="AU22" s="130"/>
      <c r="AV22" s="126"/>
      <c r="AW22" s="126">
        <v>375</v>
      </c>
      <c r="AX22" s="129"/>
      <c r="AY22" s="169">
        <f t="shared" si="49"/>
        <v>9.4700000000000006</v>
      </c>
      <c r="AZ22" s="132">
        <f t="shared" si="50"/>
        <v>8099.4069000000009</v>
      </c>
      <c r="BA22" s="129"/>
      <c r="BB22" s="126"/>
      <c r="BC22" s="133">
        <f t="shared" ca="1" si="37"/>
        <v>0</v>
      </c>
      <c r="BD22" s="129"/>
      <c r="BE22" s="134">
        <f t="shared" si="38"/>
        <v>9.3699163577958808E-2</v>
      </c>
      <c r="BF22" s="134">
        <f t="shared" si="39"/>
        <v>9.3699163577958808E-2</v>
      </c>
      <c r="BG22" s="135">
        <f t="shared" si="40"/>
        <v>1.0864824840757423</v>
      </c>
      <c r="BH22" s="136">
        <f t="shared" si="41"/>
        <v>1.0864824840757423</v>
      </c>
      <c r="BI22" s="153"/>
      <c r="BJ22" s="126"/>
      <c r="BK22" s="129"/>
      <c r="BL22" s="138">
        <f t="shared" si="42"/>
        <v>0</v>
      </c>
      <c r="BM22" s="123">
        <f t="shared" si="43"/>
        <v>0</v>
      </c>
      <c r="BN22" s="139">
        <f t="shared" si="44"/>
        <v>0</v>
      </c>
      <c r="BQ22" s="170"/>
      <c r="BT22" s="143">
        <f t="shared" si="45"/>
        <v>0</v>
      </c>
      <c r="BW22" s="143">
        <v>12</v>
      </c>
      <c r="BX22" s="143">
        <f t="shared" ref="BX22:BX36" si="60">IF(AA25="non",0,1)</f>
        <v>1</v>
      </c>
      <c r="BY22" s="143">
        <f t="shared" ref="BY22:BY36" si="61">IF(AE25="non",0,1)</f>
        <v>0</v>
      </c>
      <c r="BZ22" s="129"/>
      <c r="CA22" s="146">
        <f>CA19+0.05</f>
        <v>0.6</v>
      </c>
      <c r="CC22" s="59"/>
      <c r="CD22" s="59"/>
      <c r="CE22" s="59"/>
      <c r="CF22" s="59"/>
      <c r="CG22" s="59"/>
      <c r="CH22" s="59"/>
      <c r="CI22" s="59"/>
      <c r="CJ22" s="59"/>
      <c r="CK22" s="59"/>
      <c r="CL22" s="59"/>
      <c r="CM22" s="59"/>
      <c r="CN22" s="59"/>
      <c r="CO22" s="59"/>
      <c r="CP22" s="59"/>
      <c r="CQ22" s="59"/>
      <c r="CR22" s="59"/>
      <c r="CS22" s="59"/>
      <c r="CT22" s="59"/>
      <c r="CU22" s="59"/>
      <c r="DC22" s="49"/>
      <c r="DD22" s="49"/>
    </row>
    <row r="23" spans="1:108" ht="94.25" hidden="1">
      <c r="A23" s="105">
        <f t="shared" si="26"/>
        <v>23</v>
      </c>
      <c r="B23" s="106"/>
      <c r="C23" s="106">
        <f t="shared" si="27"/>
        <v>354</v>
      </c>
      <c r="D23" s="181" t="s">
        <v>221</v>
      </c>
      <c r="E23" s="109" t="s">
        <v>222</v>
      </c>
      <c r="F23" s="109" t="s">
        <v>218</v>
      </c>
      <c r="G23" s="112" t="s">
        <v>195</v>
      </c>
      <c r="H23" s="109" t="s">
        <v>223</v>
      </c>
      <c r="I23" s="110"/>
      <c r="J23" s="162">
        <f>'354-340'!A4*1.7</f>
        <v>156.4</v>
      </c>
      <c r="K23" s="163">
        <f>'354-340'!A4*'354-340'!I1/1000</f>
        <v>31.28</v>
      </c>
      <c r="L23" s="164">
        <f t="shared" si="57"/>
        <v>31.28</v>
      </c>
      <c r="M23" s="114">
        <v>1126</v>
      </c>
      <c r="N23" s="113">
        <f t="shared" si="48"/>
        <v>35221.279999999999</v>
      </c>
      <c r="O23" s="110"/>
      <c r="P23" s="165">
        <f>'354-340'!M33</f>
        <v>16548.232954545452</v>
      </c>
      <c r="Q23" s="165">
        <f>'354-340'!N33</f>
        <v>4576.5</v>
      </c>
      <c r="R23" s="165">
        <f>'354-340'!O33</f>
        <v>1295.3795000000002</v>
      </c>
      <c r="S23" s="165">
        <f>'354-340'!P33</f>
        <v>6600</v>
      </c>
      <c r="T23" s="165">
        <f>'354-340'!Q33</f>
        <v>1085.3999999999999</v>
      </c>
      <c r="U23" s="165">
        <f>'354-340'!R33</f>
        <v>2243.75</v>
      </c>
      <c r="V23" s="165">
        <f>'354-340'!S33</f>
        <v>1155.6875</v>
      </c>
      <c r="W23" s="117">
        <f t="shared" si="28"/>
        <v>33504.949954545453</v>
      </c>
      <c r="X23" s="112" t="s">
        <v>224</v>
      </c>
      <c r="Y23" s="114">
        <f>'354-340'!I90</f>
        <v>1000</v>
      </c>
      <c r="Z23" s="120">
        <v>1</v>
      </c>
      <c r="AA23" s="112" t="s">
        <v>157</v>
      </c>
      <c r="AB23" s="113">
        <f t="shared" si="58"/>
        <v>1000</v>
      </c>
      <c r="AC23" s="117">
        <f t="shared" si="30"/>
        <v>34504.949954545453</v>
      </c>
      <c r="AD23" s="112"/>
      <c r="AE23" s="112" t="s">
        <v>157</v>
      </c>
      <c r="AF23" s="121"/>
      <c r="AG23" s="122">
        <f t="shared" si="59"/>
        <v>0</v>
      </c>
      <c r="AH23" s="117">
        <f t="shared" si="32"/>
        <v>34504.949954545453</v>
      </c>
      <c r="AI23" s="167">
        <v>0</v>
      </c>
      <c r="AJ23" s="168">
        <f>'354-340'!I100</f>
        <v>1500</v>
      </c>
      <c r="AK23" s="110"/>
      <c r="AL23" s="123"/>
      <c r="AM23" s="167">
        <f>'354-340'!I109</f>
        <v>730</v>
      </c>
      <c r="AN23" s="124">
        <f t="shared" si="33"/>
        <v>35.06</v>
      </c>
      <c r="AO23" s="109" t="s">
        <v>163</v>
      </c>
      <c r="AP23" s="125">
        <f t="shared" si="34"/>
        <v>0</v>
      </c>
      <c r="AQ23" s="126">
        <v>7.5</v>
      </c>
      <c r="AR23" s="127">
        <f t="shared" si="35"/>
        <v>234.60000000000002</v>
      </c>
      <c r="AS23" s="128">
        <f t="shared" si="36"/>
        <v>999.66</v>
      </c>
      <c r="AT23" s="129"/>
      <c r="AU23" s="130"/>
      <c r="AV23" s="126"/>
      <c r="AW23" s="126">
        <v>375</v>
      </c>
      <c r="AX23" s="129"/>
      <c r="AY23" s="169">
        <f t="shared" si="49"/>
        <v>10.89</v>
      </c>
      <c r="AZ23" s="132">
        <f t="shared" si="50"/>
        <v>3835.5973920000006</v>
      </c>
      <c r="BA23" s="129"/>
      <c r="BB23" s="126"/>
      <c r="BC23" s="133">
        <f t="shared" ca="1" si="37"/>
        <v>0</v>
      </c>
      <c r="BD23" s="129"/>
      <c r="BE23" s="134">
        <f t="shared" si="38"/>
        <v>0.1111607869900627</v>
      </c>
      <c r="BF23" s="134">
        <f t="shared" si="39"/>
        <v>0.1111607869900627</v>
      </c>
      <c r="BG23" s="135">
        <f t="shared" si="40"/>
        <v>1.0711301136363636</v>
      </c>
      <c r="BH23" s="136">
        <f t="shared" si="41"/>
        <v>1.1030994230992792</v>
      </c>
      <c r="BI23" s="153"/>
      <c r="BJ23" s="126"/>
      <c r="BK23" s="129"/>
      <c r="BL23" s="138">
        <f t="shared" si="42"/>
        <v>0</v>
      </c>
      <c r="BM23" s="123">
        <f t="shared" si="43"/>
        <v>0</v>
      </c>
      <c r="BN23" s="139">
        <f t="shared" si="44"/>
        <v>0</v>
      </c>
      <c r="BQ23" s="170"/>
      <c r="BT23" s="143">
        <f t="shared" si="45"/>
        <v>0</v>
      </c>
      <c r="BW23" s="143">
        <v>13</v>
      </c>
      <c r="BX23" s="143">
        <f t="shared" si="60"/>
        <v>1</v>
      </c>
      <c r="BY23" s="143">
        <f t="shared" si="61"/>
        <v>0</v>
      </c>
      <c r="BZ23" s="129"/>
      <c r="CA23" s="146">
        <f t="shared" ref="CA23:CA26" si="62">CA22+0.05</f>
        <v>0.65</v>
      </c>
      <c r="CC23" s="59"/>
      <c r="CD23" s="59"/>
      <c r="CE23" s="59"/>
      <c r="CF23" s="59"/>
      <c r="CG23" s="59"/>
      <c r="CH23" s="59"/>
      <c r="CI23" s="59"/>
      <c r="CJ23" s="59"/>
      <c r="CK23" s="59"/>
      <c r="CL23" s="59"/>
      <c r="CM23" s="59"/>
      <c r="CN23" s="59"/>
      <c r="CO23" s="59"/>
      <c r="CP23" s="59"/>
      <c r="CQ23" s="59"/>
      <c r="CR23" s="59"/>
      <c r="CS23" s="59"/>
      <c r="CT23" s="59"/>
      <c r="CU23" s="59"/>
    </row>
    <row r="24" spans="1:108" ht="110" hidden="1">
      <c r="A24" s="105">
        <f t="shared" si="26"/>
        <v>24</v>
      </c>
      <c r="B24" s="106" t="s">
        <v>157</v>
      </c>
      <c r="C24" s="106">
        <f t="shared" si="27"/>
        <v>354</v>
      </c>
      <c r="D24" s="181" t="s">
        <v>221</v>
      </c>
      <c r="E24" s="109" t="s">
        <v>225</v>
      </c>
      <c r="F24" s="109" t="s">
        <v>218</v>
      </c>
      <c r="G24" s="112" t="s">
        <v>195</v>
      </c>
      <c r="H24" s="109" t="s">
        <v>226</v>
      </c>
      <c r="I24" s="110"/>
      <c r="J24" s="162">
        <f>'354-360'!A4*1.7</f>
        <v>142.79999999999998</v>
      </c>
      <c r="K24" s="163">
        <f>'354-360'!A4*'354-360'!I1/1000</f>
        <v>30.24</v>
      </c>
      <c r="L24" s="164">
        <f t="shared" si="57"/>
        <v>30.24</v>
      </c>
      <c r="M24" s="114">
        <v>1129</v>
      </c>
      <c r="N24" s="113">
        <f t="shared" si="48"/>
        <v>34140.959999999999</v>
      </c>
      <c r="O24" s="110"/>
      <c r="P24" s="165">
        <f>'354-360'!M33</f>
        <v>13651.949999999999</v>
      </c>
      <c r="Q24" s="165">
        <f>'354-360'!N33</f>
        <v>3013.5416666666624</v>
      </c>
      <c r="R24" s="165">
        <f>'354-360'!O33</f>
        <v>862.97950000000014</v>
      </c>
      <c r="S24" s="165">
        <f>'354-360'!P33</f>
        <v>6600</v>
      </c>
      <c r="T24" s="165">
        <f>'354-360'!Q33</f>
        <v>1270.8399999999999</v>
      </c>
      <c r="U24" s="165">
        <f>'354-360'!R33</f>
        <v>1737.5</v>
      </c>
      <c r="V24" s="165">
        <f>'354-360'!S33</f>
        <v>1155.6875</v>
      </c>
      <c r="W24" s="117">
        <f t="shared" si="28"/>
        <v>28292.498666666663</v>
      </c>
      <c r="X24" s="112" t="s">
        <v>224</v>
      </c>
      <c r="Y24" s="114">
        <f>'354-360'!I133</f>
        <v>1000</v>
      </c>
      <c r="Z24" s="120">
        <v>1</v>
      </c>
      <c r="AA24" s="112" t="s">
        <v>157</v>
      </c>
      <c r="AB24" s="113">
        <f t="shared" si="58"/>
        <v>1000</v>
      </c>
      <c r="AC24" s="117">
        <f t="shared" si="30"/>
        <v>29292.498666666663</v>
      </c>
      <c r="AD24" s="112"/>
      <c r="AE24" s="112" t="s">
        <v>157</v>
      </c>
      <c r="AF24" s="121"/>
      <c r="AG24" s="122">
        <f t="shared" si="59"/>
        <v>0</v>
      </c>
      <c r="AH24" s="117">
        <f t="shared" si="32"/>
        <v>29292.498666666663</v>
      </c>
      <c r="AI24" s="167">
        <v>0</v>
      </c>
      <c r="AJ24" s="168">
        <f>'354-360'!I145</f>
        <v>5125</v>
      </c>
      <c r="AK24" s="110"/>
      <c r="AL24" s="123"/>
      <c r="AM24" s="167">
        <f>'354-360'!I154</f>
        <v>730</v>
      </c>
      <c r="AN24" s="124">
        <f t="shared" si="33"/>
        <v>35.06</v>
      </c>
      <c r="AO24" s="109" t="s">
        <v>163</v>
      </c>
      <c r="AP24" s="125">
        <f t="shared" si="34"/>
        <v>0</v>
      </c>
      <c r="AQ24" s="126">
        <v>5</v>
      </c>
      <c r="AR24" s="127">
        <f t="shared" si="35"/>
        <v>151.19999999999999</v>
      </c>
      <c r="AS24" s="128">
        <f t="shared" si="36"/>
        <v>916.26</v>
      </c>
      <c r="AT24" s="129"/>
      <c r="AU24" s="130"/>
      <c r="AV24" s="126"/>
      <c r="AW24" s="126">
        <v>375</v>
      </c>
      <c r="AX24" s="129"/>
      <c r="AY24" s="169">
        <f t="shared" si="49"/>
        <v>10.89</v>
      </c>
      <c r="AZ24" s="132">
        <f t="shared" si="50"/>
        <v>3717.9505440000003</v>
      </c>
      <c r="BA24" s="129"/>
      <c r="BB24" s="126"/>
      <c r="BC24" s="133">
        <f t="shared" ca="1" si="37"/>
        <v>0</v>
      </c>
      <c r="BD24" s="129"/>
      <c r="BE24" s="134">
        <f t="shared" si="38"/>
        <v>0.12692500514579982</v>
      </c>
      <c r="BF24" s="134">
        <f t="shared" si="39"/>
        <v>0.12692500514579982</v>
      </c>
      <c r="BG24" s="135">
        <f t="shared" si="40"/>
        <v>0.93559850088183405</v>
      </c>
      <c r="BH24" s="136">
        <f t="shared" si="41"/>
        <v>0.96866728395061719</v>
      </c>
      <c r="BI24" s="153"/>
      <c r="BJ24" s="126"/>
      <c r="BK24" s="129"/>
      <c r="BL24" s="138">
        <f t="shared" si="42"/>
        <v>0</v>
      </c>
      <c r="BM24" s="123">
        <f t="shared" si="43"/>
        <v>0</v>
      </c>
      <c r="BN24" s="139">
        <f t="shared" si="44"/>
        <v>0</v>
      </c>
      <c r="BQ24" s="170"/>
      <c r="BT24" s="143">
        <f t="shared" si="45"/>
        <v>0</v>
      </c>
      <c r="BW24" s="143">
        <v>15</v>
      </c>
      <c r="BX24" s="143">
        <f t="shared" si="60"/>
        <v>1</v>
      </c>
      <c r="BY24" s="143">
        <f t="shared" si="61"/>
        <v>0</v>
      </c>
      <c r="BZ24" s="129"/>
      <c r="CA24" s="146">
        <f t="shared" si="62"/>
        <v>0.70000000000000007</v>
      </c>
      <c r="CC24" s="59"/>
      <c r="CD24" s="59"/>
      <c r="CE24" s="59"/>
      <c r="CF24" s="59"/>
      <c r="CG24" s="59"/>
      <c r="CH24" s="59"/>
      <c r="CI24" s="59"/>
      <c r="CJ24" s="59"/>
      <c r="CK24" s="59"/>
      <c r="CL24" s="59"/>
      <c r="CM24" s="59"/>
      <c r="CN24" s="59"/>
      <c r="CO24" s="59"/>
      <c r="CP24" s="59"/>
      <c r="CQ24" s="59"/>
      <c r="CR24" s="59"/>
      <c r="CS24" s="59"/>
      <c r="CT24" s="59"/>
      <c r="CU24" s="59"/>
    </row>
    <row r="25" spans="1:108" ht="110" hidden="1">
      <c r="A25" s="105">
        <f t="shared" si="26"/>
        <v>25</v>
      </c>
      <c r="B25" s="106" t="s">
        <v>157</v>
      </c>
      <c r="C25" s="106">
        <f t="shared" si="27"/>
        <v>356</v>
      </c>
      <c r="D25" s="181" t="s">
        <v>227</v>
      </c>
      <c r="E25" s="109" t="s">
        <v>228</v>
      </c>
      <c r="F25" s="109" t="s">
        <v>218</v>
      </c>
      <c r="G25" s="112" t="s">
        <v>229</v>
      </c>
      <c r="H25" s="109" t="s">
        <v>230</v>
      </c>
      <c r="I25" s="110"/>
      <c r="J25" s="162">
        <f t="shared" ref="J25:J26" si="63">K25/0.31*1.7</f>
        <v>76.774193548387103</v>
      </c>
      <c r="K25" s="164">
        <v>14</v>
      </c>
      <c r="L25" s="183">
        <f t="shared" si="57"/>
        <v>14</v>
      </c>
      <c r="M25" s="114">
        <v>1090</v>
      </c>
      <c r="N25" s="113">
        <f t="shared" si="48"/>
        <v>15260</v>
      </c>
      <c r="O25" s="110"/>
      <c r="P25" s="165">
        <f>(12066.44+1020+89.28)*1.25*K25/36</f>
        <v>6404.86388888889</v>
      </c>
      <c r="Q25" s="165">
        <f>(1961.45+32.5+27.5)*1.25</f>
        <v>2526.8125</v>
      </c>
      <c r="R25" s="165">
        <v>4000</v>
      </c>
      <c r="S25" s="165">
        <v>7000</v>
      </c>
      <c r="T25" s="165">
        <f t="shared" ref="T25:T26" si="64">1796*0.6</f>
        <v>1077.5999999999999</v>
      </c>
      <c r="U25" s="166">
        <f>621.11*1.25+250</f>
        <v>1026.3875</v>
      </c>
      <c r="V25" s="165">
        <f>V23</f>
        <v>1155.6875</v>
      </c>
      <c r="W25" s="117">
        <f t="shared" si="28"/>
        <v>23191.351388888888</v>
      </c>
      <c r="X25" s="112"/>
      <c r="Y25" s="114"/>
      <c r="Z25" s="120"/>
      <c r="AA25" s="112"/>
      <c r="AB25" s="113">
        <f t="shared" ref="AB25:AB43" si="65">Z25*Y25+(1-Z25)*Y25*BX22</f>
        <v>0</v>
      </c>
      <c r="AC25" s="117">
        <f t="shared" si="30"/>
        <v>23191.351388888888</v>
      </c>
      <c r="AD25" s="112"/>
      <c r="AE25" s="112" t="s">
        <v>157</v>
      </c>
      <c r="AF25" s="121"/>
      <c r="AG25" s="122">
        <f t="shared" ref="AG25:AG43" si="66">IF(AF25="",0,MIN(AF25,20*K25*AQ25)*BY22)</f>
        <v>0</v>
      </c>
      <c r="AH25" s="117">
        <f t="shared" si="32"/>
        <v>23191.351388888888</v>
      </c>
      <c r="AI25" s="167">
        <v>0</v>
      </c>
      <c r="AJ25" s="168">
        <v>860</v>
      </c>
      <c r="AK25" s="110"/>
      <c r="AL25" s="123"/>
      <c r="AM25" s="167">
        <f>500+300</f>
        <v>800</v>
      </c>
      <c r="AN25" s="124">
        <f t="shared" si="33"/>
        <v>35.06</v>
      </c>
      <c r="AO25" s="109" t="s">
        <v>163</v>
      </c>
      <c r="AP25" s="125">
        <f t="shared" si="34"/>
        <v>0</v>
      </c>
      <c r="AQ25" s="126">
        <f>AQ23</f>
        <v>7.5</v>
      </c>
      <c r="AR25" s="127">
        <f t="shared" si="35"/>
        <v>105</v>
      </c>
      <c r="AS25" s="128">
        <f t="shared" si="36"/>
        <v>940.06</v>
      </c>
      <c r="AT25" s="129"/>
      <c r="AU25" s="130"/>
      <c r="AV25" s="126"/>
      <c r="AW25" s="126">
        <v>375</v>
      </c>
      <c r="AX25" s="129"/>
      <c r="AY25" s="169">
        <f t="shared" si="49"/>
        <v>10.89</v>
      </c>
      <c r="AZ25" s="132">
        <f t="shared" si="50"/>
        <v>1661.8139999999999</v>
      </c>
      <c r="BA25" s="129"/>
      <c r="BB25" s="126"/>
      <c r="BC25" s="133">
        <f t="shared" ca="1" si="37"/>
        <v>0</v>
      </c>
      <c r="BD25" s="129"/>
      <c r="BE25" s="134">
        <f t="shared" si="38"/>
        <v>7.165662630579539E-2</v>
      </c>
      <c r="BF25" s="134">
        <f t="shared" si="39"/>
        <v>7.165662630579539E-2</v>
      </c>
      <c r="BG25" s="135">
        <f t="shared" si="40"/>
        <v>1.6565250992063492</v>
      </c>
      <c r="BH25" s="136">
        <f t="shared" si="41"/>
        <v>1.6565250992063492</v>
      </c>
      <c r="BI25" s="153"/>
      <c r="BJ25" s="126"/>
      <c r="BK25" s="129"/>
      <c r="BL25" s="138">
        <f t="shared" si="42"/>
        <v>0</v>
      </c>
      <c r="BM25" s="123">
        <f t="shared" si="43"/>
        <v>0</v>
      </c>
      <c r="BN25" s="139">
        <f t="shared" si="44"/>
        <v>0</v>
      </c>
      <c r="BQ25" s="170"/>
      <c r="BT25" s="143">
        <f t="shared" si="45"/>
        <v>0</v>
      </c>
      <c r="BW25" s="143">
        <v>16</v>
      </c>
      <c r="BX25" s="143">
        <f t="shared" si="60"/>
        <v>1</v>
      </c>
      <c r="BY25" s="143">
        <f t="shared" si="61"/>
        <v>0</v>
      </c>
      <c r="BZ25" s="129"/>
      <c r="CA25" s="146">
        <f t="shared" si="62"/>
        <v>0.75000000000000011</v>
      </c>
      <c r="CC25" s="59"/>
      <c r="CD25" s="59"/>
      <c r="CE25" s="59"/>
      <c r="CF25" s="59"/>
      <c r="CG25" s="59"/>
      <c r="CH25" s="59"/>
      <c r="CI25" s="59"/>
      <c r="CJ25" s="59"/>
      <c r="CK25" s="59"/>
      <c r="CL25" s="59"/>
      <c r="CM25" s="59"/>
      <c r="CN25" s="59"/>
      <c r="CO25" s="59"/>
      <c r="CP25" s="59"/>
      <c r="CQ25" s="59"/>
      <c r="CR25" s="59"/>
      <c r="CS25" s="59"/>
      <c r="CT25" s="59"/>
      <c r="CU25" s="59"/>
    </row>
    <row r="26" spans="1:108" ht="62.85" hidden="1">
      <c r="A26" s="105">
        <f t="shared" si="26"/>
        <v>26</v>
      </c>
      <c r="B26" s="106" t="s">
        <v>157</v>
      </c>
      <c r="C26" s="106">
        <f t="shared" si="27"/>
        <v>360</v>
      </c>
      <c r="D26" s="181" t="s">
        <v>231</v>
      </c>
      <c r="E26" s="109" t="s">
        <v>232</v>
      </c>
      <c r="F26" s="109" t="s">
        <v>218</v>
      </c>
      <c r="G26" s="112" t="s">
        <v>189</v>
      </c>
      <c r="H26" s="109" t="s">
        <v>230</v>
      </c>
      <c r="I26" s="110"/>
      <c r="J26" s="162">
        <f t="shared" si="63"/>
        <v>49.354838709677416</v>
      </c>
      <c r="K26" s="164">
        <v>9</v>
      </c>
      <c r="L26" s="183">
        <f t="shared" si="57"/>
        <v>9</v>
      </c>
      <c r="M26" s="114">
        <v>1050</v>
      </c>
      <c r="N26" s="113">
        <f t="shared" si="48"/>
        <v>9450</v>
      </c>
      <c r="O26" s="110"/>
      <c r="P26" s="165">
        <f>P9*1.03</f>
        <v>8944.1810134926163</v>
      </c>
      <c r="Q26" s="165">
        <f>Q9*1.03</f>
        <v>1638.6193047591623</v>
      </c>
      <c r="R26" s="165">
        <f>R9*1.03</f>
        <v>939.27309246374921</v>
      </c>
      <c r="S26" s="165">
        <f>S9*1.03</f>
        <v>6757.1292015234267</v>
      </c>
      <c r="T26" s="165">
        <f t="shared" si="64"/>
        <v>1077.5999999999999</v>
      </c>
      <c r="U26" s="165">
        <f>U9*1.03</f>
        <v>401.60264287402077</v>
      </c>
      <c r="V26" s="165">
        <f>V25</f>
        <v>1155.6875</v>
      </c>
      <c r="W26" s="117">
        <f t="shared" si="28"/>
        <v>20914.092755112975</v>
      </c>
      <c r="X26" s="112"/>
      <c r="Y26" s="114"/>
      <c r="Z26" s="120"/>
      <c r="AA26" s="112"/>
      <c r="AB26" s="113">
        <f t="shared" si="65"/>
        <v>0</v>
      </c>
      <c r="AC26" s="117">
        <f t="shared" si="30"/>
        <v>20914.092755112975</v>
      </c>
      <c r="AD26" s="112"/>
      <c r="AE26" s="112" t="s">
        <v>157</v>
      </c>
      <c r="AF26" s="121"/>
      <c r="AG26" s="122">
        <f t="shared" si="66"/>
        <v>0</v>
      </c>
      <c r="AH26" s="117">
        <f t="shared" si="32"/>
        <v>20914.092755112975</v>
      </c>
      <c r="AI26" s="167">
        <v>0</v>
      </c>
      <c r="AJ26" s="168">
        <v>860</v>
      </c>
      <c r="AK26" s="110"/>
      <c r="AL26" s="123"/>
      <c r="AM26" s="167">
        <v>300</v>
      </c>
      <c r="AN26" s="124">
        <f t="shared" si="33"/>
        <v>35.06</v>
      </c>
      <c r="AO26" s="109" t="s">
        <v>163</v>
      </c>
      <c r="AP26" s="125">
        <f t="shared" si="34"/>
        <v>0</v>
      </c>
      <c r="AQ26" s="126">
        <f t="shared" ref="AQ26:AQ31" si="67">AQ25</f>
        <v>7.5</v>
      </c>
      <c r="AR26" s="127">
        <f t="shared" si="35"/>
        <v>67.5</v>
      </c>
      <c r="AS26" s="128">
        <f t="shared" si="36"/>
        <v>402.56</v>
      </c>
      <c r="AT26" s="129"/>
      <c r="AU26" s="130"/>
      <c r="AV26" s="126"/>
      <c r="AW26" s="126">
        <v>375</v>
      </c>
      <c r="AX26" s="129"/>
      <c r="AY26" s="169">
        <f t="shared" si="49"/>
        <v>15.21</v>
      </c>
      <c r="AZ26" s="132">
        <f t="shared" si="50"/>
        <v>1437.345</v>
      </c>
      <c r="BA26" s="129"/>
      <c r="BB26" s="126"/>
      <c r="BC26" s="133">
        <f t="shared" ca="1" si="37"/>
        <v>0</v>
      </c>
      <c r="BD26" s="129"/>
      <c r="BE26" s="134">
        <f t="shared" si="38"/>
        <v>6.8726146375563194E-2</v>
      </c>
      <c r="BF26" s="134">
        <f t="shared" si="39"/>
        <v>6.8726146375563194E-2</v>
      </c>
      <c r="BG26" s="135">
        <f t="shared" si="40"/>
        <v>2.3237880839014418</v>
      </c>
      <c r="BH26" s="136">
        <f t="shared" si="41"/>
        <v>2.3237880839014418</v>
      </c>
      <c r="BI26" s="153"/>
      <c r="BJ26" s="126"/>
      <c r="BK26" s="129"/>
      <c r="BL26" s="138">
        <f t="shared" si="42"/>
        <v>0</v>
      </c>
      <c r="BM26" s="123">
        <f t="shared" si="43"/>
        <v>0</v>
      </c>
      <c r="BN26" s="139">
        <f t="shared" si="44"/>
        <v>0</v>
      </c>
      <c r="BQ26" s="170"/>
      <c r="BT26" s="143">
        <f t="shared" si="45"/>
        <v>0</v>
      </c>
      <c r="BW26" s="143">
        <v>18</v>
      </c>
      <c r="BX26" s="143">
        <f t="shared" si="60"/>
        <v>1</v>
      </c>
      <c r="BY26" s="143">
        <f t="shared" si="61"/>
        <v>0</v>
      </c>
      <c r="BZ26" s="129"/>
      <c r="CA26" s="146">
        <f t="shared" si="62"/>
        <v>0.80000000000000016</v>
      </c>
      <c r="CC26" s="59"/>
      <c r="CD26" s="59"/>
      <c r="CE26" s="59"/>
      <c r="CF26" s="59"/>
      <c r="CG26" s="59"/>
      <c r="CH26" s="59"/>
      <c r="CI26" s="59"/>
      <c r="CJ26" s="59"/>
      <c r="CK26" s="59"/>
      <c r="CL26" s="59"/>
      <c r="CM26" s="59"/>
      <c r="CN26" s="59"/>
      <c r="CO26" s="59"/>
      <c r="CP26" s="59"/>
      <c r="CQ26" s="59"/>
      <c r="CR26" s="59"/>
      <c r="CS26" s="59"/>
      <c r="CT26" s="59"/>
      <c r="CU26" s="59"/>
    </row>
    <row r="27" spans="1:108" ht="78.55" hidden="1">
      <c r="A27" s="105">
        <f t="shared" si="26"/>
        <v>27</v>
      </c>
      <c r="B27" s="106" t="s">
        <v>157</v>
      </c>
      <c r="C27" s="106">
        <f t="shared" si="27"/>
        <v>387</v>
      </c>
      <c r="D27" s="108" t="s">
        <v>233</v>
      </c>
      <c r="E27" s="109" t="s">
        <v>234</v>
      </c>
      <c r="F27" s="112" t="s">
        <v>235</v>
      </c>
      <c r="G27" s="112" t="s">
        <v>236</v>
      </c>
      <c r="H27" s="109" t="s">
        <v>237</v>
      </c>
      <c r="I27" s="110"/>
      <c r="J27" s="162">
        <f>'387'!A4*1.7</f>
        <v>188.7</v>
      </c>
      <c r="K27" s="163">
        <f>'387'!A4*'387'!I1/1000</f>
        <v>34.409999999999997</v>
      </c>
      <c r="L27" s="164"/>
      <c r="M27" s="114">
        <v>1190</v>
      </c>
      <c r="N27" s="113">
        <f t="shared" si="48"/>
        <v>40947.899999999994</v>
      </c>
      <c r="O27" s="110"/>
      <c r="P27" s="165">
        <f>'387'!M31</f>
        <v>20867.825499999999</v>
      </c>
      <c r="Q27" s="165">
        <f>'387'!N31</f>
        <v>3850.6750000000002</v>
      </c>
      <c r="R27" s="165">
        <v>4000</v>
      </c>
      <c r="S27" s="165">
        <f>'387'!P59</f>
        <v>11880</v>
      </c>
      <c r="T27" s="165">
        <f>'387'!Q66</f>
        <v>5170.6000000000004</v>
      </c>
      <c r="U27" s="165">
        <f>'387'!R31</f>
        <v>2153.75</v>
      </c>
      <c r="V27" s="165">
        <f>'387'!S31</f>
        <v>924.55000000000007</v>
      </c>
      <c r="W27" s="117">
        <f t="shared" si="28"/>
        <v>48847.400499999996</v>
      </c>
      <c r="X27" s="112"/>
      <c r="Y27" s="114">
        <v>0</v>
      </c>
      <c r="Z27" s="120">
        <v>0</v>
      </c>
      <c r="AA27" s="112"/>
      <c r="AB27" s="113">
        <f t="shared" si="65"/>
        <v>0</v>
      </c>
      <c r="AC27" s="117">
        <f t="shared" si="30"/>
        <v>48847.400499999996</v>
      </c>
      <c r="AD27" s="112"/>
      <c r="AE27" s="112" t="s">
        <v>157</v>
      </c>
      <c r="AF27" s="121"/>
      <c r="AG27" s="122">
        <f t="shared" si="66"/>
        <v>0</v>
      </c>
      <c r="AH27" s="117">
        <f t="shared" si="32"/>
        <v>48847.400499999996</v>
      </c>
      <c r="AI27" s="167">
        <v>520</v>
      </c>
      <c r="AJ27" s="168">
        <f>'387'!I84</f>
        <v>5405</v>
      </c>
      <c r="AK27" s="110"/>
      <c r="AL27" s="123"/>
      <c r="AM27" s="167">
        <f>'387'!I91</f>
        <v>660</v>
      </c>
      <c r="AN27" s="124">
        <f t="shared" si="33"/>
        <v>35.06</v>
      </c>
      <c r="AO27" s="109" t="s">
        <v>163</v>
      </c>
      <c r="AP27" s="125">
        <f t="shared" si="34"/>
        <v>0</v>
      </c>
      <c r="AQ27" s="126">
        <f t="shared" si="67"/>
        <v>7.5</v>
      </c>
      <c r="AR27" s="127">
        <f t="shared" si="35"/>
        <v>258.07499999999999</v>
      </c>
      <c r="AS27" s="128">
        <f t="shared" si="36"/>
        <v>953.13499999999999</v>
      </c>
      <c r="AT27" s="129"/>
      <c r="AU27" s="130"/>
      <c r="AV27" s="126"/>
      <c r="AW27" s="126">
        <f t="shared" ref="AW27:AW65" si="68">5*75</f>
        <v>375</v>
      </c>
      <c r="AX27" s="129"/>
      <c r="AY27" s="169">
        <f t="shared" si="49"/>
        <v>10.89</v>
      </c>
      <c r="AZ27" s="132">
        <f t="shared" si="50"/>
        <v>4459.22631</v>
      </c>
      <c r="BA27" s="129"/>
      <c r="BB27" s="126"/>
      <c r="BC27" s="133">
        <f t="shared" ca="1" si="37"/>
        <v>0</v>
      </c>
      <c r="BD27" s="129"/>
      <c r="BE27" s="134">
        <f t="shared" si="38"/>
        <v>9.1288917411275552E-2</v>
      </c>
      <c r="BF27" s="134">
        <f t="shared" si="39"/>
        <v>9.1288917411275552E-2</v>
      </c>
      <c r="BG27" s="135">
        <f t="shared" si="40"/>
        <v>1.4195699070037779</v>
      </c>
      <c r="BH27" s="136">
        <f t="shared" si="41"/>
        <v>1.4195699070037779</v>
      </c>
      <c r="BI27" s="153"/>
      <c r="BJ27" s="126"/>
      <c r="BK27" s="129"/>
      <c r="BL27" s="138">
        <f t="shared" si="42"/>
        <v>0</v>
      </c>
      <c r="BM27" s="123">
        <f t="shared" si="43"/>
        <v>0</v>
      </c>
      <c r="BN27" s="139">
        <f t="shared" si="44"/>
        <v>0</v>
      </c>
      <c r="BQ27" s="170"/>
      <c r="BT27" s="143">
        <f t="shared" si="45"/>
        <v>0</v>
      </c>
      <c r="BW27" s="143"/>
      <c r="BX27" s="143">
        <f t="shared" si="60"/>
        <v>1</v>
      </c>
      <c r="BY27" s="143">
        <f t="shared" si="61"/>
        <v>0</v>
      </c>
      <c r="BZ27" s="129"/>
      <c r="CC27" s="59"/>
      <c r="CD27" s="59"/>
      <c r="CE27" s="59"/>
      <c r="CF27" s="59"/>
      <c r="CG27" s="59"/>
      <c r="CH27" s="59"/>
      <c r="CI27" s="59"/>
      <c r="CJ27" s="59"/>
      <c r="CK27" s="59"/>
      <c r="CL27" s="59"/>
      <c r="CM27" s="59"/>
      <c r="CN27" s="59"/>
      <c r="CO27" s="59"/>
      <c r="CP27" s="59"/>
      <c r="CQ27" s="59"/>
      <c r="CR27" s="59"/>
      <c r="CS27" s="59"/>
      <c r="CT27" s="59"/>
      <c r="CU27" s="59"/>
    </row>
    <row r="28" spans="1:108" ht="62.85" hidden="1">
      <c r="A28" s="105">
        <f t="shared" si="26"/>
        <v>28</v>
      </c>
      <c r="B28" s="106" t="s">
        <v>157</v>
      </c>
      <c r="C28" s="106">
        <f t="shared" si="27"/>
        <v>400</v>
      </c>
      <c r="D28" s="108" t="s">
        <v>238</v>
      </c>
      <c r="E28" s="109" t="s">
        <v>239</v>
      </c>
      <c r="F28" s="112" t="s">
        <v>240</v>
      </c>
      <c r="G28" s="112" t="s">
        <v>241</v>
      </c>
      <c r="H28" s="109" t="s">
        <v>242</v>
      </c>
      <c r="I28" s="110"/>
      <c r="J28" s="162">
        <f>'400'!A4*1.7</f>
        <v>176.79999999999998</v>
      </c>
      <c r="K28" s="163">
        <f>'400'!A4*'400'!I1/1000</f>
        <v>32.24</v>
      </c>
      <c r="L28" s="164"/>
      <c r="M28" s="114">
        <v>1120</v>
      </c>
      <c r="N28" s="113">
        <f t="shared" si="48"/>
        <v>36108.800000000003</v>
      </c>
      <c r="O28" s="110"/>
      <c r="P28" s="165">
        <f>'400'!M30</f>
        <v>17555.887499999997</v>
      </c>
      <c r="Q28" s="165">
        <f>'400'!N30</f>
        <v>3013.541666666667</v>
      </c>
      <c r="R28" s="165">
        <v>4000</v>
      </c>
      <c r="S28" s="165">
        <f>'400'!P57</f>
        <v>4400</v>
      </c>
      <c r="T28" s="165">
        <f>'400'!Q64</f>
        <v>1077.5999999999999</v>
      </c>
      <c r="U28" s="166">
        <f>'400'!R30</f>
        <v>2022.5</v>
      </c>
      <c r="V28" s="165">
        <f>'400'!S30</f>
        <v>924.55000000000007</v>
      </c>
      <c r="W28" s="117">
        <f t="shared" si="28"/>
        <v>32994.079166666663</v>
      </c>
      <c r="X28" s="112"/>
      <c r="Y28" s="114">
        <v>0</v>
      </c>
      <c r="Z28" s="120">
        <v>0</v>
      </c>
      <c r="AA28" s="112"/>
      <c r="AB28" s="113">
        <f t="shared" si="65"/>
        <v>0</v>
      </c>
      <c r="AC28" s="117">
        <f t="shared" si="30"/>
        <v>32994.079166666663</v>
      </c>
      <c r="AD28" s="112"/>
      <c r="AE28" s="112" t="s">
        <v>157</v>
      </c>
      <c r="AF28" s="121"/>
      <c r="AG28" s="122">
        <f t="shared" si="66"/>
        <v>0</v>
      </c>
      <c r="AH28" s="117">
        <f t="shared" si="32"/>
        <v>32994.079166666663</v>
      </c>
      <c r="AI28" s="167">
        <v>520</v>
      </c>
      <c r="AJ28" s="168">
        <f>'400'!I83</f>
        <v>2680</v>
      </c>
      <c r="AK28" s="110"/>
      <c r="AL28" s="123"/>
      <c r="AM28" s="167">
        <f>'400'!I90</f>
        <v>660</v>
      </c>
      <c r="AN28" s="124">
        <f t="shared" si="33"/>
        <v>35.06</v>
      </c>
      <c r="AO28" s="109" t="s">
        <v>163</v>
      </c>
      <c r="AP28" s="125">
        <f t="shared" si="34"/>
        <v>0</v>
      </c>
      <c r="AQ28" s="126">
        <f t="shared" si="67"/>
        <v>7.5</v>
      </c>
      <c r="AR28" s="127">
        <f t="shared" si="35"/>
        <v>241.8</v>
      </c>
      <c r="AS28" s="128">
        <f t="shared" si="36"/>
        <v>936.8599999999999</v>
      </c>
      <c r="AT28" s="129"/>
      <c r="AU28" s="130"/>
      <c r="AV28" s="126"/>
      <c r="AW28" s="126">
        <f t="shared" si="68"/>
        <v>375</v>
      </c>
      <c r="AX28" s="129"/>
      <c r="AY28" s="169">
        <f t="shared" si="49"/>
        <v>10.89</v>
      </c>
      <c r="AZ28" s="132">
        <f t="shared" si="50"/>
        <v>3932.2483200000006</v>
      </c>
      <c r="BA28" s="129"/>
      <c r="BB28" s="126"/>
      <c r="BC28" s="133">
        <f t="shared" ca="1" si="37"/>
        <v>0</v>
      </c>
      <c r="BD28" s="129"/>
      <c r="BE28" s="134">
        <f t="shared" si="38"/>
        <v>0.11918042325523308</v>
      </c>
      <c r="BF28" s="134">
        <f t="shared" si="39"/>
        <v>0.11918042325523308</v>
      </c>
      <c r="BG28" s="135">
        <f t="shared" si="40"/>
        <v>1.0233895523159633</v>
      </c>
      <c r="BH28" s="136">
        <f t="shared" si="41"/>
        <v>1.0233895523159633</v>
      </c>
      <c r="BI28" s="153"/>
      <c r="BJ28" s="126"/>
      <c r="BK28" s="129"/>
      <c r="BL28" s="138">
        <f t="shared" si="42"/>
        <v>0</v>
      </c>
      <c r="BM28" s="123">
        <f t="shared" si="43"/>
        <v>0</v>
      </c>
      <c r="BN28" s="139">
        <f t="shared" si="44"/>
        <v>0</v>
      </c>
      <c r="BQ28" s="170"/>
      <c r="BT28" s="143">
        <f t="shared" si="45"/>
        <v>0</v>
      </c>
      <c r="BW28" s="143"/>
      <c r="BX28" s="143">
        <f t="shared" si="60"/>
        <v>1</v>
      </c>
      <c r="BY28" s="143">
        <f t="shared" si="61"/>
        <v>0</v>
      </c>
      <c r="BZ28" s="129"/>
      <c r="CC28" s="59"/>
      <c r="CD28" s="59"/>
      <c r="CE28" s="59"/>
      <c r="CF28" s="59"/>
      <c r="CG28" s="59"/>
      <c r="CH28" s="59"/>
      <c r="CI28" s="59"/>
      <c r="CJ28" s="59"/>
      <c r="CK28" s="59"/>
      <c r="CL28" s="59"/>
      <c r="CM28" s="59"/>
      <c r="CN28" s="59"/>
      <c r="CO28" s="59"/>
      <c r="CP28" s="59"/>
      <c r="CQ28" s="59"/>
      <c r="CR28" s="59"/>
      <c r="CS28" s="59"/>
      <c r="CT28" s="59"/>
      <c r="CU28" s="59"/>
    </row>
    <row r="29" spans="1:108" ht="125.7" hidden="1">
      <c r="A29" s="105">
        <f t="shared" si="26"/>
        <v>29</v>
      </c>
      <c r="B29" s="106" t="s">
        <v>157</v>
      </c>
      <c r="C29" s="106">
        <f t="shared" si="27"/>
        <v>436</v>
      </c>
      <c r="D29" s="108" t="s">
        <v>243</v>
      </c>
      <c r="E29" s="109" t="s">
        <v>244</v>
      </c>
      <c r="F29" s="109" t="s">
        <v>245</v>
      </c>
      <c r="G29" s="112" t="s">
        <v>246</v>
      </c>
      <c r="H29" s="109" t="s">
        <v>247</v>
      </c>
      <c r="I29" s="110"/>
      <c r="J29" s="162">
        <f>'436'!A4*1.7</f>
        <v>416.5</v>
      </c>
      <c r="K29" s="163">
        <f>'436'!A4*'436'!I1/1000</f>
        <v>75.95</v>
      </c>
      <c r="L29" s="164"/>
      <c r="M29" s="114">
        <v>1070</v>
      </c>
      <c r="N29" s="113">
        <f t="shared" si="48"/>
        <v>81266.5</v>
      </c>
      <c r="O29" s="110"/>
      <c r="P29" s="165">
        <f>'436'!M34</f>
        <v>42082.875</v>
      </c>
      <c r="Q29" s="165">
        <f>'436'!N34</f>
        <v>8423.8687499999996</v>
      </c>
      <c r="R29" s="165">
        <f>'436'!O34</f>
        <v>1173.8249999999998</v>
      </c>
      <c r="S29" s="165">
        <f>'436'!P61</f>
        <v>9240</v>
      </c>
      <c r="T29" s="165">
        <f>'436'!Q68</f>
        <v>6000</v>
      </c>
      <c r="U29" s="166">
        <f>'436'!R34</f>
        <v>5143.0375000000004</v>
      </c>
      <c r="V29" s="165">
        <f>'436'!S34</f>
        <v>1112.6500000000001</v>
      </c>
      <c r="W29" s="117">
        <f t="shared" si="28"/>
        <v>73176.256250000006</v>
      </c>
      <c r="X29" s="112"/>
      <c r="Y29" s="114"/>
      <c r="Z29" s="120"/>
      <c r="AA29" s="112"/>
      <c r="AB29" s="113">
        <f t="shared" si="65"/>
        <v>0</v>
      </c>
      <c r="AC29" s="117">
        <f t="shared" si="30"/>
        <v>73176.256250000006</v>
      </c>
      <c r="AD29" s="112"/>
      <c r="AE29" s="112" t="s">
        <v>157</v>
      </c>
      <c r="AF29" s="121"/>
      <c r="AG29" s="122">
        <f t="shared" si="66"/>
        <v>0</v>
      </c>
      <c r="AH29" s="117">
        <f t="shared" si="32"/>
        <v>73176.256250000006</v>
      </c>
      <c r="AI29" s="167">
        <v>520</v>
      </c>
      <c r="AJ29" s="168">
        <f>'436'!I85</f>
        <v>3080</v>
      </c>
      <c r="AK29" s="110"/>
      <c r="AL29" s="123"/>
      <c r="AM29" s="167">
        <f>'436'!I92</f>
        <v>660</v>
      </c>
      <c r="AN29" s="124">
        <f t="shared" si="33"/>
        <v>447.78</v>
      </c>
      <c r="AO29" s="109" t="s">
        <v>170</v>
      </c>
      <c r="AP29" s="125">
        <f t="shared" si="34"/>
        <v>0</v>
      </c>
      <c r="AQ29" s="126">
        <f t="shared" si="67"/>
        <v>7.5</v>
      </c>
      <c r="AR29" s="127">
        <f t="shared" si="35"/>
        <v>569.625</v>
      </c>
      <c r="AS29" s="128">
        <f t="shared" si="36"/>
        <v>1677.405</v>
      </c>
      <c r="AT29" s="129"/>
      <c r="AU29" s="130"/>
      <c r="AV29" s="126"/>
      <c r="AW29" s="126">
        <v>375</v>
      </c>
      <c r="AX29" s="129"/>
      <c r="AY29" s="169">
        <f t="shared" si="49"/>
        <v>9.4700000000000006</v>
      </c>
      <c r="AZ29" s="132">
        <f t="shared" si="50"/>
        <v>7695.9375500000015</v>
      </c>
      <c r="BA29" s="129"/>
      <c r="BB29" s="126"/>
      <c r="BC29" s="133">
        <f t="shared" ca="1" si="37"/>
        <v>0</v>
      </c>
      <c r="BD29" s="129"/>
      <c r="BE29" s="134">
        <f t="shared" si="38"/>
        <v>0.10516987263884521</v>
      </c>
      <c r="BF29" s="134">
        <f t="shared" si="39"/>
        <v>0.10516987263884521</v>
      </c>
      <c r="BG29" s="135">
        <f t="shared" si="40"/>
        <v>0.96347934496379206</v>
      </c>
      <c r="BH29" s="136">
        <f t="shared" si="41"/>
        <v>0.96347934496379206</v>
      </c>
      <c r="BI29" s="153"/>
      <c r="BJ29" s="126"/>
      <c r="BK29" s="129"/>
      <c r="BL29" s="138">
        <f t="shared" si="42"/>
        <v>0</v>
      </c>
      <c r="BM29" s="123">
        <f t="shared" si="43"/>
        <v>0</v>
      </c>
      <c r="BN29" s="139">
        <f t="shared" si="44"/>
        <v>0</v>
      </c>
      <c r="BQ29" s="170"/>
      <c r="BT29" s="143">
        <f t="shared" si="45"/>
        <v>0</v>
      </c>
      <c r="BW29" s="143"/>
      <c r="BX29" s="143">
        <f t="shared" si="60"/>
        <v>1</v>
      </c>
      <c r="BY29" s="143">
        <f t="shared" si="61"/>
        <v>1</v>
      </c>
      <c r="BZ29" s="129"/>
    </row>
    <row r="30" spans="1:108" ht="62.85" hidden="1">
      <c r="A30" s="105">
        <f t="shared" si="26"/>
        <v>30</v>
      </c>
      <c r="B30" s="106" t="s">
        <v>157</v>
      </c>
      <c r="C30" s="106">
        <f t="shared" si="27"/>
        <v>446</v>
      </c>
      <c r="D30" s="184" t="s">
        <v>248</v>
      </c>
      <c r="E30" s="109" t="s">
        <v>249</v>
      </c>
      <c r="F30" s="109" t="s">
        <v>250</v>
      </c>
      <c r="G30" s="112"/>
      <c r="H30" s="109" t="s">
        <v>251</v>
      </c>
      <c r="I30" s="110"/>
      <c r="J30" s="162">
        <f>'446'!A4*1.7</f>
        <v>197.2</v>
      </c>
      <c r="K30" s="163">
        <f>'446'!A4*'446'!I1/1000</f>
        <v>35.96</v>
      </c>
      <c r="L30" s="164"/>
      <c r="M30" s="114">
        <v>1170</v>
      </c>
      <c r="N30" s="113">
        <f t="shared" si="48"/>
        <v>42073.200000000004</v>
      </c>
      <c r="O30" s="110"/>
      <c r="P30" s="165">
        <f>'446'!M30</f>
        <v>20039.8</v>
      </c>
      <c r="Q30" s="165">
        <f>'446'!N30</f>
        <v>3892.4624999999996</v>
      </c>
      <c r="R30" s="165">
        <v>4000</v>
      </c>
      <c r="S30" s="165">
        <f>'446'!P57</f>
        <v>5280</v>
      </c>
      <c r="T30" s="165">
        <f>'446'!Q64</f>
        <v>1077.5999999999999</v>
      </c>
      <c r="U30" s="166">
        <f>'446'!R30</f>
        <v>2147.5</v>
      </c>
      <c r="V30" s="165">
        <f>'446'!S30</f>
        <v>924.55000000000007</v>
      </c>
      <c r="W30" s="117">
        <f t="shared" si="28"/>
        <v>37361.912499999999</v>
      </c>
      <c r="X30" s="112"/>
      <c r="Y30" s="114">
        <v>0</v>
      </c>
      <c r="Z30" s="120">
        <v>0</v>
      </c>
      <c r="AA30" s="112"/>
      <c r="AB30" s="113">
        <f t="shared" si="65"/>
        <v>0</v>
      </c>
      <c r="AC30" s="117">
        <f t="shared" si="30"/>
        <v>37361.912499999999</v>
      </c>
      <c r="AD30" s="112"/>
      <c r="AE30" s="112" t="s">
        <v>157</v>
      </c>
      <c r="AF30" s="121"/>
      <c r="AG30" s="122">
        <f t="shared" si="66"/>
        <v>0</v>
      </c>
      <c r="AH30" s="117">
        <f t="shared" si="32"/>
        <v>37361.912499999999</v>
      </c>
      <c r="AI30" s="167">
        <v>0</v>
      </c>
      <c r="AJ30" s="168">
        <f>'446'!I83</f>
        <v>1180</v>
      </c>
      <c r="AK30" s="110"/>
      <c r="AL30" s="123"/>
      <c r="AM30" s="167">
        <f>'446'!I90</f>
        <v>560</v>
      </c>
      <c r="AN30" s="124">
        <f t="shared" si="33"/>
        <v>35.06</v>
      </c>
      <c r="AO30" s="109" t="s">
        <v>163</v>
      </c>
      <c r="AP30" s="125">
        <f t="shared" si="34"/>
        <v>0</v>
      </c>
      <c r="AQ30" s="126">
        <f t="shared" si="67"/>
        <v>7.5</v>
      </c>
      <c r="AR30" s="127">
        <f t="shared" si="35"/>
        <v>269.7</v>
      </c>
      <c r="AS30" s="128">
        <f t="shared" si="36"/>
        <v>864.76</v>
      </c>
      <c r="AT30" s="129"/>
      <c r="AU30" s="130"/>
      <c r="AV30" s="126"/>
      <c r="AW30" s="126">
        <f t="shared" si="68"/>
        <v>375</v>
      </c>
      <c r="AX30" s="129"/>
      <c r="AY30" s="169">
        <f t="shared" si="49"/>
        <v>10.89</v>
      </c>
      <c r="AZ30" s="132">
        <f t="shared" si="50"/>
        <v>4581.7714800000003</v>
      </c>
      <c r="BA30" s="129"/>
      <c r="BB30" s="126"/>
      <c r="BC30" s="133">
        <f t="shared" ca="1" si="37"/>
        <v>0</v>
      </c>
      <c r="BD30" s="129"/>
      <c r="BE30" s="134">
        <f t="shared" si="38"/>
        <v>0.12263214523614123</v>
      </c>
      <c r="BF30" s="134">
        <f t="shared" si="39"/>
        <v>0.12263214523614123</v>
      </c>
      <c r="BG30" s="135">
        <f t="shared" si="40"/>
        <v>1.038985330923248</v>
      </c>
      <c r="BH30" s="136">
        <f t="shared" si="41"/>
        <v>1.038985330923248</v>
      </c>
      <c r="BI30" s="153"/>
      <c r="BJ30" s="126"/>
      <c r="BK30" s="129"/>
      <c r="BL30" s="138">
        <f t="shared" si="42"/>
        <v>0</v>
      </c>
      <c r="BM30" s="123">
        <f t="shared" si="43"/>
        <v>0</v>
      </c>
      <c r="BN30" s="139">
        <f t="shared" si="44"/>
        <v>0</v>
      </c>
      <c r="BQ30" s="170"/>
      <c r="BT30" s="143">
        <f t="shared" si="45"/>
        <v>0</v>
      </c>
      <c r="BW30" s="143"/>
      <c r="BX30" s="143">
        <f t="shared" si="60"/>
        <v>1</v>
      </c>
      <c r="BY30" s="143">
        <f t="shared" si="61"/>
        <v>1</v>
      </c>
      <c r="BZ30" s="129"/>
    </row>
    <row r="31" spans="1:108" ht="110" hidden="1">
      <c r="A31" s="105">
        <f t="shared" si="26"/>
        <v>31</v>
      </c>
      <c r="B31" s="106" t="s">
        <v>157</v>
      </c>
      <c r="C31" s="106">
        <f t="shared" si="27"/>
        <v>461</v>
      </c>
      <c r="D31" s="108" t="s">
        <v>252</v>
      </c>
      <c r="E31" s="109" t="s">
        <v>253</v>
      </c>
      <c r="F31" s="185" t="s">
        <v>254</v>
      </c>
      <c r="G31" s="112" t="s">
        <v>195</v>
      </c>
      <c r="H31" s="109" t="s">
        <v>255</v>
      </c>
      <c r="I31" s="110"/>
      <c r="J31" s="162">
        <f>'461'!A4*1.7</f>
        <v>183.6</v>
      </c>
      <c r="K31" s="163">
        <f>'461'!A4*'461'!I1/1000</f>
        <v>33.479999999999997</v>
      </c>
      <c r="L31" s="112"/>
      <c r="M31" s="114">
        <v>1140</v>
      </c>
      <c r="N31" s="113">
        <f t="shared" si="48"/>
        <v>38167.199999999997</v>
      </c>
      <c r="O31" s="110"/>
      <c r="P31" s="165">
        <f>'461'!M33</f>
        <v>16063.269610091742</v>
      </c>
      <c r="Q31" s="165">
        <f>'461'!N33</f>
        <v>4987.3</v>
      </c>
      <c r="R31" s="165">
        <f>'461'!O33</f>
        <v>1454.7058333333334</v>
      </c>
      <c r="S31" s="165">
        <f>'461'!P61</f>
        <v>14740</v>
      </c>
      <c r="T31" s="165">
        <f>'461'!Q68</f>
        <v>1077.5999999999999</v>
      </c>
      <c r="U31" s="166">
        <f>'461'!R33</f>
        <v>3880.55</v>
      </c>
      <c r="V31" s="166">
        <f>'461'!S33</f>
        <v>924.55000000000007</v>
      </c>
      <c r="W31" s="117">
        <f t="shared" si="28"/>
        <v>43127.975443425079</v>
      </c>
      <c r="X31" s="112"/>
      <c r="Y31" s="114"/>
      <c r="Z31" s="120">
        <v>1</v>
      </c>
      <c r="AA31" s="112"/>
      <c r="AB31" s="113">
        <f t="shared" si="65"/>
        <v>0</v>
      </c>
      <c r="AC31" s="117">
        <f t="shared" si="30"/>
        <v>43127.975443425079</v>
      </c>
      <c r="AD31" s="112"/>
      <c r="AE31" s="112" t="s">
        <v>157</v>
      </c>
      <c r="AF31" s="121"/>
      <c r="AG31" s="122">
        <f t="shared" si="66"/>
        <v>0</v>
      </c>
      <c r="AH31" s="117">
        <f t="shared" si="32"/>
        <v>43127.975443425079</v>
      </c>
      <c r="AI31" s="109">
        <v>0</v>
      </c>
      <c r="AJ31" s="114">
        <f>'461'!I84</f>
        <v>1960</v>
      </c>
      <c r="AK31" s="110"/>
      <c r="AL31" s="123"/>
      <c r="AM31" s="109">
        <f>'461'!I91</f>
        <v>580</v>
      </c>
      <c r="AN31" s="124">
        <f t="shared" si="33"/>
        <v>35.06</v>
      </c>
      <c r="AO31" s="109" t="s">
        <v>163</v>
      </c>
      <c r="AP31" s="125">
        <f t="shared" si="34"/>
        <v>0</v>
      </c>
      <c r="AQ31" s="126">
        <f t="shared" si="67"/>
        <v>7.5</v>
      </c>
      <c r="AR31" s="127">
        <f t="shared" si="35"/>
        <v>251.09999999999997</v>
      </c>
      <c r="AS31" s="128">
        <f t="shared" si="36"/>
        <v>866.15999999999985</v>
      </c>
      <c r="AT31" s="129"/>
      <c r="AU31" s="130"/>
      <c r="AV31" s="126"/>
      <c r="AW31" s="126">
        <f t="shared" si="68"/>
        <v>375</v>
      </c>
      <c r="AX31" s="129"/>
      <c r="AY31" s="169">
        <f t="shared" si="49"/>
        <v>10.89</v>
      </c>
      <c r="AZ31" s="132">
        <f t="shared" si="50"/>
        <v>4156.4080799999992</v>
      </c>
      <c r="BA31" s="129"/>
      <c r="BB31" s="126"/>
      <c r="BC31" s="133">
        <f t="shared" ca="1" si="37"/>
        <v>0</v>
      </c>
      <c r="BD31" s="129"/>
      <c r="BE31" s="134">
        <f t="shared" si="38"/>
        <v>9.6373827829046618E-2</v>
      </c>
      <c r="BF31" s="134">
        <f t="shared" si="39"/>
        <v>9.6373827829046618E-2</v>
      </c>
      <c r="BG31" s="135">
        <f t="shared" si="40"/>
        <v>1.288171309540773</v>
      </c>
      <c r="BH31" s="136">
        <f t="shared" si="41"/>
        <v>1.288171309540773</v>
      </c>
      <c r="BI31" s="153"/>
      <c r="BJ31" s="126"/>
      <c r="BK31" s="129"/>
      <c r="BL31" s="138">
        <f t="shared" si="42"/>
        <v>0</v>
      </c>
      <c r="BM31" s="123">
        <f t="shared" si="43"/>
        <v>0</v>
      </c>
      <c r="BN31" s="139">
        <f t="shared" si="44"/>
        <v>0</v>
      </c>
      <c r="BQ31" s="170"/>
      <c r="BT31" s="143">
        <f t="shared" si="45"/>
        <v>0</v>
      </c>
      <c r="BW31" s="143"/>
      <c r="BX31" s="143">
        <f t="shared" si="60"/>
        <v>1</v>
      </c>
      <c r="BY31" s="143">
        <f t="shared" si="61"/>
        <v>1</v>
      </c>
      <c r="BZ31" s="129"/>
    </row>
    <row r="32" spans="1:108" ht="30.8" hidden="1" customHeight="1">
      <c r="A32" s="105">
        <f t="shared" si="26"/>
        <v>32</v>
      </c>
      <c r="B32" s="106" t="s">
        <v>157</v>
      </c>
      <c r="C32" s="106">
        <f t="shared" si="27"/>
        <v>505</v>
      </c>
      <c r="D32" s="108" t="s">
        <v>256</v>
      </c>
      <c r="E32" s="109" t="s">
        <v>257</v>
      </c>
      <c r="F32" s="185" t="s">
        <v>258</v>
      </c>
      <c r="G32" s="112" t="s">
        <v>259</v>
      </c>
      <c r="H32" s="109" t="s">
        <v>196</v>
      </c>
      <c r="I32" s="110"/>
      <c r="J32" s="162">
        <f>('505-SE'!A4+'505-SE'!A5)*1.7</f>
        <v>185.29999999999998</v>
      </c>
      <c r="K32" s="163">
        <f>'505-SE'!A4*'505-SE'!I1/1000+'505-SE'!A5*0.31</f>
        <v>35.89</v>
      </c>
      <c r="L32" s="112"/>
      <c r="M32" s="114">
        <v>1165</v>
      </c>
      <c r="N32" s="113">
        <f t="shared" si="48"/>
        <v>41811.85</v>
      </c>
      <c r="O32" s="110"/>
      <c r="P32" s="165">
        <f>'505-SE'!M35</f>
        <v>12219.517749999999</v>
      </c>
      <c r="Q32" s="165">
        <f>'505-SE'!N35</f>
        <v>5762.2749999999996</v>
      </c>
      <c r="R32" s="165">
        <f>'505-SE'!O35</f>
        <v>3748.3599750000003</v>
      </c>
      <c r="S32" s="165">
        <f>'505-SE'!P64</f>
        <v>10920</v>
      </c>
      <c r="T32" s="165">
        <f>'505-SE'!Q86</f>
        <v>16683</v>
      </c>
      <c r="U32" s="166">
        <f>'505-SE'!R35</f>
        <v>2572.75</v>
      </c>
      <c r="V32" s="166">
        <f>'505-SE'!S35</f>
        <v>1155.6875</v>
      </c>
      <c r="W32" s="117">
        <f t="shared" si="28"/>
        <v>53061.590225</v>
      </c>
      <c r="X32" s="112"/>
      <c r="Y32" s="114"/>
      <c r="Z32" s="120"/>
      <c r="AA32" s="112"/>
      <c r="AB32" s="113">
        <f t="shared" si="65"/>
        <v>0</v>
      </c>
      <c r="AC32" s="117">
        <f t="shared" si="30"/>
        <v>53061.590225</v>
      </c>
      <c r="AD32" s="112"/>
      <c r="AE32" s="112"/>
      <c r="AF32" s="121"/>
      <c r="AG32" s="122">
        <f t="shared" si="66"/>
        <v>0</v>
      </c>
      <c r="AH32" s="117">
        <f t="shared" si="32"/>
        <v>53061.590225</v>
      </c>
      <c r="AI32" s="109"/>
      <c r="AJ32" s="114">
        <f>'505-SE'!I104</f>
        <v>3178.7466666666669</v>
      </c>
      <c r="AK32" s="110"/>
      <c r="AL32" s="123"/>
      <c r="AM32" s="109">
        <f>'505-SE'!I111</f>
        <v>730</v>
      </c>
      <c r="AN32" s="124">
        <f t="shared" si="33"/>
        <v>35.06</v>
      </c>
      <c r="AO32" s="109" t="s">
        <v>163</v>
      </c>
      <c r="AP32" s="125">
        <f t="shared" si="34"/>
        <v>0</v>
      </c>
      <c r="AQ32" s="126">
        <v>0</v>
      </c>
      <c r="AR32" s="127">
        <f t="shared" si="35"/>
        <v>0</v>
      </c>
      <c r="AS32" s="128">
        <f t="shared" si="36"/>
        <v>765.06</v>
      </c>
      <c r="AT32" s="129"/>
      <c r="AU32" s="130"/>
      <c r="AV32" s="126"/>
      <c r="AW32" s="126">
        <f t="shared" si="68"/>
        <v>375</v>
      </c>
      <c r="AX32" s="129"/>
      <c r="AY32" s="169">
        <f t="shared" si="49"/>
        <v>10.89</v>
      </c>
      <c r="AZ32" s="132">
        <f t="shared" si="50"/>
        <v>4553.3104649999996</v>
      </c>
      <c r="BA32" s="129"/>
      <c r="BB32" s="126"/>
      <c r="BC32" s="133">
        <f t="shared" ca="1" si="37"/>
        <v>0</v>
      </c>
      <c r="BD32" s="129"/>
      <c r="BE32" s="134">
        <f t="shared" si="38"/>
        <v>8.5811798057546809E-2</v>
      </c>
      <c r="BF32" s="134">
        <f t="shared" si="39"/>
        <v>8.5811798057546809E-2</v>
      </c>
      <c r="BG32" s="135">
        <f t="shared" si="40"/>
        <v>1.4784505495959877</v>
      </c>
      <c r="BH32" s="136">
        <f t="shared" si="41"/>
        <v>1.4784505495959877</v>
      </c>
      <c r="BI32" s="153"/>
      <c r="BJ32" s="126"/>
      <c r="BK32" s="129"/>
      <c r="BL32" s="138">
        <f t="shared" si="42"/>
        <v>0</v>
      </c>
      <c r="BM32" s="123">
        <f t="shared" si="43"/>
        <v>0</v>
      </c>
      <c r="BN32" s="139">
        <f t="shared" si="44"/>
        <v>0</v>
      </c>
      <c r="BQ32" s="170"/>
      <c r="BT32" s="143">
        <f t="shared" si="45"/>
        <v>0</v>
      </c>
      <c r="BW32" s="143"/>
      <c r="BX32" s="143">
        <f t="shared" si="60"/>
        <v>1</v>
      </c>
      <c r="BY32" s="143">
        <f t="shared" si="61"/>
        <v>0</v>
      </c>
      <c r="BZ32" s="129"/>
    </row>
    <row r="33" spans="1:78" ht="75.3" hidden="1">
      <c r="A33" s="105">
        <f t="shared" si="26"/>
        <v>33</v>
      </c>
      <c r="B33" s="106"/>
      <c r="C33" s="106">
        <f t="shared" si="27"/>
        <v>523</v>
      </c>
      <c r="D33" s="108" t="s">
        <v>260</v>
      </c>
      <c r="E33" s="109"/>
      <c r="F33" s="185"/>
      <c r="G33" s="112"/>
      <c r="H33" s="109"/>
      <c r="I33" s="110"/>
      <c r="J33" s="162"/>
      <c r="K33" s="163"/>
      <c r="L33" s="112"/>
      <c r="M33" s="114"/>
      <c r="N33" s="113">
        <f t="shared" si="48"/>
        <v>0</v>
      </c>
      <c r="O33" s="110"/>
      <c r="P33" s="165"/>
      <c r="Q33" s="165"/>
      <c r="R33" s="165"/>
      <c r="S33" s="165"/>
      <c r="T33" s="165"/>
      <c r="U33" s="166"/>
      <c r="V33" s="166"/>
      <c r="W33" s="117">
        <f t="shared" si="28"/>
        <v>0</v>
      </c>
      <c r="X33" s="112"/>
      <c r="Y33" s="114"/>
      <c r="Z33" s="120"/>
      <c r="AA33" s="112"/>
      <c r="AB33" s="113">
        <f t="shared" si="65"/>
        <v>0</v>
      </c>
      <c r="AC33" s="117">
        <f t="shared" si="30"/>
        <v>0</v>
      </c>
      <c r="AD33" s="112"/>
      <c r="AE33" s="112"/>
      <c r="AF33" s="121"/>
      <c r="AG33" s="122">
        <f t="shared" si="66"/>
        <v>0</v>
      </c>
      <c r="AH33" s="117">
        <f t="shared" si="32"/>
        <v>0</v>
      </c>
      <c r="AI33" s="109"/>
      <c r="AJ33" s="114"/>
      <c r="AK33" s="110"/>
      <c r="AL33" s="123"/>
      <c r="AM33" s="109"/>
      <c r="AN33" s="124" t="str">
        <f t="shared" si="33"/>
        <v xml:space="preserve"> </v>
      </c>
      <c r="AO33" s="109"/>
      <c r="AP33" s="125">
        <f t="shared" si="34"/>
        <v>0</v>
      </c>
      <c r="AQ33" s="126"/>
      <c r="AR33" s="127">
        <f t="shared" si="35"/>
        <v>0</v>
      </c>
      <c r="AS33" s="128">
        <f t="shared" si="36"/>
        <v>0</v>
      </c>
      <c r="AT33" s="129"/>
      <c r="AU33" s="130"/>
      <c r="AV33" s="126"/>
      <c r="AW33" s="126"/>
      <c r="AX33" s="129"/>
      <c r="AY33" s="169">
        <f t="shared" si="49"/>
        <v>0</v>
      </c>
      <c r="AZ33" s="132">
        <f t="shared" si="50"/>
        <v>0</v>
      </c>
      <c r="BA33" s="129"/>
      <c r="BB33" s="126"/>
      <c r="BC33" s="133">
        <f t="shared" ca="1" si="37"/>
        <v>0</v>
      </c>
      <c r="BD33" s="129"/>
      <c r="BE33" s="134" t="str">
        <f t="shared" si="38"/>
        <v xml:space="preserve"> </v>
      </c>
      <c r="BF33" s="134" t="str">
        <f t="shared" si="39"/>
        <v xml:space="preserve"> </v>
      </c>
      <c r="BG33" s="135" t="str">
        <f t="shared" si="40"/>
        <v/>
      </c>
      <c r="BH33" s="136" t="str">
        <f t="shared" si="41"/>
        <v xml:space="preserve"> </v>
      </c>
      <c r="BI33" s="153"/>
      <c r="BJ33" s="126"/>
      <c r="BK33" s="129"/>
      <c r="BL33" s="138">
        <f t="shared" si="42"/>
        <v>0</v>
      </c>
      <c r="BM33" s="123">
        <f t="shared" si="43"/>
        <v>0</v>
      </c>
      <c r="BN33" s="139">
        <f t="shared" si="44"/>
        <v>0</v>
      </c>
      <c r="BQ33" s="170"/>
      <c r="BT33" s="143">
        <f t="shared" si="45"/>
        <v>0</v>
      </c>
      <c r="BW33" s="143"/>
      <c r="BX33" s="143">
        <f t="shared" si="60"/>
        <v>0</v>
      </c>
      <c r="BY33" s="143">
        <f t="shared" si="61"/>
        <v>0</v>
      </c>
      <c r="BZ33" s="129"/>
    </row>
    <row r="34" spans="1:78" ht="60.25" hidden="1">
      <c r="A34" s="105">
        <f t="shared" si="26"/>
        <v>34</v>
      </c>
      <c r="B34" s="106"/>
      <c r="C34" s="106">
        <f t="shared" si="27"/>
        <v>525</v>
      </c>
      <c r="D34" s="108" t="s">
        <v>261</v>
      </c>
      <c r="E34" s="109"/>
      <c r="F34" s="185"/>
      <c r="G34" s="112"/>
      <c r="H34" s="109"/>
      <c r="I34" s="110"/>
      <c r="J34" s="162"/>
      <c r="K34" s="163"/>
      <c r="L34" s="112"/>
      <c r="M34" s="114"/>
      <c r="N34" s="113">
        <f t="shared" si="48"/>
        <v>0</v>
      </c>
      <c r="O34" s="110"/>
      <c r="P34" s="165"/>
      <c r="Q34" s="165"/>
      <c r="R34" s="165"/>
      <c r="S34" s="165"/>
      <c r="T34" s="165"/>
      <c r="U34" s="166"/>
      <c r="V34" s="166"/>
      <c r="W34" s="117">
        <f t="shared" si="28"/>
        <v>0</v>
      </c>
      <c r="X34" s="112"/>
      <c r="Y34" s="114"/>
      <c r="Z34" s="120"/>
      <c r="AA34" s="112"/>
      <c r="AB34" s="113">
        <f t="shared" si="65"/>
        <v>0</v>
      </c>
      <c r="AC34" s="117">
        <f t="shared" si="30"/>
        <v>0</v>
      </c>
      <c r="AD34" s="112"/>
      <c r="AE34" s="112"/>
      <c r="AF34" s="121"/>
      <c r="AG34" s="122">
        <f t="shared" si="66"/>
        <v>0</v>
      </c>
      <c r="AH34" s="117">
        <f t="shared" si="32"/>
        <v>0</v>
      </c>
      <c r="AI34" s="109"/>
      <c r="AJ34" s="114"/>
      <c r="AK34" s="110"/>
      <c r="AL34" s="123"/>
      <c r="AM34" s="109"/>
      <c r="AN34" s="124" t="str">
        <f t="shared" si="33"/>
        <v xml:space="preserve"> </v>
      </c>
      <c r="AO34" s="109"/>
      <c r="AP34" s="125">
        <f t="shared" si="34"/>
        <v>0</v>
      </c>
      <c r="AQ34" s="126"/>
      <c r="AR34" s="127">
        <f t="shared" si="35"/>
        <v>0</v>
      </c>
      <c r="AS34" s="128">
        <f t="shared" si="36"/>
        <v>0</v>
      </c>
      <c r="AT34" s="129"/>
      <c r="AU34" s="130"/>
      <c r="AV34" s="126"/>
      <c r="AW34" s="126"/>
      <c r="AX34" s="129"/>
      <c r="AY34" s="169">
        <f t="shared" si="49"/>
        <v>0</v>
      </c>
      <c r="AZ34" s="132">
        <f t="shared" si="50"/>
        <v>0</v>
      </c>
      <c r="BA34" s="129"/>
      <c r="BB34" s="126"/>
      <c r="BC34" s="133">
        <f t="shared" ca="1" si="37"/>
        <v>0</v>
      </c>
      <c r="BD34" s="129"/>
      <c r="BE34" s="134" t="str">
        <f t="shared" si="38"/>
        <v xml:space="preserve"> </v>
      </c>
      <c r="BF34" s="134" t="str">
        <f t="shared" si="39"/>
        <v xml:space="preserve"> </v>
      </c>
      <c r="BG34" s="135" t="str">
        <f t="shared" si="40"/>
        <v/>
      </c>
      <c r="BH34" s="136" t="str">
        <f t="shared" si="41"/>
        <v xml:space="preserve"> </v>
      </c>
      <c r="BI34" s="153"/>
      <c r="BJ34" s="126"/>
      <c r="BK34" s="129"/>
      <c r="BL34" s="138">
        <f t="shared" si="42"/>
        <v>0</v>
      </c>
      <c r="BM34" s="123">
        <f t="shared" si="43"/>
        <v>0</v>
      </c>
      <c r="BN34" s="139">
        <f t="shared" si="44"/>
        <v>0</v>
      </c>
      <c r="BQ34" s="170"/>
      <c r="BT34" s="143">
        <f t="shared" si="45"/>
        <v>0</v>
      </c>
      <c r="BW34" s="143"/>
      <c r="BX34" s="143">
        <f t="shared" si="60"/>
        <v>0</v>
      </c>
      <c r="BY34" s="143">
        <f t="shared" si="61"/>
        <v>0</v>
      </c>
      <c r="BZ34" s="129"/>
    </row>
    <row r="35" spans="1:78" ht="54.35" hidden="1">
      <c r="A35" s="105">
        <f t="shared" si="26"/>
        <v>35</v>
      </c>
      <c r="B35" s="106" t="s">
        <v>157</v>
      </c>
      <c r="C35" s="106">
        <f t="shared" si="27"/>
        <v>527</v>
      </c>
      <c r="D35" s="108" t="s">
        <v>262</v>
      </c>
      <c r="E35" s="109" t="s">
        <v>263</v>
      </c>
      <c r="F35" s="109" t="s">
        <v>264</v>
      </c>
      <c r="G35" s="109" t="s">
        <v>265</v>
      </c>
      <c r="H35" s="109" t="s">
        <v>266</v>
      </c>
      <c r="I35" s="110"/>
      <c r="J35" s="162">
        <f>'527'!A4*1.7</f>
        <v>168.29999999999998</v>
      </c>
      <c r="K35" s="163">
        <f>'527'!A4*'527'!I1/1000</f>
        <v>30.69</v>
      </c>
      <c r="L35" s="112"/>
      <c r="M35" s="114">
        <v>1159</v>
      </c>
      <c r="N35" s="113">
        <f t="shared" si="48"/>
        <v>35569.71</v>
      </c>
      <c r="O35" s="110"/>
      <c r="P35" s="165">
        <f>'527'!M34</f>
        <v>17641.310661764706</v>
      </c>
      <c r="Q35" s="165">
        <f>'527'!N34</f>
        <v>2719</v>
      </c>
      <c r="R35" s="165">
        <f>'527'!O34</f>
        <v>474.36500000000001</v>
      </c>
      <c r="S35" s="165">
        <f>'527'!P62</f>
        <v>21340</v>
      </c>
      <c r="T35" s="165">
        <f>'527'!Q69</f>
        <v>1077.5999999999999</v>
      </c>
      <c r="U35" s="165">
        <f>'527'!R34</f>
        <v>1573.6125000000002</v>
      </c>
      <c r="V35" s="165">
        <f>'527'!S34</f>
        <v>924.55000000000007</v>
      </c>
      <c r="W35" s="117">
        <f t="shared" si="28"/>
        <v>45750.438161764709</v>
      </c>
      <c r="X35" s="112"/>
      <c r="Y35" s="114"/>
      <c r="Z35" s="120"/>
      <c r="AA35" s="112"/>
      <c r="AB35" s="113">
        <f t="shared" si="65"/>
        <v>0</v>
      </c>
      <c r="AC35" s="117">
        <f t="shared" si="30"/>
        <v>45750.438161764709</v>
      </c>
      <c r="AD35" s="112"/>
      <c r="AE35" s="112" t="s">
        <v>157</v>
      </c>
      <c r="AF35" s="121"/>
      <c r="AG35" s="122">
        <f t="shared" si="66"/>
        <v>0</v>
      </c>
      <c r="AH35" s="117">
        <f t="shared" si="32"/>
        <v>45750.438161764709</v>
      </c>
      <c r="AI35" s="109">
        <v>520</v>
      </c>
      <c r="AJ35" s="114">
        <f>'527'!I85</f>
        <v>3585</v>
      </c>
      <c r="AK35" s="110"/>
      <c r="AL35" s="123"/>
      <c r="AM35" s="109">
        <f>'527'!I92</f>
        <v>200</v>
      </c>
      <c r="AN35" s="124">
        <f t="shared" si="33"/>
        <v>35.06</v>
      </c>
      <c r="AO35" s="109" t="s">
        <v>163</v>
      </c>
      <c r="AP35" s="125">
        <f t="shared" si="34"/>
        <v>0</v>
      </c>
      <c r="AQ35" s="126">
        <f>AQ31</f>
        <v>7.5</v>
      </c>
      <c r="AR35" s="127">
        <f t="shared" si="35"/>
        <v>230.17500000000001</v>
      </c>
      <c r="AS35" s="128">
        <f t="shared" si="36"/>
        <v>465.23500000000001</v>
      </c>
      <c r="AT35" s="129"/>
      <c r="AU35" s="130"/>
      <c r="AV35" s="126"/>
      <c r="AW35" s="126">
        <f t="shared" si="68"/>
        <v>375</v>
      </c>
      <c r="AX35" s="129"/>
      <c r="AY35" s="169">
        <f t="shared" si="49"/>
        <v>10.89</v>
      </c>
      <c r="AZ35" s="132">
        <f t="shared" si="50"/>
        <v>3873.5414190000006</v>
      </c>
      <c r="BA35" s="129"/>
      <c r="BB35" s="126"/>
      <c r="BC35" s="133">
        <f t="shared" ca="1" si="37"/>
        <v>0</v>
      </c>
      <c r="BD35" s="129"/>
      <c r="BE35" s="134">
        <f t="shared" si="38"/>
        <v>8.4666761120492581E-2</v>
      </c>
      <c r="BF35" s="134">
        <f t="shared" si="39"/>
        <v>8.4666761120492581E-2</v>
      </c>
      <c r="BG35" s="135">
        <f t="shared" si="40"/>
        <v>1.4907278645084623</v>
      </c>
      <c r="BH35" s="136">
        <f t="shared" si="41"/>
        <v>1.4907278645084623</v>
      </c>
      <c r="BI35" s="153"/>
      <c r="BJ35" s="126"/>
      <c r="BK35" s="129"/>
      <c r="BL35" s="138">
        <f t="shared" si="42"/>
        <v>0</v>
      </c>
      <c r="BM35" s="123">
        <f t="shared" si="43"/>
        <v>0</v>
      </c>
      <c r="BN35" s="139">
        <f t="shared" si="44"/>
        <v>0</v>
      </c>
      <c r="BQ35" s="170"/>
      <c r="BT35" s="143">
        <f t="shared" si="45"/>
        <v>0</v>
      </c>
      <c r="BW35" s="143"/>
      <c r="BX35" s="143">
        <f t="shared" si="60"/>
        <v>0</v>
      </c>
      <c r="BY35" s="143">
        <f t="shared" si="61"/>
        <v>0</v>
      </c>
      <c r="BZ35" s="129"/>
    </row>
    <row r="36" spans="1:78" ht="78.55" hidden="1">
      <c r="A36" s="105">
        <f t="shared" si="26"/>
        <v>36</v>
      </c>
      <c r="B36" s="106" t="s">
        <v>157</v>
      </c>
      <c r="C36" s="106">
        <f t="shared" si="27"/>
        <v>533</v>
      </c>
      <c r="D36" s="108" t="s">
        <v>267</v>
      </c>
      <c r="E36" s="109" t="s">
        <v>268</v>
      </c>
      <c r="F36" s="109"/>
      <c r="G36" s="109" t="s">
        <v>269</v>
      </c>
      <c r="H36" s="109" t="s">
        <v>196</v>
      </c>
      <c r="I36" s="110"/>
      <c r="J36" s="162">
        <f>'533'!A4*1.7</f>
        <v>113.89999999999999</v>
      </c>
      <c r="K36" s="163">
        <f>'533'!A4*'533'!I1/1000</f>
        <v>25.125</v>
      </c>
      <c r="L36" s="112"/>
      <c r="M36" s="114">
        <v>1053</v>
      </c>
      <c r="N36" s="113">
        <f t="shared" si="48"/>
        <v>26456.625</v>
      </c>
      <c r="O36" s="110"/>
      <c r="P36" s="165">
        <f>'533'!M35</f>
        <v>11236.890000000001</v>
      </c>
      <c r="Q36" s="165">
        <f>'533'!N35</f>
        <v>3840.8619575146504</v>
      </c>
      <c r="R36" s="165">
        <f>'533'!O35</f>
        <v>742.30332500000009</v>
      </c>
      <c r="S36" s="165">
        <f>'533'!P64</f>
        <v>5280</v>
      </c>
      <c r="T36" s="165">
        <f>'533'!I86</f>
        <v>1085.3999999999999</v>
      </c>
      <c r="U36" s="165">
        <f>'533'!R35</f>
        <v>2587.5</v>
      </c>
      <c r="V36" s="165">
        <f>'533'!S35</f>
        <v>1155.6875</v>
      </c>
      <c r="W36" s="117">
        <f t="shared" si="28"/>
        <v>25928.642782514653</v>
      </c>
      <c r="X36" s="112" t="s">
        <v>270</v>
      </c>
      <c r="Y36" s="114">
        <f>25*J36</f>
        <v>2847.5</v>
      </c>
      <c r="Z36" s="120">
        <v>1</v>
      </c>
      <c r="AA36" s="112" t="s">
        <v>157</v>
      </c>
      <c r="AB36" s="113">
        <f t="shared" si="65"/>
        <v>2847.5</v>
      </c>
      <c r="AC36" s="117">
        <f t="shared" si="30"/>
        <v>28776.142782514653</v>
      </c>
      <c r="AD36" s="112"/>
      <c r="AE36" s="112" t="s">
        <v>157</v>
      </c>
      <c r="AF36" s="121"/>
      <c r="AG36" s="122">
        <f t="shared" si="66"/>
        <v>0</v>
      </c>
      <c r="AH36" s="117">
        <f t="shared" si="32"/>
        <v>28776.142782514653</v>
      </c>
      <c r="AI36" s="109">
        <v>520</v>
      </c>
      <c r="AJ36" s="114">
        <f>'533'!I106</f>
        <v>5196.5966666666664</v>
      </c>
      <c r="AK36" s="110"/>
      <c r="AL36" s="123"/>
      <c r="AM36" s="109">
        <f>'533'!I113</f>
        <v>250</v>
      </c>
      <c r="AN36" s="124">
        <f t="shared" si="33"/>
        <v>35.06</v>
      </c>
      <c r="AO36" s="109" t="s">
        <v>163</v>
      </c>
      <c r="AP36" s="125">
        <f t="shared" si="34"/>
        <v>0</v>
      </c>
      <c r="AQ36" s="126">
        <v>7.5</v>
      </c>
      <c r="AR36" s="127">
        <f t="shared" si="35"/>
        <v>188.4375</v>
      </c>
      <c r="AS36" s="128">
        <f t="shared" si="36"/>
        <v>473.4975</v>
      </c>
      <c r="AT36" s="129"/>
      <c r="AU36" s="130"/>
      <c r="AV36" s="126"/>
      <c r="AW36" s="126">
        <f t="shared" si="68"/>
        <v>375</v>
      </c>
      <c r="AX36" s="129"/>
      <c r="AY36" s="169">
        <f t="shared" si="49"/>
        <v>10.89</v>
      </c>
      <c r="AZ36" s="132">
        <f t="shared" si="50"/>
        <v>2881.1264624999999</v>
      </c>
      <c r="BA36" s="129"/>
      <c r="BB36" s="126"/>
      <c r="BC36" s="133">
        <f t="shared" ca="1" si="37"/>
        <v>0</v>
      </c>
      <c r="BD36" s="129"/>
      <c r="BE36" s="134">
        <f t="shared" si="38"/>
        <v>0.10012205194681856</v>
      </c>
      <c r="BF36" s="134">
        <f t="shared" si="39"/>
        <v>0.10012205194681856</v>
      </c>
      <c r="BG36" s="135">
        <f t="shared" si="40"/>
        <v>1.0319857823886429</v>
      </c>
      <c r="BH36" s="136">
        <f t="shared" si="41"/>
        <v>1.1453191157219762</v>
      </c>
      <c r="BI36" s="153"/>
      <c r="BJ36" s="126">
        <f>'533'!I120</f>
        <v>4000</v>
      </c>
      <c r="BK36" s="129"/>
      <c r="BL36" s="138">
        <f t="shared" si="42"/>
        <v>0</v>
      </c>
      <c r="BM36" s="123">
        <f t="shared" si="43"/>
        <v>0</v>
      </c>
      <c r="BN36" s="139">
        <f t="shared" si="44"/>
        <v>0</v>
      </c>
      <c r="BQ36" s="170"/>
      <c r="BT36" s="143">
        <f t="shared" si="45"/>
        <v>0</v>
      </c>
      <c r="BW36" s="143"/>
      <c r="BX36" s="143">
        <f t="shared" si="60"/>
        <v>0</v>
      </c>
      <c r="BY36" s="143">
        <f t="shared" si="61"/>
        <v>0</v>
      </c>
      <c r="BZ36" s="129"/>
    </row>
    <row r="37" spans="1:78" ht="110" hidden="1">
      <c r="A37" s="105">
        <f t="shared" si="26"/>
        <v>37</v>
      </c>
      <c r="B37" s="106" t="s">
        <v>157</v>
      </c>
      <c r="C37" s="186">
        <f t="shared" si="27"/>
        <v>543</v>
      </c>
      <c r="D37" s="108" t="s">
        <v>271</v>
      </c>
      <c r="E37" s="187" t="s">
        <v>272</v>
      </c>
      <c r="F37" s="188" t="s">
        <v>273</v>
      </c>
      <c r="G37" s="109" t="s">
        <v>274</v>
      </c>
      <c r="H37" s="109" t="s">
        <v>275</v>
      </c>
      <c r="I37" s="110"/>
      <c r="J37" s="162">
        <f>'543'!A4*1.7</f>
        <v>470.9</v>
      </c>
      <c r="K37" s="163">
        <f>'543'!A4*'543'!I1/1000</f>
        <v>102.49</v>
      </c>
      <c r="L37" s="112"/>
      <c r="M37" s="114">
        <v>1161</v>
      </c>
      <c r="N37" s="113">
        <f t="shared" si="48"/>
        <v>118990.89</v>
      </c>
      <c r="O37" s="110"/>
      <c r="P37" s="165">
        <f>'543'!M37</f>
        <v>36518.199999999997</v>
      </c>
      <c r="Q37" s="165">
        <f>'543'!N37</f>
        <v>8347.8375000000015</v>
      </c>
      <c r="R37" s="165">
        <f>'543'!O37</f>
        <v>2697.3250000000003</v>
      </c>
      <c r="S37" s="165">
        <f>'543'!I66</f>
        <v>12880</v>
      </c>
      <c r="T37" s="165">
        <f>'543'!I126</f>
        <v>37794.339999999997</v>
      </c>
      <c r="U37" s="165">
        <f>'543'!R37</f>
        <v>3963.6249999999995</v>
      </c>
      <c r="V37" s="165">
        <f>'543'!S37</f>
        <v>1390.8125</v>
      </c>
      <c r="W37" s="117">
        <f t="shared" si="28"/>
        <v>103592.13999999998</v>
      </c>
      <c r="X37" s="112"/>
      <c r="Y37" s="114">
        <f>'543'!I150</f>
        <v>0</v>
      </c>
      <c r="Z37" s="120">
        <v>1</v>
      </c>
      <c r="AA37" s="112" t="s">
        <v>157</v>
      </c>
      <c r="AB37" s="113">
        <f t="shared" si="65"/>
        <v>0</v>
      </c>
      <c r="AC37" s="117">
        <f t="shared" si="30"/>
        <v>103592.13999999998</v>
      </c>
      <c r="AD37" s="112"/>
      <c r="AE37" s="112" t="s">
        <v>157</v>
      </c>
      <c r="AF37" s="121"/>
      <c r="AG37" s="122">
        <f t="shared" si="66"/>
        <v>0</v>
      </c>
      <c r="AH37" s="117">
        <f t="shared" si="32"/>
        <v>103592.13999999998</v>
      </c>
      <c r="AI37" s="109">
        <v>520</v>
      </c>
      <c r="AJ37" s="114">
        <f>'543'!I172</f>
        <v>3253.6000000000004</v>
      </c>
      <c r="AK37" s="110"/>
      <c r="AL37" s="123"/>
      <c r="AM37" s="109">
        <f>'543'!I179</f>
        <v>500</v>
      </c>
      <c r="AN37" s="124">
        <f t="shared" si="33"/>
        <v>447.78</v>
      </c>
      <c r="AO37" s="109" t="s">
        <v>170</v>
      </c>
      <c r="AP37" s="125">
        <f t="shared" si="34"/>
        <v>328.58294000000001</v>
      </c>
      <c r="AQ37" s="126">
        <v>10</v>
      </c>
      <c r="AR37" s="127">
        <f t="shared" si="35"/>
        <v>1024.8999999999999</v>
      </c>
      <c r="AS37" s="128">
        <f t="shared" si="36"/>
        <v>2301.2629399999996</v>
      </c>
      <c r="AT37" s="129"/>
      <c r="AU37" s="130"/>
      <c r="AV37" s="126"/>
      <c r="AW37" s="126">
        <f t="shared" si="68"/>
        <v>375</v>
      </c>
      <c r="AX37" s="129"/>
      <c r="AY37" s="169">
        <f t="shared" si="49"/>
        <v>9.8000000000000007</v>
      </c>
      <c r="AZ37" s="132">
        <f t="shared" si="50"/>
        <v>11298.497600000001</v>
      </c>
      <c r="BA37" s="129"/>
      <c r="BB37" s="126"/>
      <c r="BC37" s="133">
        <f t="shared" ca="1" si="37"/>
        <v>0</v>
      </c>
      <c r="BD37" s="129"/>
      <c r="BE37" s="134">
        <f t="shared" si="38"/>
        <v>0.10906713192719064</v>
      </c>
      <c r="BF37" s="134">
        <f t="shared" si="39"/>
        <v>0.10906713192719064</v>
      </c>
      <c r="BG37" s="135">
        <f t="shared" si="40"/>
        <v>1.0107536345009267</v>
      </c>
      <c r="BH37" s="136">
        <f t="shared" si="41"/>
        <v>1.0107536345009267</v>
      </c>
      <c r="BI37" s="153"/>
      <c r="BJ37" s="126"/>
      <c r="BK37" s="129"/>
      <c r="BL37" s="138">
        <f t="shared" si="42"/>
        <v>0</v>
      </c>
      <c r="BM37" s="123">
        <f t="shared" si="43"/>
        <v>0</v>
      </c>
      <c r="BN37" s="139">
        <f t="shared" si="44"/>
        <v>0</v>
      </c>
      <c r="BQ37" s="170"/>
      <c r="BT37" s="143">
        <f t="shared" si="45"/>
        <v>0</v>
      </c>
      <c r="BW37" s="143"/>
      <c r="BX37" s="143">
        <f t="shared" ref="BX37:BX39" si="69">IF(AA44="non",0,1)</f>
        <v>0</v>
      </c>
      <c r="BY37" s="143">
        <f t="shared" ref="BY37:BY39" si="70">IF(AE44="non",0,1)</f>
        <v>0</v>
      </c>
      <c r="BZ37" s="129"/>
    </row>
    <row r="38" spans="1:78" ht="110" hidden="1">
      <c r="A38" s="105">
        <f t="shared" si="26"/>
        <v>38</v>
      </c>
      <c r="B38" s="189" t="s">
        <v>157</v>
      </c>
      <c r="C38" s="186">
        <f t="shared" si="27"/>
        <v>543</v>
      </c>
      <c r="D38" s="108" t="s">
        <v>271</v>
      </c>
      <c r="E38" s="187" t="s">
        <v>276</v>
      </c>
      <c r="F38" s="188" t="s">
        <v>273</v>
      </c>
      <c r="G38" s="109" t="s">
        <v>274</v>
      </c>
      <c r="H38" s="109" t="s">
        <v>275</v>
      </c>
      <c r="I38" s="110"/>
      <c r="J38" s="162">
        <f>'543_375_Max'!A4*1.7</f>
        <v>642.6</v>
      </c>
      <c r="K38" s="163">
        <f>'543_375_Max'!A4*'543_375_Max'!I1/1000</f>
        <v>141.75</v>
      </c>
      <c r="L38" s="112"/>
      <c r="M38" s="114">
        <v>1161</v>
      </c>
      <c r="N38" s="113">
        <f t="shared" si="48"/>
        <v>164571.75</v>
      </c>
      <c r="O38" s="110"/>
      <c r="P38" s="165">
        <f>'543_375_Max'!M37</f>
        <v>62155.009500000007</v>
      </c>
      <c r="Q38" s="165">
        <f>'543_375_Max'!N37</f>
        <v>11785.774999999998</v>
      </c>
      <c r="R38" s="165">
        <f>'543_375_Max'!O37</f>
        <v>3042.5450000000001</v>
      </c>
      <c r="S38" s="165">
        <f>'543_375_Max'!P37</f>
        <v>15080</v>
      </c>
      <c r="T38" s="165">
        <f>'543_375_Max'!Q37</f>
        <v>37794.339999999997</v>
      </c>
      <c r="U38" s="165">
        <f>'543_375_Max'!R37</f>
        <v>8146.4750000000004</v>
      </c>
      <c r="V38" s="165">
        <f>'543_375_Max'!S37</f>
        <v>1390.8125</v>
      </c>
      <c r="W38" s="117">
        <f t="shared" si="28"/>
        <v>139394.95699999999</v>
      </c>
      <c r="X38" s="112"/>
      <c r="Y38" s="114">
        <f>'543_375_Max'!I150</f>
        <v>0</v>
      </c>
      <c r="Z38" s="120">
        <v>1</v>
      </c>
      <c r="AA38" s="112" t="s">
        <v>157</v>
      </c>
      <c r="AB38" s="113">
        <f t="shared" si="65"/>
        <v>0</v>
      </c>
      <c r="AC38" s="117">
        <f t="shared" si="30"/>
        <v>139394.95699999999</v>
      </c>
      <c r="AD38" s="112"/>
      <c r="AE38" s="112" t="s">
        <v>157</v>
      </c>
      <c r="AF38" s="121"/>
      <c r="AG38" s="122">
        <f t="shared" si="66"/>
        <v>0</v>
      </c>
      <c r="AH38" s="117">
        <f t="shared" si="32"/>
        <v>139394.95699999999</v>
      </c>
      <c r="AI38" s="109">
        <v>520</v>
      </c>
      <c r="AJ38" s="114">
        <f>'543_375_Max'!I172</f>
        <v>4148.0612499999997</v>
      </c>
      <c r="AK38" s="110"/>
      <c r="AL38" s="123"/>
      <c r="AM38" s="109">
        <f>'543_375_Max'!I179</f>
        <v>500</v>
      </c>
      <c r="AN38" s="124">
        <f t="shared" si="33"/>
        <v>447.78</v>
      </c>
      <c r="AO38" s="109" t="s">
        <v>170</v>
      </c>
      <c r="AP38" s="125">
        <f t="shared" si="34"/>
        <v>454.45049999999998</v>
      </c>
      <c r="AQ38" s="126">
        <v>10</v>
      </c>
      <c r="AR38" s="127">
        <f t="shared" si="35"/>
        <v>1417.5</v>
      </c>
      <c r="AS38" s="128">
        <f t="shared" si="36"/>
        <v>2819.7304999999997</v>
      </c>
      <c r="AT38" s="129"/>
      <c r="AU38" s="130"/>
      <c r="AV38" s="126"/>
      <c r="AW38" s="126">
        <f t="shared" si="68"/>
        <v>375</v>
      </c>
      <c r="AX38" s="129"/>
      <c r="AY38" s="169">
        <f t="shared" si="49"/>
        <v>9.8000000000000007</v>
      </c>
      <c r="AZ38" s="132">
        <f>N38*AY38/100</f>
        <v>16128.031500000001</v>
      </c>
      <c r="BA38" s="129"/>
      <c r="BB38" s="126"/>
      <c r="BC38" s="133">
        <f t="shared" ca="1" si="37"/>
        <v>0</v>
      </c>
      <c r="BD38" s="129"/>
      <c r="BE38" s="134">
        <f t="shared" si="38"/>
        <v>0.11570025090649443</v>
      </c>
      <c r="BF38" s="134">
        <f t="shared" si="39"/>
        <v>0.11570025090649443</v>
      </c>
      <c r="BG38" s="135">
        <f t="shared" si="40"/>
        <v>0.98338594003527335</v>
      </c>
      <c r="BH38" s="136">
        <f t="shared" si="41"/>
        <v>0.98338594003527335</v>
      </c>
      <c r="BI38" s="153"/>
      <c r="BJ38" s="126"/>
      <c r="BK38" s="129"/>
      <c r="BL38" s="138">
        <f t="shared" si="42"/>
        <v>0</v>
      </c>
      <c r="BM38" s="123">
        <f t="shared" si="43"/>
        <v>0</v>
      </c>
      <c r="BN38" s="139">
        <f t="shared" si="44"/>
        <v>0</v>
      </c>
      <c r="BQ38" s="170"/>
      <c r="BT38" s="143">
        <f t="shared" si="45"/>
        <v>0</v>
      </c>
      <c r="BW38" s="143"/>
      <c r="BX38" s="143">
        <f t="shared" si="69"/>
        <v>0</v>
      </c>
      <c r="BY38" s="143">
        <f t="shared" si="70"/>
        <v>0</v>
      </c>
      <c r="BZ38" s="129"/>
    </row>
    <row r="39" spans="1:78" ht="94.25" hidden="1">
      <c r="A39" s="105">
        <f t="shared" si="26"/>
        <v>39</v>
      </c>
      <c r="B39" s="106" t="s">
        <v>157</v>
      </c>
      <c r="C39" s="186">
        <f t="shared" si="27"/>
        <v>543</v>
      </c>
      <c r="D39" s="108" t="s">
        <v>271</v>
      </c>
      <c r="E39" s="187" t="s">
        <v>277</v>
      </c>
      <c r="F39" s="188" t="s">
        <v>273</v>
      </c>
      <c r="G39" s="109" t="s">
        <v>274</v>
      </c>
      <c r="H39" s="109" t="s">
        <v>278</v>
      </c>
      <c r="I39" s="110"/>
      <c r="J39" s="162">
        <f>'543_99,9kW'!A4*1.7</f>
        <v>452.2</v>
      </c>
      <c r="K39" s="163">
        <f>'543_99,9kW'!A4*'543_99,9kW'!I1/1000</f>
        <v>99.75</v>
      </c>
      <c r="L39" s="112"/>
      <c r="M39" s="114">
        <v>1161</v>
      </c>
      <c r="N39" s="113">
        <f t="shared" si="48"/>
        <v>115809.75</v>
      </c>
      <c r="O39" s="110"/>
      <c r="P39" s="165">
        <f>'543_99,9kW'!M36</f>
        <v>54273.625</v>
      </c>
      <c r="Q39" s="165">
        <f>'543_99,9kW'!N36</f>
        <v>9008.7000000000007</v>
      </c>
      <c r="R39" s="165">
        <f>'543_99,9kW'!O36</f>
        <v>2948.2240000000002</v>
      </c>
      <c r="S39" s="165">
        <f>'543_99,9kW'!I65</f>
        <v>12880</v>
      </c>
      <c r="T39" s="165">
        <f>'543_99,9kW'!I126</f>
        <v>37794.339999999997</v>
      </c>
      <c r="U39" s="165">
        <f>'543_99,9kW'!R36</f>
        <v>4423.2875000000004</v>
      </c>
      <c r="V39" s="165">
        <f>'543_99,9kW'!S36</f>
        <v>1390.8125</v>
      </c>
      <c r="W39" s="117">
        <f t="shared" si="28"/>
        <v>122718.989</v>
      </c>
      <c r="X39" s="112"/>
      <c r="Y39" s="114">
        <f>'543_99,9kW'!I140</f>
        <v>0</v>
      </c>
      <c r="Z39" s="120">
        <v>1</v>
      </c>
      <c r="AA39" s="112" t="s">
        <v>157</v>
      </c>
      <c r="AB39" s="113">
        <f t="shared" si="65"/>
        <v>0</v>
      </c>
      <c r="AC39" s="117">
        <f t="shared" si="30"/>
        <v>122718.989</v>
      </c>
      <c r="AD39" s="112"/>
      <c r="AE39" s="112" t="s">
        <v>157</v>
      </c>
      <c r="AF39" s="121"/>
      <c r="AG39" s="122">
        <f t="shared" si="66"/>
        <v>0</v>
      </c>
      <c r="AH39" s="117">
        <f t="shared" si="32"/>
        <v>122718.989</v>
      </c>
      <c r="AI39" s="109">
        <v>520</v>
      </c>
      <c r="AJ39" s="114">
        <f>'543_99,9kW'!I161</f>
        <v>1300</v>
      </c>
      <c r="AK39" s="110"/>
      <c r="AL39" s="123"/>
      <c r="AM39" s="109">
        <f>'543_99,9kW'!I168</f>
        <v>500</v>
      </c>
      <c r="AN39" s="124">
        <f t="shared" si="33"/>
        <v>447.78</v>
      </c>
      <c r="AO39" s="109" t="s">
        <v>170</v>
      </c>
      <c r="AP39" s="125">
        <f t="shared" si="34"/>
        <v>0</v>
      </c>
      <c r="AQ39" s="126">
        <v>10</v>
      </c>
      <c r="AR39" s="127">
        <f t="shared" si="35"/>
        <v>997.5</v>
      </c>
      <c r="AS39" s="128">
        <f t="shared" si="36"/>
        <v>1945.28</v>
      </c>
      <c r="AT39" s="129"/>
      <c r="AU39" s="130"/>
      <c r="AV39" s="126"/>
      <c r="AW39" s="126">
        <f t="shared" si="68"/>
        <v>375</v>
      </c>
      <c r="AX39" s="129"/>
      <c r="AY39" s="169">
        <f t="shared" si="49"/>
        <v>9.4700000000000006</v>
      </c>
      <c r="AZ39" s="132">
        <f t="shared" ref="AZ39:AZ48" si="71">IF(K39&lt;=$CG$6,IF(M39&lt;=$CE$6,M39*$CD$6,$CE$6*$CD$6+(M39-$CE$6)*$CF$6),IF(K39&lt;=$CG$7,IF(M39&lt;=$CE$7,M39*$CD$7,$CE$7*$CD$7+(M39-$CE$7)*$CF$7),IF(K39&lt;=$CG$8,IF(M39&lt;=$CE$8,M39*$CD$8,$CE$8*$CD$8+(M39-$CE$8)*$CF$8),IF(K39&lt;=$CG$9,IF(M39&lt;=$CE$9,M39*$CD$9,$CE$9*$CD$9+(M39-$CE$9)*$CF$9),IF(K39&lt;=$CG$10,IF(M39&lt;=$CE$10,M39*$CD$10,$CE$10*$CD$10+(M39-$CE$10)*$CF$10),0)))))*K39/100</f>
        <v>10967.183325</v>
      </c>
      <c r="BA39" s="129"/>
      <c r="BB39" s="126"/>
      <c r="BC39" s="133">
        <f t="shared" ca="1" si="37"/>
        <v>0</v>
      </c>
      <c r="BD39" s="129"/>
      <c r="BE39" s="134">
        <f t="shared" si="38"/>
        <v>8.9368266593200171E-2</v>
      </c>
      <c r="BF39" s="134">
        <f t="shared" si="39"/>
        <v>8.9368266593200171E-2</v>
      </c>
      <c r="BG39" s="135">
        <f t="shared" si="40"/>
        <v>1.2302655538847118</v>
      </c>
      <c r="BH39" s="136">
        <f t="shared" si="41"/>
        <v>1.2302655538847118</v>
      </c>
      <c r="BI39" s="153"/>
      <c r="BJ39" s="126"/>
      <c r="BK39" s="129"/>
      <c r="BL39" s="138">
        <f t="shared" si="42"/>
        <v>0</v>
      </c>
      <c r="BM39" s="123">
        <f t="shared" si="43"/>
        <v>0</v>
      </c>
      <c r="BN39" s="139">
        <f t="shared" si="44"/>
        <v>0</v>
      </c>
      <c r="BQ39" s="170"/>
      <c r="BT39" s="143">
        <f t="shared" si="45"/>
        <v>0</v>
      </c>
      <c r="BW39" s="143"/>
      <c r="BX39" s="143">
        <f t="shared" si="69"/>
        <v>0</v>
      </c>
      <c r="BY39" s="143">
        <f t="shared" si="70"/>
        <v>0</v>
      </c>
      <c r="BZ39" s="129"/>
    </row>
    <row r="40" spans="1:78" ht="94.25">
      <c r="A40" s="177">
        <f t="shared" si="26"/>
        <v>40</v>
      </c>
      <c r="B40" s="189" t="s">
        <v>183</v>
      </c>
      <c r="C40" s="190">
        <f t="shared" si="27"/>
        <v>543</v>
      </c>
      <c r="D40" s="108" t="s">
        <v>271</v>
      </c>
      <c r="E40" s="109" t="s">
        <v>279</v>
      </c>
      <c r="F40" s="188" t="s">
        <v>273</v>
      </c>
      <c r="G40" s="109" t="s">
        <v>274</v>
      </c>
      <c r="H40" s="109" t="s">
        <v>278</v>
      </c>
      <c r="I40" s="110"/>
      <c r="J40" s="162">
        <f>'543_390_Max'!A4*1.837*1.044</f>
        <v>705.76070400000003</v>
      </c>
      <c r="K40" s="163">
        <f>'543_390_Max'!A4*'543_390_Max'!I1/1000</f>
        <v>143.52000000000001</v>
      </c>
      <c r="L40" s="112">
        <v>125</v>
      </c>
      <c r="M40" s="114">
        <v>1209</v>
      </c>
      <c r="N40" s="113">
        <f t="shared" si="48"/>
        <v>173515.68000000002</v>
      </c>
      <c r="O40" s="110"/>
      <c r="P40" s="165">
        <f>'543_390_Max'!M43</f>
        <v>78856.225000000006</v>
      </c>
      <c r="Q40" s="165">
        <f>'543_390_Max'!N43</f>
        <v>10045.375</v>
      </c>
      <c r="R40" s="165">
        <f>'543_390_Max'!O43</f>
        <v>6088.4958200000001</v>
      </c>
      <c r="S40" s="165">
        <f>'543_390_Max'!P43</f>
        <v>18160</v>
      </c>
      <c r="T40" s="165">
        <f>'543_390_Max'!Q43</f>
        <v>25250.04</v>
      </c>
      <c r="U40" s="165">
        <f>'543_390_Max'!R43</f>
        <v>4885.25</v>
      </c>
      <c r="V40" s="165">
        <f>'543_390_Max'!S43</f>
        <v>1390.8125</v>
      </c>
      <c r="W40" s="117">
        <f t="shared" si="28"/>
        <v>144676.19832</v>
      </c>
      <c r="X40" s="112"/>
      <c r="Y40" s="114"/>
      <c r="Z40" s="120"/>
      <c r="AA40" s="112"/>
      <c r="AB40" s="113">
        <f t="shared" si="65"/>
        <v>0</v>
      </c>
      <c r="AC40" s="117">
        <f t="shared" si="30"/>
        <v>144676.19832</v>
      </c>
      <c r="AD40" s="112"/>
      <c r="AE40" s="112"/>
      <c r="AF40" s="121"/>
      <c r="AG40" s="122">
        <f t="shared" si="66"/>
        <v>0</v>
      </c>
      <c r="AH40" s="117">
        <f t="shared" si="32"/>
        <v>144676.19832</v>
      </c>
      <c r="AI40" s="109">
        <v>520</v>
      </c>
      <c r="AJ40" s="114">
        <f>'543_390_Max'!I183</f>
        <v>5448.0612500000007</v>
      </c>
      <c r="AK40" s="110"/>
      <c r="AL40" s="123"/>
      <c r="AM40" s="109">
        <f>'543_390_Max'!I190</f>
        <v>500</v>
      </c>
      <c r="AN40" s="124">
        <f t="shared" si="33"/>
        <v>447.78</v>
      </c>
      <c r="AO40" s="109" t="s">
        <v>170</v>
      </c>
      <c r="AP40" s="125">
        <f t="shared" si="34"/>
        <v>460.12512000000004</v>
      </c>
      <c r="AQ40" s="126">
        <v>19.5</v>
      </c>
      <c r="AR40" s="127">
        <f t="shared" si="35"/>
        <v>2798.6400000000003</v>
      </c>
      <c r="AS40" s="128">
        <f t="shared" si="36"/>
        <v>4206.5451200000007</v>
      </c>
      <c r="AT40" s="175"/>
      <c r="AU40" s="130"/>
      <c r="AV40" s="126"/>
      <c r="AW40" s="126">
        <f t="shared" si="68"/>
        <v>375</v>
      </c>
      <c r="AX40" s="175"/>
      <c r="AY40" s="169">
        <f t="shared" si="49"/>
        <v>9.8000000000000007</v>
      </c>
      <c r="AZ40" s="132">
        <f t="shared" si="71"/>
        <v>16097.2032</v>
      </c>
      <c r="BA40" s="175"/>
      <c r="BB40" s="126"/>
      <c r="BC40" s="133">
        <f t="shared" ca="1" si="37"/>
        <v>0</v>
      </c>
      <c r="BD40" s="175"/>
      <c r="BE40" s="134">
        <f t="shared" si="38"/>
        <v>0.11126365903253574</v>
      </c>
      <c r="BF40" s="134">
        <f t="shared" si="39"/>
        <v>0.11126365903253574</v>
      </c>
      <c r="BG40" s="135">
        <f t="shared" si="40"/>
        <v>1.008056008361204</v>
      </c>
      <c r="BH40" s="136">
        <f>IF(K40&lt;&gt;0,(AH40+AI40+AJ40)/(K40*1000)," ")</f>
        <v>1.049639489757525</v>
      </c>
      <c r="BI40" s="176"/>
      <c r="BJ40" s="126"/>
      <c r="BK40" s="129"/>
      <c r="BL40" s="138"/>
      <c r="BM40" s="123"/>
      <c r="BN40" s="139"/>
      <c r="BQ40" s="170"/>
      <c r="BT40" s="143"/>
      <c r="BW40" s="143"/>
      <c r="BX40" s="143"/>
      <c r="BY40" s="143"/>
      <c r="BZ40" s="129"/>
    </row>
    <row r="41" spans="1:78" ht="94.25" hidden="1">
      <c r="A41" s="177">
        <f t="shared" si="26"/>
        <v>41</v>
      </c>
      <c r="B41" s="189" t="s">
        <v>157</v>
      </c>
      <c r="C41" s="186">
        <f t="shared" si="27"/>
        <v>543</v>
      </c>
      <c r="D41" s="108" t="s">
        <v>271</v>
      </c>
      <c r="E41" s="187" t="s">
        <v>280</v>
      </c>
      <c r="F41" s="188" t="s">
        <v>273</v>
      </c>
      <c r="G41" s="109" t="s">
        <v>274</v>
      </c>
      <c r="H41" s="109" t="s">
        <v>278</v>
      </c>
      <c r="I41" s="110"/>
      <c r="J41" s="162">
        <f>'543 DS405 SMA'!A4*1.173*1.15</f>
        <v>522.04364999999996</v>
      </c>
      <c r="K41" s="163">
        <f>'543 DS405 SMA'!A4*'543 DS405 SMA'!I1/1000</f>
        <v>156.73500000000001</v>
      </c>
      <c r="L41" s="112">
        <f t="shared" si="57"/>
        <v>156.73500000000001</v>
      </c>
      <c r="M41" s="114">
        <v>1161</v>
      </c>
      <c r="N41" s="113">
        <f t="shared" si="48"/>
        <v>181969.33500000002</v>
      </c>
      <c r="O41" s="110"/>
      <c r="P41" s="165">
        <f>'543 DS405 SMA'!M36</f>
        <v>78679.557499999995</v>
      </c>
      <c r="Q41" s="165">
        <f>'543 DS405 SMA'!N36</f>
        <v>18697.5</v>
      </c>
      <c r="R41" s="165">
        <f>'543 DS405 SMA'!O36</f>
        <v>3609.8299999999995</v>
      </c>
      <c r="S41" s="165">
        <f>'543 DS405 SMA'!P36</f>
        <v>15520</v>
      </c>
      <c r="T41" s="165">
        <f>'543 DS405 SMA'!Q36</f>
        <v>37794.339999999997</v>
      </c>
      <c r="U41" s="165">
        <f>'543 DS405 SMA'!R36</f>
        <v>9152.5625</v>
      </c>
      <c r="V41" s="165">
        <f>'543 DS405 SMA'!S36</f>
        <v>1390.8125</v>
      </c>
      <c r="W41" s="117">
        <f t="shared" si="28"/>
        <v>164844.60249999998</v>
      </c>
      <c r="X41" s="112"/>
      <c r="Y41" s="114"/>
      <c r="Z41" s="120"/>
      <c r="AA41" s="112"/>
      <c r="AB41" s="113">
        <f t="shared" si="65"/>
        <v>0</v>
      </c>
      <c r="AC41" s="117">
        <f t="shared" si="30"/>
        <v>164844.60249999998</v>
      </c>
      <c r="AD41" s="112"/>
      <c r="AE41" s="112"/>
      <c r="AF41" s="121"/>
      <c r="AG41" s="122">
        <f t="shared" si="66"/>
        <v>0</v>
      </c>
      <c r="AH41" s="117">
        <f t="shared" si="32"/>
        <v>164844.60249999998</v>
      </c>
      <c r="AI41" s="109">
        <v>520</v>
      </c>
      <c r="AJ41" s="114">
        <f>'543 DS405 SMA'!I171</f>
        <v>5448.0612500000007</v>
      </c>
      <c r="AK41" s="191"/>
      <c r="AL41" s="123"/>
      <c r="AM41" s="109">
        <f>'543 DS405 SMA'!I178</f>
        <v>500</v>
      </c>
      <c r="AN41" s="124">
        <f t="shared" si="33"/>
        <v>447.78</v>
      </c>
      <c r="AO41" s="109" t="s">
        <v>170</v>
      </c>
      <c r="AP41" s="125">
        <f t="shared" si="34"/>
        <v>502.49241000000006</v>
      </c>
      <c r="AQ41" s="126">
        <v>10</v>
      </c>
      <c r="AR41" s="127">
        <f t="shared" si="35"/>
        <v>1567.3500000000001</v>
      </c>
      <c r="AS41" s="128">
        <f t="shared" si="36"/>
        <v>3017.6224099999999</v>
      </c>
      <c r="AT41" s="175"/>
      <c r="AU41" s="130"/>
      <c r="AV41" s="126"/>
      <c r="AW41" s="126">
        <f t="shared" si="68"/>
        <v>375</v>
      </c>
      <c r="AX41" s="175"/>
      <c r="AY41" s="169">
        <f t="shared" si="49"/>
        <v>9.8000000000000007</v>
      </c>
      <c r="AZ41" s="132">
        <f t="shared" si="71"/>
        <v>17278.466400000001</v>
      </c>
      <c r="BA41" s="175"/>
      <c r="BB41" s="126"/>
      <c r="BC41" s="133">
        <f t="shared" ca="1" si="37"/>
        <v>0</v>
      </c>
      <c r="BD41" s="175"/>
      <c r="BE41" s="134">
        <f t="shared" si="38"/>
        <v>0.1048166948626662</v>
      </c>
      <c r="BF41" s="134">
        <f t="shared" si="39"/>
        <v>0.1048166948626662</v>
      </c>
      <c r="BG41" s="135">
        <f t="shared" si="40"/>
        <v>1.0517408523941683</v>
      </c>
      <c r="BH41" s="136">
        <f t="shared" si="41"/>
        <v>1.0517408523941683</v>
      </c>
      <c r="BI41" s="176"/>
      <c r="BJ41" s="126"/>
      <c r="BK41" s="129"/>
      <c r="BL41" s="138"/>
      <c r="BM41" s="123"/>
      <c r="BN41" s="139"/>
      <c r="BQ41" s="170"/>
      <c r="BT41" s="143"/>
      <c r="BW41" s="143"/>
      <c r="BX41" s="143"/>
      <c r="BY41" s="143"/>
      <c r="BZ41" s="129"/>
    </row>
    <row r="42" spans="1:78" ht="94.25" hidden="1">
      <c r="A42" s="177">
        <f t="shared" si="26"/>
        <v>42</v>
      </c>
      <c r="B42" s="189" t="s">
        <v>157</v>
      </c>
      <c r="C42" s="192">
        <f t="shared" si="27"/>
        <v>543</v>
      </c>
      <c r="D42" s="108" t="s">
        <v>271</v>
      </c>
      <c r="E42" s="187" t="s">
        <v>281</v>
      </c>
      <c r="F42" s="188" t="s">
        <v>273</v>
      </c>
      <c r="G42" s="109" t="s">
        <v>274</v>
      </c>
      <c r="H42" s="109" t="s">
        <v>278</v>
      </c>
      <c r="I42" s="178"/>
      <c r="J42" s="162">
        <f>'543 DS405 FRON'!A4*1.173*1.15</f>
        <v>520.69470000000001</v>
      </c>
      <c r="K42" s="163">
        <f>'543 DS405 FRON'!A4*'543 DS405 FRON'!I1/1000</f>
        <v>156.33000000000001</v>
      </c>
      <c r="L42" s="112">
        <f t="shared" ref="L42:L43" si="72">150</f>
        <v>150</v>
      </c>
      <c r="M42" s="114">
        <v>1256</v>
      </c>
      <c r="N42" s="113">
        <f t="shared" si="48"/>
        <v>196350.48</v>
      </c>
      <c r="O42" s="178"/>
      <c r="P42" s="165">
        <f>'543 DS405 FRON'!M45</f>
        <v>79046.574999999997</v>
      </c>
      <c r="Q42" s="165">
        <f>'543 DS405 FRON'!N45</f>
        <v>10066.387500000001</v>
      </c>
      <c r="R42" s="165">
        <f>'543 DS405 FRON'!O45</f>
        <v>5306.8793900000001</v>
      </c>
      <c r="S42" s="165">
        <f>'543 DS405 FRON'!P45</f>
        <v>19480</v>
      </c>
      <c r="T42" s="165">
        <f>'543 DS405 FRON'!Q45</f>
        <v>37794.339999999997</v>
      </c>
      <c r="U42" s="165">
        <f>'543 DS405 FRON'!R45</f>
        <v>8338.7375000000011</v>
      </c>
      <c r="V42" s="165">
        <f>'543 DS405 FRON'!S45</f>
        <v>1390.8125</v>
      </c>
      <c r="W42" s="117">
        <f t="shared" si="28"/>
        <v>161423.73189</v>
      </c>
      <c r="X42" s="112"/>
      <c r="Y42" s="114"/>
      <c r="Z42" s="120"/>
      <c r="AA42" s="112"/>
      <c r="AB42" s="113">
        <f t="shared" si="65"/>
        <v>0</v>
      </c>
      <c r="AC42" s="117">
        <f t="shared" si="30"/>
        <v>161423.73189</v>
      </c>
      <c r="AD42" s="112"/>
      <c r="AE42" s="112"/>
      <c r="AF42" s="121"/>
      <c r="AG42" s="122">
        <f t="shared" si="66"/>
        <v>0</v>
      </c>
      <c r="AH42" s="117">
        <f t="shared" si="32"/>
        <v>161423.73189</v>
      </c>
      <c r="AI42" s="109">
        <v>520</v>
      </c>
      <c r="AJ42" s="114">
        <f>'543 DS405 FRON'!I188</f>
        <v>5448.0612500000007</v>
      </c>
      <c r="AK42" s="178"/>
      <c r="AL42" s="123"/>
      <c r="AM42" s="109">
        <f>'543 DS405 FRON'!I195</f>
        <v>500</v>
      </c>
      <c r="AN42" s="124">
        <f t="shared" si="33"/>
        <v>447.78</v>
      </c>
      <c r="AO42" s="109" t="s">
        <v>170</v>
      </c>
      <c r="AP42" s="125">
        <f t="shared" si="34"/>
        <v>501.19398000000001</v>
      </c>
      <c r="AQ42" s="126">
        <v>19.5</v>
      </c>
      <c r="AR42" s="127">
        <f t="shared" si="35"/>
        <v>3048.4350000000004</v>
      </c>
      <c r="AS42" s="128">
        <f t="shared" si="36"/>
        <v>4497.4089800000002</v>
      </c>
      <c r="AT42" s="175"/>
      <c r="AU42" s="130"/>
      <c r="AV42" s="126"/>
      <c r="AW42" s="126">
        <f t="shared" si="68"/>
        <v>375</v>
      </c>
      <c r="AX42" s="175"/>
      <c r="AY42" s="169">
        <f t="shared" si="49"/>
        <v>9.8000000000000007</v>
      </c>
      <c r="AZ42" s="132">
        <f t="shared" si="71"/>
        <v>17827.873200000002</v>
      </c>
      <c r="BA42" s="175"/>
      <c r="BB42" s="126"/>
      <c r="BC42" s="133">
        <f t="shared" ca="1" si="37"/>
        <v>0</v>
      </c>
      <c r="BD42" s="175"/>
      <c r="BE42" s="134">
        <f t="shared" si="38"/>
        <v>0.11044146353987506</v>
      </c>
      <c r="BF42" s="134">
        <f t="shared" si="39"/>
        <v>0.11044146353987506</v>
      </c>
      <c r="BG42" s="135">
        <f t="shared" si="40"/>
        <v>1.0325832014968337</v>
      </c>
      <c r="BH42" s="136">
        <f t="shared" si="41"/>
        <v>1.0325832014968337</v>
      </c>
      <c r="BI42" s="176"/>
      <c r="BJ42" s="126"/>
      <c r="BK42" s="175"/>
      <c r="BL42" s="138"/>
      <c r="BM42" s="123"/>
      <c r="BN42" s="139"/>
      <c r="BO42" s="193"/>
      <c r="BQ42" s="170"/>
      <c r="BS42" s="194"/>
      <c r="BT42" s="143"/>
      <c r="BU42" s="193"/>
      <c r="BV42" s="194"/>
      <c r="BW42" s="143"/>
      <c r="BX42" s="143"/>
      <c r="BY42" s="143"/>
      <c r="BZ42" s="195"/>
    </row>
    <row r="43" spans="1:78" ht="94.25" hidden="1">
      <c r="A43" s="177">
        <f t="shared" si="26"/>
        <v>43</v>
      </c>
      <c r="B43" s="189" t="s">
        <v>157</v>
      </c>
      <c r="C43" s="190">
        <f t="shared" si="27"/>
        <v>543</v>
      </c>
      <c r="D43" s="108" t="s">
        <v>271</v>
      </c>
      <c r="E43" s="109" t="s">
        <v>282</v>
      </c>
      <c r="F43" s="188" t="s">
        <v>273</v>
      </c>
      <c r="G43" s="109" t="s">
        <v>274</v>
      </c>
      <c r="H43" s="109" t="s">
        <v>278</v>
      </c>
      <c r="I43" s="110"/>
      <c r="J43" s="162">
        <f>'543 DS405 FRON sans BJ'!A4*1.173*1.15</f>
        <v>520.69470000000001</v>
      </c>
      <c r="K43" s="163">
        <f>'543 DS405 FRON sans BJ'!A4*'543 DS405 FRON sans BJ'!I1/1000</f>
        <v>156.33000000000001</v>
      </c>
      <c r="L43" s="112">
        <f t="shared" si="72"/>
        <v>150</v>
      </c>
      <c r="M43" s="114">
        <v>1256</v>
      </c>
      <c r="N43" s="113">
        <f t="shared" si="48"/>
        <v>196350.48</v>
      </c>
      <c r="O43" s="110"/>
      <c r="P43" s="165">
        <f>'543 DS405 FRON sans BJ'!M46</f>
        <v>79046.574999999997</v>
      </c>
      <c r="Q43" s="165">
        <f>'543 DS405 FRON sans BJ'!N46</f>
        <v>10946.45</v>
      </c>
      <c r="R43" s="165">
        <f>'543 DS405 FRON sans BJ'!O46</f>
        <v>4280.3939191666668</v>
      </c>
      <c r="S43" s="165">
        <f>'543 DS405 FRON sans BJ'!P46</f>
        <v>18160</v>
      </c>
      <c r="T43" s="165">
        <f>'543 DS405 FRON sans BJ'!Q46</f>
        <v>37794.339999999997</v>
      </c>
      <c r="U43" s="165">
        <f>'543 DS405 FRON sans BJ'!R46</f>
        <v>7260.2625000000007</v>
      </c>
      <c r="V43" s="165">
        <f>'543 DS405 FRON sans BJ'!S46</f>
        <v>1390.8125</v>
      </c>
      <c r="W43" s="117">
        <f t="shared" si="28"/>
        <v>158878.83391916667</v>
      </c>
      <c r="X43" s="112"/>
      <c r="Y43" s="114"/>
      <c r="Z43" s="120"/>
      <c r="AA43" s="112"/>
      <c r="AB43" s="113">
        <f t="shared" si="65"/>
        <v>0</v>
      </c>
      <c r="AC43" s="117">
        <f t="shared" si="30"/>
        <v>158878.83391916667</v>
      </c>
      <c r="AD43" s="112"/>
      <c r="AE43" s="112"/>
      <c r="AF43" s="121"/>
      <c r="AG43" s="122">
        <f t="shared" si="66"/>
        <v>0</v>
      </c>
      <c r="AH43" s="117">
        <f t="shared" si="32"/>
        <v>158878.83391916667</v>
      </c>
      <c r="AI43" s="109">
        <v>520</v>
      </c>
      <c r="AJ43" s="114">
        <f>'543 DS405 FRON sans BJ'!I189</f>
        <v>5448.0612500000007</v>
      </c>
      <c r="AK43" s="110"/>
      <c r="AL43" s="123"/>
      <c r="AM43" s="109">
        <f>'543 DS405 FRON sans BJ'!I196</f>
        <v>500</v>
      </c>
      <c r="AN43" s="124">
        <f t="shared" si="33"/>
        <v>447.78</v>
      </c>
      <c r="AO43" s="109" t="s">
        <v>170</v>
      </c>
      <c r="AP43" s="125">
        <f t="shared" si="34"/>
        <v>501.19398000000001</v>
      </c>
      <c r="AQ43" s="126">
        <v>19.5</v>
      </c>
      <c r="AR43" s="127">
        <f t="shared" si="35"/>
        <v>3048.4350000000004</v>
      </c>
      <c r="AS43" s="128">
        <f t="shared" si="36"/>
        <v>4497.4089800000002</v>
      </c>
      <c r="AT43" s="129"/>
      <c r="AU43" s="130"/>
      <c r="AV43" s="126"/>
      <c r="AW43" s="126">
        <f t="shared" si="68"/>
        <v>375</v>
      </c>
      <c r="AX43" s="129"/>
      <c r="AY43" s="169">
        <f t="shared" si="49"/>
        <v>9.8000000000000007</v>
      </c>
      <c r="AZ43" s="132">
        <f t="shared" si="71"/>
        <v>17827.873200000002</v>
      </c>
      <c r="BA43" s="129"/>
      <c r="BB43" s="126"/>
      <c r="BC43" s="133">
        <f t="shared" ca="1" si="37"/>
        <v>0</v>
      </c>
      <c r="BD43" s="175"/>
      <c r="BE43" s="134">
        <f t="shared" si="38"/>
        <v>0.11221049878217479</v>
      </c>
      <c r="BF43" s="134">
        <f t="shared" si="39"/>
        <v>0.11221049878217479</v>
      </c>
      <c r="BG43" s="135">
        <f t="shared" si="40"/>
        <v>1.0163041893377258</v>
      </c>
      <c r="BH43" s="136">
        <f t="shared" si="41"/>
        <v>1.0163041893377258</v>
      </c>
      <c r="BI43" s="176"/>
      <c r="BJ43" s="126"/>
      <c r="BK43" s="129"/>
      <c r="BL43" s="138"/>
      <c r="BM43" s="123"/>
      <c r="BN43" s="139"/>
      <c r="BQ43" s="170"/>
      <c r="BT43" s="143"/>
      <c r="BW43" s="143"/>
      <c r="BX43" s="143"/>
      <c r="BY43" s="143"/>
      <c r="BZ43" s="129"/>
    </row>
    <row r="44" spans="1:78" ht="78.55" hidden="1">
      <c r="A44" s="105">
        <f t="shared" si="26"/>
        <v>44</v>
      </c>
      <c r="B44" s="106" t="s">
        <v>157</v>
      </c>
      <c r="C44" s="106">
        <f t="shared" si="27"/>
        <v>546</v>
      </c>
      <c r="D44" s="108" t="s">
        <v>283</v>
      </c>
      <c r="E44" s="109" t="s">
        <v>284</v>
      </c>
      <c r="F44" s="109"/>
      <c r="G44" s="109" t="s">
        <v>285</v>
      </c>
      <c r="H44" s="109" t="s">
        <v>286</v>
      </c>
      <c r="I44" s="110"/>
      <c r="J44" s="162">
        <f>'546'!A4*1.7</f>
        <v>137.69999999999999</v>
      </c>
      <c r="K44" s="163">
        <f>'546'!A4*'546'!I1/1000</f>
        <v>30.375</v>
      </c>
      <c r="L44" s="112"/>
      <c r="M44" s="114">
        <v>1103</v>
      </c>
      <c r="N44" s="113">
        <f t="shared" si="48"/>
        <v>33503.625</v>
      </c>
      <c r="O44" s="110"/>
      <c r="P44" s="165">
        <f>'546'!M35</f>
        <v>14271.849999999999</v>
      </c>
      <c r="Q44" s="165">
        <f>'546'!N35</f>
        <v>4218.8619575146504</v>
      </c>
      <c r="R44" s="165">
        <f>'546'!O35</f>
        <v>669.44437500000004</v>
      </c>
      <c r="S44" s="165">
        <f>'546'!P64</f>
        <v>5280</v>
      </c>
      <c r="T44" s="165">
        <f>'546'!Q86</f>
        <v>1085.3999999999999</v>
      </c>
      <c r="U44" s="165">
        <f>'546'!R35</f>
        <v>2570.8375000000001</v>
      </c>
      <c r="V44" s="165">
        <f>'546'!S35</f>
        <v>1155.6875</v>
      </c>
      <c r="W44" s="117">
        <f t="shared" si="28"/>
        <v>29252.081332514652</v>
      </c>
      <c r="X44" s="112"/>
      <c r="Y44" s="114">
        <f>'546'!I110</f>
        <v>0</v>
      </c>
      <c r="Z44" s="120">
        <v>1</v>
      </c>
      <c r="AA44" s="112" t="s">
        <v>157</v>
      </c>
      <c r="AB44" s="113">
        <f t="shared" ref="AB44:AB46" si="73">Z44*Y44+(1-Z44)*Y44*BX37</f>
        <v>0</v>
      </c>
      <c r="AC44" s="117">
        <f t="shared" si="30"/>
        <v>29252.081332514652</v>
      </c>
      <c r="AD44" s="112"/>
      <c r="AE44" s="112" t="s">
        <v>157</v>
      </c>
      <c r="AF44" s="121"/>
      <c r="AG44" s="122">
        <f t="shared" ref="AG44:AG46" si="74">IF(AF44="",0,MIN(AF44,20*K44*AQ44)*BY37)</f>
        <v>0</v>
      </c>
      <c r="AH44" s="117">
        <f t="shared" si="32"/>
        <v>29252.081332514652</v>
      </c>
      <c r="AI44" s="109">
        <v>520</v>
      </c>
      <c r="AJ44" s="114">
        <f>'546'!I131</f>
        <v>2432.1279166666673</v>
      </c>
      <c r="AK44" s="110"/>
      <c r="AL44" s="123"/>
      <c r="AM44" s="109">
        <f>'546'!I138</f>
        <v>250</v>
      </c>
      <c r="AN44" s="124">
        <f t="shared" si="33"/>
        <v>35.06</v>
      </c>
      <c r="AO44" s="109" t="s">
        <v>163</v>
      </c>
      <c r="AP44" s="125">
        <f t="shared" si="34"/>
        <v>0</v>
      </c>
      <c r="AQ44" s="126">
        <v>7.5</v>
      </c>
      <c r="AR44" s="127">
        <f t="shared" si="35"/>
        <v>227.8125</v>
      </c>
      <c r="AS44" s="128">
        <f t="shared" si="36"/>
        <v>512.87249999999995</v>
      </c>
      <c r="AT44" s="129"/>
      <c r="AU44" s="130"/>
      <c r="AV44" s="126"/>
      <c r="AW44" s="126">
        <f t="shared" si="68"/>
        <v>375</v>
      </c>
      <c r="AX44" s="129"/>
      <c r="AY44" s="169">
        <f t="shared" si="49"/>
        <v>10.89</v>
      </c>
      <c r="AZ44" s="132">
        <f t="shared" si="71"/>
        <v>3648.5447625000002</v>
      </c>
      <c r="BA44" s="129"/>
      <c r="BB44" s="126"/>
      <c r="BC44" s="133">
        <f t="shared" ca="1" si="37"/>
        <v>0</v>
      </c>
      <c r="BD44" s="129"/>
      <c r="BE44" s="134">
        <f t="shared" si="38"/>
        <v>0.12472769786963919</v>
      </c>
      <c r="BF44" s="134">
        <f t="shared" si="39"/>
        <v>0.12472769786963919</v>
      </c>
      <c r="BG44" s="135">
        <f t="shared" si="40"/>
        <v>0.96303148419801321</v>
      </c>
      <c r="BH44" s="136">
        <f t="shared" si="41"/>
        <v>0.96303148419801321</v>
      </c>
      <c r="BI44" s="153"/>
      <c r="BJ44" s="126">
        <f>'546'!I145</f>
        <v>4000</v>
      </c>
      <c r="BK44" s="129"/>
      <c r="BL44" s="138">
        <f t="shared" si="42"/>
        <v>0</v>
      </c>
      <c r="BM44" s="123">
        <f t="shared" si="43"/>
        <v>0</v>
      </c>
      <c r="BN44" s="139">
        <f t="shared" si="44"/>
        <v>0</v>
      </c>
      <c r="BQ44" s="170"/>
      <c r="BT44" s="143">
        <f t="shared" si="45"/>
        <v>0</v>
      </c>
      <c r="BW44" s="143"/>
      <c r="BX44" s="143">
        <f>IF(AA47="non",0,1)</f>
        <v>0</v>
      </c>
      <c r="BY44" s="143">
        <f>IF(AE47="non",0,1)</f>
        <v>0</v>
      </c>
      <c r="BZ44" s="129"/>
    </row>
    <row r="45" spans="1:78" ht="60.25" hidden="1">
      <c r="A45" s="105">
        <f t="shared" si="26"/>
        <v>45</v>
      </c>
      <c r="B45" s="106" t="s">
        <v>157</v>
      </c>
      <c r="C45" s="106">
        <f t="shared" si="27"/>
        <v>550</v>
      </c>
      <c r="D45" s="108" t="s">
        <v>287</v>
      </c>
      <c r="E45" s="109" t="s">
        <v>288</v>
      </c>
      <c r="F45" s="109" t="s">
        <v>289</v>
      </c>
      <c r="G45" s="109" t="s">
        <v>290</v>
      </c>
      <c r="H45" s="109" t="s">
        <v>291</v>
      </c>
      <c r="I45" s="110"/>
      <c r="J45" s="196">
        <f t="shared" ref="J45:J88" si="75">K45*1000/310*(1.675+0.025)*(0.997+0.025)</f>
        <v>311.05064516129033</v>
      </c>
      <c r="K45" s="163">
        <f>'550_Max_ISB'!L1/1000</f>
        <v>55.5</v>
      </c>
      <c r="L45" s="112">
        <v>42</v>
      </c>
      <c r="M45" s="114">
        <v>1164</v>
      </c>
      <c r="N45" s="113">
        <f t="shared" si="48"/>
        <v>64602</v>
      </c>
      <c r="O45" s="110"/>
      <c r="P45" s="165">
        <f>'550_Max_ISB'!M36</f>
        <v>20224.775000000001</v>
      </c>
      <c r="Q45" s="165">
        <f>'550_Max_ISB'!N36</f>
        <v>5415.625</v>
      </c>
      <c r="R45" s="165">
        <f>'550_Max_ISB'!O36</f>
        <v>1306.7218750000002</v>
      </c>
      <c r="S45" s="165">
        <f>'550_Max_ISB'!P36</f>
        <v>11880</v>
      </c>
      <c r="T45" s="165">
        <f>'550_Max_ISB'!Q36</f>
        <v>0</v>
      </c>
      <c r="U45" s="165">
        <f>'550_Max_ISB'!R36</f>
        <v>3054.15</v>
      </c>
      <c r="V45" s="165">
        <f>'550_Max_ISB'!S36</f>
        <v>1155.6875</v>
      </c>
      <c r="W45" s="117">
        <f t="shared" si="28"/>
        <v>43036.959374999999</v>
      </c>
      <c r="X45" s="112" t="s">
        <v>292</v>
      </c>
      <c r="Y45" s="114">
        <f>'550_Max_ISB'!I153</f>
        <v>35277.491779343633</v>
      </c>
      <c r="Z45" s="120">
        <v>1</v>
      </c>
      <c r="AA45" s="112" t="s">
        <v>157</v>
      </c>
      <c r="AB45" s="113">
        <f t="shared" si="73"/>
        <v>35277.491779343633</v>
      </c>
      <c r="AC45" s="117">
        <f t="shared" si="30"/>
        <v>78314.451154343638</v>
      </c>
      <c r="AD45" s="112"/>
      <c r="AE45" s="112" t="s">
        <v>157</v>
      </c>
      <c r="AF45" s="121"/>
      <c r="AG45" s="122">
        <f t="shared" si="74"/>
        <v>0</v>
      </c>
      <c r="AH45" s="117">
        <f t="shared" si="32"/>
        <v>78314.451154343638</v>
      </c>
      <c r="AI45" s="109">
        <v>0</v>
      </c>
      <c r="AJ45" s="114">
        <f>'550_Max_ISB'!I165</f>
        <v>6025</v>
      </c>
      <c r="AK45" s="110"/>
      <c r="AL45" s="123"/>
      <c r="AM45" s="109">
        <f>'550_Max_ISB'!I174</f>
        <v>250</v>
      </c>
      <c r="AN45" s="124">
        <f t="shared" si="33"/>
        <v>447.78</v>
      </c>
      <c r="AO45" s="109" t="s">
        <v>170</v>
      </c>
      <c r="AP45" s="125">
        <f t="shared" si="34"/>
        <v>0</v>
      </c>
      <c r="AQ45" s="126">
        <v>7.5</v>
      </c>
      <c r="AR45" s="127">
        <f t="shared" si="35"/>
        <v>416.25</v>
      </c>
      <c r="AS45" s="128">
        <f t="shared" si="36"/>
        <v>1114.03</v>
      </c>
      <c r="AT45" s="129"/>
      <c r="AU45" s="130"/>
      <c r="AV45" s="126"/>
      <c r="AW45" s="126">
        <f t="shared" si="68"/>
        <v>375</v>
      </c>
      <c r="AX45" s="129"/>
      <c r="AY45" s="169">
        <f t="shared" si="49"/>
        <v>9.4700000000000006</v>
      </c>
      <c r="AZ45" s="132">
        <f t="shared" si="71"/>
        <v>6117.8093999999992</v>
      </c>
      <c r="BA45" s="129"/>
      <c r="BB45" s="126"/>
      <c r="BC45" s="133">
        <f t="shared" ca="1" si="37"/>
        <v>0</v>
      </c>
      <c r="BD45" s="129"/>
      <c r="BE45" s="134">
        <f t="shared" si="38"/>
        <v>7.8118524867688874E-2</v>
      </c>
      <c r="BF45" s="134">
        <f t="shared" si="39"/>
        <v>7.8118524867688874E-2</v>
      </c>
      <c r="BG45" s="135">
        <f t="shared" si="40"/>
        <v>0.77544070945945942</v>
      </c>
      <c r="BH45" s="136">
        <f t="shared" si="41"/>
        <v>1.4110711919701557</v>
      </c>
      <c r="BI45" s="153"/>
      <c r="BJ45" s="126">
        <v>0</v>
      </c>
      <c r="BK45" s="129"/>
      <c r="BL45" s="138">
        <f t="shared" si="42"/>
        <v>0</v>
      </c>
      <c r="BM45" s="123">
        <f t="shared" si="43"/>
        <v>0</v>
      </c>
      <c r="BN45" s="139">
        <f t="shared" si="44"/>
        <v>0</v>
      </c>
      <c r="BQ45" s="170"/>
      <c r="BT45" s="143">
        <f t="shared" si="45"/>
        <v>0</v>
      </c>
      <c r="BW45" s="143"/>
      <c r="BX45" s="143"/>
      <c r="BY45" s="143"/>
      <c r="BZ45" s="129"/>
    </row>
    <row r="46" spans="1:78" ht="78.55" hidden="1">
      <c r="A46" s="105">
        <f t="shared" si="26"/>
        <v>46</v>
      </c>
      <c r="B46" s="106" t="s">
        <v>157</v>
      </c>
      <c r="C46" s="106">
        <f t="shared" si="27"/>
        <v>550</v>
      </c>
      <c r="D46" s="108" t="s">
        <v>287</v>
      </c>
      <c r="E46" s="109" t="s">
        <v>293</v>
      </c>
      <c r="F46" s="109" t="s">
        <v>289</v>
      </c>
      <c r="G46" s="109" t="s">
        <v>294</v>
      </c>
      <c r="H46" s="109" t="s">
        <v>291</v>
      </c>
      <c r="I46" s="110"/>
      <c r="J46" s="196">
        <f t="shared" si="75"/>
        <v>336.27096774193552</v>
      </c>
      <c r="K46" s="163">
        <f>'550_Max_IAB'!L1/1000</f>
        <v>60</v>
      </c>
      <c r="L46" s="112">
        <v>55</v>
      </c>
      <c r="M46" s="114">
        <f t="shared" ref="M46:M47" si="76">1164-50</f>
        <v>1114</v>
      </c>
      <c r="N46" s="113">
        <f t="shared" si="48"/>
        <v>66840</v>
      </c>
      <c r="O46" s="110"/>
      <c r="P46" s="165">
        <f>'550_Max_IAB'!M38</f>
        <v>50222.524999999994</v>
      </c>
      <c r="Q46" s="165">
        <f>'550_Max_IAB'!N38</f>
        <v>5415.625</v>
      </c>
      <c r="R46" s="165">
        <f>'550_Max_IAB'!O38</f>
        <v>1235.1759</v>
      </c>
      <c r="S46" s="165">
        <f>'550_Max_IAB'!P38</f>
        <v>13200</v>
      </c>
      <c r="T46" s="165">
        <f>'550_Max_IAB'!Q38</f>
        <v>4003.8399999999992</v>
      </c>
      <c r="U46" s="165">
        <f>'550_Max_IAB'!R38</f>
        <v>1531.25</v>
      </c>
      <c r="V46" s="165">
        <f>'550_Max_IAB'!S38</f>
        <v>1155.6875</v>
      </c>
      <c r="W46" s="117">
        <f t="shared" si="28"/>
        <v>76764.103399999993</v>
      </c>
      <c r="X46" s="112"/>
      <c r="Y46" s="114">
        <f>'550_Max_IAB'!I153</f>
        <v>0</v>
      </c>
      <c r="Z46" s="120">
        <v>1</v>
      </c>
      <c r="AA46" s="112" t="s">
        <v>157</v>
      </c>
      <c r="AB46" s="113">
        <f t="shared" si="73"/>
        <v>0</v>
      </c>
      <c r="AC46" s="117">
        <f t="shared" si="30"/>
        <v>76764.103399999993</v>
      </c>
      <c r="AD46" s="112"/>
      <c r="AE46" s="112" t="s">
        <v>157</v>
      </c>
      <c r="AF46" s="121"/>
      <c r="AG46" s="122">
        <f t="shared" si="74"/>
        <v>0</v>
      </c>
      <c r="AH46" s="117">
        <f t="shared" si="32"/>
        <v>76764.103399999993</v>
      </c>
      <c r="AI46" s="109">
        <v>0</v>
      </c>
      <c r="AJ46" s="114">
        <f>'550_Max_IAB'!I165</f>
        <v>6025</v>
      </c>
      <c r="AK46" s="110"/>
      <c r="AL46" s="123"/>
      <c r="AM46" s="109">
        <f>'550_Max_IAB'!I174</f>
        <v>250</v>
      </c>
      <c r="AN46" s="124">
        <f t="shared" si="33"/>
        <v>447.78</v>
      </c>
      <c r="AO46" s="109" t="s">
        <v>170</v>
      </c>
      <c r="AP46" s="125">
        <f t="shared" si="34"/>
        <v>0</v>
      </c>
      <c r="AQ46" s="126">
        <v>7.5</v>
      </c>
      <c r="AR46" s="127">
        <f t="shared" si="35"/>
        <v>450</v>
      </c>
      <c r="AS46" s="128">
        <f t="shared" si="36"/>
        <v>1147.78</v>
      </c>
      <c r="AT46" s="129"/>
      <c r="AU46" s="130"/>
      <c r="AV46" s="126"/>
      <c r="AW46" s="126">
        <f t="shared" si="68"/>
        <v>375</v>
      </c>
      <c r="AX46" s="129"/>
      <c r="AY46" s="169">
        <f t="shared" si="49"/>
        <v>9.4700000000000006</v>
      </c>
      <c r="AZ46" s="132">
        <f t="shared" si="71"/>
        <v>6329.7480000000005</v>
      </c>
      <c r="BA46" s="129"/>
      <c r="BB46" s="126"/>
      <c r="BC46" s="133">
        <f t="shared" ca="1" si="37"/>
        <v>0</v>
      </c>
      <c r="BD46" s="129"/>
      <c r="BE46" s="134">
        <f t="shared" si="38"/>
        <v>8.2457134515297431E-2</v>
      </c>
      <c r="BF46" s="134">
        <f t="shared" si="39"/>
        <v>8.2457134515297431E-2</v>
      </c>
      <c r="BG46" s="135">
        <f t="shared" si="40"/>
        <v>1.2794017233333332</v>
      </c>
      <c r="BH46" s="136">
        <f t="shared" si="41"/>
        <v>1.2794017233333332</v>
      </c>
      <c r="BI46" s="153"/>
      <c r="BJ46" s="126">
        <v>0</v>
      </c>
      <c r="BK46" s="129"/>
      <c r="BL46" s="138">
        <f t="shared" si="42"/>
        <v>0</v>
      </c>
      <c r="BM46" s="123">
        <f t="shared" si="43"/>
        <v>0</v>
      </c>
      <c r="BN46" s="139">
        <f t="shared" si="44"/>
        <v>0</v>
      </c>
      <c r="BQ46" s="170"/>
      <c r="BT46" s="143">
        <f t="shared" si="45"/>
        <v>0</v>
      </c>
      <c r="BW46" s="143"/>
      <c r="BX46" s="143">
        <f t="shared" ref="BX46:BX85" si="77">IF(AA49="non",0,1)</f>
        <v>1</v>
      </c>
      <c r="BY46" s="143">
        <f t="shared" ref="BY46:BY85" si="78">IF(AE49="non",0,1)</f>
        <v>0</v>
      </c>
      <c r="BZ46" s="129"/>
    </row>
    <row r="47" spans="1:78" ht="78.55" hidden="1">
      <c r="A47" s="105">
        <f t="shared" si="26"/>
        <v>47</v>
      </c>
      <c r="B47" s="106" t="s">
        <v>157</v>
      </c>
      <c r="C47" s="106">
        <f t="shared" si="27"/>
        <v>550</v>
      </c>
      <c r="D47" s="108" t="s">
        <v>287</v>
      </c>
      <c r="E47" s="109" t="s">
        <v>295</v>
      </c>
      <c r="F47" s="109" t="s">
        <v>289</v>
      </c>
      <c r="G47" s="109" t="s">
        <v>294</v>
      </c>
      <c r="H47" s="109" t="s">
        <v>291</v>
      </c>
      <c r="I47" s="110"/>
      <c r="J47" s="196">
        <f t="shared" si="75"/>
        <v>336.27096774193552</v>
      </c>
      <c r="K47" s="163">
        <f>'550_Max_IAB_SE'!L1/1000</f>
        <v>60</v>
      </c>
      <c r="L47" s="112">
        <v>42</v>
      </c>
      <c r="M47" s="114">
        <f t="shared" si="76"/>
        <v>1114</v>
      </c>
      <c r="N47" s="113">
        <f t="shared" si="48"/>
        <v>66840</v>
      </c>
      <c r="O47" s="110"/>
      <c r="P47" s="165">
        <f>'550_Max_IAB_SE'!M38</f>
        <v>50222.524999999994</v>
      </c>
      <c r="Q47" s="165">
        <f>'550_Max_IAB_SE'!N38</f>
        <v>11115.625</v>
      </c>
      <c r="R47" s="165">
        <f>'550_Max_IAB_SE'!O38</f>
        <v>1235.1759</v>
      </c>
      <c r="S47" s="165">
        <f>'550_Max_IAB_SE'!P38</f>
        <v>13200</v>
      </c>
      <c r="T47" s="165">
        <f>'550_Max_IAB_SE'!Q38</f>
        <v>4003.8399999999992</v>
      </c>
      <c r="U47" s="165">
        <f>'550_Max_IAB_SE'!R38</f>
        <v>1531.25</v>
      </c>
      <c r="V47" s="165">
        <f>'550_Max_IAB_SE'!S38</f>
        <v>1155.6875</v>
      </c>
      <c r="W47" s="117">
        <f t="shared" si="28"/>
        <v>82464.103399999993</v>
      </c>
      <c r="X47" s="112"/>
      <c r="Y47" s="114">
        <f>'550_Max_IAB_SE'!I153</f>
        <v>0</v>
      </c>
      <c r="Z47" s="120">
        <v>1</v>
      </c>
      <c r="AA47" s="112" t="s">
        <v>157</v>
      </c>
      <c r="AB47" s="113">
        <f t="shared" ref="AB47:AB88" si="79">Z47*Y47+(1-Z47)*Y47*BX44</f>
        <v>0</v>
      </c>
      <c r="AC47" s="117">
        <f t="shared" si="30"/>
        <v>82464.103399999993</v>
      </c>
      <c r="AD47" s="112"/>
      <c r="AE47" s="112" t="s">
        <v>157</v>
      </c>
      <c r="AF47" s="121"/>
      <c r="AG47" s="122">
        <f t="shared" ref="AG47:AG88" si="80">IF(AF47="",0,MIN(AF47,20*K47*AQ47)*BY44)</f>
        <v>0</v>
      </c>
      <c r="AH47" s="117">
        <f t="shared" si="32"/>
        <v>82464.103399999993</v>
      </c>
      <c r="AI47" s="109">
        <v>0</v>
      </c>
      <c r="AJ47" s="114">
        <f>'550_Max_IAB_SE'!I165</f>
        <v>6025</v>
      </c>
      <c r="AK47" s="110"/>
      <c r="AL47" s="123"/>
      <c r="AM47" s="109">
        <f>'550_Max_IAB_SE'!I174</f>
        <v>250</v>
      </c>
      <c r="AN47" s="124">
        <f t="shared" si="33"/>
        <v>447.78</v>
      </c>
      <c r="AO47" s="109" t="s">
        <v>170</v>
      </c>
      <c r="AP47" s="125">
        <f t="shared" si="34"/>
        <v>0</v>
      </c>
      <c r="AQ47" s="126">
        <v>7.5</v>
      </c>
      <c r="AR47" s="127">
        <f t="shared" si="35"/>
        <v>450</v>
      </c>
      <c r="AS47" s="128">
        <f t="shared" si="36"/>
        <v>1147.78</v>
      </c>
      <c r="AT47" s="129"/>
      <c r="AU47" s="130"/>
      <c r="AV47" s="126"/>
      <c r="AW47" s="126">
        <f t="shared" si="68"/>
        <v>375</v>
      </c>
      <c r="AX47" s="129"/>
      <c r="AY47" s="169">
        <f t="shared" si="49"/>
        <v>9.4700000000000006</v>
      </c>
      <c r="AZ47" s="132">
        <f t="shared" si="71"/>
        <v>6329.7480000000005</v>
      </c>
      <c r="BA47" s="129"/>
      <c r="BB47" s="126"/>
      <c r="BC47" s="133">
        <f t="shared" ca="1" si="37"/>
        <v>0</v>
      </c>
      <c r="BD47" s="129"/>
      <c r="BE47" s="134">
        <f t="shared" si="38"/>
        <v>7.6757616211467844E-2</v>
      </c>
      <c r="BF47" s="134">
        <f t="shared" si="39"/>
        <v>7.6757616211467844E-2</v>
      </c>
      <c r="BG47" s="135">
        <f t="shared" si="40"/>
        <v>1.3744017233333332</v>
      </c>
      <c r="BH47" s="136">
        <f t="shared" si="41"/>
        <v>1.3744017233333332</v>
      </c>
      <c r="BI47" s="153"/>
      <c r="BJ47" s="126">
        <v>0</v>
      </c>
      <c r="BK47" s="129"/>
      <c r="BL47" s="138">
        <f t="shared" si="42"/>
        <v>0</v>
      </c>
      <c r="BM47" s="123">
        <f t="shared" si="43"/>
        <v>0</v>
      </c>
      <c r="BN47" s="139">
        <f t="shared" si="44"/>
        <v>0</v>
      </c>
      <c r="BQ47" s="170"/>
      <c r="BT47" s="143">
        <f t="shared" si="45"/>
        <v>0</v>
      </c>
      <c r="BW47" s="143"/>
      <c r="BX47" s="143">
        <f t="shared" si="77"/>
        <v>0</v>
      </c>
      <c r="BY47" s="143">
        <f t="shared" si="78"/>
        <v>0</v>
      </c>
      <c r="BZ47" s="129"/>
    </row>
    <row r="48" spans="1:78" ht="78.55" hidden="1">
      <c r="A48" s="105">
        <f t="shared" si="26"/>
        <v>48</v>
      </c>
      <c r="B48" s="106" t="s">
        <v>157</v>
      </c>
      <c r="C48" s="106">
        <f t="shared" si="27"/>
        <v>550</v>
      </c>
      <c r="D48" s="108" t="s">
        <v>287</v>
      </c>
      <c r="E48" s="109" t="s">
        <v>296</v>
      </c>
      <c r="F48" s="109" t="s">
        <v>289</v>
      </c>
      <c r="G48" s="109" t="s">
        <v>290</v>
      </c>
      <c r="H48" s="109" t="s">
        <v>291</v>
      </c>
      <c r="I48" s="110"/>
      <c r="J48" s="196">
        <f t="shared" si="75"/>
        <v>196.99874193548388</v>
      </c>
      <c r="K48" s="163">
        <f>'550_36kW_ISB'!L1/1000</f>
        <v>35.15</v>
      </c>
      <c r="L48" s="112">
        <f>27+8</f>
        <v>35</v>
      </c>
      <c r="M48" s="114">
        <v>1164</v>
      </c>
      <c r="N48" s="113">
        <f t="shared" si="48"/>
        <v>40914.6</v>
      </c>
      <c r="O48" s="110"/>
      <c r="P48" s="165">
        <f>'550_36kW_ISB'!M36</f>
        <v>13982.275</v>
      </c>
      <c r="Q48" s="165">
        <f>'550_36kW_ISB'!N36</f>
        <v>4485</v>
      </c>
      <c r="R48" s="165">
        <f>'550_36kW_ISB'!O36</f>
        <v>1229.9747375000002</v>
      </c>
      <c r="S48" s="165">
        <f>'550_36kW_ISB'!P36</f>
        <v>7920</v>
      </c>
      <c r="T48" s="165">
        <f>'550_36kW_ISB'!Q36</f>
        <v>1270.8399999999999</v>
      </c>
      <c r="U48" s="165">
        <f>'550_36kW_ISB'!R36</f>
        <v>2095.4375</v>
      </c>
      <c r="V48" s="165">
        <f>'550_36kW_ISB'!S36</f>
        <v>1155.6875</v>
      </c>
      <c r="W48" s="117">
        <f t="shared" si="28"/>
        <v>32139.214737500002</v>
      </c>
      <c r="X48" s="112" t="s">
        <v>292</v>
      </c>
      <c r="Y48" s="114">
        <f>'550_36kW_ISB'!I153</f>
        <v>21523.665259982947</v>
      </c>
      <c r="Z48" s="120">
        <v>1</v>
      </c>
      <c r="AA48" s="112" t="s">
        <v>157</v>
      </c>
      <c r="AB48" s="113">
        <f t="shared" si="79"/>
        <v>21523.665259982947</v>
      </c>
      <c r="AC48" s="117">
        <f t="shared" si="30"/>
        <v>53662.879997482945</v>
      </c>
      <c r="AD48" s="112"/>
      <c r="AE48" s="112" t="s">
        <v>157</v>
      </c>
      <c r="AF48" s="121"/>
      <c r="AG48" s="122">
        <f t="shared" si="80"/>
        <v>0</v>
      </c>
      <c r="AH48" s="117">
        <f t="shared" si="32"/>
        <v>53662.879997482945</v>
      </c>
      <c r="AI48" s="109">
        <v>0</v>
      </c>
      <c r="AJ48" s="114">
        <f>'550_36kW_ISB'!I165</f>
        <v>6025</v>
      </c>
      <c r="AK48" s="110"/>
      <c r="AL48" s="123"/>
      <c r="AM48" s="109">
        <f>'550_36kW_ISB'!I174</f>
        <v>250</v>
      </c>
      <c r="AN48" s="124">
        <f t="shared" si="33"/>
        <v>447.78</v>
      </c>
      <c r="AO48" s="109" t="s">
        <v>170</v>
      </c>
      <c r="AP48" s="125">
        <f t="shared" si="34"/>
        <v>0</v>
      </c>
      <c r="AQ48" s="126">
        <v>7.5</v>
      </c>
      <c r="AR48" s="127">
        <f t="shared" si="35"/>
        <v>263.625</v>
      </c>
      <c r="AS48" s="128">
        <f t="shared" si="36"/>
        <v>961.40499999999997</v>
      </c>
      <c r="AT48" s="129"/>
      <c r="AU48" s="130"/>
      <c r="AV48" s="126"/>
      <c r="AW48" s="126">
        <f t="shared" si="68"/>
        <v>375</v>
      </c>
      <c r="AX48" s="129"/>
      <c r="AY48" s="169">
        <f t="shared" si="49"/>
        <v>10.89</v>
      </c>
      <c r="AZ48" s="132">
        <f t="shared" si="71"/>
        <v>4455.5999400000001</v>
      </c>
      <c r="BA48" s="129"/>
      <c r="BB48" s="126"/>
      <c r="BC48" s="133">
        <f t="shared" ca="1" si="37"/>
        <v>0</v>
      </c>
      <c r="BD48" s="129"/>
      <c r="BE48" s="134">
        <f t="shared" si="38"/>
        <v>8.3029459846526862E-2</v>
      </c>
      <c r="BF48" s="134">
        <f t="shared" si="39"/>
        <v>8.3029459846526862E-2</v>
      </c>
      <c r="BG48" s="135">
        <f t="shared" si="40"/>
        <v>0.91434465825035571</v>
      </c>
      <c r="BH48" s="136">
        <f t="shared" si="41"/>
        <v>1.5266822189895575</v>
      </c>
      <c r="BI48" s="153"/>
      <c r="BJ48" s="126">
        <v>0</v>
      </c>
      <c r="BK48" s="129"/>
      <c r="BL48" s="138"/>
      <c r="BM48" s="123"/>
      <c r="BN48" s="139"/>
      <c r="BQ48" s="170"/>
      <c r="BT48" s="143"/>
      <c r="BW48" s="143"/>
      <c r="BX48" s="143">
        <f t="shared" si="77"/>
        <v>1</v>
      </c>
      <c r="BY48" s="143">
        <f t="shared" si="78"/>
        <v>1</v>
      </c>
      <c r="BZ48" s="129"/>
    </row>
    <row r="49" spans="1:78" ht="94.25" hidden="1">
      <c r="A49" s="105">
        <f t="shared" si="26"/>
        <v>49</v>
      </c>
      <c r="B49" s="106" t="s">
        <v>157</v>
      </c>
      <c r="C49" s="106">
        <f t="shared" si="27"/>
        <v>556</v>
      </c>
      <c r="D49" s="108" t="s">
        <v>297</v>
      </c>
      <c r="E49" s="109" t="s">
        <v>298</v>
      </c>
      <c r="F49" s="109" t="s">
        <v>299</v>
      </c>
      <c r="G49" s="109" t="s">
        <v>274</v>
      </c>
      <c r="H49" s="109" t="s">
        <v>196</v>
      </c>
      <c r="I49" s="110"/>
      <c r="J49" s="196">
        <f t="shared" si="75"/>
        <v>417.64854193548382</v>
      </c>
      <c r="K49" s="163">
        <f>'556'!A4*'556'!I1/1000</f>
        <v>74.52</v>
      </c>
      <c r="L49" s="112"/>
      <c r="M49" s="114">
        <v>1074</v>
      </c>
      <c r="N49" s="113">
        <f t="shared" si="48"/>
        <v>80034.48</v>
      </c>
      <c r="O49" s="110"/>
      <c r="P49" s="165">
        <f>'556'!M37</f>
        <v>29620.412500000002</v>
      </c>
      <c r="Q49" s="165">
        <f>'556'!N37</f>
        <v>6920.6875</v>
      </c>
      <c r="R49" s="165">
        <f>'556'!O37</f>
        <v>3518.5984000000003</v>
      </c>
      <c r="S49" s="165">
        <f>'556'!P37</f>
        <v>11560</v>
      </c>
      <c r="T49" s="165">
        <f>'556'!Q37</f>
        <v>18697.239999999998</v>
      </c>
      <c r="U49" s="165">
        <f>'556'!R37</f>
        <v>7111.3749999999991</v>
      </c>
      <c r="V49" s="165">
        <f>'556'!S37</f>
        <v>1155.6875</v>
      </c>
      <c r="W49" s="117">
        <f t="shared" si="28"/>
        <v>78584.000900000014</v>
      </c>
      <c r="X49" s="112"/>
      <c r="Y49" s="114"/>
      <c r="Z49" s="120"/>
      <c r="AA49" s="112"/>
      <c r="AB49" s="113">
        <f t="shared" si="79"/>
        <v>0</v>
      </c>
      <c r="AC49" s="117">
        <f t="shared" si="30"/>
        <v>78584.000900000014</v>
      </c>
      <c r="AD49" s="112"/>
      <c r="AE49" s="112" t="s">
        <v>157</v>
      </c>
      <c r="AF49" s="121"/>
      <c r="AG49" s="122">
        <f t="shared" si="80"/>
        <v>0</v>
      </c>
      <c r="AH49" s="117">
        <f t="shared" si="32"/>
        <v>78584.000900000014</v>
      </c>
      <c r="AI49" s="109">
        <v>520</v>
      </c>
      <c r="AJ49" s="114">
        <f>'556'!I143</f>
        <v>0</v>
      </c>
      <c r="AK49" s="110"/>
      <c r="AL49" s="123"/>
      <c r="AM49" s="109">
        <f>'556'!I150</f>
        <v>500</v>
      </c>
      <c r="AN49" s="124">
        <f t="shared" si="33"/>
        <v>447.78</v>
      </c>
      <c r="AO49" s="109" t="s">
        <v>170</v>
      </c>
      <c r="AP49" s="125">
        <f t="shared" si="34"/>
        <v>0</v>
      </c>
      <c r="AQ49" s="126">
        <v>5</v>
      </c>
      <c r="AR49" s="127">
        <f t="shared" si="35"/>
        <v>372.59999999999997</v>
      </c>
      <c r="AS49" s="128">
        <f t="shared" si="36"/>
        <v>1320.3799999999999</v>
      </c>
      <c r="AT49" s="129"/>
      <c r="AU49" s="130"/>
      <c r="AV49" s="126"/>
      <c r="AW49" s="126">
        <f t="shared" si="68"/>
        <v>375</v>
      </c>
      <c r="AX49" s="129"/>
      <c r="AY49" s="169">
        <f t="shared" si="49"/>
        <v>9.4700000000000006</v>
      </c>
      <c r="AZ49" s="132">
        <f t="shared" ref="AZ49:AZ51" si="81">N49*AY49/100</f>
        <v>7579.2652560000006</v>
      </c>
      <c r="BA49" s="129"/>
      <c r="BB49" s="126"/>
      <c r="BC49" s="133">
        <f t="shared" ca="1" si="37"/>
        <v>0</v>
      </c>
      <c r="BD49" s="129"/>
      <c r="BE49" s="134">
        <f t="shared" si="38"/>
        <v>9.6447943209773623E-2</v>
      </c>
      <c r="BF49" s="134">
        <f t="shared" si="39"/>
        <v>9.6447943209773623E-2</v>
      </c>
      <c r="BG49" s="135">
        <f t="shared" si="40"/>
        <v>1.0545357071927002</v>
      </c>
      <c r="BH49" s="136">
        <f t="shared" si="41"/>
        <v>1.0545357071927002</v>
      </c>
      <c r="BI49" s="153"/>
      <c r="BJ49" s="126"/>
      <c r="BK49" s="129"/>
      <c r="BL49" s="138">
        <f t="shared" si="42"/>
        <v>0</v>
      </c>
      <c r="BM49" s="123">
        <f t="shared" si="43"/>
        <v>0</v>
      </c>
      <c r="BN49" s="139">
        <f t="shared" si="44"/>
        <v>0</v>
      </c>
      <c r="BQ49" s="170"/>
      <c r="BT49" s="143">
        <f t="shared" si="45"/>
        <v>0</v>
      </c>
      <c r="BW49" s="143"/>
      <c r="BX49" s="143">
        <f t="shared" si="77"/>
        <v>0</v>
      </c>
      <c r="BY49" s="143">
        <f t="shared" si="78"/>
        <v>0</v>
      </c>
      <c r="BZ49" s="129"/>
    </row>
    <row r="50" spans="1:78" ht="110" hidden="1">
      <c r="A50" s="105">
        <f t="shared" si="26"/>
        <v>50</v>
      </c>
      <c r="B50" s="106" t="s">
        <v>157</v>
      </c>
      <c r="C50" s="106">
        <f t="shared" si="27"/>
        <v>561</v>
      </c>
      <c r="D50" s="108" t="s">
        <v>300</v>
      </c>
      <c r="E50" s="197" t="s">
        <v>301</v>
      </c>
      <c r="F50" s="198" t="s">
        <v>302</v>
      </c>
      <c r="G50" s="109" t="s">
        <v>303</v>
      </c>
      <c r="H50" s="109" t="s">
        <v>196</v>
      </c>
      <c r="I50" s="110"/>
      <c r="J50" s="196">
        <f t="shared" si="75"/>
        <v>972.49563870967734</v>
      </c>
      <c r="K50" s="163">
        <f>'561Max'!L1/1000</f>
        <v>173.52</v>
      </c>
      <c r="L50" s="112">
        <f>5*27+15</f>
        <v>150</v>
      </c>
      <c r="M50" s="114">
        <f t="shared" ref="M50:M51" si="82">233628/203.04</f>
        <v>1150.6501182033098</v>
      </c>
      <c r="N50" s="113">
        <f t="shared" si="48"/>
        <v>199660.80851063834</v>
      </c>
      <c r="O50" s="110"/>
      <c r="P50" s="165">
        <f>'561Max'!M40</f>
        <v>66890.9378440367</v>
      </c>
      <c r="Q50" s="165">
        <f>'561Max'!N40</f>
        <v>14194.112499999999</v>
      </c>
      <c r="R50" s="165">
        <f>'561Max'!O40</f>
        <v>6104.1206045410627</v>
      </c>
      <c r="S50" s="165">
        <f>'561Max'!P40</f>
        <v>22120</v>
      </c>
      <c r="T50" s="165">
        <f>'561Max'!Q40</f>
        <v>19700.998336064386</v>
      </c>
      <c r="U50" s="165">
        <f>'561Max'!R40</f>
        <v>7995.2624999999998</v>
      </c>
      <c r="V50" s="165">
        <f>'561Max'!S40</f>
        <v>1390.8125</v>
      </c>
      <c r="W50" s="117">
        <f t="shared" si="28"/>
        <v>138396.24428464216</v>
      </c>
      <c r="X50" s="112" t="s">
        <v>292</v>
      </c>
      <c r="Y50" s="114">
        <f>'561Max'!I135</f>
        <v>60912.886880552614</v>
      </c>
      <c r="Z50" s="120">
        <v>1</v>
      </c>
      <c r="AA50" s="112" t="s">
        <v>157</v>
      </c>
      <c r="AB50" s="113">
        <f t="shared" si="79"/>
        <v>60912.886880552614</v>
      </c>
      <c r="AC50" s="117">
        <f t="shared" si="30"/>
        <v>199309.13116519479</v>
      </c>
      <c r="AD50" s="114" t="s">
        <v>304</v>
      </c>
      <c r="AE50" s="112" t="s">
        <v>157</v>
      </c>
      <c r="AF50" s="114">
        <f>75000*(740/900)^0.8</f>
        <v>64128.728871003885</v>
      </c>
      <c r="AG50" s="122">
        <f t="shared" si="80"/>
        <v>0</v>
      </c>
      <c r="AH50" s="117">
        <f t="shared" si="32"/>
        <v>199309.13116519479</v>
      </c>
      <c r="AI50" s="109">
        <v>520</v>
      </c>
      <c r="AJ50" s="114">
        <f>'561Max'!I156</f>
        <v>7025</v>
      </c>
      <c r="AK50" s="110"/>
      <c r="AL50" s="123"/>
      <c r="AM50" s="109">
        <f>'561Max'!I163</f>
        <v>1460</v>
      </c>
      <c r="AN50" s="124">
        <f t="shared" si="33"/>
        <v>447.78</v>
      </c>
      <c r="AO50" s="109" t="s">
        <v>170</v>
      </c>
      <c r="AP50" s="125">
        <f t="shared" si="34"/>
        <v>556.30511999999999</v>
      </c>
      <c r="AQ50" s="126">
        <v>5</v>
      </c>
      <c r="AR50" s="127">
        <f t="shared" si="35"/>
        <v>867.6</v>
      </c>
      <c r="AS50" s="128">
        <f t="shared" si="36"/>
        <v>3331.6851199999996</v>
      </c>
      <c r="AT50" s="129"/>
      <c r="AU50" s="130"/>
      <c r="AV50" s="126"/>
      <c r="AW50" s="126">
        <f t="shared" si="68"/>
        <v>375</v>
      </c>
      <c r="AX50" s="129"/>
      <c r="AY50" s="169">
        <f t="shared" si="49"/>
        <v>9.8000000000000007</v>
      </c>
      <c r="AZ50" s="132">
        <f t="shared" si="81"/>
        <v>19566.759234042558</v>
      </c>
      <c r="BA50" s="129"/>
      <c r="BB50" s="126"/>
      <c r="BC50" s="133">
        <f t="shared" ca="1" si="37"/>
        <v>0</v>
      </c>
      <c r="BD50" s="129"/>
      <c r="BE50" s="134">
        <f t="shared" si="38"/>
        <v>9.8172919221773652E-2</v>
      </c>
      <c r="BF50" s="134">
        <f t="shared" si="39"/>
        <v>9.8172919221773652E-2</v>
      </c>
      <c r="BG50" s="135">
        <f t="shared" si="40"/>
        <v>0.79758093755556803</v>
      </c>
      <c r="BH50" s="136">
        <f t="shared" si="41"/>
        <v>1.1486233930682042</v>
      </c>
      <c r="BI50" s="153"/>
      <c r="BJ50" s="126"/>
      <c r="BK50" s="129"/>
      <c r="BL50" s="138">
        <f t="shared" si="42"/>
        <v>0</v>
      </c>
      <c r="BM50" s="123">
        <f t="shared" si="43"/>
        <v>0</v>
      </c>
      <c r="BN50" s="139">
        <f t="shared" si="44"/>
        <v>64128.728871003885</v>
      </c>
      <c r="BQ50" s="170"/>
      <c r="BT50" s="143">
        <f t="shared" si="45"/>
        <v>0</v>
      </c>
      <c r="BW50" s="143"/>
      <c r="BX50" s="143">
        <f t="shared" si="77"/>
        <v>1</v>
      </c>
      <c r="BY50" s="143">
        <f t="shared" si="78"/>
        <v>0</v>
      </c>
      <c r="BZ50" s="129"/>
    </row>
    <row r="51" spans="1:78" ht="85.1" hidden="1">
      <c r="A51" s="105">
        <f t="shared" si="26"/>
        <v>51</v>
      </c>
      <c r="B51" s="106" t="s">
        <v>157</v>
      </c>
      <c r="C51" s="106">
        <f t="shared" si="27"/>
        <v>561</v>
      </c>
      <c r="D51" s="108" t="s">
        <v>300</v>
      </c>
      <c r="E51" s="197" t="s">
        <v>305</v>
      </c>
      <c r="F51" s="198" t="s">
        <v>302</v>
      </c>
      <c r="G51" s="109" t="s">
        <v>259</v>
      </c>
      <c r="H51" s="109" t="s">
        <v>196</v>
      </c>
      <c r="I51" s="110"/>
      <c r="J51" s="196">
        <f t="shared" si="75"/>
        <v>347.03163870967745</v>
      </c>
      <c r="K51" s="163">
        <f>'561Min'!L1/1000</f>
        <v>61.92</v>
      </c>
      <c r="L51" s="112">
        <f>2*27</f>
        <v>54</v>
      </c>
      <c r="M51" s="114">
        <f t="shared" si="82"/>
        <v>1150.6501182033098</v>
      </c>
      <c r="N51" s="113">
        <f t="shared" si="48"/>
        <v>71248.255319148942</v>
      </c>
      <c r="O51" s="110"/>
      <c r="P51" s="165">
        <f>'561Min'!M40</f>
        <v>23936.5628440367</v>
      </c>
      <c r="Q51" s="165">
        <f>'561Min'!N40</f>
        <v>4858.1875</v>
      </c>
      <c r="R51" s="165">
        <f>'561Min'!O40</f>
        <v>9525.76152</v>
      </c>
      <c r="S51" s="165">
        <f>'561Min'!P40</f>
        <v>11560</v>
      </c>
      <c r="T51" s="165">
        <f>'561Min'!Q40</f>
        <v>10841.056861313868</v>
      </c>
      <c r="U51" s="165">
        <f>'561Min'!R40</f>
        <v>3812.3625000000002</v>
      </c>
      <c r="V51" s="165">
        <f>'561Min'!S40</f>
        <v>1155.6875</v>
      </c>
      <c r="W51" s="117">
        <f t="shared" si="28"/>
        <v>65689.618725350563</v>
      </c>
      <c r="X51" s="112"/>
      <c r="Y51" s="114"/>
      <c r="Z51" s="120"/>
      <c r="AA51" s="112"/>
      <c r="AB51" s="113">
        <f t="shared" si="79"/>
        <v>0</v>
      </c>
      <c r="AC51" s="117">
        <f t="shared" si="30"/>
        <v>65689.618725350563</v>
      </c>
      <c r="AD51" s="114"/>
      <c r="AE51" s="112"/>
      <c r="AF51" s="114"/>
      <c r="AG51" s="122">
        <f t="shared" si="80"/>
        <v>0</v>
      </c>
      <c r="AH51" s="117">
        <f t="shared" si="32"/>
        <v>65689.618725350563</v>
      </c>
      <c r="AI51" s="109">
        <v>520</v>
      </c>
      <c r="AJ51" s="114">
        <f>'561Min'!I147</f>
        <v>4300</v>
      </c>
      <c r="AK51" s="110"/>
      <c r="AL51" s="123"/>
      <c r="AM51" s="109">
        <f>'561Min'!I154</f>
        <v>730</v>
      </c>
      <c r="AN51" s="124">
        <f t="shared" si="33"/>
        <v>447.78</v>
      </c>
      <c r="AO51" s="109" t="s">
        <v>170</v>
      </c>
      <c r="AP51" s="125">
        <f t="shared" si="34"/>
        <v>0</v>
      </c>
      <c r="AQ51" s="126">
        <v>5</v>
      </c>
      <c r="AR51" s="127">
        <f t="shared" si="35"/>
        <v>309.60000000000002</v>
      </c>
      <c r="AS51" s="128">
        <f t="shared" si="36"/>
        <v>1487.38</v>
      </c>
      <c r="AT51" s="129"/>
      <c r="AU51" s="130"/>
      <c r="AV51" s="126"/>
      <c r="AW51" s="126">
        <f t="shared" si="68"/>
        <v>375</v>
      </c>
      <c r="AX51" s="129"/>
      <c r="AY51" s="169">
        <f t="shared" si="49"/>
        <v>9.4700000000000006</v>
      </c>
      <c r="AZ51" s="132">
        <f t="shared" si="81"/>
        <v>6747.2097787234052</v>
      </c>
      <c r="BA51" s="129"/>
      <c r="BB51" s="126"/>
      <c r="BC51" s="133">
        <f t="shared" ca="1" si="37"/>
        <v>0</v>
      </c>
      <c r="BD51" s="129"/>
      <c r="BE51" s="134">
        <f t="shared" si="38"/>
        <v>0.10271348669161266</v>
      </c>
      <c r="BF51" s="134">
        <f t="shared" si="39"/>
        <v>0.10271348669161266</v>
      </c>
      <c r="BG51" s="135">
        <f t="shared" si="40"/>
        <v>1.0608788553835686</v>
      </c>
      <c r="BH51" s="136">
        <f t="shared" si="41"/>
        <v>1.0608788553835686</v>
      </c>
      <c r="BI51" s="153"/>
      <c r="BJ51" s="126"/>
      <c r="BK51" s="129"/>
      <c r="BL51" s="138">
        <f t="shared" si="42"/>
        <v>0</v>
      </c>
      <c r="BM51" s="123">
        <f t="shared" si="43"/>
        <v>0</v>
      </c>
      <c r="BN51" s="139">
        <f t="shared" si="44"/>
        <v>0</v>
      </c>
      <c r="BQ51" s="170"/>
      <c r="BT51" s="143">
        <f t="shared" si="45"/>
        <v>0</v>
      </c>
      <c r="BW51" s="143"/>
      <c r="BX51" s="143">
        <f t="shared" si="77"/>
        <v>1</v>
      </c>
      <c r="BY51" s="143">
        <f t="shared" si="78"/>
        <v>0</v>
      </c>
      <c r="BZ51" s="129"/>
    </row>
    <row r="52" spans="1:78" ht="62.85" hidden="1">
      <c r="A52" s="105">
        <f t="shared" si="26"/>
        <v>52</v>
      </c>
      <c r="B52" s="106" t="s">
        <v>157</v>
      </c>
      <c r="C52" s="106">
        <f t="shared" si="27"/>
        <v>562</v>
      </c>
      <c r="D52" s="108" t="s">
        <v>306</v>
      </c>
      <c r="E52" s="109" t="s">
        <v>307</v>
      </c>
      <c r="F52" s="109" t="s">
        <v>308</v>
      </c>
      <c r="G52" s="109" t="s">
        <v>259</v>
      </c>
      <c r="H52" s="109" t="s">
        <v>196</v>
      </c>
      <c r="I52" s="110"/>
      <c r="J52" s="196">
        <f t="shared" si="75"/>
        <v>558.88234838709684</v>
      </c>
      <c r="K52" s="163">
        <f>'562'!A4*'562'!I1/1000</f>
        <v>99.72</v>
      </c>
      <c r="L52" s="112"/>
      <c r="M52" s="114">
        <f>(75*1020+25*1080)/100</f>
        <v>1035</v>
      </c>
      <c r="N52" s="113">
        <f t="shared" si="48"/>
        <v>103210.2</v>
      </c>
      <c r="O52" s="110"/>
      <c r="P52" s="165">
        <f>'562'!M38</f>
        <v>37976.688417431193</v>
      </c>
      <c r="Q52" s="165">
        <f>'562'!N38</f>
        <v>10258.35</v>
      </c>
      <c r="R52" s="165">
        <f>'562'!O38</f>
        <v>3657.7183999999997</v>
      </c>
      <c r="S52" s="165">
        <f>'562'!P38</f>
        <v>12880</v>
      </c>
      <c r="T52" s="165">
        <f>'562'!Q38</f>
        <v>6742.24</v>
      </c>
      <c r="U52" s="165">
        <f>'562'!R38</f>
        <v>7125.0250000000005</v>
      </c>
      <c r="V52" s="165">
        <f>'562'!S38</f>
        <v>1390.8125</v>
      </c>
      <c r="W52" s="117">
        <f t="shared" si="28"/>
        <v>80030.834317431189</v>
      </c>
      <c r="X52" s="112" t="s">
        <v>309</v>
      </c>
      <c r="Y52" s="114">
        <v>100000</v>
      </c>
      <c r="Z52" s="120">
        <v>1</v>
      </c>
      <c r="AA52" s="112" t="s">
        <v>157</v>
      </c>
      <c r="AB52" s="113">
        <f t="shared" si="79"/>
        <v>100000</v>
      </c>
      <c r="AC52" s="117">
        <f t="shared" si="30"/>
        <v>180030.8343174312</v>
      </c>
      <c r="AD52" s="112"/>
      <c r="AE52" s="112" t="s">
        <v>157</v>
      </c>
      <c r="AF52" s="121"/>
      <c r="AG52" s="122">
        <f t="shared" si="80"/>
        <v>0</v>
      </c>
      <c r="AH52" s="117">
        <f t="shared" si="32"/>
        <v>180030.8343174312</v>
      </c>
      <c r="AI52" s="109">
        <v>520</v>
      </c>
      <c r="AJ52" s="114">
        <f>'562'!I144</f>
        <v>0</v>
      </c>
      <c r="AK52" s="110"/>
      <c r="AL52" s="123"/>
      <c r="AM52" s="109">
        <f>'562'!I151</f>
        <v>500</v>
      </c>
      <c r="AN52" s="124">
        <f t="shared" si="33"/>
        <v>447.78</v>
      </c>
      <c r="AO52" s="109" t="s">
        <v>170</v>
      </c>
      <c r="AP52" s="125">
        <f t="shared" si="34"/>
        <v>0</v>
      </c>
      <c r="AQ52" s="126">
        <v>5</v>
      </c>
      <c r="AR52" s="127">
        <f t="shared" si="35"/>
        <v>498.6</v>
      </c>
      <c r="AS52" s="128">
        <f t="shared" si="36"/>
        <v>1446.38</v>
      </c>
      <c r="AT52" s="129"/>
      <c r="AU52" s="130"/>
      <c r="AV52" s="126"/>
      <c r="AW52" s="126">
        <f t="shared" si="68"/>
        <v>375</v>
      </c>
      <c r="AX52" s="129"/>
      <c r="AY52" s="169">
        <f t="shared" si="49"/>
        <v>9.4700000000000006</v>
      </c>
      <c r="AZ52" s="132">
        <f t="shared" ref="AZ52:AZ88" si="83">IF(K52&lt;=$CG$6,IF(M52&lt;=$CE$6,M52*$CD$6,$CE$6*$CD$6+(M52-$CE$6)*$CF$6),IF(K52&lt;=$CG$7,IF(M52&lt;=$CE$7,M52*$CD$7,$CE$7*$CD$7+(M52-$CE$7)*$CF$7),IF(K52&lt;=$CG$8,IF(M52&lt;=$CE$8,M52*$CD$8,$CE$8*$CD$8+(M52-$CE$8)*$CF$8),IF(K52&lt;=$CG$9,IF(M52&lt;=$CE$9,M52*$CD$9,$CE$9*$CD$9+(M52-$CE$9)*$CF$9),IF(K52&lt;=$CG$10,IF(M52&lt;=$CE$10,M52*$CD$10,$CE$10*$CD$10+(M52-$CE$10)*$CF$10),0)))))*K52/100</f>
        <v>9774.0059400000009</v>
      </c>
      <c r="BA52" s="129"/>
      <c r="BB52" s="126"/>
      <c r="BC52" s="133">
        <f t="shared" ca="1" si="37"/>
        <v>0</v>
      </c>
      <c r="BD52" s="129"/>
      <c r="BE52" s="134">
        <f t="shared" si="38"/>
        <v>5.4290732901711873E-2</v>
      </c>
      <c r="BF52" s="134">
        <f t="shared" si="39"/>
        <v>5.4290732901711873E-2</v>
      </c>
      <c r="BG52" s="135">
        <f t="shared" si="40"/>
        <v>0.80255549857030872</v>
      </c>
      <c r="BH52" s="136">
        <f t="shared" si="41"/>
        <v>1.805363360583947</v>
      </c>
      <c r="BI52" s="153"/>
      <c r="BJ52" s="126"/>
      <c r="BK52" s="129"/>
      <c r="BL52" s="138">
        <f t="shared" si="42"/>
        <v>0</v>
      </c>
      <c r="BM52" s="123">
        <f t="shared" si="43"/>
        <v>0</v>
      </c>
      <c r="BN52" s="139">
        <f t="shared" si="44"/>
        <v>0</v>
      </c>
      <c r="BQ52" s="170"/>
      <c r="BT52" s="143">
        <f t="shared" si="45"/>
        <v>0</v>
      </c>
      <c r="BW52" s="143"/>
      <c r="BX52" s="143">
        <f t="shared" si="77"/>
        <v>0</v>
      </c>
      <c r="BY52" s="143">
        <f t="shared" si="78"/>
        <v>0</v>
      </c>
      <c r="BZ52" s="129"/>
    </row>
    <row r="53" spans="1:78" ht="62.85" hidden="1">
      <c r="A53" s="105">
        <f t="shared" si="26"/>
        <v>53</v>
      </c>
      <c r="B53" s="106" t="s">
        <v>157</v>
      </c>
      <c r="C53" s="106">
        <f t="shared" si="27"/>
        <v>563</v>
      </c>
      <c r="D53" s="108" t="s">
        <v>310</v>
      </c>
      <c r="E53" s="109" t="s">
        <v>311</v>
      </c>
      <c r="F53" s="109" t="s">
        <v>312</v>
      </c>
      <c r="G53" s="109" t="s">
        <v>259</v>
      </c>
      <c r="H53" s="109" t="s">
        <v>196</v>
      </c>
      <c r="I53" s="110"/>
      <c r="J53" s="196">
        <f t="shared" si="75"/>
        <v>700.90078709677425</v>
      </c>
      <c r="K53" s="163">
        <f>'563_Max'!L1/1000</f>
        <v>125.06</v>
      </c>
      <c r="L53" s="112"/>
      <c r="M53" s="114">
        <v>1116</v>
      </c>
      <c r="N53" s="113">
        <f t="shared" si="48"/>
        <v>139566.96</v>
      </c>
      <c r="O53" s="110"/>
      <c r="P53" s="165">
        <f>'563_Max'!M38</f>
        <v>42842.057798165129</v>
      </c>
      <c r="Q53" s="165">
        <f>'563_Max'!N38</f>
        <v>9363.1875</v>
      </c>
      <c r="R53" s="165">
        <f>'563_Max'!O38</f>
        <v>16507.831599999998</v>
      </c>
      <c r="S53" s="165">
        <f>'563_Max'!P38</f>
        <v>15520</v>
      </c>
      <c r="T53" s="165">
        <f>'563_Max'!Q38</f>
        <v>3687.3999999999992</v>
      </c>
      <c r="U53" s="165">
        <f>'563_Max'!R38</f>
        <v>4516.6374999999998</v>
      </c>
      <c r="V53" s="165">
        <f>'563_Max'!S38</f>
        <v>1390.8125</v>
      </c>
      <c r="W53" s="117">
        <f t="shared" si="28"/>
        <v>93827.926898165126</v>
      </c>
      <c r="X53" s="112"/>
      <c r="Y53" s="114"/>
      <c r="Z53" s="120"/>
      <c r="AA53" s="112"/>
      <c r="AB53" s="113">
        <f t="shared" si="79"/>
        <v>0</v>
      </c>
      <c r="AC53" s="117">
        <f t="shared" si="30"/>
        <v>93827.926898165126</v>
      </c>
      <c r="AD53" s="112"/>
      <c r="AE53" s="112" t="s">
        <v>157</v>
      </c>
      <c r="AF53" s="121"/>
      <c r="AG53" s="122">
        <f t="shared" si="80"/>
        <v>0</v>
      </c>
      <c r="AH53" s="117">
        <f t="shared" si="32"/>
        <v>93827.926898165126</v>
      </c>
      <c r="AI53" s="109">
        <v>0</v>
      </c>
      <c r="AJ53" s="114">
        <f>'563_Max'!I172</f>
        <v>1340</v>
      </c>
      <c r="AK53" s="110"/>
      <c r="AL53" s="123"/>
      <c r="AM53" s="109">
        <f>'563_Max'!I179</f>
        <v>500</v>
      </c>
      <c r="AN53" s="124">
        <f t="shared" si="33"/>
        <v>447.78</v>
      </c>
      <c r="AO53" s="109" t="s">
        <v>170</v>
      </c>
      <c r="AP53" s="125">
        <f t="shared" si="34"/>
        <v>400.94236000000001</v>
      </c>
      <c r="AQ53" s="126">
        <v>5</v>
      </c>
      <c r="AR53" s="127">
        <f t="shared" si="35"/>
        <v>625.29999999999995</v>
      </c>
      <c r="AS53" s="128">
        <f t="shared" si="36"/>
        <v>1974.0223599999999</v>
      </c>
      <c r="AT53" s="129"/>
      <c r="AU53" s="130"/>
      <c r="AV53" s="126"/>
      <c r="AW53" s="126">
        <f t="shared" si="68"/>
        <v>375</v>
      </c>
      <c r="AX53" s="129"/>
      <c r="AY53" s="169">
        <f t="shared" si="49"/>
        <v>9.8000000000000007</v>
      </c>
      <c r="AZ53" s="132">
        <f t="shared" si="83"/>
        <v>13561.506400000002</v>
      </c>
      <c r="BA53" s="129"/>
      <c r="BB53" s="126"/>
      <c r="BC53" s="133">
        <f t="shared" ca="1" si="37"/>
        <v>0</v>
      </c>
      <c r="BD53" s="129"/>
      <c r="BE53" s="134">
        <f t="shared" si="38"/>
        <v>0.14453592707764715</v>
      </c>
      <c r="BF53" s="134">
        <f t="shared" si="39"/>
        <v>0.14453592707764715</v>
      </c>
      <c r="BG53" s="135">
        <f t="shared" si="40"/>
        <v>0.7502632888066938</v>
      </c>
      <c r="BH53" s="136">
        <f t="shared" si="41"/>
        <v>0.7502632888066938</v>
      </c>
      <c r="BI53" s="153"/>
      <c r="BJ53" s="126"/>
      <c r="BK53" s="129"/>
      <c r="BL53" s="138">
        <f t="shared" si="42"/>
        <v>0</v>
      </c>
      <c r="BM53" s="123">
        <f t="shared" si="43"/>
        <v>0</v>
      </c>
      <c r="BN53" s="139">
        <f t="shared" si="44"/>
        <v>0</v>
      </c>
      <c r="BQ53" s="170"/>
      <c r="BT53" s="143">
        <f t="shared" si="45"/>
        <v>0</v>
      </c>
      <c r="BW53" s="143"/>
      <c r="BX53" s="143">
        <f t="shared" si="77"/>
        <v>1</v>
      </c>
      <c r="BY53" s="143">
        <f t="shared" si="78"/>
        <v>1</v>
      </c>
      <c r="BZ53" s="129"/>
    </row>
    <row r="54" spans="1:78" ht="47.15" hidden="1">
      <c r="A54" s="105">
        <f t="shared" si="26"/>
        <v>54</v>
      </c>
      <c r="B54" s="106" t="s">
        <v>157</v>
      </c>
      <c r="C54" s="106">
        <f t="shared" si="27"/>
        <v>567</v>
      </c>
      <c r="D54" s="108" t="s">
        <v>313</v>
      </c>
      <c r="E54" s="109"/>
      <c r="F54" s="109" t="s">
        <v>314</v>
      </c>
      <c r="G54" s="109"/>
      <c r="H54" s="109" t="s">
        <v>196</v>
      </c>
      <c r="I54" s="110"/>
      <c r="J54" s="196">
        <f t="shared" si="75"/>
        <v>0</v>
      </c>
      <c r="K54" s="163">
        <f>'567'!A5*'567'!I2/1000</f>
        <v>0</v>
      </c>
      <c r="L54" s="112"/>
      <c r="M54" s="114"/>
      <c r="N54" s="113">
        <f t="shared" si="48"/>
        <v>0</v>
      </c>
      <c r="O54" s="110"/>
      <c r="P54" s="165">
        <f>'567'!M38</f>
        <v>937.5</v>
      </c>
      <c r="Q54" s="165">
        <f>'567'!N38</f>
        <v>0</v>
      </c>
      <c r="R54" s="165">
        <f>'567'!O38</f>
        <v>16037.606</v>
      </c>
      <c r="S54" s="165">
        <f>'567'!P38</f>
        <v>7600</v>
      </c>
      <c r="T54" s="165">
        <f>'567'!Q38</f>
        <v>3687.3999999999992</v>
      </c>
      <c r="U54" s="165">
        <f>'567'!R38</f>
        <v>4429.1374999999998</v>
      </c>
      <c r="V54" s="165">
        <f>'567'!S38</f>
        <v>1390.8125</v>
      </c>
      <c r="W54" s="117">
        <f t="shared" si="28"/>
        <v>34082.455999999998</v>
      </c>
      <c r="X54" s="112"/>
      <c r="Y54" s="114"/>
      <c r="Z54" s="120"/>
      <c r="AA54" s="112"/>
      <c r="AB54" s="113">
        <f t="shared" si="79"/>
        <v>0</v>
      </c>
      <c r="AC54" s="117">
        <f t="shared" si="30"/>
        <v>34082.455999999998</v>
      </c>
      <c r="AD54" s="112"/>
      <c r="AE54" s="112" t="s">
        <v>157</v>
      </c>
      <c r="AF54" s="121"/>
      <c r="AG54" s="122">
        <f t="shared" si="80"/>
        <v>0</v>
      </c>
      <c r="AH54" s="117">
        <f t="shared" si="32"/>
        <v>34082.455999999998</v>
      </c>
      <c r="AI54" s="109">
        <v>0</v>
      </c>
      <c r="AJ54" s="114">
        <f>'567'!I172</f>
        <v>1340</v>
      </c>
      <c r="AK54" s="110"/>
      <c r="AL54" s="123"/>
      <c r="AM54" s="109">
        <f>'567'!I179</f>
        <v>500</v>
      </c>
      <c r="AN54" s="124">
        <f t="shared" si="33"/>
        <v>447.78</v>
      </c>
      <c r="AO54" s="109" t="s">
        <v>170</v>
      </c>
      <c r="AP54" s="125">
        <f t="shared" si="34"/>
        <v>0</v>
      </c>
      <c r="AQ54" s="126">
        <v>5</v>
      </c>
      <c r="AR54" s="127">
        <f t="shared" si="35"/>
        <v>0</v>
      </c>
      <c r="AS54" s="128">
        <f t="shared" si="36"/>
        <v>947.78</v>
      </c>
      <c r="AT54" s="129"/>
      <c r="AU54" s="130"/>
      <c r="AV54" s="126"/>
      <c r="AW54" s="126">
        <f t="shared" si="68"/>
        <v>375</v>
      </c>
      <c r="AX54" s="129"/>
      <c r="AY54" s="169">
        <f t="shared" si="49"/>
        <v>0</v>
      </c>
      <c r="AZ54" s="132">
        <f t="shared" si="83"/>
        <v>0</v>
      </c>
      <c r="BA54" s="129"/>
      <c r="BB54" s="126"/>
      <c r="BC54" s="133">
        <f t="shared" ca="1" si="37"/>
        <v>0</v>
      </c>
      <c r="BD54" s="129"/>
      <c r="BE54" s="134">
        <f t="shared" si="38"/>
        <v>0</v>
      </c>
      <c r="BF54" s="134">
        <f t="shared" si="39"/>
        <v>0</v>
      </c>
      <c r="BG54" s="135" t="str">
        <f t="shared" si="40"/>
        <v/>
      </c>
      <c r="BH54" s="136" t="str">
        <f t="shared" si="41"/>
        <v xml:space="preserve"> </v>
      </c>
      <c r="BI54" s="153"/>
      <c r="BJ54" s="126">
        <v>0</v>
      </c>
      <c r="BK54" s="129"/>
      <c r="BL54" s="138">
        <f t="shared" si="42"/>
        <v>0</v>
      </c>
      <c r="BM54" s="123">
        <f t="shared" si="43"/>
        <v>0</v>
      </c>
      <c r="BN54" s="139">
        <f t="shared" si="44"/>
        <v>0</v>
      </c>
      <c r="BQ54" s="170"/>
      <c r="BT54" s="143">
        <f t="shared" si="45"/>
        <v>0</v>
      </c>
      <c r="BW54" s="143"/>
      <c r="BX54" s="143">
        <f>IF(AA61="non",0,1)</f>
        <v>1</v>
      </c>
      <c r="BY54" s="143">
        <f>IF(AE61="non",0,1)</f>
        <v>1</v>
      </c>
      <c r="BZ54" s="129"/>
    </row>
    <row r="55" spans="1:78" ht="62.85" hidden="1">
      <c r="A55" s="105">
        <f t="shared" si="26"/>
        <v>55</v>
      </c>
      <c r="B55" s="161" t="s">
        <v>157</v>
      </c>
      <c r="C55" s="106">
        <f t="shared" si="27"/>
        <v>569</v>
      </c>
      <c r="D55" s="108" t="s">
        <v>315</v>
      </c>
      <c r="E55" s="109"/>
      <c r="F55" s="109" t="s">
        <v>316</v>
      </c>
      <c r="G55" s="109" t="s">
        <v>303</v>
      </c>
      <c r="H55" s="109" t="s">
        <v>317</v>
      </c>
      <c r="I55" s="110"/>
      <c r="J55" s="196">
        <f t="shared" si="75"/>
        <v>1955.4717225806451</v>
      </c>
      <c r="K55" s="163">
        <f>'569'!A4*'569'!I1/1000</f>
        <v>348.91</v>
      </c>
      <c r="L55" s="112">
        <v>250</v>
      </c>
      <c r="M55" s="114">
        <v>1116</v>
      </c>
      <c r="N55" s="113">
        <f t="shared" si="48"/>
        <v>389383.56000000006</v>
      </c>
      <c r="O55" s="110"/>
      <c r="P55" s="165">
        <f>'569'!M37</f>
        <v>119864.36169724769</v>
      </c>
      <c r="Q55" s="165">
        <f>'569'!N37</f>
        <v>25726.5625</v>
      </c>
      <c r="R55" s="165">
        <f>'569'!O37</f>
        <v>4497.9489461538451</v>
      </c>
      <c r="S55" s="165">
        <f>'569'!P37</f>
        <v>30040</v>
      </c>
      <c r="T55" s="165">
        <f>'569'!Q37</f>
        <v>16048.359999999999</v>
      </c>
      <c r="U55" s="165">
        <f>'569'!R37</f>
        <v>23714.787500000002</v>
      </c>
      <c r="V55" s="165">
        <f>'569'!S37</f>
        <v>1390.8125</v>
      </c>
      <c r="W55" s="117">
        <f t="shared" si="28"/>
        <v>221282.83314340151</v>
      </c>
      <c r="X55" s="112" t="s">
        <v>292</v>
      </c>
      <c r="Y55" s="114">
        <f>'569'!I153</f>
        <v>278563.69710467709</v>
      </c>
      <c r="Z55" s="120">
        <v>0</v>
      </c>
      <c r="AA55" s="112" t="s">
        <v>157</v>
      </c>
      <c r="AB55" s="113">
        <f t="shared" si="79"/>
        <v>0</v>
      </c>
      <c r="AC55" s="117">
        <f t="shared" si="30"/>
        <v>221282.83314340151</v>
      </c>
      <c r="AD55" s="112" t="s">
        <v>309</v>
      </c>
      <c r="AE55" s="112" t="s">
        <v>157</v>
      </c>
      <c r="AF55" s="121">
        <f>'569'!I160</f>
        <v>315594.65478841867</v>
      </c>
      <c r="AG55" s="122">
        <f t="shared" si="80"/>
        <v>0</v>
      </c>
      <c r="AH55" s="117">
        <f t="shared" si="32"/>
        <v>221282.83314340151</v>
      </c>
      <c r="AI55" s="109">
        <v>0</v>
      </c>
      <c r="AJ55" s="114">
        <f>'569'!I182</f>
        <v>6025</v>
      </c>
      <c r="AK55" s="110"/>
      <c r="AL55" s="123"/>
      <c r="AM55" s="109">
        <f>'569'!I192</f>
        <v>1000</v>
      </c>
      <c r="AN55" s="124">
        <f t="shared" si="33"/>
        <v>447.78</v>
      </c>
      <c r="AO55" s="109" t="s">
        <v>170</v>
      </c>
      <c r="AP55" s="125">
        <f t="shared" si="34"/>
        <v>1118.60546</v>
      </c>
      <c r="AQ55" s="126">
        <v>5</v>
      </c>
      <c r="AR55" s="127">
        <f t="shared" si="35"/>
        <v>1744.5500000000002</v>
      </c>
      <c r="AS55" s="128">
        <f t="shared" si="36"/>
        <v>4310.9354600000006</v>
      </c>
      <c r="AT55" s="129"/>
      <c r="AU55" s="130"/>
      <c r="AV55" s="126"/>
      <c r="AW55" s="126">
        <f t="shared" si="68"/>
        <v>375</v>
      </c>
      <c r="AX55" s="129"/>
      <c r="AY55" s="169">
        <f t="shared" si="49"/>
        <v>9.8000000000000007</v>
      </c>
      <c r="AZ55" s="132">
        <f t="shared" si="83"/>
        <v>37835.800400000007</v>
      </c>
      <c r="BA55" s="129"/>
      <c r="BB55" s="126"/>
      <c r="BC55" s="133">
        <f t="shared" ca="1" si="37"/>
        <v>0</v>
      </c>
      <c r="BD55" s="129"/>
      <c r="BE55" s="134">
        <f t="shared" si="38"/>
        <v>0.17098389361040339</v>
      </c>
      <c r="BF55" s="134">
        <f t="shared" si="39"/>
        <v>0.17098389361040339</v>
      </c>
      <c r="BG55" s="135">
        <f t="shared" si="40"/>
        <v>0.63421178281906943</v>
      </c>
      <c r="BH55" s="136">
        <f t="shared" si="41"/>
        <v>0.63421178281906943</v>
      </c>
      <c r="BI55" s="153"/>
      <c r="BJ55" s="126"/>
      <c r="BK55" s="129"/>
      <c r="BL55" s="138">
        <f t="shared" si="42"/>
        <v>0</v>
      </c>
      <c r="BM55" s="123">
        <f t="shared" si="43"/>
        <v>0</v>
      </c>
      <c r="BN55" s="139">
        <f t="shared" si="44"/>
        <v>315594.65478841867</v>
      </c>
      <c r="BQ55" s="170"/>
      <c r="BT55" s="143">
        <f t="shared" si="45"/>
        <v>0</v>
      </c>
      <c r="BW55" s="143"/>
      <c r="BX55" s="143">
        <f t="shared" ref="BX55:BX56" si="84">IF(AA63="non",0,1)</f>
        <v>1</v>
      </c>
      <c r="BY55" s="143">
        <f t="shared" ref="BY55:BY56" si="85">IF(AE63="non",0,1)</f>
        <v>0</v>
      </c>
      <c r="BZ55" s="129"/>
    </row>
    <row r="56" spans="1:78" ht="38" hidden="1">
      <c r="A56" s="105">
        <f t="shared" si="26"/>
        <v>56</v>
      </c>
      <c r="B56" s="106" t="s">
        <v>157</v>
      </c>
      <c r="C56" s="106">
        <f t="shared" si="27"/>
        <v>570</v>
      </c>
      <c r="D56" s="108" t="s">
        <v>318</v>
      </c>
      <c r="E56" s="187" t="s">
        <v>319</v>
      </c>
      <c r="F56" s="109" t="s">
        <v>320</v>
      </c>
      <c r="G56" s="109" t="s">
        <v>189</v>
      </c>
      <c r="H56" s="109" t="s">
        <v>321</v>
      </c>
      <c r="I56" s="110"/>
      <c r="J56" s="196">
        <f t="shared" si="75"/>
        <v>261.28254193548383</v>
      </c>
      <c r="K56" s="163">
        <f>'570_Max'!L1/1000</f>
        <v>46.62</v>
      </c>
      <c r="L56" s="112">
        <v>37</v>
      </c>
      <c r="M56" s="114">
        <f>1083*0.996</f>
        <v>1078.6679999999999</v>
      </c>
      <c r="N56" s="113">
        <f t="shared" si="48"/>
        <v>50287.502159999989</v>
      </c>
      <c r="O56" s="110"/>
      <c r="P56" s="165">
        <f>'570_Max'!M38</f>
        <v>19351.625</v>
      </c>
      <c r="Q56" s="165">
        <f>'570_Max'!N38</f>
        <v>5415.625</v>
      </c>
      <c r="R56" s="165">
        <f>'570_Max'!O38</f>
        <v>400.86760000000004</v>
      </c>
      <c r="S56" s="165">
        <f>'570_Max'!P38</f>
        <v>7600</v>
      </c>
      <c r="T56" s="165">
        <f>'570_Max'!Q38</f>
        <v>1270.8399999999999</v>
      </c>
      <c r="U56" s="165">
        <f>'570_Max'!R38</f>
        <v>6309.7125000000005</v>
      </c>
      <c r="V56" s="165">
        <f>'570_Max'!S38</f>
        <v>1155.6875</v>
      </c>
      <c r="W56" s="117">
        <f t="shared" si="28"/>
        <v>41504.357599999996</v>
      </c>
      <c r="X56" s="112"/>
      <c r="Y56" s="114">
        <f>'570_Max'!I150</f>
        <v>0</v>
      </c>
      <c r="Z56" s="120"/>
      <c r="AA56" s="112"/>
      <c r="AB56" s="113">
        <f t="shared" si="79"/>
        <v>0</v>
      </c>
      <c r="AC56" s="117">
        <f t="shared" si="30"/>
        <v>41504.357599999996</v>
      </c>
      <c r="AD56" s="112"/>
      <c r="AE56" s="112"/>
      <c r="AF56" s="121"/>
      <c r="AG56" s="122">
        <f t="shared" si="80"/>
        <v>0</v>
      </c>
      <c r="AH56" s="117">
        <f t="shared" si="32"/>
        <v>41504.357599999996</v>
      </c>
      <c r="AI56" s="109">
        <v>0</v>
      </c>
      <c r="AJ56" s="114">
        <f>'570_Max'!I172</f>
        <v>2840</v>
      </c>
      <c r="AK56" s="110"/>
      <c r="AL56" s="123"/>
      <c r="AM56" s="109">
        <f>'570_Max'!I179</f>
        <v>730</v>
      </c>
      <c r="AN56" s="124">
        <f t="shared" si="33"/>
        <v>35.06</v>
      </c>
      <c r="AO56" s="109" t="s">
        <v>163</v>
      </c>
      <c r="AP56" s="125">
        <f t="shared" si="34"/>
        <v>0</v>
      </c>
      <c r="AQ56" s="126">
        <v>5</v>
      </c>
      <c r="AR56" s="127">
        <f t="shared" si="35"/>
        <v>233.1</v>
      </c>
      <c r="AS56" s="128">
        <f t="shared" si="36"/>
        <v>998.16</v>
      </c>
      <c r="AT56" s="129"/>
      <c r="AU56" s="130"/>
      <c r="AV56" s="126"/>
      <c r="AW56" s="126">
        <f t="shared" si="68"/>
        <v>375</v>
      </c>
      <c r="AX56" s="129"/>
      <c r="AY56" s="169">
        <f t="shared" si="49"/>
        <v>9.4700000000000006</v>
      </c>
      <c r="AZ56" s="132">
        <f t="shared" si="83"/>
        <v>4762.2264545520002</v>
      </c>
      <c r="BA56" s="129"/>
      <c r="BB56" s="126"/>
      <c r="BC56" s="133">
        <f t="shared" ca="1" si="37"/>
        <v>0</v>
      </c>
      <c r="BD56" s="129"/>
      <c r="BE56" s="134">
        <f t="shared" si="38"/>
        <v>0.1147403966698668</v>
      </c>
      <c r="BF56" s="134">
        <f t="shared" si="39"/>
        <v>0.1147403966698668</v>
      </c>
      <c r="BG56" s="135">
        <f t="shared" si="40"/>
        <v>0.8902693607893607</v>
      </c>
      <c r="BH56" s="136">
        <f t="shared" si="41"/>
        <v>0.8902693607893607</v>
      </c>
      <c r="BI56" s="153"/>
      <c r="BJ56" s="126">
        <v>0</v>
      </c>
      <c r="BK56" s="129"/>
      <c r="BL56" s="138">
        <f t="shared" si="42"/>
        <v>0</v>
      </c>
      <c r="BM56" s="123">
        <f t="shared" si="43"/>
        <v>0</v>
      </c>
      <c r="BN56" s="139">
        <f t="shared" si="44"/>
        <v>0</v>
      </c>
      <c r="BQ56" s="170"/>
      <c r="BT56" s="143">
        <f t="shared" si="45"/>
        <v>0</v>
      </c>
      <c r="BW56" s="143"/>
      <c r="BX56" s="143">
        <f t="shared" si="84"/>
        <v>0</v>
      </c>
      <c r="BY56" s="143">
        <f t="shared" si="85"/>
        <v>0</v>
      </c>
      <c r="BZ56" s="129"/>
    </row>
    <row r="57" spans="1:78" ht="78.55" hidden="1">
      <c r="A57" s="177">
        <f t="shared" si="26"/>
        <v>57</v>
      </c>
      <c r="B57" s="106" t="s">
        <v>157</v>
      </c>
      <c r="C57" s="106">
        <f t="shared" si="27"/>
        <v>570</v>
      </c>
      <c r="D57" s="108" t="s">
        <v>318</v>
      </c>
      <c r="E57" s="187" t="s">
        <v>322</v>
      </c>
      <c r="F57" s="109" t="s">
        <v>320</v>
      </c>
      <c r="G57" s="109" t="s">
        <v>189</v>
      </c>
      <c r="H57" s="109" t="s">
        <v>196</v>
      </c>
      <c r="I57" s="110"/>
      <c r="J57" s="196">
        <f t="shared" si="75"/>
        <v>295.07777419354841</v>
      </c>
      <c r="K57" s="163">
        <f>'570_405_Max'!L1/1000</f>
        <v>52.65</v>
      </c>
      <c r="L57" s="112">
        <v>50</v>
      </c>
      <c r="M57" s="114">
        <v>1187</v>
      </c>
      <c r="N57" s="113">
        <f t="shared" si="48"/>
        <v>62495.549999999996</v>
      </c>
      <c r="O57" s="110"/>
      <c r="P57" s="165">
        <f>'570_405_Max'!M39</f>
        <v>31820.010000000002</v>
      </c>
      <c r="Q57" s="165">
        <f>'570_405_Max'!N39</f>
        <v>4465.7250000000004</v>
      </c>
      <c r="R57" s="165">
        <f>'570_405_Max'!O39</f>
        <v>1761.3736658333337</v>
      </c>
      <c r="S57" s="165">
        <f>'570_405_Max'!P39</f>
        <v>8920</v>
      </c>
      <c r="T57" s="165">
        <f>'570_405_Max'!Q39</f>
        <v>25607.859999999997</v>
      </c>
      <c r="U57" s="165">
        <f>'570_405_Max'!R39</f>
        <v>4126.6750000000002</v>
      </c>
      <c r="V57" s="165">
        <f>'570_405_Max'!S39</f>
        <v>1155.6875</v>
      </c>
      <c r="W57" s="117">
        <f t="shared" si="28"/>
        <v>77857.33116583334</v>
      </c>
      <c r="X57" s="112"/>
      <c r="Y57" s="114"/>
      <c r="Z57" s="120"/>
      <c r="AA57" s="112"/>
      <c r="AB57" s="113">
        <f t="shared" si="79"/>
        <v>0</v>
      </c>
      <c r="AC57" s="117">
        <f t="shared" si="30"/>
        <v>77857.33116583334</v>
      </c>
      <c r="AD57" s="112"/>
      <c r="AE57" s="112"/>
      <c r="AF57" s="121"/>
      <c r="AG57" s="122">
        <f t="shared" si="80"/>
        <v>0</v>
      </c>
      <c r="AH57" s="117">
        <f t="shared" si="32"/>
        <v>77857.33116583334</v>
      </c>
      <c r="AI57" s="109">
        <v>0</v>
      </c>
      <c r="AJ57" s="114">
        <f>'570_405_Max'!I179</f>
        <v>3300</v>
      </c>
      <c r="AK57" s="110"/>
      <c r="AL57" s="123"/>
      <c r="AM57" s="109">
        <f>'570_405_Max'!I186</f>
        <v>500</v>
      </c>
      <c r="AN57" s="124">
        <f t="shared" si="33"/>
        <v>447.78</v>
      </c>
      <c r="AO57" s="109" t="s">
        <v>170</v>
      </c>
      <c r="AP57" s="125">
        <f t="shared" si="34"/>
        <v>0</v>
      </c>
      <c r="AQ57" s="126">
        <v>5</v>
      </c>
      <c r="AR57" s="127">
        <f t="shared" si="35"/>
        <v>263.25</v>
      </c>
      <c r="AS57" s="128">
        <f t="shared" si="36"/>
        <v>1211.03</v>
      </c>
      <c r="AT57" s="175"/>
      <c r="AU57" s="130"/>
      <c r="AV57" s="126"/>
      <c r="AW57" s="126">
        <f t="shared" si="68"/>
        <v>375</v>
      </c>
      <c r="AX57" s="175"/>
      <c r="AY57" s="169">
        <f t="shared" si="49"/>
        <v>9.4700000000000006</v>
      </c>
      <c r="AZ57" s="132">
        <f t="shared" si="83"/>
        <v>5918.3285850000011</v>
      </c>
      <c r="BA57" s="129"/>
      <c r="BB57" s="126"/>
      <c r="BC57" s="133">
        <f t="shared" ca="1" si="37"/>
        <v>0</v>
      </c>
      <c r="BD57" s="175"/>
      <c r="BE57" s="134">
        <f t="shared" si="38"/>
        <v>7.6015045678796411E-2</v>
      </c>
      <c r="BF57" s="134">
        <f t="shared" si="39"/>
        <v>7.6015045678796411E-2</v>
      </c>
      <c r="BG57" s="135">
        <f t="shared" si="40"/>
        <v>1.4787717220481167</v>
      </c>
      <c r="BH57" s="136">
        <f t="shared" si="41"/>
        <v>1.4787717220481167</v>
      </c>
      <c r="BI57" s="176"/>
      <c r="BJ57" s="126">
        <v>0</v>
      </c>
      <c r="BK57" s="129"/>
      <c r="BL57" s="138"/>
      <c r="BM57" s="123"/>
      <c r="BN57" s="139"/>
      <c r="BQ57" s="170"/>
      <c r="BT57" s="143"/>
      <c r="BW57" s="143"/>
      <c r="BX57" s="143"/>
      <c r="BY57" s="143"/>
      <c r="BZ57" s="129"/>
    </row>
    <row r="58" spans="1:78" ht="94.25" hidden="1">
      <c r="A58" s="177">
        <f t="shared" si="26"/>
        <v>58</v>
      </c>
      <c r="B58" s="199" t="s">
        <v>157</v>
      </c>
      <c r="C58" s="106">
        <f t="shared" si="27"/>
        <v>570</v>
      </c>
      <c r="D58" s="108" t="s">
        <v>318</v>
      </c>
      <c r="E58" s="109" t="s">
        <v>323</v>
      </c>
      <c r="F58" s="109" t="s">
        <v>320</v>
      </c>
      <c r="G58" s="109" t="s">
        <v>189</v>
      </c>
      <c r="H58" s="109" t="s">
        <v>196</v>
      </c>
      <c r="I58" s="110"/>
      <c r="J58" s="196">
        <f t="shared" si="75"/>
        <v>667.32973548387099</v>
      </c>
      <c r="K58" s="163">
        <f>'570_405_bi_pan'!L1/1000</f>
        <v>119.07</v>
      </c>
      <c r="L58" s="112">
        <v>100</v>
      </c>
      <c r="M58" s="114">
        <v>1068</v>
      </c>
      <c r="N58" s="113">
        <f t="shared" si="48"/>
        <v>127166.76</v>
      </c>
      <c r="O58" s="110"/>
      <c r="P58" s="165">
        <f>'570_405_bi_pan'!M39</f>
        <v>71443.22</v>
      </c>
      <c r="Q58" s="165">
        <f>'570_405_bi_pan'!N39</f>
        <v>14467.975000000002</v>
      </c>
      <c r="R58" s="165">
        <f>'570_405_bi_pan'!O39</f>
        <v>3018.6541666666672</v>
      </c>
      <c r="S58" s="165">
        <f>'570_405_bi_pan'!P39</f>
        <v>15520</v>
      </c>
      <c r="T58" s="165">
        <f>'570_405_bi_pan'!Q39</f>
        <v>25607.859999999997</v>
      </c>
      <c r="U58" s="165">
        <f>'570_405_bi_pan'!R39</f>
        <v>5172.7999999999993</v>
      </c>
      <c r="V58" s="165">
        <f>'570_405_bi_pan'!S39</f>
        <v>1253.1875</v>
      </c>
      <c r="W58" s="117">
        <f t="shared" si="28"/>
        <v>136483.69666666668</v>
      </c>
      <c r="X58" s="112"/>
      <c r="Y58" s="114"/>
      <c r="Z58" s="120"/>
      <c r="AA58" s="112"/>
      <c r="AB58" s="113">
        <f t="shared" si="79"/>
        <v>0</v>
      </c>
      <c r="AC58" s="117">
        <f t="shared" si="30"/>
        <v>136483.69666666668</v>
      </c>
      <c r="AD58" s="112"/>
      <c r="AE58" s="112"/>
      <c r="AF58" s="121"/>
      <c r="AG58" s="122">
        <f t="shared" si="80"/>
        <v>0</v>
      </c>
      <c r="AH58" s="117">
        <f t="shared" si="32"/>
        <v>136483.69666666668</v>
      </c>
      <c r="AI58" s="109">
        <v>0</v>
      </c>
      <c r="AJ58" s="114">
        <f>'570_405_bi_pan'!I179</f>
        <v>3300</v>
      </c>
      <c r="AK58" s="110"/>
      <c r="AL58" s="123"/>
      <c r="AM58" s="109">
        <f>'570_405_bi_pan'!I186</f>
        <v>500</v>
      </c>
      <c r="AN58" s="124">
        <f t="shared" si="33"/>
        <v>447.78</v>
      </c>
      <c r="AO58" s="109" t="s">
        <v>170</v>
      </c>
      <c r="AP58" s="125">
        <f t="shared" si="34"/>
        <v>381.73841999999996</v>
      </c>
      <c r="AQ58" s="126">
        <v>5</v>
      </c>
      <c r="AR58" s="127">
        <f t="shared" si="35"/>
        <v>595.34999999999991</v>
      </c>
      <c r="AS58" s="128">
        <f t="shared" si="36"/>
        <v>1924.8684199999998</v>
      </c>
      <c r="AT58" s="175"/>
      <c r="AU58" s="130"/>
      <c r="AV58" s="126"/>
      <c r="AW58" s="126">
        <f t="shared" si="68"/>
        <v>375</v>
      </c>
      <c r="AX58" s="175"/>
      <c r="AY58" s="169">
        <f t="shared" si="49"/>
        <v>9.8000000000000007</v>
      </c>
      <c r="AZ58" s="132">
        <f t="shared" si="83"/>
        <v>12462.342480000001</v>
      </c>
      <c r="BA58" s="175"/>
      <c r="BB58" s="126"/>
      <c r="BC58" s="133">
        <f t="shared" ca="1" si="37"/>
        <v>0</v>
      </c>
      <c r="BD58" s="175"/>
      <c r="BE58" s="134">
        <f t="shared" si="38"/>
        <v>9.1310118236588397E-2</v>
      </c>
      <c r="BF58" s="134">
        <f t="shared" si="39"/>
        <v>9.1310118236588397E-2</v>
      </c>
      <c r="BG58" s="135">
        <f t="shared" si="40"/>
        <v>1.1462475574591979</v>
      </c>
      <c r="BH58" s="136">
        <f t="shared" si="41"/>
        <v>1.1462475574591979</v>
      </c>
      <c r="BI58" s="176"/>
      <c r="BJ58" s="126">
        <v>0</v>
      </c>
      <c r="BK58" s="129"/>
      <c r="BL58" s="138"/>
      <c r="BM58" s="123"/>
      <c r="BN58" s="139"/>
      <c r="BQ58" s="170"/>
      <c r="BT58" s="143"/>
      <c r="BW58" s="143"/>
      <c r="BX58" s="143"/>
      <c r="BY58" s="143"/>
      <c r="BZ58" s="129"/>
    </row>
    <row r="59" spans="1:78" ht="110" hidden="1">
      <c r="A59" s="177">
        <f t="shared" si="26"/>
        <v>59</v>
      </c>
      <c r="B59" s="199" t="s">
        <v>157</v>
      </c>
      <c r="C59" s="106">
        <f t="shared" si="27"/>
        <v>570</v>
      </c>
      <c r="D59" s="108" t="s">
        <v>318</v>
      </c>
      <c r="E59" s="109" t="s">
        <v>324</v>
      </c>
      <c r="F59" s="109" t="s">
        <v>320</v>
      </c>
      <c r="G59" s="109" t="s">
        <v>189</v>
      </c>
      <c r="H59" s="109" t="s">
        <v>196</v>
      </c>
      <c r="I59" s="110"/>
      <c r="J59" s="196">
        <f t="shared" si="75"/>
        <v>649.17110322580641</v>
      </c>
      <c r="K59" s="163">
        <f>'570_405_SE'!L1/1000</f>
        <v>115.83</v>
      </c>
      <c r="L59" s="112">
        <v>110</v>
      </c>
      <c r="M59" s="114">
        <f>124060/K59</f>
        <v>1071.0524043857376</v>
      </c>
      <c r="N59" s="113">
        <f t="shared" si="48"/>
        <v>124059.99999999999</v>
      </c>
      <c r="O59" s="110"/>
      <c r="P59" s="165">
        <f>'570_405_SE'!M39</f>
        <v>69610.595000000001</v>
      </c>
      <c r="Q59" s="165">
        <f>'570_405_SE'!N39</f>
        <v>16593.75</v>
      </c>
      <c r="R59" s="165">
        <f>'570_405_SE'!O39</f>
        <v>2995.4041666666667</v>
      </c>
      <c r="S59" s="165">
        <f>'570_405_SE'!P39</f>
        <v>16840</v>
      </c>
      <c r="T59" s="165">
        <f>'570_405_SE'!Q39</f>
        <v>25607.859999999997</v>
      </c>
      <c r="U59" s="165">
        <f>'570_405_SE'!R39</f>
        <v>5080.55</v>
      </c>
      <c r="V59" s="165">
        <f>'570_405_SE'!S39</f>
        <v>1253.1875</v>
      </c>
      <c r="W59" s="117">
        <f t="shared" si="28"/>
        <v>137981.34666666665</v>
      </c>
      <c r="X59" s="112"/>
      <c r="Y59" s="114"/>
      <c r="Z59" s="120"/>
      <c r="AA59" s="112"/>
      <c r="AB59" s="113">
        <f t="shared" si="79"/>
        <v>0</v>
      </c>
      <c r="AC59" s="117">
        <f t="shared" si="30"/>
        <v>137981.34666666665</v>
      </c>
      <c r="AD59" s="112"/>
      <c r="AE59" s="112"/>
      <c r="AF59" s="121"/>
      <c r="AG59" s="122">
        <f t="shared" si="80"/>
        <v>0</v>
      </c>
      <c r="AH59" s="117">
        <f t="shared" si="32"/>
        <v>137981.34666666665</v>
      </c>
      <c r="AI59" s="109">
        <v>0</v>
      </c>
      <c r="AJ59" s="114">
        <f>'570_405_SE'!I179</f>
        <v>3300</v>
      </c>
      <c r="AK59" s="110"/>
      <c r="AL59" s="123"/>
      <c r="AM59" s="109">
        <f>'570_405_SE'!I186</f>
        <v>500</v>
      </c>
      <c r="AN59" s="124">
        <f t="shared" si="33"/>
        <v>447.78</v>
      </c>
      <c r="AO59" s="109" t="s">
        <v>170</v>
      </c>
      <c r="AP59" s="125">
        <f t="shared" si="34"/>
        <v>371.35097999999999</v>
      </c>
      <c r="AQ59" s="126">
        <v>5</v>
      </c>
      <c r="AR59" s="127">
        <f t="shared" si="35"/>
        <v>579.15</v>
      </c>
      <c r="AS59" s="128">
        <f t="shared" si="36"/>
        <v>1898.28098</v>
      </c>
      <c r="AT59" s="175"/>
      <c r="AU59" s="130"/>
      <c r="AV59" s="126"/>
      <c r="AW59" s="126">
        <f t="shared" si="68"/>
        <v>375</v>
      </c>
      <c r="AX59" s="175"/>
      <c r="AY59" s="169">
        <f t="shared" si="49"/>
        <v>9.8000000000000007</v>
      </c>
      <c r="AZ59" s="132">
        <f t="shared" si="83"/>
        <v>12157.88</v>
      </c>
      <c r="BA59" s="175"/>
      <c r="BB59" s="126"/>
      <c r="BC59" s="133">
        <f t="shared" ca="1" si="37"/>
        <v>0</v>
      </c>
      <c r="BD59" s="175"/>
      <c r="BE59" s="134">
        <f t="shared" si="38"/>
        <v>8.8112489794514262E-2</v>
      </c>
      <c r="BF59" s="134">
        <f t="shared" si="39"/>
        <v>8.8112489794514262E-2</v>
      </c>
      <c r="BG59" s="135">
        <f t="shared" si="40"/>
        <v>1.1912401507957062</v>
      </c>
      <c r="BH59" s="136">
        <f t="shared" si="41"/>
        <v>1.1912401507957062</v>
      </c>
      <c r="BI59" s="176"/>
      <c r="BJ59" s="126">
        <v>0</v>
      </c>
      <c r="BK59" s="129"/>
      <c r="BL59" s="138"/>
      <c r="BM59" s="123"/>
      <c r="BN59" s="139"/>
      <c r="BQ59" s="170"/>
      <c r="BT59" s="143"/>
      <c r="BW59" s="143"/>
      <c r="BX59" s="143"/>
      <c r="BY59" s="143"/>
      <c r="BZ59" s="129"/>
    </row>
    <row r="60" spans="1:78" ht="94.25" hidden="1">
      <c r="A60" s="177">
        <f t="shared" si="26"/>
        <v>60</v>
      </c>
      <c r="B60" s="200" t="s">
        <v>157</v>
      </c>
      <c r="C60" s="106">
        <f t="shared" si="27"/>
        <v>570</v>
      </c>
      <c r="D60" s="108" t="s">
        <v>318</v>
      </c>
      <c r="E60" s="187" t="s">
        <v>325</v>
      </c>
      <c r="F60" s="109" t="s">
        <v>320</v>
      </c>
      <c r="G60" s="109" t="s">
        <v>189</v>
      </c>
      <c r="H60" s="109" t="s">
        <v>326</v>
      </c>
      <c r="I60" s="178"/>
      <c r="J60" s="196">
        <f t="shared" si="75"/>
        <v>624.20298387096773</v>
      </c>
      <c r="K60" s="163">
        <f>'570_375_bi_pan_Max'!L1/1000</f>
        <v>111.375</v>
      </c>
      <c r="L60" s="112">
        <v>106</v>
      </c>
      <c r="M60" s="114">
        <v>1114</v>
      </c>
      <c r="N60" s="113">
        <f t="shared" si="48"/>
        <v>124071.75</v>
      </c>
      <c r="O60" s="110"/>
      <c r="P60" s="165">
        <f>'570_375_bi_pan_Max'!M39</f>
        <v>64231.065000000002</v>
      </c>
      <c r="Q60" s="165">
        <f>'570_375_bi_pan_Max'!N39</f>
        <v>8931.4500000000007</v>
      </c>
      <c r="R60" s="165">
        <f>'570_375_bi_pan_Max'!O39</f>
        <v>3022.5291666666672</v>
      </c>
      <c r="S60" s="165">
        <f>'570_375_bi_pan_Max'!P39</f>
        <v>15520</v>
      </c>
      <c r="T60" s="165">
        <f>'570_375_bi_pan_Max'!Q39</f>
        <v>25607.859999999997</v>
      </c>
      <c r="U60" s="165">
        <f>'570_375_bi_pan_Max'!R39</f>
        <v>5188.1750000000002</v>
      </c>
      <c r="V60" s="165">
        <f>'570_375_bi_pan_Max'!S39</f>
        <v>1253.1875</v>
      </c>
      <c r="W60" s="117">
        <f t="shared" si="28"/>
        <v>123754.26666666666</v>
      </c>
      <c r="X60" s="112"/>
      <c r="Y60" s="114"/>
      <c r="Z60" s="120"/>
      <c r="AA60" s="112"/>
      <c r="AB60" s="113">
        <f>Z60*Y60+(1-Z60)*Y60*BX56</f>
        <v>0</v>
      </c>
      <c r="AC60" s="117">
        <f t="shared" si="30"/>
        <v>123754.26666666666</v>
      </c>
      <c r="AD60" s="112"/>
      <c r="AE60" s="112"/>
      <c r="AF60" s="121"/>
      <c r="AG60" s="122">
        <f>IF(AF60="",0,MIN(AF60,20*K60*AQ60)*BY56)</f>
        <v>0</v>
      </c>
      <c r="AH60" s="117">
        <f t="shared" si="32"/>
        <v>123754.26666666666</v>
      </c>
      <c r="AI60" s="109">
        <v>0</v>
      </c>
      <c r="AJ60" s="114">
        <f>'570_375_bi_pan_Max'!I179</f>
        <v>3300</v>
      </c>
      <c r="AK60" s="110"/>
      <c r="AL60" s="123"/>
      <c r="AM60" s="109">
        <f>'570_375_bi_pan_Max'!I186</f>
        <v>500</v>
      </c>
      <c r="AN60" s="124">
        <f t="shared" si="33"/>
        <v>447.78</v>
      </c>
      <c r="AO60" s="109" t="s">
        <v>170</v>
      </c>
      <c r="AP60" s="125">
        <f t="shared" si="34"/>
        <v>357.06824999999998</v>
      </c>
      <c r="AQ60" s="126">
        <v>5</v>
      </c>
      <c r="AR60" s="127">
        <f t="shared" si="35"/>
        <v>556.875</v>
      </c>
      <c r="AS60" s="128">
        <f t="shared" si="36"/>
        <v>1861.72325</v>
      </c>
      <c r="AT60" s="175"/>
      <c r="AU60" s="130"/>
      <c r="AV60" s="126"/>
      <c r="AW60" s="126">
        <f t="shared" si="68"/>
        <v>375</v>
      </c>
      <c r="AX60" s="175"/>
      <c r="AY60" s="169">
        <f t="shared" si="49"/>
        <v>9.8000000000000007</v>
      </c>
      <c r="AZ60" s="132">
        <f t="shared" si="83"/>
        <v>12068.594999999999</v>
      </c>
      <c r="BA60" s="129"/>
      <c r="BB60" s="126"/>
      <c r="BC60" s="133">
        <f t="shared" ca="1" si="37"/>
        <v>0</v>
      </c>
      <c r="BD60" s="175"/>
      <c r="BE60" s="134">
        <f t="shared" si="38"/>
        <v>9.7520637672290356E-2</v>
      </c>
      <c r="BF60" s="134">
        <f t="shared" si="39"/>
        <v>9.7520637672290356E-2</v>
      </c>
      <c r="BG60" s="135">
        <f t="shared" si="40"/>
        <v>1.1111494201271979</v>
      </c>
      <c r="BH60" s="136">
        <f t="shared" si="41"/>
        <v>1.1111494201271979</v>
      </c>
      <c r="BI60" s="176"/>
      <c r="BJ60" s="126">
        <v>0</v>
      </c>
      <c r="BK60" s="129"/>
      <c r="BL60" s="138"/>
      <c r="BM60" s="123"/>
      <c r="BN60" s="139"/>
      <c r="BQ60" s="170"/>
      <c r="BT60" s="143"/>
      <c r="BW60" s="143"/>
      <c r="BX60" s="143"/>
      <c r="BY60" s="143"/>
      <c r="BZ60" s="129"/>
    </row>
    <row r="61" spans="1:78" ht="94.25" hidden="1">
      <c r="A61" s="105">
        <f t="shared" si="26"/>
        <v>61</v>
      </c>
      <c r="B61" s="199" t="s">
        <v>157</v>
      </c>
      <c r="C61" s="106">
        <f t="shared" si="27"/>
        <v>570</v>
      </c>
      <c r="D61" s="108" t="s">
        <v>318</v>
      </c>
      <c r="E61" s="109" t="s">
        <v>327</v>
      </c>
      <c r="F61" s="109" t="s">
        <v>320</v>
      </c>
      <c r="G61" s="109" t="s">
        <v>189</v>
      </c>
      <c r="H61" s="109" t="s">
        <v>196</v>
      </c>
      <c r="I61" s="110"/>
      <c r="J61" s="196">
        <f t="shared" si="75"/>
        <v>201.76258064516128</v>
      </c>
      <c r="K61" s="163">
        <f>'570_36kW'!L1/1000</f>
        <v>36</v>
      </c>
      <c r="L61" s="112">
        <v>30</v>
      </c>
      <c r="M61" s="114">
        <v>1145</v>
      </c>
      <c r="N61" s="113">
        <f t="shared" si="48"/>
        <v>41220</v>
      </c>
      <c r="O61" s="110"/>
      <c r="P61" s="165">
        <f>'570_36kW'!M39</f>
        <v>20738.125</v>
      </c>
      <c r="Q61" s="165">
        <f>'570_36kW'!N39</f>
        <v>3329.2124999999996</v>
      </c>
      <c r="R61" s="165">
        <f>'570_36kW'!O39</f>
        <v>1454.71001</v>
      </c>
      <c r="S61" s="165">
        <f>'570_36kW'!P39</f>
        <v>7600</v>
      </c>
      <c r="T61" s="165">
        <f>'570_36kW'!Q39</f>
        <v>1270.8399999999999</v>
      </c>
      <c r="U61" s="165">
        <f>'570_36kW'!R39</f>
        <v>4179.0625</v>
      </c>
      <c r="V61" s="165">
        <f>'570_36kW'!S39</f>
        <v>1155.6875</v>
      </c>
      <c r="W61" s="117">
        <f t="shared" si="28"/>
        <v>39727.63751</v>
      </c>
      <c r="X61" s="112"/>
      <c r="Y61" s="114"/>
      <c r="Z61" s="120"/>
      <c r="AA61" s="112"/>
      <c r="AB61" s="113">
        <f t="shared" ref="AB61:AB62" si="86">Z61*Y61+(1-Z61)*Y61*BX54</f>
        <v>0</v>
      </c>
      <c r="AC61" s="117">
        <f t="shared" si="30"/>
        <v>39727.63751</v>
      </c>
      <c r="AD61" s="112"/>
      <c r="AE61" s="112"/>
      <c r="AF61" s="121"/>
      <c r="AG61" s="122">
        <f t="shared" ref="AG61:AG62" si="87">IF(AF61="",0,MIN(AF61,20*K61*AQ61)*BY54)</f>
        <v>0</v>
      </c>
      <c r="AH61" s="117">
        <f t="shared" si="32"/>
        <v>39727.63751</v>
      </c>
      <c r="AI61" s="109">
        <v>0</v>
      </c>
      <c r="AJ61" s="114">
        <f>'570_36kW'!I179</f>
        <v>3300</v>
      </c>
      <c r="AK61" s="110"/>
      <c r="AL61" s="123"/>
      <c r="AM61" s="109">
        <f>'570_36kW'!I186</f>
        <v>500</v>
      </c>
      <c r="AN61" s="124">
        <f t="shared" si="33"/>
        <v>35.06</v>
      </c>
      <c r="AO61" s="109" t="s">
        <v>163</v>
      </c>
      <c r="AP61" s="125">
        <f t="shared" si="34"/>
        <v>0</v>
      </c>
      <c r="AQ61" s="126">
        <v>5</v>
      </c>
      <c r="AR61" s="127">
        <f t="shared" si="35"/>
        <v>180</v>
      </c>
      <c r="AS61" s="128">
        <f t="shared" si="36"/>
        <v>715.06</v>
      </c>
      <c r="AT61" s="129"/>
      <c r="AU61" s="130"/>
      <c r="AV61" s="126"/>
      <c r="AW61" s="126">
        <f t="shared" si="68"/>
        <v>375</v>
      </c>
      <c r="AX61" s="129"/>
      <c r="AY61" s="169">
        <f t="shared" si="49"/>
        <v>10.89</v>
      </c>
      <c r="AZ61" s="132">
        <f t="shared" si="83"/>
        <v>4488.8580000000002</v>
      </c>
      <c r="BA61" s="129"/>
      <c r="BB61" s="126"/>
      <c r="BC61" s="133">
        <f t="shared" ca="1" si="37"/>
        <v>0</v>
      </c>
      <c r="BD61" s="129"/>
      <c r="BE61" s="134">
        <f t="shared" si="38"/>
        <v>0.11299081146897023</v>
      </c>
      <c r="BF61" s="134">
        <f t="shared" si="39"/>
        <v>0.11299081146897023</v>
      </c>
      <c r="BG61" s="135">
        <f t="shared" si="40"/>
        <v>1.1035454863888889</v>
      </c>
      <c r="BH61" s="136">
        <f t="shared" si="41"/>
        <v>1.1035454863888889</v>
      </c>
      <c r="BI61" s="153"/>
      <c r="BJ61" s="126">
        <v>0</v>
      </c>
      <c r="BK61" s="129"/>
      <c r="BL61" s="138">
        <f t="shared" si="42"/>
        <v>0</v>
      </c>
      <c r="BM61" s="123">
        <f t="shared" si="43"/>
        <v>0</v>
      </c>
      <c r="BN61" s="139">
        <f t="shared" si="44"/>
        <v>0</v>
      </c>
      <c r="BQ61" s="170"/>
      <c r="BT61" s="143">
        <f t="shared" si="45"/>
        <v>0</v>
      </c>
      <c r="BW61" s="143"/>
      <c r="BX61" s="143">
        <f>IF(AA65="non",0,1)</f>
        <v>1</v>
      </c>
      <c r="BY61" s="143">
        <f>IF(AE65="non",0,1)</f>
        <v>0</v>
      </c>
      <c r="BZ61" s="129"/>
    </row>
    <row r="62" spans="1:78" ht="94.25">
      <c r="A62" s="177">
        <f t="shared" si="26"/>
        <v>62</v>
      </c>
      <c r="B62" s="200" t="s">
        <v>157</v>
      </c>
      <c r="C62" s="106">
        <f t="shared" si="27"/>
        <v>570</v>
      </c>
      <c r="D62" s="108" t="s">
        <v>318</v>
      </c>
      <c r="E62" s="109" t="s">
        <v>328</v>
      </c>
      <c r="F62" s="109" t="s">
        <v>320</v>
      </c>
      <c r="G62" s="109" t="s">
        <v>189</v>
      </c>
      <c r="H62" s="109" t="s">
        <v>196</v>
      </c>
      <c r="I62" s="110"/>
      <c r="J62" s="196">
        <f t="shared" si="75"/>
        <v>553.83828387096776</v>
      </c>
      <c r="K62" s="163">
        <f>'570_405_99,9kWc'!L1/1000</f>
        <v>98.82</v>
      </c>
      <c r="L62" s="112">
        <v>100</v>
      </c>
      <c r="M62" s="114">
        <v>1073</v>
      </c>
      <c r="N62" s="113">
        <f t="shared" si="48"/>
        <v>106033.85999999999</v>
      </c>
      <c r="O62" s="110"/>
      <c r="P62" s="165">
        <f>'570_405_99,9kWc'!M39</f>
        <v>59148.260476190473</v>
      </c>
      <c r="Q62" s="165">
        <f>'570_405_99,9kWc'!N39</f>
        <v>8931.4500000000007</v>
      </c>
      <c r="R62" s="165">
        <f>'570_405_99,9kWc'!O39</f>
        <v>3854.2475000000004</v>
      </c>
      <c r="S62" s="165">
        <f>'570_405_99,9kWc'!P39</f>
        <v>12880</v>
      </c>
      <c r="T62" s="165">
        <f>'570_405_99,9kWc'!Q39</f>
        <v>25607.859999999997</v>
      </c>
      <c r="U62" s="165">
        <f>'570_405_99,9kWc'!R39</f>
        <v>5172.7999999999993</v>
      </c>
      <c r="V62" s="165">
        <f>'570_405_99,9kWc'!S39</f>
        <v>1253.1875</v>
      </c>
      <c r="W62" s="117">
        <f t="shared" si="28"/>
        <v>116847.80547619048</v>
      </c>
      <c r="X62" s="112"/>
      <c r="Y62" s="114"/>
      <c r="Z62" s="120"/>
      <c r="AA62" s="112"/>
      <c r="AB62" s="113">
        <f t="shared" si="86"/>
        <v>0</v>
      </c>
      <c r="AC62" s="117">
        <f t="shared" si="30"/>
        <v>116847.80547619048</v>
      </c>
      <c r="AD62" s="112"/>
      <c r="AE62" s="112"/>
      <c r="AF62" s="121"/>
      <c r="AG62" s="122">
        <f t="shared" si="87"/>
        <v>0</v>
      </c>
      <c r="AH62" s="117">
        <f t="shared" si="32"/>
        <v>116847.80547619048</v>
      </c>
      <c r="AI62" s="109">
        <v>0</v>
      </c>
      <c r="AJ62" s="114">
        <f>'570_405_99,9kWc'!I179</f>
        <v>3450</v>
      </c>
      <c r="AK62" s="110"/>
      <c r="AL62" s="123"/>
      <c r="AM62" s="109">
        <f>'570_405_99,9kWc'!I186</f>
        <v>500</v>
      </c>
      <c r="AN62" s="124">
        <f t="shared" si="33"/>
        <v>447.78</v>
      </c>
      <c r="AO62" s="109" t="s">
        <v>170</v>
      </c>
      <c r="AP62" s="125">
        <f t="shared" si="34"/>
        <v>0</v>
      </c>
      <c r="AQ62" s="126">
        <v>5</v>
      </c>
      <c r="AR62" s="127">
        <f t="shared" si="35"/>
        <v>494.09999999999997</v>
      </c>
      <c r="AS62" s="128">
        <f t="shared" si="36"/>
        <v>1441.8799999999999</v>
      </c>
      <c r="AT62" s="175"/>
      <c r="AU62" s="130"/>
      <c r="AV62" s="126"/>
      <c r="AW62" s="126">
        <f t="shared" si="68"/>
        <v>375</v>
      </c>
      <c r="AX62" s="175"/>
      <c r="AY62" s="169">
        <f t="shared" si="49"/>
        <v>9.4700000000000006</v>
      </c>
      <c r="AZ62" s="132">
        <f t="shared" si="83"/>
        <v>10041.406542000001</v>
      </c>
      <c r="BA62" s="175"/>
      <c r="BB62" s="126"/>
      <c r="BC62" s="133">
        <f t="shared" ca="1" si="37"/>
        <v>0</v>
      </c>
      <c r="BD62" s="175"/>
      <c r="BE62" s="134">
        <f t="shared" si="38"/>
        <v>8.5935773471125146E-2</v>
      </c>
      <c r="BF62" s="134">
        <f t="shared" si="39"/>
        <v>8.5935773471125146E-2</v>
      </c>
      <c r="BG62" s="135">
        <f t="shared" si="40"/>
        <v>1.1824307374639798</v>
      </c>
      <c r="BH62" s="136">
        <f t="shared" si="41"/>
        <v>1.1824307374639798</v>
      </c>
      <c r="BI62" s="176"/>
      <c r="BJ62" s="126">
        <v>0</v>
      </c>
      <c r="BK62" s="129"/>
      <c r="BL62" s="138"/>
      <c r="BM62" s="123"/>
      <c r="BN62" s="139"/>
      <c r="BQ62" s="170"/>
      <c r="BT62" s="143"/>
      <c r="BW62" s="143"/>
      <c r="BX62" s="143"/>
      <c r="BY62" s="143"/>
      <c r="BZ62" s="129"/>
    </row>
    <row r="63" spans="1:78" ht="78.55" hidden="1">
      <c r="A63" s="105">
        <f t="shared" si="26"/>
        <v>63</v>
      </c>
      <c r="B63" s="106" t="s">
        <v>157</v>
      </c>
      <c r="C63" s="106">
        <f t="shared" si="27"/>
        <v>599</v>
      </c>
      <c r="D63" s="108" t="s">
        <v>329</v>
      </c>
      <c r="E63" s="109" t="s">
        <v>330</v>
      </c>
      <c r="F63" s="109" t="s">
        <v>331</v>
      </c>
      <c r="G63" s="109" t="s">
        <v>332</v>
      </c>
      <c r="H63" s="109" t="s">
        <v>333</v>
      </c>
      <c r="I63" s="110"/>
      <c r="J63" s="196">
        <f t="shared" si="75"/>
        <v>157.62701612903226</v>
      </c>
      <c r="K63" s="163">
        <f>'599_Sur'!L1/1000</f>
        <v>28.125</v>
      </c>
      <c r="L63" s="112">
        <v>26</v>
      </c>
      <c r="M63" s="114">
        <v>1169</v>
      </c>
      <c r="N63" s="113">
        <f t="shared" si="48"/>
        <v>32878.125</v>
      </c>
      <c r="O63" s="110"/>
      <c r="P63" s="165">
        <f>'599_Sur'!M38</f>
        <v>14513.125</v>
      </c>
      <c r="Q63" s="165">
        <f>'599_Sur'!N38</f>
        <v>4172.4750000000004</v>
      </c>
      <c r="R63" s="165">
        <f>'599_Sur'!O38</f>
        <v>487.51256000000006</v>
      </c>
      <c r="S63" s="165">
        <f>'599_Sur'!P38</f>
        <v>5280</v>
      </c>
      <c r="T63" s="165">
        <f>'599_Sur'!Q38</f>
        <v>4984.2399999999989</v>
      </c>
      <c r="U63" s="165">
        <f>'599_Sur'!R38</f>
        <v>1677.7874999999999</v>
      </c>
      <c r="V63" s="165">
        <f>'599_Sur'!S38</f>
        <v>1155.6875</v>
      </c>
      <c r="W63" s="117">
        <f t="shared" si="28"/>
        <v>32270.827559999994</v>
      </c>
      <c r="X63" s="112"/>
      <c r="Y63" s="114"/>
      <c r="Z63" s="120">
        <v>0</v>
      </c>
      <c r="AA63" s="112"/>
      <c r="AB63" s="113">
        <f t="shared" ref="AB63:AB64" si="88">Z63*Y63+(1-Z63)*Y63*BX55</f>
        <v>0</v>
      </c>
      <c r="AC63" s="117">
        <f t="shared" si="30"/>
        <v>32270.827559999994</v>
      </c>
      <c r="AD63" s="112"/>
      <c r="AE63" s="112" t="s">
        <v>157</v>
      </c>
      <c r="AF63" s="121"/>
      <c r="AG63" s="122">
        <f t="shared" ref="AG63:AG64" si="89">IF(AF63="",0,MIN(AF63,20*K63*AQ63)*BY55)</f>
        <v>0</v>
      </c>
      <c r="AH63" s="117">
        <f t="shared" si="32"/>
        <v>32270.827559999994</v>
      </c>
      <c r="AI63" s="109">
        <v>0</v>
      </c>
      <c r="AJ63" s="114">
        <f>'599_Sur'!I172</f>
        <v>1660</v>
      </c>
      <c r="AK63" s="110"/>
      <c r="AL63" s="123"/>
      <c r="AM63" s="109">
        <f>'599_Sur'!I181</f>
        <v>250</v>
      </c>
      <c r="AN63" s="124">
        <f t="shared" si="33"/>
        <v>35.06</v>
      </c>
      <c r="AO63" s="109" t="s">
        <v>163</v>
      </c>
      <c r="AP63" s="125">
        <f t="shared" si="34"/>
        <v>0</v>
      </c>
      <c r="AQ63" s="126">
        <v>5</v>
      </c>
      <c r="AR63" s="127">
        <f t="shared" si="35"/>
        <v>140.625</v>
      </c>
      <c r="AS63" s="128">
        <f t="shared" si="36"/>
        <v>425.685</v>
      </c>
      <c r="AT63" s="129"/>
      <c r="AU63" s="130"/>
      <c r="AV63" s="126"/>
      <c r="AW63" s="126">
        <f t="shared" si="68"/>
        <v>375</v>
      </c>
      <c r="AX63" s="129"/>
      <c r="AY63" s="169">
        <f t="shared" si="49"/>
        <v>10.89</v>
      </c>
      <c r="AZ63" s="132">
        <f t="shared" si="83"/>
        <v>3580.4278125000001</v>
      </c>
      <c r="BA63" s="129"/>
      <c r="BB63" s="126"/>
      <c r="BC63" s="133">
        <f t="shared" ca="1" si="37"/>
        <v>0</v>
      </c>
      <c r="BD63" s="129"/>
      <c r="BE63" s="134">
        <f t="shared" si="38"/>
        <v>0.11094936458766168</v>
      </c>
      <c r="BF63" s="134">
        <f t="shared" si="39"/>
        <v>0.11094936458766168</v>
      </c>
      <c r="BG63" s="135">
        <f t="shared" si="40"/>
        <v>1.147407202133333</v>
      </c>
      <c r="BH63" s="136">
        <f t="shared" si="41"/>
        <v>1.147407202133333</v>
      </c>
      <c r="BI63" s="153"/>
      <c r="BJ63" s="126">
        <v>0</v>
      </c>
      <c r="BK63" s="129"/>
      <c r="BL63" s="138">
        <f t="shared" si="42"/>
        <v>0</v>
      </c>
      <c r="BM63" s="123">
        <f t="shared" si="43"/>
        <v>0</v>
      </c>
      <c r="BN63" s="139">
        <f t="shared" si="44"/>
        <v>0</v>
      </c>
      <c r="BQ63" s="170"/>
      <c r="BT63" s="143">
        <f t="shared" si="45"/>
        <v>0</v>
      </c>
      <c r="BW63" s="143"/>
      <c r="BX63" s="143">
        <f t="shared" si="77"/>
        <v>1</v>
      </c>
      <c r="BY63" s="143">
        <f t="shared" si="78"/>
        <v>0</v>
      </c>
      <c r="BZ63" s="129"/>
    </row>
    <row r="64" spans="1:78" ht="78.55" hidden="1">
      <c r="A64" s="105">
        <f t="shared" si="26"/>
        <v>64</v>
      </c>
      <c r="B64" s="106" t="s">
        <v>157</v>
      </c>
      <c r="C64" s="106">
        <f t="shared" si="27"/>
        <v>599</v>
      </c>
      <c r="D64" s="108" t="s">
        <v>329</v>
      </c>
      <c r="E64" s="109" t="s">
        <v>334</v>
      </c>
      <c r="F64" s="109" t="s">
        <v>331</v>
      </c>
      <c r="G64" s="109" t="s">
        <v>335</v>
      </c>
      <c r="H64" s="109" t="s">
        <v>333</v>
      </c>
      <c r="I64" s="110"/>
      <c r="J64" s="196">
        <f t="shared" si="75"/>
        <v>159.72870967741935</v>
      </c>
      <c r="K64" s="163">
        <f>'599_ISB'!L1/1000</f>
        <v>28.5</v>
      </c>
      <c r="L64" s="112">
        <v>26</v>
      </c>
      <c r="M64" s="114">
        <v>1169</v>
      </c>
      <c r="N64" s="113">
        <f t="shared" si="48"/>
        <v>33316.5</v>
      </c>
      <c r="O64" s="110"/>
      <c r="P64" s="165">
        <f>'599_ISB'!M38</f>
        <v>12726.724999999999</v>
      </c>
      <c r="Q64" s="165">
        <f>'599_ISB'!N38</f>
        <v>4172.4750000000004</v>
      </c>
      <c r="R64" s="165">
        <f>'599_ISB'!O38</f>
        <v>489.04288000000003</v>
      </c>
      <c r="S64" s="165">
        <f>'599_ISB'!P38</f>
        <v>5280</v>
      </c>
      <c r="T64" s="165">
        <f>'599_ISB'!Q38</f>
        <v>4984.2399999999989</v>
      </c>
      <c r="U64" s="165">
        <f>'599_ISB'!R38</f>
        <v>1677.7874999999999</v>
      </c>
      <c r="V64" s="165">
        <f>'599_ISB'!S38</f>
        <v>1155.6875</v>
      </c>
      <c r="W64" s="117">
        <f t="shared" si="28"/>
        <v>30485.957879999994</v>
      </c>
      <c r="X64" s="112" t="s">
        <v>336</v>
      </c>
      <c r="Y64" s="114">
        <f>'599_ISB'!I153</f>
        <v>18085.547624163344</v>
      </c>
      <c r="Z64" s="120">
        <v>1</v>
      </c>
      <c r="AA64" s="112" t="s">
        <v>157</v>
      </c>
      <c r="AB64" s="113">
        <f t="shared" si="88"/>
        <v>18085.547624163344</v>
      </c>
      <c r="AC64" s="117">
        <f t="shared" si="30"/>
        <v>48571.505504163339</v>
      </c>
      <c r="AD64" s="112"/>
      <c r="AE64" s="112" t="s">
        <v>157</v>
      </c>
      <c r="AF64" s="121"/>
      <c r="AG64" s="122">
        <f t="shared" si="89"/>
        <v>0</v>
      </c>
      <c r="AH64" s="117">
        <f t="shared" si="32"/>
        <v>48571.505504163339</v>
      </c>
      <c r="AI64" s="109">
        <v>0</v>
      </c>
      <c r="AJ64" s="114">
        <f>'599_ISB'!I175</f>
        <v>1660</v>
      </c>
      <c r="AK64" s="110"/>
      <c r="AL64" s="123"/>
      <c r="AM64" s="109">
        <f>'599_ISB'!I184</f>
        <v>250</v>
      </c>
      <c r="AN64" s="124">
        <f t="shared" si="33"/>
        <v>35.06</v>
      </c>
      <c r="AO64" s="109" t="s">
        <v>163</v>
      </c>
      <c r="AP64" s="125">
        <f t="shared" si="34"/>
        <v>0</v>
      </c>
      <c r="AQ64" s="126">
        <v>5</v>
      </c>
      <c r="AR64" s="127">
        <f t="shared" si="35"/>
        <v>142.5</v>
      </c>
      <c r="AS64" s="128">
        <f t="shared" si="36"/>
        <v>427.56</v>
      </c>
      <c r="AT64" s="129"/>
      <c r="AU64" s="130"/>
      <c r="AV64" s="126"/>
      <c r="AW64" s="126">
        <f t="shared" si="68"/>
        <v>375</v>
      </c>
      <c r="AX64" s="129"/>
      <c r="AY64" s="169">
        <f t="shared" si="49"/>
        <v>10.89</v>
      </c>
      <c r="AZ64" s="132">
        <f t="shared" si="83"/>
        <v>3628.1668500000001</v>
      </c>
      <c r="BA64" s="129"/>
      <c r="BB64" s="126"/>
      <c r="BC64" s="133">
        <f t="shared" ca="1" si="37"/>
        <v>0</v>
      </c>
      <c r="BD64" s="129"/>
      <c r="BE64" s="134">
        <f t="shared" si="38"/>
        <v>7.4697434480160585E-2</v>
      </c>
      <c r="BF64" s="134">
        <f t="shared" si="39"/>
        <v>7.4697434480160585E-2</v>
      </c>
      <c r="BG64" s="135">
        <f t="shared" si="40"/>
        <v>1.0696827326315788</v>
      </c>
      <c r="BH64" s="136">
        <f t="shared" si="41"/>
        <v>1.704263351023275</v>
      </c>
      <c r="BI64" s="153"/>
      <c r="BJ64" s="126">
        <v>0</v>
      </c>
      <c r="BK64" s="129"/>
      <c r="BL64" s="138">
        <f t="shared" si="42"/>
        <v>0</v>
      </c>
      <c r="BM64" s="123">
        <f t="shared" si="43"/>
        <v>0</v>
      </c>
      <c r="BN64" s="139">
        <f t="shared" si="44"/>
        <v>0</v>
      </c>
      <c r="BQ64" s="170"/>
      <c r="BT64" s="143">
        <f t="shared" si="45"/>
        <v>0</v>
      </c>
      <c r="BW64" s="143"/>
      <c r="BX64" s="143">
        <f t="shared" si="77"/>
        <v>1</v>
      </c>
      <c r="BY64" s="143">
        <f t="shared" si="78"/>
        <v>0</v>
      </c>
      <c r="BZ64" s="129"/>
    </row>
    <row r="65" spans="1:98" ht="47.15" hidden="1">
      <c r="A65" s="105">
        <f t="shared" si="26"/>
        <v>65</v>
      </c>
      <c r="B65" s="106" t="s">
        <v>157</v>
      </c>
      <c r="C65" s="106">
        <f t="shared" si="27"/>
        <v>605</v>
      </c>
      <c r="D65" s="108" t="s">
        <v>337</v>
      </c>
      <c r="E65" s="109" t="s">
        <v>338</v>
      </c>
      <c r="F65" s="109" t="s">
        <v>339</v>
      </c>
      <c r="G65" s="109" t="s">
        <v>189</v>
      </c>
      <c r="H65" s="109" t="s">
        <v>196</v>
      </c>
      <c r="I65" s="110"/>
      <c r="J65" s="196">
        <f t="shared" si="75"/>
        <v>808.73167741935492</v>
      </c>
      <c r="K65" s="163">
        <f>'605'!A4*'605'!I1/1000</f>
        <v>144.30000000000001</v>
      </c>
      <c r="L65" s="112">
        <v>120</v>
      </c>
      <c r="M65" s="114">
        <v>1150</v>
      </c>
      <c r="N65" s="113">
        <f t="shared" si="48"/>
        <v>165945</v>
      </c>
      <c r="O65" s="110"/>
      <c r="P65" s="165">
        <f>'605'!M41</f>
        <v>64521.875</v>
      </c>
      <c r="Q65" s="165">
        <f>'605'!N41</f>
        <v>25574</v>
      </c>
      <c r="R65" s="165">
        <f>'605'!O41</f>
        <v>60724.261115384579</v>
      </c>
      <c r="S65" s="165">
        <f>'605'!P41</f>
        <v>44360</v>
      </c>
      <c r="T65" s="165">
        <f>'605'!Q41</f>
        <v>15049.839999999998</v>
      </c>
      <c r="U65" s="165">
        <f>'605'!R41</f>
        <v>9405.6</v>
      </c>
      <c r="V65" s="165">
        <f>'605'!S41</f>
        <v>836.92499999999995</v>
      </c>
      <c r="W65" s="117">
        <f t="shared" si="28"/>
        <v>220472.50111538457</v>
      </c>
      <c r="X65" s="112"/>
      <c r="Y65" s="114"/>
      <c r="Z65" s="120">
        <v>1</v>
      </c>
      <c r="AA65" s="112"/>
      <c r="AB65" s="113">
        <f>Z65*Y65+(1-Z65)*Y65*BX61</f>
        <v>0</v>
      </c>
      <c r="AC65" s="117">
        <f t="shared" si="30"/>
        <v>220472.50111538457</v>
      </c>
      <c r="AD65" s="112"/>
      <c r="AE65" s="112" t="s">
        <v>157</v>
      </c>
      <c r="AF65" s="121"/>
      <c r="AG65" s="122">
        <f>IF(AF65="",0,MIN(AF65,20*K65*AQ65)*BY61)</f>
        <v>0</v>
      </c>
      <c r="AH65" s="117">
        <f t="shared" si="32"/>
        <v>220472.50111538457</v>
      </c>
      <c r="AI65" s="109">
        <v>0</v>
      </c>
      <c r="AJ65" s="114">
        <f>'605'!I175</f>
        <v>1340</v>
      </c>
      <c r="AK65" s="110"/>
      <c r="AL65" s="123"/>
      <c r="AM65" s="109">
        <f>'605'!I184</f>
        <v>500</v>
      </c>
      <c r="AN65" s="124">
        <f t="shared" si="33"/>
        <v>447.78</v>
      </c>
      <c r="AO65" s="109" t="s">
        <v>170</v>
      </c>
      <c r="AP65" s="125">
        <f t="shared" si="34"/>
        <v>462.62580000000003</v>
      </c>
      <c r="AQ65" s="126">
        <v>1</v>
      </c>
      <c r="AR65" s="127">
        <f t="shared" si="35"/>
        <v>144.30000000000001</v>
      </c>
      <c r="AS65" s="128">
        <f t="shared" si="36"/>
        <v>1554.7058</v>
      </c>
      <c r="AT65" s="129"/>
      <c r="AU65" s="130"/>
      <c r="AV65" s="126"/>
      <c r="AW65" s="126">
        <f t="shared" si="68"/>
        <v>375</v>
      </c>
      <c r="AX65" s="129"/>
      <c r="AY65" s="169">
        <f t="shared" si="49"/>
        <v>9.8000000000000007</v>
      </c>
      <c r="AZ65" s="132">
        <f t="shared" si="83"/>
        <v>15844.140000000003</v>
      </c>
      <c r="BA65" s="129"/>
      <c r="BB65" s="126"/>
      <c r="BC65" s="133">
        <f t="shared" ca="1" si="37"/>
        <v>0</v>
      </c>
      <c r="BD65" s="129"/>
      <c r="BE65" s="134">
        <f t="shared" si="38"/>
        <v>7.1864472529877779E-2</v>
      </c>
      <c r="BF65" s="134">
        <f t="shared" si="39"/>
        <v>7.1864472529877779E-2</v>
      </c>
      <c r="BG65" s="135">
        <f t="shared" si="40"/>
        <v>1.5278759606055756</v>
      </c>
      <c r="BH65" s="136">
        <f t="shared" si="41"/>
        <v>1.5278759606055756</v>
      </c>
      <c r="BI65" s="153"/>
      <c r="BJ65" s="126">
        <v>0</v>
      </c>
      <c r="BK65" s="129"/>
      <c r="BL65" s="138">
        <f t="shared" si="42"/>
        <v>0</v>
      </c>
      <c r="BM65" s="123">
        <f t="shared" si="43"/>
        <v>0</v>
      </c>
      <c r="BN65" s="139">
        <f t="shared" si="44"/>
        <v>0</v>
      </c>
      <c r="BQ65" s="170"/>
      <c r="BT65" s="143">
        <f t="shared" si="45"/>
        <v>0</v>
      </c>
      <c r="BW65" s="143"/>
      <c r="BX65" s="143">
        <f t="shared" si="77"/>
        <v>1</v>
      </c>
      <c r="BY65" s="143">
        <f t="shared" si="78"/>
        <v>0</v>
      </c>
      <c r="BZ65" s="129"/>
    </row>
    <row r="66" spans="1:98" ht="30.8" hidden="1" customHeight="1">
      <c r="A66" s="105">
        <f t="shared" si="26"/>
        <v>66</v>
      </c>
      <c r="B66" s="106"/>
      <c r="C66" s="106" t="e">
        <f t="shared" si="27"/>
        <v>#VALUE!</v>
      </c>
      <c r="D66" s="108"/>
      <c r="E66" s="109"/>
      <c r="F66" s="109"/>
      <c r="G66" s="109"/>
      <c r="H66" s="109"/>
      <c r="I66" s="110"/>
      <c r="J66" s="196">
        <f t="shared" si="75"/>
        <v>0</v>
      </c>
      <c r="K66" s="112"/>
      <c r="L66" s="112"/>
      <c r="M66" s="114"/>
      <c r="N66" s="113">
        <f t="shared" si="48"/>
        <v>0</v>
      </c>
      <c r="O66" s="110"/>
      <c r="P66" s="165"/>
      <c r="Q66" s="165"/>
      <c r="R66" s="165"/>
      <c r="S66" s="165"/>
      <c r="T66" s="165"/>
      <c r="U66" s="166"/>
      <c r="V66" s="166"/>
      <c r="W66" s="117">
        <f t="shared" si="28"/>
        <v>0</v>
      </c>
      <c r="X66" s="112"/>
      <c r="Y66" s="114"/>
      <c r="Z66" s="120">
        <v>1</v>
      </c>
      <c r="AA66" s="112"/>
      <c r="AB66" s="113">
        <f t="shared" si="79"/>
        <v>0</v>
      </c>
      <c r="AC66" s="117">
        <f t="shared" si="30"/>
        <v>0</v>
      </c>
      <c r="AD66" s="112"/>
      <c r="AE66" s="112" t="s">
        <v>157</v>
      </c>
      <c r="AF66" s="121"/>
      <c r="AG66" s="122">
        <f t="shared" si="80"/>
        <v>0</v>
      </c>
      <c r="AH66" s="117">
        <f t="shared" si="32"/>
        <v>0</v>
      </c>
      <c r="AI66" s="109"/>
      <c r="AJ66" s="114"/>
      <c r="AK66" s="110"/>
      <c r="AL66" s="123"/>
      <c r="AM66" s="109"/>
      <c r="AN66" s="124" t="str">
        <f t="shared" si="33"/>
        <v xml:space="preserve"> </v>
      </c>
      <c r="AO66" s="109"/>
      <c r="AP66" s="125">
        <f t="shared" si="34"/>
        <v>0</v>
      </c>
      <c r="AQ66" s="126"/>
      <c r="AR66" s="127">
        <f t="shared" si="35"/>
        <v>0</v>
      </c>
      <c r="AS66" s="128">
        <f t="shared" si="36"/>
        <v>0</v>
      </c>
      <c r="AT66" s="129"/>
      <c r="AU66" s="130"/>
      <c r="AV66" s="126"/>
      <c r="AW66" s="126"/>
      <c r="AX66" s="129"/>
      <c r="AY66" s="169">
        <f t="shared" si="49"/>
        <v>0</v>
      </c>
      <c r="AZ66" s="132">
        <f t="shared" si="83"/>
        <v>0</v>
      </c>
      <c r="BA66" s="129"/>
      <c r="BB66" s="126"/>
      <c r="BC66" s="133">
        <f t="shared" ca="1" si="37"/>
        <v>0</v>
      </c>
      <c r="BD66" s="129"/>
      <c r="BE66" s="134" t="str">
        <f t="shared" si="38"/>
        <v xml:space="preserve"> </v>
      </c>
      <c r="BF66" s="134" t="str">
        <f t="shared" si="39"/>
        <v xml:space="preserve"> </v>
      </c>
      <c r="BG66" s="135" t="str">
        <f t="shared" si="40"/>
        <v/>
      </c>
      <c r="BH66" s="136" t="str">
        <f t="shared" si="41"/>
        <v xml:space="preserve"> </v>
      </c>
      <c r="BI66" s="153"/>
      <c r="BJ66" s="126"/>
      <c r="BK66" s="129"/>
      <c r="BL66" s="138">
        <f t="shared" si="42"/>
        <v>0</v>
      </c>
      <c r="BM66" s="123">
        <f t="shared" si="43"/>
        <v>0</v>
      </c>
      <c r="BN66" s="139">
        <f t="shared" si="44"/>
        <v>0</v>
      </c>
      <c r="BQ66" s="170"/>
      <c r="BT66" s="143">
        <f t="shared" si="45"/>
        <v>0</v>
      </c>
      <c r="BW66" s="143"/>
      <c r="BX66" s="143">
        <f t="shared" si="77"/>
        <v>1</v>
      </c>
      <c r="BY66" s="143">
        <f t="shared" si="78"/>
        <v>0</v>
      </c>
      <c r="BZ66" s="129"/>
    </row>
    <row r="67" spans="1:98" ht="30.8" hidden="1" customHeight="1">
      <c r="A67" s="105">
        <f t="shared" si="26"/>
        <v>67</v>
      </c>
      <c r="B67" s="106"/>
      <c r="C67" s="106" t="e">
        <f t="shared" si="27"/>
        <v>#VALUE!</v>
      </c>
      <c r="D67" s="108"/>
      <c r="E67" s="109"/>
      <c r="F67" s="109"/>
      <c r="G67" s="109"/>
      <c r="H67" s="109"/>
      <c r="I67" s="110"/>
      <c r="J67" s="196">
        <f t="shared" si="75"/>
        <v>0</v>
      </c>
      <c r="K67" s="112"/>
      <c r="L67" s="112"/>
      <c r="M67" s="114"/>
      <c r="N67" s="113">
        <f t="shared" si="48"/>
        <v>0</v>
      </c>
      <c r="O67" s="110"/>
      <c r="P67" s="165"/>
      <c r="Q67" s="165"/>
      <c r="R67" s="165"/>
      <c r="S67" s="165"/>
      <c r="T67" s="165"/>
      <c r="U67" s="166"/>
      <c r="V67" s="166"/>
      <c r="W67" s="117">
        <f t="shared" si="28"/>
        <v>0</v>
      </c>
      <c r="X67" s="112"/>
      <c r="Y67" s="114"/>
      <c r="Z67" s="120">
        <v>1</v>
      </c>
      <c r="AA67" s="112"/>
      <c r="AB67" s="113">
        <f t="shared" si="79"/>
        <v>0</v>
      </c>
      <c r="AC67" s="117">
        <f t="shared" si="30"/>
        <v>0</v>
      </c>
      <c r="AD67" s="112"/>
      <c r="AE67" s="112" t="s">
        <v>157</v>
      </c>
      <c r="AF67" s="121"/>
      <c r="AG67" s="122">
        <f t="shared" si="80"/>
        <v>0</v>
      </c>
      <c r="AH67" s="117">
        <f t="shared" si="32"/>
        <v>0</v>
      </c>
      <c r="AI67" s="109"/>
      <c r="AJ67" s="114"/>
      <c r="AK67" s="110"/>
      <c r="AL67" s="123"/>
      <c r="AM67" s="109"/>
      <c r="AN67" s="124" t="str">
        <f t="shared" si="33"/>
        <v xml:space="preserve"> </v>
      </c>
      <c r="AO67" s="109"/>
      <c r="AP67" s="125">
        <f t="shared" si="34"/>
        <v>0</v>
      </c>
      <c r="AQ67" s="126"/>
      <c r="AR67" s="127">
        <f t="shared" si="35"/>
        <v>0</v>
      </c>
      <c r="AS67" s="128">
        <f t="shared" si="36"/>
        <v>0</v>
      </c>
      <c r="AT67" s="129"/>
      <c r="AU67" s="130"/>
      <c r="AV67" s="126"/>
      <c r="AW67" s="126"/>
      <c r="AX67" s="129"/>
      <c r="AY67" s="169">
        <f t="shared" si="49"/>
        <v>0</v>
      </c>
      <c r="AZ67" s="132">
        <f t="shared" si="83"/>
        <v>0</v>
      </c>
      <c r="BA67" s="129"/>
      <c r="BB67" s="126"/>
      <c r="BC67" s="133">
        <f t="shared" ca="1" si="37"/>
        <v>0</v>
      </c>
      <c r="BD67" s="129"/>
      <c r="BE67" s="134" t="str">
        <f t="shared" si="38"/>
        <v xml:space="preserve"> </v>
      </c>
      <c r="BF67" s="134" t="str">
        <f t="shared" si="39"/>
        <v xml:space="preserve"> </v>
      </c>
      <c r="BG67" s="135" t="str">
        <f t="shared" si="40"/>
        <v/>
      </c>
      <c r="BH67" s="136" t="str">
        <f t="shared" si="41"/>
        <v xml:space="preserve"> </v>
      </c>
      <c r="BI67" s="153"/>
      <c r="BJ67" s="126"/>
      <c r="BK67" s="129"/>
      <c r="BL67" s="138">
        <f t="shared" si="42"/>
        <v>0</v>
      </c>
      <c r="BM67" s="123">
        <f t="shared" si="43"/>
        <v>0</v>
      </c>
      <c r="BN67" s="139">
        <f t="shared" si="44"/>
        <v>0</v>
      </c>
      <c r="BQ67" s="170"/>
      <c r="BT67" s="143">
        <f t="shared" si="45"/>
        <v>0</v>
      </c>
      <c r="BW67" s="143"/>
      <c r="BX67" s="143">
        <f t="shared" si="77"/>
        <v>1</v>
      </c>
      <c r="BY67" s="143">
        <f t="shared" si="78"/>
        <v>0</v>
      </c>
      <c r="BZ67" s="129"/>
    </row>
    <row r="68" spans="1:98" ht="30.8" hidden="1" customHeight="1">
      <c r="A68" s="105">
        <f t="shared" si="26"/>
        <v>68</v>
      </c>
      <c r="B68" s="106"/>
      <c r="C68" s="106" t="e">
        <f t="shared" si="27"/>
        <v>#VALUE!</v>
      </c>
      <c r="D68" s="108"/>
      <c r="E68" s="109"/>
      <c r="F68" s="109"/>
      <c r="G68" s="109"/>
      <c r="H68" s="109"/>
      <c r="I68" s="110"/>
      <c r="J68" s="196">
        <f t="shared" si="75"/>
        <v>0</v>
      </c>
      <c r="K68" s="112"/>
      <c r="L68" s="112"/>
      <c r="M68" s="114"/>
      <c r="N68" s="113">
        <f t="shared" si="48"/>
        <v>0</v>
      </c>
      <c r="O68" s="110"/>
      <c r="P68" s="165"/>
      <c r="Q68" s="165"/>
      <c r="R68" s="165"/>
      <c r="S68" s="165"/>
      <c r="T68" s="165"/>
      <c r="U68" s="166"/>
      <c r="V68" s="201"/>
      <c r="W68" s="117">
        <f t="shared" si="28"/>
        <v>0</v>
      </c>
      <c r="X68" s="112"/>
      <c r="Y68" s="114"/>
      <c r="Z68" s="120">
        <v>1</v>
      </c>
      <c r="AA68" s="112"/>
      <c r="AB68" s="113">
        <f t="shared" si="79"/>
        <v>0</v>
      </c>
      <c r="AC68" s="117">
        <f t="shared" si="30"/>
        <v>0</v>
      </c>
      <c r="AD68" s="112"/>
      <c r="AE68" s="112" t="s">
        <v>157</v>
      </c>
      <c r="AF68" s="121"/>
      <c r="AG68" s="122">
        <f t="shared" si="80"/>
        <v>0</v>
      </c>
      <c r="AH68" s="117">
        <f t="shared" si="32"/>
        <v>0</v>
      </c>
      <c r="AI68" s="109"/>
      <c r="AJ68" s="114"/>
      <c r="AK68" s="110"/>
      <c r="AL68" s="123"/>
      <c r="AM68" s="109"/>
      <c r="AN68" s="124" t="str">
        <f t="shared" si="33"/>
        <v xml:space="preserve"> </v>
      </c>
      <c r="AO68" s="109"/>
      <c r="AP68" s="125">
        <f t="shared" si="34"/>
        <v>0</v>
      </c>
      <c r="AQ68" s="126"/>
      <c r="AR68" s="127">
        <f t="shared" si="35"/>
        <v>0</v>
      </c>
      <c r="AS68" s="128">
        <f t="shared" si="36"/>
        <v>0</v>
      </c>
      <c r="AT68" s="129"/>
      <c r="AU68" s="130"/>
      <c r="AV68" s="126"/>
      <c r="AW68" s="126"/>
      <c r="AX68" s="129"/>
      <c r="AY68" s="169">
        <f t="shared" si="49"/>
        <v>0</v>
      </c>
      <c r="AZ68" s="132">
        <f t="shared" si="83"/>
        <v>0</v>
      </c>
      <c r="BA68" s="129"/>
      <c r="BB68" s="126"/>
      <c r="BC68" s="133">
        <f t="shared" ca="1" si="37"/>
        <v>0</v>
      </c>
      <c r="BD68" s="129"/>
      <c r="BE68" s="134" t="str">
        <f t="shared" si="38"/>
        <v xml:space="preserve"> </v>
      </c>
      <c r="BF68" s="134" t="str">
        <f t="shared" si="39"/>
        <v xml:space="preserve"> </v>
      </c>
      <c r="BG68" s="135" t="str">
        <f t="shared" si="40"/>
        <v/>
      </c>
      <c r="BH68" s="136" t="str">
        <f t="shared" si="41"/>
        <v xml:space="preserve"> </v>
      </c>
      <c r="BI68" s="153"/>
      <c r="BJ68" s="126"/>
      <c r="BK68" s="129"/>
      <c r="BL68" s="138">
        <f t="shared" si="42"/>
        <v>0</v>
      </c>
      <c r="BM68" s="123">
        <f t="shared" si="43"/>
        <v>0</v>
      </c>
      <c r="BN68" s="139">
        <f t="shared" si="44"/>
        <v>0</v>
      </c>
      <c r="BQ68" s="170"/>
      <c r="BT68" s="143">
        <f t="shared" si="45"/>
        <v>0</v>
      </c>
      <c r="BW68" s="143"/>
      <c r="BX68" s="143">
        <f t="shared" si="77"/>
        <v>1</v>
      </c>
      <c r="BY68" s="143">
        <f t="shared" si="78"/>
        <v>0</v>
      </c>
      <c r="BZ68" s="129"/>
    </row>
    <row r="69" spans="1:98" ht="30.8" hidden="1" customHeight="1">
      <c r="A69" s="105">
        <f t="shared" si="26"/>
        <v>69</v>
      </c>
      <c r="B69" s="106"/>
      <c r="C69" s="106" t="e">
        <f t="shared" si="27"/>
        <v>#VALUE!</v>
      </c>
      <c r="D69" s="108"/>
      <c r="E69" s="109"/>
      <c r="F69" s="109"/>
      <c r="G69" s="109"/>
      <c r="H69" s="109"/>
      <c r="I69" s="110"/>
      <c r="J69" s="196">
        <f t="shared" si="75"/>
        <v>0</v>
      </c>
      <c r="K69" s="112"/>
      <c r="L69" s="112"/>
      <c r="M69" s="114"/>
      <c r="N69" s="113">
        <f t="shared" si="48"/>
        <v>0</v>
      </c>
      <c r="O69" s="110"/>
      <c r="P69" s="165"/>
      <c r="Q69" s="165"/>
      <c r="R69" s="165"/>
      <c r="S69" s="165"/>
      <c r="T69" s="165"/>
      <c r="U69" s="166"/>
      <c r="V69" s="201"/>
      <c r="W69" s="117">
        <f t="shared" si="28"/>
        <v>0</v>
      </c>
      <c r="X69" s="112"/>
      <c r="Y69" s="114"/>
      <c r="Z69" s="120">
        <v>1</v>
      </c>
      <c r="AA69" s="112"/>
      <c r="AB69" s="113">
        <f t="shared" si="79"/>
        <v>0</v>
      </c>
      <c r="AC69" s="117">
        <f t="shared" si="30"/>
        <v>0</v>
      </c>
      <c r="AD69" s="112"/>
      <c r="AE69" s="112" t="s">
        <v>157</v>
      </c>
      <c r="AF69" s="121"/>
      <c r="AG69" s="122">
        <f t="shared" si="80"/>
        <v>0</v>
      </c>
      <c r="AH69" s="117">
        <f t="shared" si="32"/>
        <v>0</v>
      </c>
      <c r="AI69" s="109"/>
      <c r="AJ69" s="114"/>
      <c r="AK69" s="110"/>
      <c r="AL69" s="123"/>
      <c r="AM69" s="109"/>
      <c r="AN69" s="124" t="str">
        <f t="shared" si="33"/>
        <v xml:space="preserve"> </v>
      </c>
      <c r="AO69" s="109"/>
      <c r="AP69" s="125">
        <f t="shared" si="34"/>
        <v>0</v>
      </c>
      <c r="AQ69" s="126"/>
      <c r="AR69" s="127">
        <f t="shared" si="35"/>
        <v>0</v>
      </c>
      <c r="AS69" s="128">
        <f t="shared" si="36"/>
        <v>0</v>
      </c>
      <c r="AT69" s="129"/>
      <c r="AU69" s="130"/>
      <c r="AV69" s="126"/>
      <c r="AW69" s="126"/>
      <c r="AX69" s="129"/>
      <c r="AY69" s="169">
        <f t="shared" si="49"/>
        <v>0</v>
      </c>
      <c r="AZ69" s="132">
        <f t="shared" si="83"/>
        <v>0</v>
      </c>
      <c r="BA69" s="129"/>
      <c r="BB69" s="126"/>
      <c r="BC69" s="133">
        <f t="shared" ca="1" si="37"/>
        <v>0</v>
      </c>
      <c r="BD69" s="129"/>
      <c r="BE69" s="134" t="str">
        <f t="shared" si="38"/>
        <v xml:space="preserve"> </v>
      </c>
      <c r="BF69" s="134" t="str">
        <f t="shared" si="39"/>
        <v xml:space="preserve"> </v>
      </c>
      <c r="BG69" s="135" t="str">
        <f t="shared" si="40"/>
        <v/>
      </c>
      <c r="BH69" s="136" t="str">
        <f t="shared" si="41"/>
        <v xml:space="preserve"> </v>
      </c>
      <c r="BI69" s="153"/>
      <c r="BJ69" s="126"/>
      <c r="BK69" s="129"/>
      <c r="BL69" s="138">
        <f t="shared" si="42"/>
        <v>0</v>
      </c>
      <c r="BM69" s="123">
        <f t="shared" si="43"/>
        <v>0</v>
      </c>
      <c r="BN69" s="139">
        <f t="shared" si="44"/>
        <v>0</v>
      </c>
      <c r="BQ69" s="170"/>
      <c r="BT69" s="143">
        <f t="shared" si="45"/>
        <v>0</v>
      </c>
      <c r="BW69" s="143"/>
      <c r="BX69" s="143">
        <f t="shared" si="77"/>
        <v>1</v>
      </c>
      <c r="BY69" s="143">
        <f t="shared" si="78"/>
        <v>0</v>
      </c>
      <c r="BZ69" s="129"/>
    </row>
    <row r="70" spans="1:98" ht="30.8" hidden="1" customHeight="1">
      <c r="A70" s="105">
        <f t="shared" si="26"/>
        <v>70</v>
      </c>
      <c r="B70" s="106"/>
      <c r="C70" s="106" t="e">
        <f t="shared" si="27"/>
        <v>#VALUE!</v>
      </c>
      <c r="D70" s="108"/>
      <c r="E70" s="109"/>
      <c r="F70" s="109"/>
      <c r="G70" s="109"/>
      <c r="H70" s="109"/>
      <c r="I70" s="110"/>
      <c r="J70" s="196">
        <f t="shared" si="75"/>
        <v>0</v>
      </c>
      <c r="K70" s="112"/>
      <c r="L70" s="112"/>
      <c r="M70" s="114"/>
      <c r="N70" s="113">
        <f t="shared" si="48"/>
        <v>0</v>
      </c>
      <c r="O70" s="110"/>
      <c r="P70" s="165"/>
      <c r="Q70" s="165"/>
      <c r="R70" s="165"/>
      <c r="S70" s="165"/>
      <c r="T70" s="165"/>
      <c r="U70" s="166"/>
      <c r="V70" s="201"/>
      <c r="W70" s="117">
        <f t="shared" si="28"/>
        <v>0</v>
      </c>
      <c r="X70" s="112"/>
      <c r="Y70" s="114"/>
      <c r="Z70" s="120">
        <v>1</v>
      </c>
      <c r="AA70" s="112"/>
      <c r="AB70" s="113">
        <f t="shared" si="79"/>
        <v>0</v>
      </c>
      <c r="AC70" s="117">
        <f t="shared" si="30"/>
        <v>0</v>
      </c>
      <c r="AD70" s="112"/>
      <c r="AE70" s="112" t="s">
        <v>157</v>
      </c>
      <c r="AF70" s="121"/>
      <c r="AG70" s="122">
        <f t="shared" si="80"/>
        <v>0</v>
      </c>
      <c r="AH70" s="117">
        <f t="shared" si="32"/>
        <v>0</v>
      </c>
      <c r="AI70" s="109"/>
      <c r="AJ70" s="114"/>
      <c r="AK70" s="110"/>
      <c r="AL70" s="123"/>
      <c r="AM70" s="109"/>
      <c r="AN70" s="124" t="str">
        <f t="shared" si="33"/>
        <v xml:space="preserve"> </v>
      </c>
      <c r="AO70" s="109"/>
      <c r="AP70" s="125">
        <f t="shared" si="34"/>
        <v>0</v>
      </c>
      <c r="AQ70" s="126"/>
      <c r="AR70" s="127">
        <f t="shared" si="35"/>
        <v>0</v>
      </c>
      <c r="AS70" s="128">
        <f t="shared" si="36"/>
        <v>0</v>
      </c>
      <c r="AT70" s="129"/>
      <c r="AU70" s="130"/>
      <c r="AV70" s="126"/>
      <c r="AW70" s="126"/>
      <c r="AX70" s="129"/>
      <c r="AY70" s="169">
        <f t="shared" si="49"/>
        <v>0</v>
      </c>
      <c r="AZ70" s="132">
        <f t="shared" si="83"/>
        <v>0</v>
      </c>
      <c r="BA70" s="129"/>
      <c r="BB70" s="126"/>
      <c r="BC70" s="133">
        <f t="shared" ca="1" si="37"/>
        <v>0</v>
      </c>
      <c r="BD70" s="129"/>
      <c r="BE70" s="134" t="str">
        <f t="shared" si="38"/>
        <v xml:space="preserve"> </v>
      </c>
      <c r="BF70" s="134" t="str">
        <f t="shared" si="39"/>
        <v xml:space="preserve"> </v>
      </c>
      <c r="BG70" s="135" t="str">
        <f t="shared" si="40"/>
        <v/>
      </c>
      <c r="BH70" s="136" t="str">
        <f t="shared" si="41"/>
        <v xml:space="preserve"> </v>
      </c>
      <c r="BI70" s="153"/>
      <c r="BJ70" s="126"/>
      <c r="BK70" s="129"/>
      <c r="BL70" s="138">
        <f t="shared" si="42"/>
        <v>0</v>
      </c>
      <c r="BM70" s="123">
        <f t="shared" si="43"/>
        <v>0</v>
      </c>
      <c r="BN70" s="139">
        <f t="shared" si="44"/>
        <v>0</v>
      </c>
      <c r="BQ70" s="170"/>
      <c r="BT70" s="143">
        <f t="shared" si="45"/>
        <v>0</v>
      </c>
      <c r="BW70" s="143"/>
      <c r="BX70" s="143">
        <f t="shared" si="77"/>
        <v>1</v>
      </c>
      <c r="BY70" s="143">
        <f t="shared" si="78"/>
        <v>0</v>
      </c>
      <c r="BZ70" s="129"/>
    </row>
    <row r="71" spans="1:98" ht="30.8" hidden="1" customHeight="1">
      <c r="A71" s="105">
        <f t="shared" si="26"/>
        <v>71</v>
      </c>
      <c r="B71" s="106"/>
      <c r="C71" s="106" t="e">
        <f t="shared" si="27"/>
        <v>#VALUE!</v>
      </c>
      <c r="D71" s="108"/>
      <c r="E71" s="109"/>
      <c r="F71" s="109"/>
      <c r="G71" s="109"/>
      <c r="H71" s="109"/>
      <c r="I71" s="110"/>
      <c r="J71" s="196">
        <f t="shared" si="75"/>
        <v>0</v>
      </c>
      <c r="K71" s="112"/>
      <c r="L71" s="112"/>
      <c r="M71" s="114"/>
      <c r="N71" s="113">
        <f t="shared" si="48"/>
        <v>0</v>
      </c>
      <c r="O71" s="110"/>
      <c r="P71" s="165"/>
      <c r="Q71" s="165"/>
      <c r="R71" s="165"/>
      <c r="S71" s="165"/>
      <c r="T71" s="165"/>
      <c r="U71" s="166"/>
      <c r="V71" s="201"/>
      <c r="W71" s="117">
        <f t="shared" si="28"/>
        <v>0</v>
      </c>
      <c r="X71" s="112"/>
      <c r="Y71" s="114"/>
      <c r="Z71" s="120">
        <v>1</v>
      </c>
      <c r="AA71" s="112"/>
      <c r="AB71" s="113">
        <f t="shared" si="79"/>
        <v>0</v>
      </c>
      <c r="AC71" s="117">
        <f t="shared" si="30"/>
        <v>0</v>
      </c>
      <c r="AD71" s="112"/>
      <c r="AE71" s="112" t="s">
        <v>157</v>
      </c>
      <c r="AF71" s="121"/>
      <c r="AG71" s="122">
        <f t="shared" si="80"/>
        <v>0</v>
      </c>
      <c r="AH71" s="117">
        <f t="shared" si="32"/>
        <v>0</v>
      </c>
      <c r="AI71" s="109"/>
      <c r="AJ71" s="114"/>
      <c r="AK71" s="110"/>
      <c r="AL71" s="123"/>
      <c r="AM71" s="109"/>
      <c r="AN71" s="124" t="str">
        <f t="shared" si="33"/>
        <v xml:space="preserve"> </v>
      </c>
      <c r="AO71" s="109"/>
      <c r="AP71" s="125">
        <f t="shared" si="34"/>
        <v>0</v>
      </c>
      <c r="AQ71" s="126"/>
      <c r="AR71" s="127">
        <f t="shared" si="35"/>
        <v>0</v>
      </c>
      <c r="AS71" s="128">
        <f t="shared" si="36"/>
        <v>0</v>
      </c>
      <c r="AT71" s="129"/>
      <c r="AU71" s="130"/>
      <c r="AV71" s="126"/>
      <c r="AW71" s="126"/>
      <c r="AX71" s="129"/>
      <c r="AY71" s="169">
        <f t="shared" si="49"/>
        <v>0</v>
      </c>
      <c r="AZ71" s="132">
        <f t="shared" si="83"/>
        <v>0</v>
      </c>
      <c r="BA71" s="129"/>
      <c r="BB71" s="126"/>
      <c r="BC71" s="133">
        <f t="shared" ca="1" si="37"/>
        <v>0</v>
      </c>
      <c r="BD71" s="129"/>
      <c r="BE71" s="134" t="str">
        <f t="shared" si="38"/>
        <v xml:space="preserve"> </v>
      </c>
      <c r="BF71" s="134" t="str">
        <f t="shared" si="39"/>
        <v xml:space="preserve"> </v>
      </c>
      <c r="BG71" s="135" t="str">
        <f t="shared" si="40"/>
        <v/>
      </c>
      <c r="BH71" s="136" t="str">
        <f t="shared" si="41"/>
        <v xml:space="preserve"> </v>
      </c>
      <c r="BI71" s="153"/>
      <c r="BJ71" s="126"/>
      <c r="BK71" s="129"/>
      <c r="BL71" s="138">
        <f t="shared" si="42"/>
        <v>0</v>
      </c>
      <c r="BM71" s="123">
        <f t="shared" si="43"/>
        <v>0</v>
      </c>
      <c r="BN71" s="139">
        <f t="shared" si="44"/>
        <v>0</v>
      </c>
      <c r="BQ71" s="170"/>
      <c r="BT71" s="143">
        <f t="shared" si="45"/>
        <v>0</v>
      </c>
      <c r="BW71" s="143"/>
      <c r="BX71" s="143">
        <f t="shared" si="77"/>
        <v>1</v>
      </c>
      <c r="BY71" s="143">
        <f t="shared" si="78"/>
        <v>0</v>
      </c>
      <c r="BZ71" s="129"/>
    </row>
    <row r="72" spans="1:98" ht="30.8" hidden="1" customHeight="1">
      <c r="A72" s="105">
        <f t="shared" si="26"/>
        <v>72</v>
      </c>
      <c r="B72" s="106"/>
      <c r="C72" s="106" t="e">
        <f t="shared" si="27"/>
        <v>#VALUE!</v>
      </c>
      <c r="D72" s="108"/>
      <c r="E72" s="109"/>
      <c r="F72" s="109"/>
      <c r="G72" s="109"/>
      <c r="H72" s="109"/>
      <c r="I72" s="110"/>
      <c r="J72" s="196">
        <f t="shared" si="75"/>
        <v>0</v>
      </c>
      <c r="K72" s="112"/>
      <c r="L72" s="112"/>
      <c r="M72" s="114"/>
      <c r="N72" s="113">
        <f t="shared" si="48"/>
        <v>0</v>
      </c>
      <c r="O72" s="110"/>
      <c r="P72" s="165"/>
      <c r="Q72" s="165"/>
      <c r="R72" s="165"/>
      <c r="S72" s="165"/>
      <c r="T72" s="165"/>
      <c r="U72" s="166"/>
      <c r="V72" s="201"/>
      <c r="W72" s="117">
        <f t="shared" si="28"/>
        <v>0</v>
      </c>
      <c r="X72" s="112"/>
      <c r="Y72" s="114"/>
      <c r="Z72" s="120">
        <v>1</v>
      </c>
      <c r="AA72" s="112"/>
      <c r="AB72" s="113">
        <f t="shared" si="79"/>
        <v>0</v>
      </c>
      <c r="AC72" s="117">
        <f t="shared" si="30"/>
        <v>0</v>
      </c>
      <c r="AD72" s="112"/>
      <c r="AE72" s="112" t="s">
        <v>157</v>
      </c>
      <c r="AF72" s="121"/>
      <c r="AG72" s="122">
        <f t="shared" si="80"/>
        <v>0</v>
      </c>
      <c r="AH72" s="117">
        <f t="shared" si="32"/>
        <v>0</v>
      </c>
      <c r="AI72" s="109"/>
      <c r="AJ72" s="114"/>
      <c r="AK72" s="110"/>
      <c r="AL72" s="123"/>
      <c r="AM72" s="109"/>
      <c r="AN72" s="124" t="str">
        <f t="shared" si="33"/>
        <v xml:space="preserve"> </v>
      </c>
      <c r="AO72" s="109"/>
      <c r="AP72" s="125">
        <f t="shared" si="34"/>
        <v>0</v>
      </c>
      <c r="AQ72" s="126"/>
      <c r="AR72" s="127">
        <f t="shared" si="35"/>
        <v>0</v>
      </c>
      <c r="AS72" s="128">
        <f t="shared" si="36"/>
        <v>0</v>
      </c>
      <c r="AT72" s="129"/>
      <c r="AU72" s="130"/>
      <c r="AV72" s="126"/>
      <c r="AW72" s="126"/>
      <c r="AX72" s="129"/>
      <c r="AY72" s="169">
        <f t="shared" si="49"/>
        <v>0</v>
      </c>
      <c r="AZ72" s="132">
        <f t="shared" si="83"/>
        <v>0</v>
      </c>
      <c r="BA72" s="129"/>
      <c r="BB72" s="126"/>
      <c r="BC72" s="133">
        <f t="shared" ca="1" si="37"/>
        <v>0</v>
      </c>
      <c r="BD72" s="129"/>
      <c r="BE72" s="134" t="str">
        <f t="shared" si="38"/>
        <v xml:space="preserve"> </v>
      </c>
      <c r="BF72" s="134" t="str">
        <f t="shared" si="39"/>
        <v xml:space="preserve"> </v>
      </c>
      <c r="BG72" s="135" t="str">
        <f t="shared" si="40"/>
        <v/>
      </c>
      <c r="BH72" s="136" t="str">
        <f t="shared" si="41"/>
        <v xml:space="preserve"> </v>
      </c>
      <c r="BI72" s="153"/>
      <c r="BJ72" s="126"/>
      <c r="BK72" s="129"/>
      <c r="BL72" s="138">
        <f t="shared" si="42"/>
        <v>0</v>
      </c>
      <c r="BM72" s="123">
        <f t="shared" si="43"/>
        <v>0</v>
      </c>
      <c r="BN72" s="139">
        <f t="shared" si="44"/>
        <v>0</v>
      </c>
      <c r="BQ72" s="170"/>
      <c r="BT72" s="143">
        <f t="shared" si="45"/>
        <v>0</v>
      </c>
      <c r="BW72" s="143"/>
      <c r="BX72" s="143">
        <f t="shared" si="77"/>
        <v>1</v>
      </c>
      <c r="BY72" s="143">
        <f t="shared" si="78"/>
        <v>0</v>
      </c>
      <c r="BZ72" s="129"/>
    </row>
    <row r="73" spans="1:98" ht="30.8" hidden="1" customHeight="1">
      <c r="A73" s="105">
        <f t="shared" si="26"/>
        <v>73</v>
      </c>
      <c r="B73" s="106"/>
      <c r="C73" s="106" t="e">
        <f t="shared" si="27"/>
        <v>#VALUE!</v>
      </c>
      <c r="D73" s="108"/>
      <c r="E73" s="109"/>
      <c r="F73" s="109"/>
      <c r="G73" s="109"/>
      <c r="H73" s="109"/>
      <c r="I73" s="110"/>
      <c r="J73" s="196">
        <f t="shared" si="75"/>
        <v>0</v>
      </c>
      <c r="K73" s="112"/>
      <c r="L73" s="112"/>
      <c r="M73" s="114"/>
      <c r="N73" s="113">
        <f t="shared" si="48"/>
        <v>0</v>
      </c>
      <c r="O73" s="110"/>
      <c r="P73" s="165"/>
      <c r="Q73" s="165"/>
      <c r="R73" s="165"/>
      <c r="S73" s="165"/>
      <c r="T73" s="165"/>
      <c r="U73" s="166"/>
      <c r="V73" s="201"/>
      <c r="W73" s="117">
        <f t="shared" si="28"/>
        <v>0</v>
      </c>
      <c r="X73" s="112"/>
      <c r="Y73" s="114"/>
      <c r="Z73" s="120">
        <v>1</v>
      </c>
      <c r="AA73" s="112"/>
      <c r="AB73" s="113">
        <f t="shared" si="79"/>
        <v>0</v>
      </c>
      <c r="AC73" s="117">
        <f t="shared" si="30"/>
        <v>0</v>
      </c>
      <c r="AD73" s="112"/>
      <c r="AE73" s="112" t="s">
        <v>157</v>
      </c>
      <c r="AF73" s="121"/>
      <c r="AG73" s="122">
        <f t="shared" si="80"/>
        <v>0</v>
      </c>
      <c r="AH73" s="117">
        <f t="shared" si="32"/>
        <v>0</v>
      </c>
      <c r="AI73" s="109"/>
      <c r="AJ73" s="114"/>
      <c r="AK73" s="110"/>
      <c r="AL73" s="123"/>
      <c r="AM73" s="109"/>
      <c r="AN73" s="124" t="str">
        <f t="shared" si="33"/>
        <v xml:space="preserve"> </v>
      </c>
      <c r="AO73" s="109"/>
      <c r="AP73" s="125">
        <f t="shared" si="34"/>
        <v>0</v>
      </c>
      <c r="AQ73" s="126"/>
      <c r="AR73" s="127">
        <f t="shared" si="35"/>
        <v>0</v>
      </c>
      <c r="AS73" s="128">
        <f t="shared" si="36"/>
        <v>0</v>
      </c>
      <c r="AT73" s="129"/>
      <c r="AU73" s="130"/>
      <c r="AV73" s="126"/>
      <c r="AW73" s="126"/>
      <c r="AX73" s="129"/>
      <c r="AY73" s="169">
        <f t="shared" si="49"/>
        <v>0</v>
      </c>
      <c r="AZ73" s="132">
        <f t="shared" si="83"/>
        <v>0</v>
      </c>
      <c r="BA73" s="129"/>
      <c r="BB73" s="126"/>
      <c r="BC73" s="133">
        <f t="shared" ca="1" si="37"/>
        <v>0</v>
      </c>
      <c r="BD73" s="129"/>
      <c r="BE73" s="134" t="str">
        <f t="shared" si="38"/>
        <v xml:space="preserve"> </v>
      </c>
      <c r="BF73" s="134" t="str">
        <f t="shared" si="39"/>
        <v xml:space="preserve"> </v>
      </c>
      <c r="BG73" s="135" t="str">
        <f t="shared" si="40"/>
        <v/>
      </c>
      <c r="BH73" s="136" t="str">
        <f t="shared" si="41"/>
        <v xml:space="preserve"> </v>
      </c>
      <c r="BI73" s="153"/>
      <c r="BJ73" s="126"/>
      <c r="BK73" s="129"/>
      <c r="BL73" s="138">
        <f t="shared" si="42"/>
        <v>0</v>
      </c>
      <c r="BM73" s="123">
        <f t="shared" si="43"/>
        <v>0</v>
      </c>
      <c r="BN73" s="139">
        <f t="shared" si="44"/>
        <v>0</v>
      </c>
      <c r="BQ73" s="170"/>
      <c r="BT73" s="143">
        <f t="shared" si="45"/>
        <v>0</v>
      </c>
      <c r="BW73" s="143"/>
      <c r="BX73" s="143">
        <f t="shared" si="77"/>
        <v>1</v>
      </c>
      <c r="BY73" s="143">
        <f t="shared" si="78"/>
        <v>0</v>
      </c>
      <c r="BZ73" s="129"/>
    </row>
    <row r="74" spans="1:98" ht="30.8" hidden="1" customHeight="1">
      <c r="A74" s="105">
        <f t="shared" ref="A74:A88" si="90">ROW(A74)</f>
        <v>74</v>
      </c>
      <c r="B74" s="106"/>
      <c r="C74" s="106" t="e">
        <f t="shared" ref="C74:C88" si="91">VALUE(LEFT(D74,3))</f>
        <v>#VALUE!</v>
      </c>
      <c r="D74" s="108"/>
      <c r="E74" s="109"/>
      <c r="F74" s="109"/>
      <c r="G74" s="109"/>
      <c r="H74" s="109"/>
      <c r="I74" s="110"/>
      <c r="J74" s="196">
        <f t="shared" si="75"/>
        <v>0</v>
      </c>
      <c r="K74" s="112"/>
      <c r="L74" s="112"/>
      <c r="M74" s="114"/>
      <c r="N74" s="113">
        <f t="shared" si="48"/>
        <v>0</v>
      </c>
      <c r="O74" s="110"/>
      <c r="P74" s="165"/>
      <c r="Q74" s="165"/>
      <c r="R74" s="165"/>
      <c r="S74" s="165"/>
      <c r="T74" s="165"/>
      <c r="U74" s="166"/>
      <c r="V74" s="201"/>
      <c r="W74" s="117">
        <f t="shared" ref="W74:W88" si="92">SUM(P74:V74)</f>
        <v>0</v>
      </c>
      <c r="X74" s="112"/>
      <c r="Y74" s="114"/>
      <c r="Z74" s="120">
        <v>1</v>
      </c>
      <c r="AA74" s="112"/>
      <c r="AB74" s="113">
        <f t="shared" si="79"/>
        <v>0</v>
      </c>
      <c r="AC74" s="117">
        <f t="shared" ref="AC74:AC88" si="93">W74+AB74</f>
        <v>0</v>
      </c>
      <c r="AD74" s="112"/>
      <c r="AE74" s="112" t="s">
        <v>157</v>
      </c>
      <c r="AF74" s="121"/>
      <c r="AG74" s="122">
        <f t="shared" si="80"/>
        <v>0</v>
      </c>
      <c r="AH74" s="117">
        <f t="shared" ref="AH74:AH88" si="94">AC74+AG74</f>
        <v>0</v>
      </c>
      <c r="AI74" s="109"/>
      <c r="AJ74" s="114"/>
      <c r="AK74" s="110"/>
      <c r="AL74" s="123"/>
      <c r="AM74" s="109"/>
      <c r="AN74" s="124" t="str">
        <f t="shared" ref="AN74:AN88" si="95">IF(AO74&lt;&gt;0,VLOOKUP(AO74,$BQ$7:$BR$9,2)," ")</f>
        <v xml:space="preserve"> </v>
      </c>
      <c r="AO74" s="109"/>
      <c r="AP74" s="125">
        <f t="shared" ref="AP74:AP88" si="96">IF(K74&gt;=100,3.206*K74,0)</f>
        <v>0</v>
      </c>
      <c r="AQ74" s="126"/>
      <c r="AR74" s="127">
        <f t="shared" ref="AR74:AR88" si="97">IF(AND(AA74="oui",AE74="oui"),MAX((20*J74*AQ74-(1-Z74)*Y74-AF74)/20,0),IF(AND(AA74="oui",AE74="NON"),MAX((20*J74*AQ74-(1-Z74)*Y74)/20,0),IF(AND(AA74="non",AE74="oui"),MAX((20*J74*AQ74-AF74)/20,0),K74*AQ74)))</f>
        <v>0</v>
      </c>
      <c r="AS74" s="128">
        <f t="shared" ref="AS74:AS88" si="98">SUM(AL74:AN74,AP74,AR74)</f>
        <v>0</v>
      </c>
      <c r="AT74" s="129"/>
      <c r="AU74" s="130"/>
      <c r="AV74" s="126"/>
      <c r="AW74" s="126"/>
      <c r="AX74" s="129"/>
      <c r="AY74" s="169">
        <f t="shared" si="49"/>
        <v>0</v>
      </c>
      <c r="AZ74" s="132">
        <f t="shared" si="83"/>
        <v>0</v>
      </c>
      <c r="BA74" s="129"/>
      <c r="BB74" s="126"/>
      <c r="BC74" s="133">
        <f t="shared" ref="BC74:BC88" ca="1" si="99">IF(BB74="oui",IF(TODAY()&lt;$CJ$10,(IF(K74&lt;100,$CJ$7,IF(K74&lt;250,$CJ$8,IF(K74&lt;=500,$CJ$9,0)))),IF(TODAY()&lt;$CK$10,(IF(K74&lt;100,$CK$7,IF(K74&lt;250,$CK$8,IF(K74&lt;=500,$CK$9,0)))),0)),0)*K74*1000</f>
        <v>0</v>
      </c>
      <c r="BD74" s="129"/>
      <c r="BE74" s="134" t="str">
        <f t="shared" ref="BE74:BE88" si="100">IF(AH74&lt;&gt;0,AZ74/AH74," ")</f>
        <v xml:space="preserve"> </v>
      </c>
      <c r="BF74" s="134" t="str">
        <f t="shared" ref="BF74:BF88" si="101">IF(AC74&lt;&gt;0,AZ74/AC74," ")</f>
        <v xml:space="preserve"> </v>
      </c>
      <c r="BG74" s="135" t="str">
        <f t="shared" ref="BG74:BG88" si="102">IF(K74&lt;&gt;0,W74/(1000*K74),"")</f>
        <v/>
      </c>
      <c r="BH74" s="136" t="str">
        <f t="shared" ref="BH74:BH88" si="103">IF(K74&lt;&gt;0,AH74/(K74*1000)," ")</f>
        <v xml:space="preserve"> </v>
      </c>
      <c r="BI74" s="153"/>
      <c r="BJ74" s="126"/>
      <c r="BK74" s="129"/>
      <c r="BL74" s="138">
        <f t="shared" ref="BL74:BL88" si="104">IF(AA74="oui",(1-Z74)*U74,0)</f>
        <v>0</v>
      </c>
      <c r="BM74" s="123">
        <f t="shared" ref="BM74:BM88" si="105">IF(AE74="non",0,AF74)</f>
        <v>0</v>
      </c>
      <c r="BN74" s="139">
        <f t="shared" ref="BN74:BN88" si="106">IF(AE74="non",AF74,IF(J74*20*AQ74&lt;AF74,AF74-J74*20*AQ74,0))</f>
        <v>0</v>
      </c>
      <c r="BQ74" s="170"/>
      <c r="BT74" s="143">
        <f t="shared" ref="BT74:BT88" si="107">IF(B74="oui",1,0)</f>
        <v>0</v>
      </c>
      <c r="BW74" s="143"/>
      <c r="BX74" s="143">
        <f t="shared" si="77"/>
        <v>1</v>
      </c>
      <c r="BY74" s="143">
        <f t="shared" si="78"/>
        <v>0</v>
      </c>
      <c r="BZ74" s="129"/>
    </row>
    <row r="75" spans="1:98" ht="30.8" hidden="1" customHeight="1">
      <c r="A75" s="105">
        <f t="shared" si="90"/>
        <v>75</v>
      </c>
      <c r="B75" s="106"/>
      <c r="C75" s="106" t="e">
        <f t="shared" si="91"/>
        <v>#VALUE!</v>
      </c>
      <c r="D75" s="108"/>
      <c r="E75" s="109"/>
      <c r="F75" s="109"/>
      <c r="G75" s="109"/>
      <c r="H75" s="109"/>
      <c r="I75" s="110"/>
      <c r="J75" s="196">
        <f t="shared" si="75"/>
        <v>0</v>
      </c>
      <c r="K75" s="112"/>
      <c r="L75" s="112"/>
      <c r="M75" s="114"/>
      <c r="N75" s="113">
        <f t="shared" ref="N75:N88" si="108">K75*M75</f>
        <v>0</v>
      </c>
      <c r="O75" s="110"/>
      <c r="P75" s="165"/>
      <c r="Q75" s="165"/>
      <c r="R75" s="165"/>
      <c r="S75" s="165"/>
      <c r="T75" s="165"/>
      <c r="U75" s="166"/>
      <c r="V75" s="201"/>
      <c r="W75" s="117">
        <f t="shared" si="92"/>
        <v>0</v>
      </c>
      <c r="X75" s="112"/>
      <c r="Y75" s="114"/>
      <c r="Z75" s="120">
        <v>1</v>
      </c>
      <c r="AA75" s="112"/>
      <c r="AB75" s="113">
        <f t="shared" si="79"/>
        <v>0</v>
      </c>
      <c r="AC75" s="117">
        <f t="shared" si="93"/>
        <v>0</v>
      </c>
      <c r="AD75" s="112"/>
      <c r="AE75" s="112" t="s">
        <v>157</v>
      </c>
      <c r="AF75" s="121"/>
      <c r="AG75" s="122">
        <f t="shared" si="80"/>
        <v>0</v>
      </c>
      <c r="AH75" s="117">
        <f t="shared" si="94"/>
        <v>0</v>
      </c>
      <c r="AI75" s="109"/>
      <c r="AJ75" s="114"/>
      <c r="AK75" s="110"/>
      <c r="AL75" s="123"/>
      <c r="AM75" s="109"/>
      <c r="AN75" s="124" t="str">
        <f t="shared" si="95"/>
        <v xml:space="preserve"> </v>
      </c>
      <c r="AO75" s="109"/>
      <c r="AP75" s="125">
        <f t="shared" si="96"/>
        <v>0</v>
      </c>
      <c r="AQ75" s="126"/>
      <c r="AR75" s="127">
        <f t="shared" si="97"/>
        <v>0</v>
      </c>
      <c r="AS75" s="128">
        <f t="shared" si="98"/>
        <v>0</v>
      </c>
      <c r="AT75" s="129"/>
      <c r="AU75" s="130"/>
      <c r="AV75" s="126"/>
      <c r="AW75" s="126"/>
      <c r="AX75" s="129"/>
      <c r="AY75" s="169">
        <f t="shared" ref="AY75:AY88" si="109">IF(K75=0,0,IF(K75&lt;=$CG$6,$CD$6,IF(K75&lt;=$CG$7,$CD$7,IF(K75&lt;=$CG$8,$CD$8,IF(K75&lt;=$CG$9,$CD$9,IF(K75&lt;=$CG$10,$CD$10,0))))))</f>
        <v>0</v>
      </c>
      <c r="AZ75" s="132">
        <f t="shared" si="83"/>
        <v>0</v>
      </c>
      <c r="BA75" s="129"/>
      <c r="BB75" s="126"/>
      <c r="BC75" s="133">
        <f t="shared" ca="1" si="99"/>
        <v>0</v>
      </c>
      <c r="BD75" s="129"/>
      <c r="BE75" s="134" t="str">
        <f t="shared" si="100"/>
        <v xml:space="preserve"> </v>
      </c>
      <c r="BF75" s="134" t="str">
        <f t="shared" si="101"/>
        <v xml:space="preserve"> </v>
      </c>
      <c r="BG75" s="135" t="str">
        <f t="shared" si="102"/>
        <v/>
      </c>
      <c r="BH75" s="136" t="str">
        <f t="shared" si="103"/>
        <v xml:space="preserve"> </v>
      </c>
      <c r="BI75" s="153"/>
      <c r="BJ75" s="126"/>
      <c r="BK75" s="129"/>
      <c r="BL75" s="138">
        <f t="shared" si="104"/>
        <v>0</v>
      </c>
      <c r="BM75" s="123">
        <f t="shared" si="105"/>
        <v>0</v>
      </c>
      <c r="BN75" s="139">
        <f t="shared" si="106"/>
        <v>0</v>
      </c>
      <c r="BQ75" s="170"/>
      <c r="BT75" s="143">
        <f t="shared" si="107"/>
        <v>0</v>
      </c>
      <c r="BW75" s="143"/>
      <c r="BX75" s="143">
        <f t="shared" si="77"/>
        <v>1</v>
      </c>
      <c r="BY75" s="143">
        <f t="shared" si="78"/>
        <v>0</v>
      </c>
      <c r="BZ75" s="129"/>
    </row>
    <row r="76" spans="1:98" ht="30.8" hidden="1" customHeight="1">
      <c r="A76" s="105">
        <f t="shared" si="90"/>
        <v>76</v>
      </c>
      <c r="B76" s="106"/>
      <c r="C76" s="106" t="e">
        <f t="shared" si="91"/>
        <v>#VALUE!</v>
      </c>
      <c r="D76" s="108"/>
      <c r="E76" s="109"/>
      <c r="F76" s="109"/>
      <c r="G76" s="109"/>
      <c r="H76" s="109"/>
      <c r="I76" s="110"/>
      <c r="J76" s="196">
        <f t="shared" si="75"/>
        <v>0</v>
      </c>
      <c r="K76" s="112"/>
      <c r="L76" s="112"/>
      <c r="M76" s="114"/>
      <c r="N76" s="113">
        <f t="shared" si="108"/>
        <v>0</v>
      </c>
      <c r="O76" s="110"/>
      <c r="P76" s="165"/>
      <c r="Q76" s="165"/>
      <c r="R76" s="165"/>
      <c r="S76" s="165"/>
      <c r="T76" s="165"/>
      <c r="U76" s="166"/>
      <c r="V76" s="201"/>
      <c r="W76" s="117">
        <f t="shared" si="92"/>
        <v>0</v>
      </c>
      <c r="X76" s="112"/>
      <c r="Y76" s="114"/>
      <c r="Z76" s="120">
        <v>1</v>
      </c>
      <c r="AA76" s="112"/>
      <c r="AB76" s="113">
        <f t="shared" si="79"/>
        <v>0</v>
      </c>
      <c r="AC76" s="117">
        <f t="shared" si="93"/>
        <v>0</v>
      </c>
      <c r="AD76" s="112"/>
      <c r="AE76" s="112" t="s">
        <v>157</v>
      </c>
      <c r="AF76" s="121"/>
      <c r="AG76" s="122">
        <f t="shared" si="80"/>
        <v>0</v>
      </c>
      <c r="AH76" s="117">
        <f t="shared" si="94"/>
        <v>0</v>
      </c>
      <c r="AI76" s="109"/>
      <c r="AJ76" s="114"/>
      <c r="AK76" s="110"/>
      <c r="AL76" s="123"/>
      <c r="AM76" s="109"/>
      <c r="AN76" s="124" t="str">
        <f t="shared" si="95"/>
        <v xml:space="preserve"> </v>
      </c>
      <c r="AO76" s="109"/>
      <c r="AP76" s="125">
        <f t="shared" si="96"/>
        <v>0</v>
      </c>
      <c r="AQ76" s="126"/>
      <c r="AR76" s="127">
        <f t="shared" si="97"/>
        <v>0</v>
      </c>
      <c r="AS76" s="128">
        <f t="shared" si="98"/>
        <v>0</v>
      </c>
      <c r="AT76" s="129"/>
      <c r="AU76" s="130"/>
      <c r="AV76" s="126"/>
      <c r="AW76" s="126"/>
      <c r="AX76" s="129"/>
      <c r="AY76" s="169">
        <f t="shared" si="109"/>
        <v>0</v>
      </c>
      <c r="AZ76" s="132">
        <f t="shared" si="83"/>
        <v>0</v>
      </c>
      <c r="BA76" s="129"/>
      <c r="BB76" s="126"/>
      <c r="BC76" s="133">
        <f t="shared" ca="1" si="99"/>
        <v>0</v>
      </c>
      <c r="BD76" s="129"/>
      <c r="BE76" s="134" t="str">
        <f t="shared" si="100"/>
        <v xml:space="preserve"> </v>
      </c>
      <c r="BF76" s="134" t="str">
        <f t="shared" si="101"/>
        <v xml:space="preserve"> </v>
      </c>
      <c r="BG76" s="135" t="str">
        <f t="shared" si="102"/>
        <v/>
      </c>
      <c r="BH76" s="136" t="str">
        <f t="shared" si="103"/>
        <v xml:space="preserve"> </v>
      </c>
      <c r="BI76" s="153"/>
      <c r="BJ76" s="126"/>
      <c r="BK76" s="129"/>
      <c r="BL76" s="138">
        <f t="shared" si="104"/>
        <v>0</v>
      </c>
      <c r="BM76" s="123">
        <f t="shared" si="105"/>
        <v>0</v>
      </c>
      <c r="BN76" s="139">
        <f t="shared" si="106"/>
        <v>0</v>
      </c>
      <c r="BQ76" s="170"/>
      <c r="BT76" s="143">
        <f t="shared" si="107"/>
        <v>0</v>
      </c>
      <c r="BW76" s="143"/>
      <c r="BX76" s="143">
        <f t="shared" si="77"/>
        <v>1</v>
      </c>
      <c r="BY76" s="143">
        <f t="shared" si="78"/>
        <v>0</v>
      </c>
      <c r="BZ76" s="129"/>
    </row>
    <row r="77" spans="1:98" ht="30.8" hidden="1" customHeight="1">
      <c r="A77" s="105">
        <f t="shared" si="90"/>
        <v>77</v>
      </c>
      <c r="B77" s="106"/>
      <c r="C77" s="106" t="e">
        <f t="shared" si="91"/>
        <v>#VALUE!</v>
      </c>
      <c r="D77" s="108"/>
      <c r="E77" s="109"/>
      <c r="F77" s="109"/>
      <c r="G77" s="109"/>
      <c r="H77" s="109"/>
      <c r="I77" s="110"/>
      <c r="J77" s="196">
        <f t="shared" si="75"/>
        <v>0</v>
      </c>
      <c r="K77" s="112"/>
      <c r="L77" s="112"/>
      <c r="M77" s="114"/>
      <c r="N77" s="113">
        <f t="shared" si="108"/>
        <v>0</v>
      </c>
      <c r="O77" s="110"/>
      <c r="P77" s="165"/>
      <c r="Q77" s="165"/>
      <c r="R77" s="165"/>
      <c r="S77" s="165"/>
      <c r="T77" s="165"/>
      <c r="U77" s="166"/>
      <c r="V77" s="201"/>
      <c r="W77" s="117">
        <f t="shared" si="92"/>
        <v>0</v>
      </c>
      <c r="X77" s="112"/>
      <c r="Y77" s="114"/>
      <c r="Z77" s="120">
        <v>1</v>
      </c>
      <c r="AA77" s="112"/>
      <c r="AB77" s="113">
        <f t="shared" si="79"/>
        <v>0</v>
      </c>
      <c r="AC77" s="117">
        <f t="shared" si="93"/>
        <v>0</v>
      </c>
      <c r="AD77" s="112"/>
      <c r="AE77" s="112" t="s">
        <v>157</v>
      </c>
      <c r="AF77" s="121"/>
      <c r="AG77" s="122">
        <f t="shared" si="80"/>
        <v>0</v>
      </c>
      <c r="AH77" s="117">
        <f t="shared" si="94"/>
        <v>0</v>
      </c>
      <c r="AI77" s="109"/>
      <c r="AJ77" s="114"/>
      <c r="AK77" s="110"/>
      <c r="AL77" s="123"/>
      <c r="AM77" s="109"/>
      <c r="AN77" s="124" t="str">
        <f t="shared" si="95"/>
        <v xml:space="preserve"> </v>
      </c>
      <c r="AO77" s="109"/>
      <c r="AP77" s="125">
        <f t="shared" si="96"/>
        <v>0</v>
      </c>
      <c r="AQ77" s="126"/>
      <c r="AR77" s="127">
        <f t="shared" si="97"/>
        <v>0</v>
      </c>
      <c r="AS77" s="128">
        <f t="shared" si="98"/>
        <v>0</v>
      </c>
      <c r="AT77" s="129"/>
      <c r="AU77" s="130"/>
      <c r="AV77" s="126"/>
      <c r="AW77" s="126"/>
      <c r="AX77" s="129"/>
      <c r="AY77" s="169">
        <f t="shared" si="109"/>
        <v>0</v>
      </c>
      <c r="AZ77" s="132">
        <f t="shared" si="83"/>
        <v>0</v>
      </c>
      <c r="BA77" s="129"/>
      <c r="BB77" s="126"/>
      <c r="BC77" s="133">
        <f t="shared" ca="1" si="99"/>
        <v>0</v>
      </c>
      <c r="BD77" s="129"/>
      <c r="BE77" s="134" t="str">
        <f t="shared" si="100"/>
        <v xml:space="preserve"> </v>
      </c>
      <c r="BF77" s="134" t="str">
        <f t="shared" si="101"/>
        <v xml:space="preserve"> </v>
      </c>
      <c r="BG77" s="135" t="str">
        <f t="shared" si="102"/>
        <v/>
      </c>
      <c r="BH77" s="136" t="str">
        <f t="shared" si="103"/>
        <v xml:space="preserve"> </v>
      </c>
      <c r="BI77" s="153"/>
      <c r="BJ77" s="126"/>
      <c r="BK77" s="129"/>
      <c r="BL77" s="138">
        <f t="shared" si="104"/>
        <v>0</v>
      </c>
      <c r="BM77" s="123">
        <f t="shared" si="105"/>
        <v>0</v>
      </c>
      <c r="BN77" s="139">
        <f t="shared" si="106"/>
        <v>0</v>
      </c>
      <c r="BQ77" s="170"/>
      <c r="BT77" s="143">
        <f t="shared" si="107"/>
        <v>0</v>
      </c>
      <c r="BX77" s="143">
        <f t="shared" si="77"/>
        <v>1</v>
      </c>
      <c r="BY77" s="143">
        <f t="shared" si="78"/>
        <v>0</v>
      </c>
      <c r="BZ77" s="129"/>
    </row>
    <row r="78" spans="1:98" ht="30.8" hidden="1" customHeight="1">
      <c r="A78" s="105">
        <f t="shared" si="90"/>
        <v>78</v>
      </c>
      <c r="B78" s="106"/>
      <c r="C78" s="106" t="e">
        <f t="shared" si="91"/>
        <v>#VALUE!</v>
      </c>
      <c r="D78" s="108"/>
      <c r="E78" s="109"/>
      <c r="F78" s="109"/>
      <c r="G78" s="109"/>
      <c r="H78" s="109"/>
      <c r="I78" s="110"/>
      <c r="J78" s="196">
        <f t="shared" si="75"/>
        <v>0</v>
      </c>
      <c r="K78" s="112"/>
      <c r="L78" s="112"/>
      <c r="M78" s="114"/>
      <c r="N78" s="113">
        <f t="shared" si="108"/>
        <v>0</v>
      </c>
      <c r="O78" s="110"/>
      <c r="P78" s="165"/>
      <c r="Q78" s="165"/>
      <c r="R78" s="165"/>
      <c r="S78" s="165"/>
      <c r="T78" s="165"/>
      <c r="U78" s="166"/>
      <c r="V78" s="201"/>
      <c r="W78" s="117">
        <f t="shared" si="92"/>
        <v>0</v>
      </c>
      <c r="X78" s="112"/>
      <c r="Y78" s="114"/>
      <c r="Z78" s="120">
        <v>1</v>
      </c>
      <c r="AA78" s="112"/>
      <c r="AB78" s="113">
        <f t="shared" si="79"/>
        <v>0</v>
      </c>
      <c r="AC78" s="117">
        <f t="shared" si="93"/>
        <v>0</v>
      </c>
      <c r="AD78" s="112"/>
      <c r="AE78" s="112" t="s">
        <v>157</v>
      </c>
      <c r="AF78" s="121"/>
      <c r="AG78" s="122">
        <f t="shared" si="80"/>
        <v>0</v>
      </c>
      <c r="AH78" s="117">
        <f t="shared" si="94"/>
        <v>0</v>
      </c>
      <c r="AI78" s="109"/>
      <c r="AJ78" s="114"/>
      <c r="AK78" s="110"/>
      <c r="AL78" s="123"/>
      <c r="AM78" s="109"/>
      <c r="AN78" s="124" t="str">
        <f t="shared" si="95"/>
        <v xml:space="preserve"> </v>
      </c>
      <c r="AO78" s="109"/>
      <c r="AP78" s="125">
        <f t="shared" si="96"/>
        <v>0</v>
      </c>
      <c r="AQ78" s="126"/>
      <c r="AR78" s="127">
        <f t="shared" si="97"/>
        <v>0</v>
      </c>
      <c r="AS78" s="128">
        <f t="shared" si="98"/>
        <v>0</v>
      </c>
      <c r="AT78" s="129"/>
      <c r="AU78" s="130"/>
      <c r="AV78" s="126"/>
      <c r="AW78" s="126"/>
      <c r="AX78" s="129"/>
      <c r="AY78" s="169">
        <f t="shared" si="109"/>
        <v>0</v>
      </c>
      <c r="AZ78" s="132">
        <f t="shared" si="83"/>
        <v>0</v>
      </c>
      <c r="BA78" s="129"/>
      <c r="BB78" s="126"/>
      <c r="BC78" s="133">
        <f t="shared" ca="1" si="99"/>
        <v>0</v>
      </c>
      <c r="BD78" s="129"/>
      <c r="BE78" s="134" t="str">
        <f t="shared" si="100"/>
        <v xml:space="preserve"> </v>
      </c>
      <c r="BF78" s="134" t="str">
        <f t="shared" si="101"/>
        <v xml:space="preserve"> </v>
      </c>
      <c r="BG78" s="135" t="str">
        <f t="shared" si="102"/>
        <v/>
      </c>
      <c r="BH78" s="136" t="str">
        <f t="shared" si="103"/>
        <v xml:space="preserve"> </v>
      </c>
      <c r="BI78" s="153"/>
      <c r="BJ78" s="126"/>
      <c r="BK78" s="129"/>
      <c r="BL78" s="138">
        <f t="shared" si="104"/>
        <v>0</v>
      </c>
      <c r="BM78" s="123">
        <f t="shared" si="105"/>
        <v>0</v>
      </c>
      <c r="BN78" s="139">
        <f t="shared" si="106"/>
        <v>0</v>
      </c>
      <c r="BQ78" s="170"/>
      <c r="BT78" s="143">
        <f t="shared" si="107"/>
        <v>0</v>
      </c>
      <c r="BW78" s="110"/>
      <c r="BX78" s="143">
        <f t="shared" si="77"/>
        <v>1</v>
      </c>
      <c r="BY78" s="143">
        <f t="shared" si="78"/>
        <v>0</v>
      </c>
      <c r="BZ78" s="129"/>
    </row>
    <row r="79" spans="1:98" ht="30.8" hidden="1" customHeight="1">
      <c r="A79" s="105">
        <f t="shared" si="90"/>
        <v>79</v>
      </c>
      <c r="B79" s="106"/>
      <c r="C79" s="106" t="e">
        <f t="shared" si="91"/>
        <v>#VALUE!</v>
      </c>
      <c r="D79" s="108"/>
      <c r="E79" s="109"/>
      <c r="F79" s="109"/>
      <c r="G79" s="109"/>
      <c r="H79" s="109"/>
      <c r="I79" s="110"/>
      <c r="J79" s="196">
        <f t="shared" si="75"/>
        <v>0</v>
      </c>
      <c r="K79" s="112"/>
      <c r="L79" s="112"/>
      <c r="M79" s="114"/>
      <c r="N79" s="113">
        <f t="shared" si="108"/>
        <v>0</v>
      </c>
      <c r="O79" s="110"/>
      <c r="P79" s="165"/>
      <c r="Q79" s="165"/>
      <c r="R79" s="165"/>
      <c r="S79" s="165"/>
      <c r="T79" s="165"/>
      <c r="U79" s="166"/>
      <c r="V79" s="201"/>
      <c r="W79" s="117">
        <f t="shared" si="92"/>
        <v>0</v>
      </c>
      <c r="X79" s="112"/>
      <c r="Y79" s="114"/>
      <c r="Z79" s="120">
        <v>1</v>
      </c>
      <c r="AA79" s="112"/>
      <c r="AB79" s="113">
        <f t="shared" si="79"/>
        <v>0</v>
      </c>
      <c r="AC79" s="117">
        <f t="shared" si="93"/>
        <v>0</v>
      </c>
      <c r="AD79" s="112"/>
      <c r="AE79" s="112" t="s">
        <v>157</v>
      </c>
      <c r="AF79" s="121"/>
      <c r="AG79" s="122">
        <f t="shared" si="80"/>
        <v>0</v>
      </c>
      <c r="AH79" s="117">
        <f t="shared" si="94"/>
        <v>0</v>
      </c>
      <c r="AI79" s="109"/>
      <c r="AJ79" s="114"/>
      <c r="AK79" s="110"/>
      <c r="AL79" s="123"/>
      <c r="AM79" s="109"/>
      <c r="AN79" s="124" t="str">
        <f t="shared" si="95"/>
        <v xml:space="preserve"> </v>
      </c>
      <c r="AO79" s="109"/>
      <c r="AP79" s="125">
        <f t="shared" si="96"/>
        <v>0</v>
      </c>
      <c r="AQ79" s="126"/>
      <c r="AR79" s="127">
        <f t="shared" si="97"/>
        <v>0</v>
      </c>
      <c r="AS79" s="128">
        <f t="shared" si="98"/>
        <v>0</v>
      </c>
      <c r="AT79" s="129"/>
      <c r="AU79" s="130"/>
      <c r="AV79" s="126"/>
      <c r="AW79" s="126"/>
      <c r="AX79" s="129"/>
      <c r="AY79" s="169">
        <f t="shared" si="109"/>
        <v>0</v>
      </c>
      <c r="AZ79" s="132">
        <f t="shared" si="83"/>
        <v>0</v>
      </c>
      <c r="BA79" s="129"/>
      <c r="BB79" s="126"/>
      <c r="BC79" s="133">
        <f t="shared" ca="1" si="99"/>
        <v>0</v>
      </c>
      <c r="BD79" s="129"/>
      <c r="BE79" s="134" t="str">
        <f t="shared" si="100"/>
        <v xml:space="preserve"> </v>
      </c>
      <c r="BF79" s="134" t="str">
        <f t="shared" si="101"/>
        <v xml:space="preserve"> </v>
      </c>
      <c r="BG79" s="135" t="str">
        <f t="shared" si="102"/>
        <v/>
      </c>
      <c r="BH79" s="136" t="str">
        <f t="shared" si="103"/>
        <v xml:space="preserve"> </v>
      </c>
      <c r="BI79" s="153"/>
      <c r="BJ79" s="126"/>
      <c r="BK79" s="129"/>
      <c r="BL79" s="138">
        <f t="shared" si="104"/>
        <v>0</v>
      </c>
      <c r="BM79" s="123">
        <f t="shared" si="105"/>
        <v>0</v>
      </c>
      <c r="BN79" s="139">
        <f t="shared" si="106"/>
        <v>0</v>
      </c>
      <c r="BQ79" s="170"/>
      <c r="BT79" s="143">
        <f t="shared" si="107"/>
        <v>0</v>
      </c>
      <c r="BW79" s="49"/>
      <c r="BX79" s="143">
        <f t="shared" si="77"/>
        <v>1</v>
      </c>
      <c r="BY79" s="143">
        <f t="shared" si="78"/>
        <v>0</v>
      </c>
      <c r="BZ79" s="129"/>
    </row>
    <row r="80" spans="1:98" ht="30.8" hidden="1" customHeight="1">
      <c r="A80" s="105">
        <f t="shared" si="90"/>
        <v>80</v>
      </c>
      <c r="B80" s="106"/>
      <c r="C80" s="106" t="e">
        <f t="shared" si="91"/>
        <v>#VALUE!</v>
      </c>
      <c r="D80" s="108"/>
      <c r="E80" s="109"/>
      <c r="F80" s="109"/>
      <c r="G80" s="109"/>
      <c r="H80" s="109"/>
      <c r="I80" s="110"/>
      <c r="J80" s="196">
        <f t="shared" si="75"/>
        <v>0</v>
      </c>
      <c r="K80" s="112"/>
      <c r="L80" s="112"/>
      <c r="M80" s="114"/>
      <c r="N80" s="113">
        <f t="shared" si="108"/>
        <v>0</v>
      </c>
      <c r="O80" s="110"/>
      <c r="P80" s="165"/>
      <c r="Q80" s="165"/>
      <c r="R80" s="165"/>
      <c r="S80" s="165"/>
      <c r="T80" s="165"/>
      <c r="U80" s="166"/>
      <c r="V80" s="201"/>
      <c r="W80" s="117">
        <f t="shared" si="92"/>
        <v>0</v>
      </c>
      <c r="X80" s="112"/>
      <c r="Y80" s="114"/>
      <c r="Z80" s="120">
        <v>1</v>
      </c>
      <c r="AA80" s="112"/>
      <c r="AB80" s="113">
        <f t="shared" si="79"/>
        <v>0</v>
      </c>
      <c r="AC80" s="117">
        <f t="shared" si="93"/>
        <v>0</v>
      </c>
      <c r="AD80" s="112"/>
      <c r="AE80" s="112" t="s">
        <v>157</v>
      </c>
      <c r="AF80" s="121"/>
      <c r="AG80" s="122">
        <f t="shared" si="80"/>
        <v>0</v>
      </c>
      <c r="AH80" s="117">
        <f t="shared" si="94"/>
        <v>0</v>
      </c>
      <c r="AI80" s="109"/>
      <c r="AJ80" s="114"/>
      <c r="AK80" s="110"/>
      <c r="AL80" s="123"/>
      <c r="AM80" s="109"/>
      <c r="AN80" s="124" t="str">
        <f t="shared" si="95"/>
        <v xml:space="preserve"> </v>
      </c>
      <c r="AO80" s="109"/>
      <c r="AP80" s="125">
        <f t="shared" si="96"/>
        <v>0</v>
      </c>
      <c r="AQ80" s="126"/>
      <c r="AR80" s="127">
        <f t="shared" si="97"/>
        <v>0</v>
      </c>
      <c r="AS80" s="128">
        <f t="shared" si="98"/>
        <v>0</v>
      </c>
      <c r="AT80" s="129"/>
      <c r="AU80" s="130"/>
      <c r="AV80" s="126"/>
      <c r="AW80" s="126"/>
      <c r="AX80" s="129"/>
      <c r="AY80" s="169">
        <f t="shared" si="109"/>
        <v>0</v>
      </c>
      <c r="AZ80" s="132">
        <f t="shared" si="83"/>
        <v>0</v>
      </c>
      <c r="BA80" s="129"/>
      <c r="BB80" s="126"/>
      <c r="BC80" s="133">
        <f t="shared" ca="1" si="99"/>
        <v>0</v>
      </c>
      <c r="BD80" s="129"/>
      <c r="BE80" s="134" t="str">
        <f t="shared" si="100"/>
        <v xml:space="preserve"> </v>
      </c>
      <c r="BF80" s="134" t="str">
        <f t="shared" si="101"/>
        <v xml:space="preserve"> </v>
      </c>
      <c r="BG80" s="135" t="str">
        <f t="shared" si="102"/>
        <v/>
      </c>
      <c r="BH80" s="136" t="str">
        <f t="shared" si="103"/>
        <v xml:space="preserve"> </v>
      </c>
      <c r="BI80" s="153"/>
      <c r="BJ80" s="126"/>
      <c r="BK80" s="129"/>
      <c r="BL80" s="138">
        <f t="shared" si="104"/>
        <v>0</v>
      </c>
      <c r="BM80" s="123">
        <f t="shared" si="105"/>
        <v>0</v>
      </c>
      <c r="BN80" s="139">
        <f t="shared" si="106"/>
        <v>0</v>
      </c>
      <c r="BO80" s="110"/>
      <c r="BP80" s="110"/>
      <c r="BQ80" s="170"/>
      <c r="BR80" s="110"/>
      <c r="BS80" s="110"/>
      <c r="BT80" s="143">
        <f t="shared" si="107"/>
        <v>0</v>
      </c>
      <c r="BU80" s="110"/>
      <c r="BV80" s="110"/>
      <c r="BW80" s="110"/>
      <c r="BX80" s="143">
        <f t="shared" si="77"/>
        <v>1</v>
      </c>
      <c r="BY80" s="143">
        <f t="shared" si="78"/>
        <v>0</v>
      </c>
      <c r="BZ80" s="129"/>
      <c r="CB80" s="110"/>
      <c r="CC80" s="110"/>
      <c r="CD80" s="110"/>
      <c r="CE80" s="110"/>
      <c r="CF80" s="110"/>
      <c r="CG80" s="110"/>
      <c r="CH80" s="110"/>
      <c r="CI80" s="110"/>
      <c r="CJ80" s="110"/>
      <c r="CK80" s="110"/>
      <c r="CL80" s="110"/>
      <c r="CM80" s="110"/>
      <c r="CN80" s="110"/>
      <c r="CO80" s="110"/>
      <c r="CP80" s="110"/>
      <c r="CQ80" s="110"/>
      <c r="CR80" s="110"/>
      <c r="CS80" s="110"/>
      <c r="CT80" s="110"/>
    </row>
    <row r="81" spans="1:106" ht="30.8" hidden="1" customHeight="1">
      <c r="A81" s="105">
        <f t="shared" si="90"/>
        <v>81</v>
      </c>
      <c r="B81" s="106"/>
      <c r="C81" s="106" t="e">
        <f t="shared" si="91"/>
        <v>#VALUE!</v>
      </c>
      <c r="D81" s="108"/>
      <c r="E81" s="109"/>
      <c r="F81" s="109"/>
      <c r="G81" s="109"/>
      <c r="H81" s="109"/>
      <c r="I81" s="110"/>
      <c r="J81" s="196">
        <f t="shared" si="75"/>
        <v>0</v>
      </c>
      <c r="K81" s="112"/>
      <c r="L81" s="112"/>
      <c r="M81" s="114"/>
      <c r="N81" s="113">
        <f t="shared" si="108"/>
        <v>0</v>
      </c>
      <c r="O81" s="110"/>
      <c r="P81" s="165"/>
      <c r="Q81" s="165"/>
      <c r="R81" s="165"/>
      <c r="S81" s="165"/>
      <c r="T81" s="165"/>
      <c r="U81" s="166"/>
      <c r="V81" s="201"/>
      <c r="W81" s="117">
        <f t="shared" si="92"/>
        <v>0</v>
      </c>
      <c r="X81" s="112"/>
      <c r="Y81" s="114"/>
      <c r="Z81" s="120">
        <v>1</v>
      </c>
      <c r="AA81" s="112"/>
      <c r="AB81" s="113">
        <f t="shared" si="79"/>
        <v>0</v>
      </c>
      <c r="AC81" s="117">
        <f t="shared" si="93"/>
        <v>0</v>
      </c>
      <c r="AD81" s="112"/>
      <c r="AE81" s="112" t="s">
        <v>157</v>
      </c>
      <c r="AF81" s="121"/>
      <c r="AG81" s="122">
        <f t="shared" si="80"/>
        <v>0</v>
      </c>
      <c r="AH81" s="117">
        <f t="shared" si="94"/>
        <v>0</v>
      </c>
      <c r="AI81" s="109"/>
      <c r="AJ81" s="114"/>
      <c r="AK81" s="110"/>
      <c r="AL81" s="123"/>
      <c r="AM81" s="109"/>
      <c r="AN81" s="124" t="str">
        <f t="shared" si="95"/>
        <v xml:space="preserve"> </v>
      </c>
      <c r="AO81" s="109"/>
      <c r="AP81" s="125">
        <f t="shared" si="96"/>
        <v>0</v>
      </c>
      <c r="AQ81" s="126"/>
      <c r="AR81" s="127">
        <f t="shared" si="97"/>
        <v>0</v>
      </c>
      <c r="AS81" s="128">
        <f t="shared" si="98"/>
        <v>0</v>
      </c>
      <c r="AT81" s="129"/>
      <c r="AU81" s="130"/>
      <c r="AV81" s="126"/>
      <c r="AW81" s="126"/>
      <c r="AX81" s="129"/>
      <c r="AY81" s="169">
        <f t="shared" si="109"/>
        <v>0</v>
      </c>
      <c r="AZ81" s="132">
        <f t="shared" si="83"/>
        <v>0</v>
      </c>
      <c r="BA81" s="129"/>
      <c r="BB81" s="126"/>
      <c r="BC81" s="133">
        <f t="shared" ca="1" si="99"/>
        <v>0</v>
      </c>
      <c r="BD81" s="129"/>
      <c r="BE81" s="134" t="str">
        <f t="shared" si="100"/>
        <v xml:space="preserve"> </v>
      </c>
      <c r="BF81" s="134" t="str">
        <f t="shared" si="101"/>
        <v xml:space="preserve"> </v>
      </c>
      <c r="BG81" s="135" t="str">
        <f t="shared" si="102"/>
        <v/>
      </c>
      <c r="BH81" s="136" t="str">
        <f t="shared" si="103"/>
        <v xml:space="preserve"> </v>
      </c>
      <c r="BI81" s="153"/>
      <c r="BJ81" s="126"/>
      <c r="BK81" s="129"/>
      <c r="BL81" s="138">
        <f t="shared" si="104"/>
        <v>0</v>
      </c>
      <c r="BM81" s="123">
        <f t="shared" si="105"/>
        <v>0</v>
      </c>
      <c r="BN81" s="139">
        <f t="shared" si="106"/>
        <v>0</v>
      </c>
      <c r="BQ81" s="170"/>
      <c r="BT81" s="143">
        <f t="shared" si="107"/>
        <v>0</v>
      </c>
      <c r="BW81" s="49"/>
      <c r="BX81" s="143">
        <f t="shared" si="77"/>
        <v>1</v>
      </c>
      <c r="BY81" s="143">
        <f t="shared" si="78"/>
        <v>0</v>
      </c>
      <c r="BZ81" s="129"/>
      <c r="CU81" s="110"/>
      <c r="CV81" s="110"/>
      <c r="CW81" s="110"/>
      <c r="CX81" s="110"/>
      <c r="CY81" s="110"/>
      <c r="CZ81" s="110"/>
      <c r="DA81" s="110"/>
      <c r="DB81" s="110"/>
    </row>
    <row r="82" spans="1:106" ht="30.8" hidden="1" customHeight="1">
      <c r="A82" s="105">
        <f t="shared" si="90"/>
        <v>82</v>
      </c>
      <c r="B82" s="106"/>
      <c r="C82" s="106" t="e">
        <f t="shared" si="91"/>
        <v>#VALUE!</v>
      </c>
      <c r="D82" s="108"/>
      <c r="E82" s="109"/>
      <c r="F82" s="109"/>
      <c r="G82" s="109"/>
      <c r="H82" s="109"/>
      <c r="I82" s="110"/>
      <c r="J82" s="196">
        <f t="shared" si="75"/>
        <v>0</v>
      </c>
      <c r="K82" s="112"/>
      <c r="L82" s="112"/>
      <c r="M82" s="114"/>
      <c r="N82" s="113">
        <f t="shared" si="108"/>
        <v>0</v>
      </c>
      <c r="O82" s="110"/>
      <c r="P82" s="165"/>
      <c r="Q82" s="165"/>
      <c r="R82" s="165"/>
      <c r="S82" s="165"/>
      <c r="T82" s="165"/>
      <c r="U82" s="166"/>
      <c r="V82" s="201"/>
      <c r="W82" s="117">
        <f t="shared" si="92"/>
        <v>0</v>
      </c>
      <c r="X82" s="112"/>
      <c r="Y82" s="114"/>
      <c r="Z82" s="120">
        <v>1</v>
      </c>
      <c r="AA82" s="112"/>
      <c r="AB82" s="113">
        <f t="shared" si="79"/>
        <v>0</v>
      </c>
      <c r="AC82" s="117">
        <f t="shared" si="93"/>
        <v>0</v>
      </c>
      <c r="AD82" s="112"/>
      <c r="AE82" s="112" t="s">
        <v>157</v>
      </c>
      <c r="AF82" s="121"/>
      <c r="AG82" s="122">
        <f t="shared" si="80"/>
        <v>0</v>
      </c>
      <c r="AH82" s="117">
        <f t="shared" si="94"/>
        <v>0</v>
      </c>
      <c r="AI82" s="109"/>
      <c r="AJ82" s="114"/>
      <c r="AK82" s="110"/>
      <c r="AL82" s="123"/>
      <c r="AM82" s="109"/>
      <c r="AN82" s="124" t="str">
        <f t="shared" si="95"/>
        <v xml:space="preserve"> </v>
      </c>
      <c r="AO82" s="109"/>
      <c r="AP82" s="125">
        <f t="shared" si="96"/>
        <v>0</v>
      </c>
      <c r="AQ82" s="126"/>
      <c r="AR82" s="127">
        <f t="shared" si="97"/>
        <v>0</v>
      </c>
      <c r="AS82" s="128">
        <f t="shared" si="98"/>
        <v>0</v>
      </c>
      <c r="AT82" s="129"/>
      <c r="AU82" s="130"/>
      <c r="AV82" s="126"/>
      <c r="AW82" s="126"/>
      <c r="AX82" s="129"/>
      <c r="AY82" s="169">
        <f t="shared" si="109"/>
        <v>0</v>
      </c>
      <c r="AZ82" s="132">
        <f t="shared" si="83"/>
        <v>0</v>
      </c>
      <c r="BA82" s="129"/>
      <c r="BB82" s="126"/>
      <c r="BC82" s="133">
        <f t="shared" ca="1" si="99"/>
        <v>0</v>
      </c>
      <c r="BD82" s="129"/>
      <c r="BE82" s="134" t="str">
        <f t="shared" si="100"/>
        <v xml:space="preserve"> </v>
      </c>
      <c r="BF82" s="134" t="str">
        <f t="shared" si="101"/>
        <v xml:space="preserve"> </v>
      </c>
      <c r="BG82" s="135" t="str">
        <f t="shared" si="102"/>
        <v/>
      </c>
      <c r="BH82" s="136" t="str">
        <f t="shared" si="103"/>
        <v xml:space="preserve"> </v>
      </c>
      <c r="BI82" s="202"/>
      <c r="BJ82" s="126"/>
      <c r="BK82" s="129"/>
      <c r="BL82" s="138">
        <f t="shared" si="104"/>
        <v>0</v>
      </c>
      <c r="BM82" s="123">
        <f t="shared" si="105"/>
        <v>0</v>
      </c>
      <c r="BN82" s="139">
        <f t="shared" si="106"/>
        <v>0</v>
      </c>
      <c r="BO82" s="110"/>
      <c r="BP82" s="110"/>
      <c r="BQ82" s="170"/>
      <c r="BR82" s="110"/>
      <c r="BS82" s="110"/>
      <c r="BT82" s="143">
        <f t="shared" si="107"/>
        <v>0</v>
      </c>
      <c r="BU82" s="110"/>
      <c r="BV82" s="110"/>
      <c r="BX82" s="143">
        <f t="shared" si="77"/>
        <v>1</v>
      </c>
      <c r="BY82" s="143">
        <f t="shared" si="78"/>
        <v>0</v>
      </c>
      <c r="BZ82" s="129"/>
      <c r="CB82" s="110"/>
      <c r="CC82" s="110"/>
      <c r="CD82" s="110"/>
      <c r="CE82" s="110"/>
      <c r="CF82" s="110"/>
      <c r="CG82" s="110"/>
      <c r="CH82" s="110"/>
      <c r="CI82" s="110"/>
      <c r="CJ82" s="110"/>
      <c r="CK82" s="110"/>
      <c r="CL82" s="110"/>
      <c r="CM82" s="110"/>
      <c r="CN82" s="110"/>
      <c r="CO82" s="110"/>
      <c r="CP82" s="110"/>
      <c r="CQ82" s="110"/>
      <c r="CR82" s="110"/>
      <c r="CS82" s="110"/>
      <c r="CT82" s="110"/>
    </row>
    <row r="83" spans="1:106" ht="14.9" hidden="1" customHeight="1">
      <c r="A83" s="105">
        <f t="shared" si="90"/>
        <v>83</v>
      </c>
      <c r="B83" s="106"/>
      <c r="C83" s="106" t="e">
        <f t="shared" si="91"/>
        <v>#VALUE!</v>
      </c>
      <c r="D83" s="108"/>
      <c r="E83" s="109"/>
      <c r="F83" s="109"/>
      <c r="G83" s="109"/>
      <c r="H83" s="109"/>
      <c r="I83" s="110"/>
      <c r="J83" s="196">
        <f t="shared" si="75"/>
        <v>0</v>
      </c>
      <c r="K83" s="112"/>
      <c r="L83" s="112"/>
      <c r="M83" s="114"/>
      <c r="N83" s="113">
        <f t="shared" si="108"/>
        <v>0</v>
      </c>
      <c r="O83" s="110"/>
      <c r="P83" s="165"/>
      <c r="Q83" s="165"/>
      <c r="R83" s="165"/>
      <c r="S83" s="165"/>
      <c r="T83" s="165"/>
      <c r="U83" s="166"/>
      <c r="V83" s="201"/>
      <c r="W83" s="117">
        <f t="shared" si="92"/>
        <v>0</v>
      </c>
      <c r="X83" s="112"/>
      <c r="Y83" s="114"/>
      <c r="Z83" s="120">
        <v>1</v>
      </c>
      <c r="AA83" s="112"/>
      <c r="AB83" s="113">
        <f t="shared" si="79"/>
        <v>0</v>
      </c>
      <c r="AC83" s="117">
        <f t="shared" si="93"/>
        <v>0</v>
      </c>
      <c r="AD83" s="112"/>
      <c r="AE83" s="112" t="s">
        <v>157</v>
      </c>
      <c r="AF83" s="121"/>
      <c r="AG83" s="122">
        <f t="shared" si="80"/>
        <v>0</v>
      </c>
      <c r="AH83" s="117">
        <f t="shared" si="94"/>
        <v>0</v>
      </c>
      <c r="AI83" s="109"/>
      <c r="AJ83" s="114"/>
      <c r="AK83" s="110"/>
      <c r="AL83" s="123"/>
      <c r="AM83" s="109"/>
      <c r="AN83" s="124" t="str">
        <f t="shared" si="95"/>
        <v xml:space="preserve"> </v>
      </c>
      <c r="AO83" s="109"/>
      <c r="AP83" s="125">
        <f t="shared" si="96"/>
        <v>0</v>
      </c>
      <c r="AQ83" s="126"/>
      <c r="AR83" s="127">
        <f t="shared" si="97"/>
        <v>0</v>
      </c>
      <c r="AS83" s="128">
        <f t="shared" si="98"/>
        <v>0</v>
      </c>
      <c r="AT83" s="129"/>
      <c r="AU83" s="130"/>
      <c r="AV83" s="126"/>
      <c r="AW83" s="126"/>
      <c r="AX83" s="129"/>
      <c r="AY83" s="169">
        <f t="shared" si="109"/>
        <v>0</v>
      </c>
      <c r="AZ83" s="132">
        <f t="shared" si="83"/>
        <v>0</v>
      </c>
      <c r="BA83" s="129"/>
      <c r="BB83" s="126"/>
      <c r="BC83" s="133">
        <f t="shared" ca="1" si="99"/>
        <v>0</v>
      </c>
      <c r="BD83" s="129"/>
      <c r="BE83" s="134" t="str">
        <f t="shared" si="100"/>
        <v xml:space="preserve"> </v>
      </c>
      <c r="BF83" s="134" t="str">
        <f t="shared" si="101"/>
        <v xml:space="preserve"> </v>
      </c>
      <c r="BG83" s="135" t="str">
        <f t="shared" si="102"/>
        <v/>
      </c>
      <c r="BH83" s="136" t="str">
        <f t="shared" si="103"/>
        <v xml:space="preserve"> </v>
      </c>
      <c r="BJ83" s="126"/>
      <c r="BL83" s="138">
        <f t="shared" si="104"/>
        <v>0</v>
      </c>
      <c r="BM83" s="123">
        <f t="shared" si="105"/>
        <v>0</v>
      </c>
      <c r="BN83" s="139">
        <f t="shared" si="106"/>
        <v>0</v>
      </c>
      <c r="BQ83" s="170"/>
      <c r="BT83" s="143">
        <f t="shared" si="107"/>
        <v>0</v>
      </c>
      <c r="BX83" s="143">
        <f t="shared" si="77"/>
        <v>1</v>
      </c>
      <c r="BY83" s="143">
        <f t="shared" si="78"/>
        <v>0</v>
      </c>
      <c r="BZ83" s="129"/>
      <c r="CA83" s="110"/>
      <c r="CU83" s="110"/>
      <c r="CV83" s="110"/>
      <c r="CW83" s="110"/>
      <c r="CX83" s="110"/>
      <c r="CY83" s="110"/>
      <c r="CZ83" s="110"/>
      <c r="DA83" s="110"/>
      <c r="DB83" s="110"/>
    </row>
    <row r="84" spans="1:106" ht="17.05" hidden="1">
      <c r="A84" s="105">
        <f t="shared" si="90"/>
        <v>84</v>
      </c>
      <c r="B84" s="106"/>
      <c r="C84" s="106" t="e">
        <f t="shared" si="91"/>
        <v>#VALUE!</v>
      </c>
      <c r="D84" s="108"/>
      <c r="E84" s="109"/>
      <c r="F84" s="109"/>
      <c r="G84" s="109"/>
      <c r="H84" s="109"/>
      <c r="I84" s="110"/>
      <c r="J84" s="196">
        <f t="shared" si="75"/>
        <v>0</v>
      </c>
      <c r="K84" s="112"/>
      <c r="L84" s="112"/>
      <c r="M84" s="114"/>
      <c r="N84" s="113">
        <f t="shared" si="108"/>
        <v>0</v>
      </c>
      <c r="O84" s="110"/>
      <c r="P84" s="165"/>
      <c r="Q84" s="165"/>
      <c r="R84" s="165"/>
      <c r="S84" s="165"/>
      <c r="T84" s="165"/>
      <c r="U84" s="166"/>
      <c r="V84" s="201"/>
      <c r="W84" s="117">
        <f t="shared" si="92"/>
        <v>0</v>
      </c>
      <c r="X84" s="112"/>
      <c r="Y84" s="114"/>
      <c r="Z84" s="120">
        <v>1</v>
      </c>
      <c r="AA84" s="112"/>
      <c r="AB84" s="113">
        <f t="shared" si="79"/>
        <v>0</v>
      </c>
      <c r="AC84" s="117">
        <f t="shared" si="93"/>
        <v>0</v>
      </c>
      <c r="AD84" s="112"/>
      <c r="AE84" s="112" t="s">
        <v>157</v>
      </c>
      <c r="AF84" s="121"/>
      <c r="AG84" s="122">
        <f t="shared" si="80"/>
        <v>0</v>
      </c>
      <c r="AH84" s="117">
        <f t="shared" si="94"/>
        <v>0</v>
      </c>
      <c r="AI84" s="109"/>
      <c r="AJ84" s="114"/>
      <c r="AK84" s="110"/>
      <c r="AL84" s="123"/>
      <c r="AM84" s="109"/>
      <c r="AN84" s="124" t="str">
        <f t="shared" si="95"/>
        <v xml:space="preserve"> </v>
      </c>
      <c r="AO84" s="109"/>
      <c r="AP84" s="125">
        <f t="shared" si="96"/>
        <v>0</v>
      </c>
      <c r="AQ84" s="126"/>
      <c r="AR84" s="127">
        <f t="shared" si="97"/>
        <v>0</v>
      </c>
      <c r="AS84" s="128">
        <f t="shared" si="98"/>
        <v>0</v>
      </c>
      <c r="AT84" s="129"/>
      <c r="AU84" s="130"/>
      <c r="AV84" s="126"/>
      <c r="AW84" s="126"/>
      <c r="AX84" s="129"/>
      <c r="AY84" s="169">
        <f t="shared" si="109"/>
        <v>0</v>
      </c>
      <c r="AZ84" s="132">
        <f t="shared" si="83"/>
        <v>0</v>
      </c>
      <c r="BA84" s="129"/>
      <c r="BB84" s="126"/>
      <c r="BC84" s="133">
        <f t="shared" ca="1" si="99"/>
        <v>0</v>
      </c>
      <c r="BD84" s="129"/>
      <c r="BE84" s="134" t="str">
        <f t="shared" si="100"/>
        <v xml:space="preserve"> </v>
      </c>
      <c r="BF84" s="134" t="str">
        <f t="shared" si="101"/>
        <v xml:space="preserve"> </v>
      </c>
      <c r="BG84" s="135" t="str">
        <f t="shared" si="102"/>
        <v/>
      </c>
      <c r="BH84" s="136" t="str">
        <f t="shared" si="103"/>
        <v xml:space="preserve"> </v>
      </c>
      <c r="BI84" s="203"/>
      <c r="BJ84" s="126"/>
      <c r="BK84" s="110"/>
      <c r="BL84" s="138">
        <f t="shared" si="104"/>
        <v>0</v>
      </c>
      <c r="BM84" s="123">
        <f t="shared" si="105"/>
        <v>0</v>
      </c>
      <c r="BN84" s="139">
        <f t="shared" si="106"/>
        <v>0</v>
      </c>
      <c r="BO84" s="110"/>
      <c r="BP84" s="110"/>
      <c r="BQ84" s="170"/>
      <c r="BR84" s="110"/>
      <c r="BS84" s="110"/>
      <c r="BT84" s="143">
        <f t="shared" si="107"/>
        <v>0</v>
      </c>
      <c r="BU84" s="110"/>
      <c r="BV84" s="110"/>
      <c r="BX84" s="143">
        <f t="shared" si="77"/>
        <v>1</v>
      </c>
      <c r="BY84" s="143">
        <f t="shared" si="78"/>
        <v>0</v>
      </c>
      <c r="CB84" s="110"/>
      <c r="CC84" s="110"/>
      <c r="CD84" s="110"/>
      <c r="CE84" s="110"/>
      <c r="CF84" s="110"/>
      <c r="CG84" s="110"/>
      <c r="CH84" s="110"/>
      <c r="CI84" s="110"/>
      <c r="CJ84" s="110"/>
      <c r="CK84" s="110"/>
      <c r="CL84" s="110"/>
      <c r="CM84" s="110"/>
      <c r="CN84" s="110"/>
      <c r="CO84" s="110"/>
      <c r="CP84" s="110"/>
      <c r="CQ84" s="110"/>
      <c r="CR84" s="110"/>
      <c r="CS84" s="110"/>
      <c r="CT84" s="110"/>
    </row>
    <row r="85" spans="1:106" ht="13.6" hidden="1" customHeight="1">
      <c r="A85" s="105">
        <f t="shared" si="90"/>
        <v>85</v>
      </c>
      <c r="B85" s="106"/>
      <c r="C85" s="106" t="e">
        <f t="shared" si="91"/>
        <v>#VALUE!</v>
      </c>
      <c r="D85" s="108"/>
      <c r="E85" s="109"/>
      <c r="F85" s="109"/>
      <c r="G85" s="109"/>
      <c r="H85" s="109"/>
      <c r="I85" s="110"/>
      <c r="J85" s="196">
        <f t="shared" si="75"/>
        <v>0</v>
      </c>
      <c r="K85" s="112"/>
      <c r="L85" s="112"/>
      <c r="M85" s="114"/>
      <c r="N85" s="113">
        <f t="shared" si="108"/>
        <v>0</v>
      </c>
      <c r="O85" s="110"/>
      <c r="P85" s="165"/>
      <c r="Q85" s="165"/>
      <c r="R85" s="165"/>
      <c r="S85" s="165"/>
      <c r="T85" s="165"/>
      <c r="U85" s="166"/>
      <c r="V85" s="201"/>
      <c r="W85" s="117">
        <f t="shared" si="92"/>
        <v>0</v>
      </c>
      <c r="X85" s="112"/>
      <c r="Y85" s="114"/>
      <c r="Z85" s="120">
        <v>1</v>
      </c>
      <c r="AA85" s="112"/>
      <c r="AB85" s="113">
        <f t="shared" si="79"/>
        <v>0</v>
      </c>
      <c r="AC85" s="117">
        <f t="shared" si="93"/>
        <v>0</v>
      </c>
      <c r="AD85" s="112"/>
      <c r="AE85" s="112" t="s">
        <v>157</v>
      </c>
      <c r="AF85" s="121"/>
      <c r="AG85" s="122">
        <f t="shared" si="80"/>
        <v>0</v>
      </c>
      <c r="AH85" s="117">
        <f t="shared" si="94"/>
        <v>0</v>
      </c>
      <c r="AI85" s="109"/>
      <c r="AJ85" s="114"/>
      <c r="AK85" s="110"/>
      <c r="AL85" s="123"/>
      <c r="AM85" s="109"/>
      <c r="AN85" s="124" t="str">
        <f t="shared" si="95"/>
        <v xml:space="preserve"> </v>
      </c>
      <c r="AO85" s="109"/>
      <c r="AP85" s="125">
        <f t="shared" si="96"/>
        <v>0</v>
      </c>
      <c r="AQ85" s="126"/>
      <c r="AR85" s="127">
        <f t="shared" si="97"/>
        <v>0</v>
      </c>
      <c r="AS85" s="128">
        <f t="shared" si="98"/>
        <v>0</v>
      </c>
      <c r="AT85" s="129"/>
      <c r="AU85" s="130"/>
      <c r="AV85" s="126"/>
      <c r="AW85" s="126"/>
      <c r="AX85" s="129"/>
      <c r="AY85" s="169">
        <f t="shared" si="109"/>
        <v>0</v>
      </c>
      <c r="AZ85" s="132">
        <f t="shared" si="83"/>
        <v>0</v>
      </c>
      <c r="BA85" s="129"/>
      <c r="BB85" s="126"/>
      <c r="BC85" s="133">
        <f t="shared" ca="1" si="99"/>
        <v>0</v>
      </c>
      <c r="BD85" s="129"/>
      <c r="BE85" s="134" t="str">
        <f t="shared" si="100"/>
        <v xml:space="preserve"> </v>
      </c>
      <c r="BF85" s="134" t="str">
        <f t="shared" si="101"/>
        <v xml:space="preserve"> </v>
      </c>
      <c r="BG85" s="135" t="str">
        <f t="shared" si="102"/>
        <v/>
      </c>
      <c r="BH85" s="136" t="str">
        <f t="shared" si="103"/>
        <v xml:space="preserve"> </v>
      </c>
      <c r="BJ85" s="126"/>
      <c r="BL85" s="138">
        <f t="shared" si="104"/>
        <v>0</v>
      </c>
      <c r="BM85" s="123">
        <f t="shared" si="105"/>
        <v>0</v>
      </c>
      <c r="BN85" s="139">
        <f t="shared" si="106"/>
        <v>0</v>
      </c>
      <c r="BQ85" s="170"/>
      <c r="BT85" s="143">
        <f t="shared" si="107"/>
        <v>0</v>
      </c>
      <c r="BX85" s="143">
        <f t="shared" si="77"/>
        <v>1</v>
      </c>
      <c r="BY85" s="143">
        <f t="shared" si="78"/>
        <v>0</v>
      </c>
      <c r="CA85" s="110"/>
      <c r="CU85" s="110"/>
      <c r="CV85" s="110"/>
      <c r="CW85" s="110"/>
      <c r="CX85" s="110"/>
      <c r="CY85" s="110"/>
      <c r="CZ85" s="110"/>
      <c r="DA85" s="110"/>
      <c r="DB85" s="110"/>
    </row>
    <row r="86" spans="1:106" ht="17.05" hidden="1">
      <c r="A86" s="105">
        <f t="shared" si="90"/>
        <v>86</v>
      </c>
      <c r="B86" s="106"/>
      <c r="C86" s="106" t="e">
        <f t="shared" si="91"/>
        <v>#VALUE!</v>
      </c>
      <c r="D86" s="108"/>
      <c r="E86" s="109"/>
      <c r="F86" s="109"/>
      <c r="G86" s="109"/>
      <c r="H86" s="109"/>
      <c r="I86" s="110"/>
      <c r="J86" s="196">
        <f t="shared" si="75"/>
        <v>0</v>
      </c>
      <c r="K86" s="112"/>
      <c r="L86" s="112"/>
      <c r="M86" s="114"/>
      <c r="N86" s="113">
        <f t="shared" si="108"/>
        <v>0</v>
      </c>
      <c r="O86" s="110"/>
      <c r="P86" s="165"/>
      <c r="Q86" s="165"/>
      <c r="R86" s="165"/>
      <c r="S86" s="165"/>
      <c r="T86" s="165"/>
      <c r="U86" s="166"/>
      <c r="V86" s="201"/>
      <c r="W86" s="117">
        <f t="shared" si="92"/>
        <v>0</v>
      </c>
      <c r="X86" s="112"/>
      <c r="Y86" s="114"/>
      <c r="Z86" s="120">
        <v>1</v>
      </c>
      <c r="AA86" s="112"/>
      <c r="AB86" s="113">
        <f t="shared" si="79"/>
        <v>0</v>
      </c>
      <c r="AC86" s="117">
        <f t="shared" si="93"/>
        <v>0</v>
      </c>
      <c r="AD86" s="112"/>
      <c r="AE86" s="112" t="s">
        <v>157</v>
      </c>
      <c r="AF86" s="121"/>
      <c r="AG86" s="122">
        <f t="shared" si="80"/>
        <v>0</v>
      </c>
      <c r="AH86" s="117">
        <f t="shared" si="94"/>
        <v>0</v>
      </c>
      <c r="AI86" s="109"/>
      <c r="AJ86" s="114"/>
      <c r="AK86" s="110"/>
      <c r="AL86" s="123"/>
      <c r="AM86" s="109"/>
      <c r="AN86" s="124" t="str">
        <f t="shared" si="95"/>
        <v xml:space="preserve"> </v>
      </c>
      <c r="AO86" s="109"/>
      <c r="AP86" s="125">
        <f t="shared" si="96"/>
        <v>0</v>
      </c>
      <c r="AQ86" s="126"/>
      <c r="AR86" s="127">
        <f t="shared" si="97"/>
        <v>0</v>
      </c>
      <c r="AS86" s="128">
        <f t="shared" si="98"/>
        <v>0</v>
      </c>
      <c r="AT86" s="129"/>
      <c r="AU86" s="130"/>
      <c r="AV86" s="126"/>
      <c r="AW86" s="126"/>
      <c r="AX86" s="129"/>
      <c r="AY86" s="169">
        <f t="shared" si="109"/>
        <v>0</v>
      </c>
      <c r="AZ86" s="132">
        <f t="shared" si="83"/>
        <v>0</v>
      </c>
      <c r="BA86" s="129"/>
      <c r="BB86" s="126"/>
      <c r="BC86" s="133">
        <f t="shared" ca="1" si="99"/>
        <v>0</v>
      </c>
      <c r="BD86" s="129"/>
      <c r="BE86" s="134" t="str">
        <f t="shared" si="100"/>
        <v xml:space="preserve"> </v>
      </c>
      <c r="BF86" s="134" t="str">
        <f t="shared" si="101"/>
        <v xml:space="preserve"> </v>
      </c>
      <c r="BG86" s="135" t="str">
        <f t="shared" si="102"/>
        <v/>
      </c>
      <c r="BH86" s="136" t="str">
        <f t="shared" si="103"/>
        <v xml:space="preserve"> </v>
      </c>
      <c r="BI86" s="203"/>
      <c r="BJ86" s="126"/>
      <c r="BK86" s="110"/>
      <c r="BL86" s="138">
        <f t="shared" si="104"/>
        <v>0</v>
      </c>
      <c r="BM86" s="123">
        <f t="shared" si="105"/>
        <v>0</v>
      </c>
      <c r="BN86" s="139">
        <f t="shared" si="106"/>
        <v>0</v>
      </c>
      <c r="BO86" s="110"/>
      <c r="BP86" s="110"/>
      <c r="BQ86" s="35"/>
      <c r="BR86" s="110"/>
      <c r="BS86" s="110"/>
      <c r="BT86" s="143">
        <f t="shared" si="107"/>
        <v>0</v>
      </c>
      <c r="BU86" s="110"/>
      <c r="BV86" s="110"/>
      <c r="CB86" s="110"/>
      <c r="CC86" s="110"/>
      <c r="CD86" s="110"/>
      <c r="CE86" s="110"/>
      <c r="CF86" s="110"/>
      <c r="CG86" s="110"/>
      <c r="CH86" s="110"/>
      <c r="CI86" s="110"/>
      <c r="CJ86" s="110"/>
      <c r="CK86" s="110"/>
      <c r="CL86" s="110"/>
      <c r="CM86" s="110"/>
      <c r="CN86" s="110"/>
      <c r="CO86" s="110"/>
      <c r="CP86" s="110"/>
      <c r="CQ86" s="110"/>
      <c r="CR86" s="110"/>
      <c r="CS86" s="110"/>
      <c r="CT86" s="110"/>
    </row>
    <row r="87" spans="1:106" ht="17.05" hidden="1">
      <c r="A87" s="105">
        <f t="shared" si="90"/>
        <v>87</v>
      </c>
      <c r="B87" s="106"/>
      <c r="C87" s="106" t="e">
        <f t="shared" si="91"/>
        <v>#VALUE!</v>
      </c>
      <c r="D87" s="108"/>
      <c r="E87" s="109"/>
      <c r="F87" s="109"/>
      <c r="G87" s="109"/>
      <c r="H87" s="109"/>
      <c r="I87" s="110"/>
      <c r="J87" s="196">
        <f t="shared" si="75"/>
        <v>0</v>
      </c>
      <c r="K87" s="112"/>
      <c r="L87" s="112"/>
      <c r="M87" s="114"/>
      <c r="N87" s="113">
        <f t="shared" si="108"/>
        <v>0</v>
      </c>
      <c r="O87" s="110"/>
      <c r="P87" s="165"/>
      <c r="Q87" s="165"/>
      <c r="R87" s="165"/>
      <c r="S87" s="165"/>
      <c r="T87" s="165"/>
      <c r="U87" s="166"/>
      <c r="V87" s="201"/>
      <c r="W87" s="117">
        <f t="shared" si="92"/>
        <v>0</v>
      </c>
      <c r="X87" s="112"/>
      <c r="Y87" s="114"/>
      <c r="Z87" s="120">
        <v>1</v>
      </c>
      <c r="AA87" s="112"/>
      <c r="AB87" s="113">
        <f t="shared" si="79"/>
        <v>0</v>
      </c>
      <c r="AC87" s="117">
        <f t="shared" si="93"/>
        <v>0</v>
      </c>
      <c r="AD87" s="112"/>
      <c r="AE87" s="112" t="s">
        <v>157</v>
      </c>
      <c r="AF87" s="121"/>
      <c r="AG87" s="122">
        <f t="shared" si="80"/>
        <v>0</v>
      </c>
      <c r="AH87" s="117">
        <f t="shared" si="94"/>
        <v>0</v>
      </c>
      <c r="AI87" s="109"/>
      <c r="AJ87" s="114"/>
      <c r="AK87" s="110"/>
      <c r="AL87" s="123"/>
      <c r="AM87" s="109"/>
      <c r="AN87" s="124" t="str">
        <f t="shared" si="95"/>
        <v xml:space="preserve"> </v>
      </c>
      <c r="AO87" s="109"/>
      <c r="AP87" s="125">
        <f t="shared" si="96"/>
        <v>0</v>
      </c>
      <c r="AQ87" s="126"/>
      <c r="AR87" s="127">
        <f t="shared" si="97"/>
        <v>0</v>
      </c>
      <c r="AS87" s="128">
        <f t="shared" si="98"/>
        <v>0</v>
      </c>
      <c r="AT87" s="129"/>
      <c r="AU87" s="130"/>
      <c r="AV87" s="126"/>
      <c r="AW87" s="126"/>
      <c r="AX87" s="129"/>
      <c r="AY87" s="169">
        <f t="shared" si="109"/>
        <v>0</v>
      </c>
      <c r="AZ87" s="132">
        <f t="shared" si="83"/>
        <v>0</v>
      </c>
      <c r="BA87" s="129"/>
      <c r="BB87" s="126"/>
      <c r="BC87" s="133">
        <f t="shared" ca="1" si="99"/>
        <v>0</v>
      </c>
      <c r="BD87" s="129"/>
      <c r="BE87" s="134" t="str">
        <f t="shared" si="100"/>
        <v xml:space="preserve"> </v>
      </c>
      <c r="BF87" s="134" t="str">
        <f t="shared" si="101"/>
        <v xml:space="preserve"> </v>
      </c>
      <c r="BG87" s="135" t="str">
        <f t="shared" si="102"/>
        <v/>
      </c>
      <c r="BH87" s="136" t="str">
        <f t="shared" si="103"/>
        <v xml:space="preserve"> </v>
      </c>
      <c r="BJ87" s="126"/>
      <c r="BL87" s="138">
        <f t="shared" si="104"/>
        <v>0</v>
      </c>
      <c r="BM87" s="123">
        <f t="shared" si="105"/>
        <v>0</v>
      </c>
      <c r="BN87" s="139">
        <f t="shared" si="106"/>
        <v>0</v>
      </c>
      <c r="BQ87" s="204"/>
      <c r="BT87" s="143">
        <f t="shared" si="107"/>
        <v>0</v>
      </c>
      <c r="CA87" s="110"/>
      <c r="CU87" s="110"/>
      <c r="CV87" s="110"/>
      <c r="CW87" s="110"/>
      <c r="CX87" s="110"/>
      <c r="CY87" s="110"/>
      <c r="CZ87" s="110"/>
      <c r="DA87" s="110"/>
      <c r="DB87" s="110"/>
    </row>
    <row r="88" spans="1:106" ht="17.05" hidden="1">
      <c r="A88" s="105">
        <f t="shared" si="90"/>
        <v>88</v>
      </c>
      <c r="B88" s="106"/>
      <c r="C88" s="106" t="e">
        <f t="shared" si="91"/>
        <v>#VALUE!</v>
      </c>
      <c r="D88" s="108"/>
      <c r="E88" s="109"/>
      <c r="F88" s="109"/>
      <c r="G88" s="109"/>
      <c r="H88" s="109"/>
      <c r="I88" s="110"/>
      <c r="J88" s="196">
        <f t="shared" si="75"/>
        <v>0</v>
      </c>
      <c r="K88" s="112"/>
      <c r="L88" s="112"/>
      <c r="M88" s="114"/>
      <c r="N88" s="113">
        <f t="shared" si="108"/>
        <v>0</v>
      </c>
      <c r="O88" s="110"/>
      <c r="P88" s="165"/>
      <c r="Q88" s="165"/>
      <c r="R88" s="165"/>
      <c r="S88" s="165"/>
      <c r="T88" s="165"/>
      <c r="U88" s="166"/>
      <c r="V88" s="201"/>
      <c r="W88" s="117">
        <f t="shared" si="92"/>
        <v>0</v>
      </c>
      <c r="X88" s="118"/>
      <c r="Y88" s="205"/>
      <c r="Z88" s="120">
        <v>1</v>
      </c>
      <c r="AA88" s="112"/>
      <c r="AB88" s="113">
        <f t="shared" si="79"/>
        <v>0</v>
      </c>
      <c r="AC88" s="117">
        <f t="shared" si="93"/>
        <v>0</v>
      </c>
      <c r="AD88" s="112"/>
      <c r="AE88" s="112" t="s">
        <v>157</v>
      </c>
      <c r="AF88" s="121"/>
      <c r="AG88" s="122">
        <f t="shared" si="80"/>
        <v>0</v>
      </c>
      <c r="AH88" s="117">
        <f t="shared" si="94"/>
        <v>0</v>
      </c>
      <c r="AI88" s="109"/>
      <c r="AJ88" s="114"/>
      <c r="AK88" s="110"/>
      <c r="AL88" s="123"/>
      <c r="AM88" s="109"/>
      <c r="AN88" s="124" t="str">
        <f t="shared" si="95"/>
        <v xml:space="preserve"> </v>
      </c>
      <c r="AO88" s="109"/>
      <c r="AP88" s="125">
        <f t="shared" si="96"/>
        <v>0</v>
      </c>
      <c r="AQ88" s="126"/>
      <c r="AR88" s="127">
        <f t="shared" si="97"/>
        <v>0</v>
      </c>
      <c r="AS88" s="128">
        <f t="shared" si="98"/>
        <v>0</v>
      </c>
      <c r="AT88" s="129"/>
      <c r="AU88" s="130"/>
      <c r="AV88" s="126"/>
      <c r="AW88" s="126"/>
      <c r="AX88" s="129"/>
      <c r="AY88" s="169">
        <f t="shared" si="109"/>
        <v>0</v>
      </c>
      <c r="AZ88" s="132">
        <f t="shared" si="83"/>
        <v>0</v>
      </c>
      <c r="BA88" s="129"/>
      <c r="BB88" s="126"/>
      <c r="BC88" s="133">
        <f t="shared" ca="1" si="99"/>
        <v>0</v>
      </c>
      <c r="BD88" s="129"/>
      <c r="BE88" s="134" t="str">
        <f t="shared" si="100"/>
        <v xml:space="preserve"> </v>
      </c>
      <c r="BF88" s="134" t="str">
        <f t="shared" si="101"/>
        <v xml:space="preserve"> </v>
      </c>
      <c r="BG88" s="135" t="str">
        <f t="shared" si="102"/>
        <v/>
      </c>
      <c r="BH88" s="136" t="str">
        <f t="shared" si="103"/>
        <v xml:space="preserve"> </v>
      </c>
      <c r="BJ88" s="126"/>
      <c r="BL88" s="138">
        <f t="shared" si="104"/>
        <v>0</v>
      </c>
      <c r="BM88" s="123">
        <f t="shared" si="105"/>
        <v>0</v>
      </c>
      <c r="BN88" s="139">
        <f t="shared" si="106"/>
        <v>0</v>
      </c>
      <c r="BO88" s="110"/>
      <c r="BP88" s="110"/>
      <c r="BQ88" s="35"/>
      <c r="BR88" s="110"/>
      <c r="BS88" s="110"/>
      <c r="BT88" s="143">
        <f t="shared" si="107"/>
        <v>0</v>
      </c>
      <c r="BU88" s="110"/>
      <c r="BV88" s="110"/>
      <c r="CA88" s="49"/>
      <c r="CB88" s="110"/>
      <c r="CC88" s="110"/>
      <c r="CD88" s="110"/>
      <c r="CE88" s="110"/>
      <c r="CF88" s="110"/>
      <c r="CG88" s="110"/>
      <c r="CH88" s="110"/>
      <c r="CI88" s="110"/>
      <c r="CJ88" s="110"/>
      <c r="CK88" s="110"/>
      <c r="CL88" s="110"/>
      <c r="CM88" s="110"/>
      <c r="CN88" s="110"/>
      <c r="CO88" s="110"/>
      <c r="CP88" s="110"/>
      <c r="CQ88" s="110"/>
      <c r="CR88" s="110"/>
      <c r="CS88" s="110"/>
      <c r="CT88" s="110"/>
    </row>
    <row r="89" spans="1:106" ht="15.75" hidden="1">
      <c r="M89" s="57"/>
      <c r="N89" s="57"/>
      <c r="P89" s="57"/>
      <c r="Q89" s="57"/>
      <c r="R89" s="57"/>
      <c r="S89" s="57"/>
      <c r="T89" s="57"/>
      <c r="U89" s="57"/>
      <c r="V89" s="57"/>
      <c r="W89" s="57"/>
      <c r="Y89" s="57"/>
      <c r="AB89" s="57"/>
      <c r="AC89" s="57"/>
      <c r="AH89" s="57"/>
      <c r="AJ89" s="57"/>
      <c r="AS89" s="57"/>
      <c r="AY89" s="17"/>
      <c r="AZ89" s="58"/>
      <c r="BE89" s="17"/>
      <c r="BF89" s="17"/>
      <c r="BG89" s="17"/>
      <c r="BH89" s="17"/>
      <c r="BT89" s="110"/>
      <c r="CU89" s="110"/>
      <c r="CV89" s="110"/>
      <c r="CW89" s="110"/>
      <c r="CX89" s="110"/>
      <c r="CY89" s="110"/>
      <c r="CZ89" s="110"/>
      <c r="DA89" s="110"/>
      <c r="DB89" s="110"/>
    </row>
    <row r="90" spans="1:106" ht="17.05" hidden="1">
      <c r="A90" s="110"/>
      <c r="B90" s="206">
        <f>COUNTIF(B7:B88,"oui")</f>
        <v>2</v>
      </c>
      <c r="C90" s="206"/>
      <c r="D90" s="972" t="s">
        <v>340</v>
      </c>
      <c r="E90" s="972"/>
      <c r="F90" s="972"/>
      <c r="G90" s="972"/>
      <c r="H90" s="972"/>
      <c r="I90" s="110"/>
      <c r="J90" s="207">
        <f>SUMIF($B$7:$B$88,"oui",J7:J88)</f>
        <v>705.76070400000003</v>
      </c>
      <c r="K90" s="207">
        <f>SUMIF($B$7:$B$88,"oui",K7:K88)</f>
        <v>179.52</v>
      </c>
      <c r="L90" s="208">
        <f>SUMIF($B$7:$B$88,"oui",L7:L88)</f>
        <v>125</v>
      </c>
      <c r="M90" s="209"/>
      <c r="N90" s="209">
        <f>SUMIF($B$7:$B$90,"oui",N7:N90)</f>
        <v>216211.68000000002</v>
      </c>
      <c r="O90" s="129"/>
      <c r="P90" s="209">
        <f t="shared" ref="P90:W90" si="110">SUMIF($B$7:$B$90,"oui",P7:P90)</f>
        <v>103919.11500000001</v>
      </c>
      <c r="Q90" s="209">
        <f t="shared" si="110"/>
        <v>15693.215</v>
      </c>
      <c r="R90" s="209">
        <f t="shared" si="110"/>
        <v>7373.0658199999998</v>
      </c>
      <c r="S90" s="209">
        <f t="shared" si="110"/>
        <v>31294.639999999999</v>
      </c>
      <c r="T90" s="209">
        <f t="shared" si="110"/>
        <v>26377.57</v>
      </c>
      <c r="U90" s="209">
        <f t="shared" si="110"/>
        <v>5943.97</v>
      </c>
      <c r="V90" s="209">
        <f t="shared" si="110"/>
        <v>2315.8125</v>
      </c>
      <c r="W90" s="209">
        <f t="shared" si="110"/>
        <v>192917.38832</v>
      </c>
      <c r="X90" s="207"/>
      <c r="Y90" s="209">
        <f>SUMIF($B$7:$B$90,"oui",Y7:Y90)</f>
        <v>1580</v>
      </c>
      <c r="Z90" s="207"/>
      <c r="AA90" s="207"/>
      <c r="AB90" s="209">
        <f>SUMIF($B$7:$B$90,"oui",AB7:AB90)</f>
        <v>1580</v>
      </c>
      <c r="AC90" s="209">
        <f>SUMIF($B$7:$B$90,"oui",AC7:AC90)</f>
        <v>194497.38832</v>
      </c>
      <c r="AD90" s="207"/>
      <c r="AE90" s="207"/>
      <c r="AF90" s="209">
        <f>SUMIF($B$7:$B$90,"oui",AF7:AF90)</f>
        <v>0</v>
      </c>
      <c r="AG90" s="209">
        <f>SUMIF($B$7:$B$90,"oui",AG7:AG90)</f>
        <v>0</v>
      </c>
      <c r="AH90" s="209">
        <f>SUMIF($B$7:$B$90,"oui",AH7:AH90)</f>
        <v>194497.38832</v>
      </c>
      <c r="AI90" s="209">
        <f>SUMIF($B$7:$B$90,"oui",AI7:AI90)</f>
        <v>520</v>
      </c>
      <c r="AJ90" s="209">
        <f>SUMIF($B$7:$B$90,"oui",AJ7:AJ90)</f>
        <v>6557.0612500000007</v>
      </c>
      <c r="AK90" s="129"/>
      <c r="AL90" s="207">
        <f>MAIF!L31</f>
        <v>1408.3502052034482</v>
      </c>
      <c r="AM90" s="207">
        <f>SUMIF($B$7:$B$88,"oui",AM$7:AM$88)</f>
        <v>800</v>
      </c>
      <c r="AN90" s="209">
        <f>SUMIF($B$7:$B$90,"oui",AN7:AN90)</f>
        <v>482.84</v>
      </c>
      <c r="AO90" s="207"/>
      <c r="AP90" s="209">
        <f>SUMIF($B$7:$B$90,"oui",AP7:AP90)</f>
        <v>460.12512000000004</v>
      </c>
      <c r="AQ90" s="207"/>
      <c r="AR90" s="209">
        <f>SUMIF($B$7:$B$90,"oui",AR7:AR90)</f>
        <v>3068.6400000000003</v>
      </c>
      <c r="AS90" s="209">
        <f>SUM(AL90:AR90)</f>
        <v>6219.9553252034493</v>
      </c>
      <c r="AV90" s="209">
        <f>SUMIF($B$7:$B$90,"oui",AV7:AV90)</f>
        <v>0</v>
      </c>
      <c r="AW90" s="209">
        <f>SUMIF($B$7:$B$90,"oui",AW7:AW90)</f>
        <v>750</v>
      </c>
      <c r="AY90" s="207"/>
      <c r="AZ90" s="209">
        <f>SUMIF($B$7:$B$90,"oui",AZ7:AZ90)</f>
        <v>20746.797600000002</v>
      </c>
      <c r="BC90" s="209">
        <f ca="1">SUMIF($B$7:$B$90,"oui",BC7:BC90)</f>
        <v>0</v>
      </c>
      <c r="BE90" s="17"/>
      <c r="BF90" s="17"/>
      <c r="BG90" s="17"/>
      <c r="BH90" s="17"/>
      <c r="BJ90" s="209">
        <f>SUMIF($B$7:$B$90,"oui",BJ7:BJ90)</f>
        <v>0</v>
      </c>
      <c r="BL90" s="207">
        <f>SUMPRODUCT(BL7:BL88,$BT$7:$BT$88)</f>
        <v>0</v>
      </c>
      <c r="BM90" s="207">
        <f>SUMPRODUCT(BM7:BM88,$BT$7:$BT$88)</f>
        <v>0</v>
      </c>
      <c r="BN90" s="207">
        <f>SUMPRODUCT(BN7:BN88,$BT$7:$BT$88)</f>
        <v>0</v>
      </c>
      <c r="BO90" s="110"/>
      <c r="BP90" s="110"/>
      <c r="BQ90" s="35"/>
      <c r="BR90" s="110"/>
      <c r="BS90" s="110"/>
      <c r="BU90" s="110"/>
      <c r="BV90" s="110"/>
      <c r="CA90" s="49"/>
      <c r="CB90" s="110"/>
      <c r="CC90" s="110"/>
      <c r="CD90" s="110"/>
      <c r="CE90" s="110"/>
      <c r="CF90" s="110"/>
      <c r="CG90" s="110"/>
      <c r="CH90" s="110"/>
      <c r="CI90" s="110"/>
      <c r="CJ90" s="110"/>
      <c r="CK90" s="110"/>
      <c r="CL90" s="110"/>
      <c r="CM90" s="110"/>
      <c r="CN90" s="110"/>
      <c r="CO90" s="110"/>
      <c r="CP90" s="110"/>
      <c r="CQ90" s="110"/>
      <c r="CR90" s="110"/>
      <c r="CS90" s="110"/>
      <c r="CT90" s="110"/>
    </row>
    <row r="91" spans="1:106" ht="15.75">
      <c r="K91" s="210"/>
      <c r="M91" s="57"/>
      <c r="N91" s="57"/>
      <c r="P91" s="57"/>
      <c r="Q91" s="57"/>
      <c r="R91" s="57"/>
      <c r="S91" s="57"/>
      <c r="T91" s="57"/>
      <c r="U91" s="57"/>
      <c r="V91" s="57"/>
      <c r="W91" s="52"/>
      <c r="Y91" s="57"/>
      <c r="AB91" s="57"/>
      <c r="AC91" s="57"/>
      <c r="AH91" s="57"/>
      <c r="AJ91" s="57"/>
      <c r="AS91" s="57"/>
      <c r="AZ91" s="211"/>
      <c r="BC91" s="212"/>
      <c r="BE91" s="17"/>
      <c r="BF91" s="17"/>
      <c r="BG91" s="17"/>
      <c r="BH91" s="17"/>
      <c r="CU91" s="110"/>
      <c r="CV91" s="110"/>
      <c r="CW91" s="110"/>
      <c r="CX91" s="110"/>
      <c r="CY91" s="110"/>
      <c r="CZ91" s="110"/>
      <c r="DA91" s="110"/>
      <c r="DB91" s="110"/>
    </row>
    <row r="92" spans="1:106" ht="17.05">
      <c r="A92" s="110"/>
      <c r="B92" s="213"/>
      <c r="C92" s="213"/>
      <c r="D92" s="973" t="s">
        <v>341</v>
      </c>
      <c r="E92" s="973"/>
      <c r="F92" s="973"/>
      <c r="G92" s="973"/>
      <c r="H92" s="973"/>
      <c r="I92" s="110"/>
      <c r="J92" s="214">
        <f>SUM(J7:J88)</f>
        <v>18500.797192709677</v>
      </c>
      <c r="K92" s="214">
        <f>SUM(K7:K88)</f>
        <v>3765.2350000000001</v>
      </c>
      <c r="L92" s="215">
        <f>SUM(L7:L88)</f>
        <v>2449.6149999999998</v>
      </c>
      <c r="M92" s="216"/>
      <c r="N92" s="216">
        <f>SUM(N7:N88)</f>
        <v>4297575.7259897869</v>
      </c>
      <c r="O92" s="129"/>
      <c r="P92" s="216">
        <f t="shared" ref="P92:W92" si="111">SUM(P7:P88)</f>
        <v>1869189.3038755599</v>
      </c>
      <c r="Q92" s="216">
        <f t="shared" si="111"/>
        <v>404298.56792996865</v>
      </c>
      <c r="R92" s="216">
        <f t="shared" si="111"/>
        <v>217809.47525259014</v>
      </c>
      <c r="S92" s="216">
        <f t="shared" si="111"/>
        <v>662320.38187341648</v>
      </c>
      <c r="T92" s="216">
        <f t="shared" si="111"/>
        <v>599346.17663044424</v>
      </c>
      <c r="U92" s="216">
        <f t="shared" si="111"/>
        <v>222511.97074166278</v>
      </c>
      <c r="V92" s="216">
        <f t="shared" si="111"/>
        <v>63180.887499999997</v>
      </c>
      <c r="W92" s="216">
        <f t="shared" si="111"/>
        <v>4038656.7638036432</v>
      </c>
      <c r="X92" s="214"/>
      <c r="Y92" s="216">
        <f>SUM(Y7:Y88)</f>
        <v>538367.12814448669</v>
      </c>
      <c r="Z92" s="214"/>
      <c r="AA92" s="214"/>
      <c r="AB92" s="216">
        <f>SUM(AB7:AB88)</f>
        <v>259803.4310398096</v>
      </c>
      <c r="AC92" s="216">
        <f>SUM(AC7:AC88)</f>
        <v>4298460.1948434524</v>
      </c>
      <c r="AD92" s="214"/>
      <c r="AE92" s="214"/>
      <c r="AF92" s="214">
        <f>SUM(AF7:AF88)</f>
        <v>379723.38365942257</v>
      </c>
      <c r="AG92" s="214">
        <f>SUM(AG7:AG88)</f>
        <v>0</v>
      </c>
      <c r="AH92" s="216">
        <f>SUM(AH7:AH88)</f>
        <v>4298460.1948434524</v>
      </c>
      <c r="AI92" s="214">
        <f>SUM(AI7:AI88)</f>
        <v>11423.29</v>
      </c>
      <c r="AJ92" s="216">
        <f>SUM(AJ7:AJ88)</f>
        <v>170698.53750000001</v>
      </c>
      <c r="AK92" s="129"/>
      <c r="AL92" s="214">
        <f>SUM(AL7:AL89)</f>
        <v>0</v>
      </c>
      <c r="AM92" s="214">
        <f>SUM(AM7:AM89)</f>
        <v>28378.400000000001</v>
      </c>
      <c r="AN92" s="214">
        <f>SUM(AN7:AN88)</f>
        <v>13141.86</v>
      </c>
      <c r="AO92" s="214"/>
      <c r="AP92" s="214">
        <f>SUM(AP7:AP88)</f>
        <v>6396.6753199999994</v>
      </c>
      <c r="AQ92" s="214"/>
      <c r="AR92" s="214">
        <f>SUM(AR7:AR88)</f>
        <v>29508.099999999991</v>
      </c>
      <c r="AS92" s="216">
        <f>SUM(AL92:AR92)</f>
        <v>77425.035319999995</v>
      </c>
      <c r="AV92" s="214">
        <f>SUM(AU7:AV88)</f>
        <v>0</v>
      </c>
      <c r="AW92" s="214">
        <f>SUM(AW7:AW88)</f>
        <v>20675</v>
      </c>
      <c r="AY92" s="214"/>
      <c r="AZ92" s="216">
        <f>SUM(AZ7:AZ88)</f>
        <v>426205.47610281798</v>
      </c>
      <c r="BC92" s="216">
        <f ca="1">SUM(BC7:BC88)</f>
        <v>0</v>
      </c>
      <c r="BE92" s="17"/>
      <c r="BF92" s="17"/>
      <c r="BG92" s="17"/>
      <c r="BH92" s="17"/>
      <c r="BJ92" s="216">
        <f>SUM(BJ7:BJ88)</f>
        <v>8000</v>
      </c>
      <c r="BL92" s="214"/>
      <c r="BM92" s="214">
        <f>SUM(BM7:BM88)</f>
        <v>0</v>
      </c>
      <c r="BN92" s="214">
        <f>SUM(BN7:BN88)</f>
        <v>379723.38365942257</v>
      </c>
    </row>
    <row r="93" spans="1:106">
      <c r="E93" s="217"/>
      <c r="P93" s="57"/>
      <c r="W93" s="52"/>
      <c r="AC93" s="57"/>
      <c r="AZ93" s="211"/>
    </row>
    <row r="94" spans="1:106" ht="15.75">
      <c r="B94" s="218"/>
      <c r="C94" s="218"/>
      <c r="D94" s="219" t="s">
        <v>342</v>
      </c>
      <c r="E94" s="217"/>
      <c r="W94" s="57"/>
      <c r="AC94" s="57"/>
      <c r="AZ94" s="58"/>
    </row>
    <row r="95" spans="1:106">
      <c r="E95" s="217"/>
      <c r="I95" s="220"/>
      <c r="K95" s="221">
        <f>K90</f>
        <v>179.52</v>
      </c>
      <c r="W95" s="52"/>
      <c r="AC95" s="57"/>
      <c r="AZ95" s="211"/>
    </row>
    <row r="96" spans="1:106">
      <c r="D96" s="222"/>
      <c r="E96" s="217"/>
      <c r="W96" s="52"/>
      <c r="AC96" s="57"/>
      <c r="AZ96" s="58"/>
    </row>
    <row r="97" spans="5:52">
      <c r="E97" s="217"/>
      <c r="W97" s="52"/>
      <c r="AC97" s="57"/>
      <c r="AZ97" s="58"/>
    </row>
    <row r="98" spans="5:52">
      <c r="E98" s="217"/>
      <c r="W98" s="52"/>
      <c r="AC98" s="57"/>
      <c r="AZ98" s="58"/>
    </row>
    <row r="99" spans="5:52">
      <c r="E99" s="217"/>
      <c r="W99" s="52"/>
      <c r="AC99" s="57"/>
      <c r="AZ99" s="211"/>
    </row>
    <row r="100" spans="5:52" ht="19.649999999999999" customHeight="1">
      <c r="E100" s="217"/>
      <c r="J100" s="223"/>
      <c r="W100" s="52"/>
      <c r="AC100" s="57"/>
    </row>
    <row r="101" spans="5:52" ht="19.649999999999999" customHeight="1">
      <c r="W101" s="52"/>
      <c r="AC101" s="57"/>
    </row>
    <row r="102" spans="5:52" ht="19.649999999999999" customHeight="1">
      <c r="W102" s="52"/>
      <c r="AC102" s="57"/>
    </row>
    <row r="103" spans="5:52" ht="19.649999999999999" customHeight="1">
      <c r="W103" s="52"/>
      <c r="AC103" s="57"/>
    </row>
    <row r="104" spans="5:52" ht="19.649999999999999" customHeight="1">
      <c r="W104" s="52"/>
      <c r="AC104" s="57"/>
    </row>
    <row r="105" spans="5:52" ht="19.649999999999999" customHeight="1">
      <c r="AC105" s="57"/>
    </row>
    <row r="106" spans="5:52" ht="19.649999999999999" customHeight="1">
      <c r="AC106" s="57"/>
    </row>
    <row r="107" spans="5:52" ht="19.649999999999999" customHeight="1">
      <c r="AC107" s="57"/>
    </row>
    <row r="108" spans="5:52" ht="19.649999999999999" customHeight="1">
      <c r="AC108" s="57"/>
    </row>
    <row r="109" spans="5:52" ht="19.649999999999999" customHeight="1">
      <c r="AC109" s="57"/>
    </row>
    <row r="110" spans="5:52">
      <c r="AC110" s="57"/>
    </row>
    <row r="111" spans="5:52">
      <c r="AC111" s="57"/>
    </row>
    <row r="112" spans="5:52">
      <c r="AC112" s="57"/>
    </row>
    <row r="113" spans="29:29">
      <c r="AC113" s="57"/>
    </row>
    <row r="114" spans="29:29">
      <c r="AC114" s="57"/>
    </row>
    <row r="115" spans="29:29">
      <c r="AC115" s="57"/>
    </row>
    <row r="116" spans="29:29">
      <c r="AC116" s="52">
        <v>0</v>
      </c>
    </row>
  </sheetData>
  <autoFilter ref="A6:CT90">
    <filterColumn colId="1">
      <filters>
        <filter val="oui"/>
      </filters>
    </filterColumn>
  </autoFilter>
  <mergeCells count="43">
    <mergeCell ref="D3:G3"/>
    <mergeCell ref="P3:AG3"/>
    <mergeCell ref="AH3:AH5"/>
    <mergeCell ref="AI3:AI5"/>
    <mergeCell ref="AJ3:AJ5"/>
    <mergeCell ref="AL3:AR3"/>
    <mergeCell ref="AS3:AS5"/>
    <mergeCell ref="AU3:AW3"/>
    <mergeCell ref="AY3:AZ3"/>
    <mergeCell ref="BB3:BC3"/>
    <mergeCell ref="AN5:AO5"/>
    <mergeCell ref="BE3:BH3"/>
    <mergeCell ref="E4:H4"/>
    <mergeCell ref="J4:N4"/>
    <mergeCell ref="P4:V4"/>
    <mergeCell ref="W4:W5"/>
    <mergeCell ref="X4:AB4"/>
    <mergeCell ref="AC4:AC5"/>
    <mergeCell ref="AD4:AG4"/>
    <mergeCell ref="AL4:AO4"/>
    <mergeCell ref="AQ4:AR4"/>
    <mergeCell ref="AW4:AW5"/>
    <mergeCell ref="AY4:AY5"/>
    <mergeCell ref="AZ4:AZ5"/>
    <mergeCell ref="BB4:BB5"/>
    <mergeCell ref="BC4:BC5"/>
    <mergeCell ref="BE4:BE5"/>
    <mergeCell ref="BJ4:BJ5"/>
    <mergeCell ref="CN4:CT4"/>
    <mergeCell ref="BQ5:BQ6"/>
    <mergeCell ref="BR5:BR6"/>
    <mergeCell ref="BT5:BT6"/>
    <mergeCell ref="BU5:BU6"/>
    <mergeCell ref="BV5:BV6"/>
    <mergeCell ref="BW5:BW6"/>
    <mergeCell ref="BX5:BY6"/>
    <mergeCell ref="BZ5:BZ6"/>
    <mergeCell ref="CI5:CK5"/>
    <mergeCell ref="D90:H90"/>
    <mergeCell ref="D92:H92"/>
    <mergeCell ref="BF4:BF5"/>
    <mergeCell ref="BG4:BG5"/>
    <mergeCell ref="BH4:BH5"/>
  </mergeCells>
  <conditionalFormatting sqref="B40:C40">
    <cfRule type="cellIs" dxfId="37" priority="8" operator="equal">
      <formula>"non"</formula>
    </cfRule>
  </conditionalFormatting>
  <conditionalFormatting sqref="B42:C42">
    <cfRule type="cellIs" dxfId="36" priority="7" operator="equal">
      <formula>"non"</formula>
    </cfRule>
  </conditionalFormatting>
  <conditionalFormatting sqref="B43:C43">
    <cfRule type="cellIs" dxfId="35" priority="9" operator="equal">
      <formula>"non"</formula>
    </cfRule>
  </conditionalFormatting>
  <conditionalFormatting sqref="B42:C42">
    <cfRule type="cellIs" dxfId="34" priority="6" operator="equal">
      <formula>"non"</formula>
    </cfRule>
  </conditionalFormatting>
  <conditionalFormatting sqref="B43:C43">
    <cfRule type="cellIs" dxfId="33" priority="10" operator="equal">
      <formula>"non"</formula>
    </cfRule>
  </conditionalFormatting>
  <conditionalFormatting sqref="B42:C42">
    <cfRule type="cellIs" dxfId="32" priority="5" operator="equal">
      <formula>"non"</formula>
    </cfRule>
  </conditionalFormatting>
  <conditionalFormatting sqref="B43:C43">
    <cfRule type="cellIs" dxfId="31" priority="11" operator="equal">
      <formula>"non"</formula>
    </cfRule>
  </conditionalFormatting>
  <conditionalFormatting sqref="B41:C41">
    <cfRule type="cellIs" dxfId="30" priority="4" operator="equal">
      <formula>"non"</formula>
    </cfRule>
  </conditionalFormatting>
  <conditionalFormatting sqref="B41:C41">
    <cfRule type="cellIs" dxfId="29" priority="3" operator="equal">
      <formula>"non"</formula>
    </cfRule>
  </conditionalFormatting>
  <conditionalFormatting sqref="B7:C83">
    <cfRule type="cellIs" dxfId="28" priority="2" operator="equal">
      <formula>"non"</formula>
    </cfRule>
  </conditionalFormatting>
  <conditionalFormatting sqref="B62:C62">
    <cfRule type="cellIs" dxfId="27" priority="12" operator="equal">
      <formula>"non"</formula>
    </cfRule>
  </conditionalFormatting>
  <conditionalFormatting sqref="B57:C57">
    <cfRule type="cellIs" dxfId="26" priority="13" operator="equal">
      <formula>"non"</formula>
    </cfRule>
  </conditionalFormatting>
  <conditionalFormatting sqref="B59">
    <cfRule type="cellIs" dxfId="25" priority="14" operator="equal">
      <formula>"non"</formula>
    </cfRule>
  </conditionalFormatting>
  <conditionalFormatting sqref="C58">
    <cfRule type="cellIs" dxfId="24" priority="15" operator="equal">
      <formula>"non"</formula>
    </cfRule>
  </conditionalFormatting>
  <conditionalFormatting sqref="B58">
    <cfRule type="cellIs" dxfId="23" priority="16" operator="equal">
      <formula>"non"</formula>
    </cfRule>
  </conditionalFormatting>
  <conditionalFormatting sqref="B60:C60">
    <cfRule type="cellIs" dxfId="22" priority="17" operator="equal">
      <formula>"non"</formula>
    </cfRule>
  </conditionalFormatting>
  <conditionalFormatting sqref="C60">
    <cfRule type="cellIs" dxfId="21" priority="18" operator="equal">
      <formula>"non"</formula>
    </cfRule>
  </conditionalFormatting>
  <conditionalFormatting sqref="C60">
    <cfRule type="cellIs" dxfId="20" priority="19" operator="equal">
      <formula>"non"</formula>
    </cfRule>
  </conditionalFormatting>
  <conditionalFormatting sqref="B60">
    <cfRule type="cellIs" dxfId="19" priority="20" operator="equal">
      <formula>"non"</formula>
    </cfRule>
  </conditionalFormatting>
  <conditionalFormatting sqref="B43:C43">
    <cfRule type="cellIs" dxfId="18" priority="21" operator="equal">
      <formula>"non"</formula>
    </cfRule>
  </conditionalFormatting>
  <conditionalFormatting sqref="B59:C59">
    <cfRule type="cellIs" dxfId="17" priority="22" operator="equal">
      <formula>"non"</formula>
    </cfRule>
  </conditionalFormatting>
  <conditionalFormatting sqref="C59">
    <cfRule type="cellIs" dxfId="16" priority="23" operator="equal">
      <formula>"non"</formula>
    </cfRule>
  </conditionalFormatting>
  <conditionalFormatting sqref="C59">
    <cfRule type="cellIs" dxfId="15" priority="24" operator="equal">
      <formula>"non"</formula>
    </cfRule>
  </conditionalFormatting>
  <conditionalFormatting sqref="C58">
    <cfRule type="cellIs" dxfId="14" priority="25" operator="equal">
      <formula>"non"</formula>
    </cfRule>
  </conditionalFormatting>
  <dataValidations count="16">
    <dataValidation type="list" allowBlank="1" showInputMessage="1" showErrorMessage="1" sqref="AO7:AO39 AO44:AO56 AO61 AO63:AO88">
      <formula1>$BQ$7:$BQ$9</formula1>
      <formula2>0</formula2>
    </dataValidation>
    <dataValidation type="list" allowBlank="1" showInputMessage="1" showErrorMessage="1" sqref="BB7:BB39 BB44:BB57 BB61 BB63:BB88">
      <formula1>$BU$8:$BU$10</formula1>
      <formula2>0</formula2>
    </dataValidation>
    <dataValidation type="list" allowBlank="1" showInputMessage="1" showErrorMessage="1" sqref="AO40">
      <formula1>$BQ$7:$BQ$9</formula1>
      <formula2>0</formula2>
    </dataValidation>
    <dataValidation type="list" allowBlank="1" showInputMessage="1" showErrorMessage="1" sqref="BB40">
      <formula1>$BU$8:$BU$10</formula1>
      <formula2>0</formula2>
    </dataValidation>
    <dataValidation type="list" allowBlank="1" showInputMessage="1" showErrorMessage="1" sqref="AO41">
      <formula1>$BQ$7:$BQ$9</formula1>
      <formula2>0</formula2>
    </dataValidation>
    <dataValidation type="list" allowBlank="1" showInputMessage="1" showErrorMessage="1" sqref="BB41">
      <formula1>$BU$8:$BU$10</formula1>
      <formula2>0</formula2>
    </dataValidation>
    <dataValidation type="list" allowBlank="1" showInputMessage="1" showErrorMessage="1" sqref="AO42">
      <formula1>$BQ$7:$BQ$9</formula1>
      <formula2>0</formula2>
    </dataValidation>
    <dataValidation type="list" allowBlank="1" showInputMessage="1" showErrorMessage="1" sqref="BB42">
      <formula1>$BU$8:$BU$10</formula1>
      <formula2>0</formula2>
    </dataValidation>
    <dataValidation type="list" allowBlank="1" showInputMessage="1" showErrorMessage="1" sqref="AO43">
      <formula1>$BQ$7:$BQ$9</formula1>
      <formula2>0</formula2>
    </dataValidation>
    <dataValidation type="list" allowBlank="1" showInputMessage="1" showErrorMessage="1" sqref="AO57">
      <formula1>$BQ$7:$BQ$9</formula1>
      <formula2>0</formula2>
    </dataValidation>
    <dataValidation type="list" allowBlank="1" showInputMessage="1" showErrorMessage="1" sqref="BB58">
      <formula1>$BU$8:$BU$10</formula1>
      <formula2>0</formula2>
    </dataValidation>
    <dataValidation type="list" allowBlank="1" showInputMessage="1" showErrorMessage="1" sqref="AO58">
      <formula1>$BQ$7:$BQ$9</formula1>
      <formula2>0</formula2>
    </dataValidation>
    <dataValidation type="list" allowBlank="1" showInputMessage="1" showErrorMessage="1" sqref="AO60">
      <formula1>$BQ$7:$BQ$9</formula1>
      <formula2>0</formula2>
    </dataValidation>
    <dataValidation type="list" allowBlank="1" showInputMessage="1" showErrorMessage="1" sqref="AO62">
      <formula1>$BQ$7:$BQ$9</formula1>
      <formula2>0</formula2>
    </dataValidation>
    <dataValidation type="list" allowBlank="1" showInputMessage="1" showErrorMessage="1" sqref="BB59">
      <formula1>$BU$8:$BU$10</formula1>
      <formula2>0</formula2>
    </dataValidation>
    <dataValidation type="list" allowBlank="1" showInputMessage="1" showErrorMessage="1" sqref="AO59">
      <formula1>$BQ$7:$BQ$9</formula1>
      <formula2>0</formula2>
    </dataValidation>
  </dataValidations>
  <hyperlinks>
    <hyperlink ref="D3" location="Aide!A7" display="Consulter l'AIDE et les commentaires des cellules"/>
  </hyperlinks>
  <printOptions gridLines="1"/>
  <pageMargins left="0.70833333333333315" right="0.70833333333333315" top="0.74791666666666701" bottom="0.74791666666666701" header="0.51180555555555496" footer="0.51180555555555496"/>
  <pageSetup paperSize="9" firstPageNumber="0" orientation="landscape" horizontalDpi="300" verticalDpi="300"/>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69"/>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5.28515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0.140625" style="17"/>
    <col min="13" max="19" width="10.140625" style="403"/>
    <col min="20" max="64" width="10.140625" style="17"/>
  </cols>
  <sheetData>
    <row r="1" spans="1:19" ht="15.75">
      <c r="B1" s="1053" t="s">
        <v>271</v>
      </c>
      <c r="C1" s="1053"/>
      <c r="D1" s="1053"/>
      <c r="E1" s="1053"/>
      <c r="F1" s="1053"/>
      <c r="H1" s="405" t="s">
        <v>493</v>
      </c>
      <c r="I1" s="406">
        <f>VLOOKUP(E4,Catalogue!F:J,5,0)</f>
        <v>375</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c r="A4" s="413">
        <v>266</v>
      </c>
      <c r="B4" s="407" t="s">
        <v>505</v>
      </c>
      <c r="C4" s="420" t="s">
        <v>1337</v>
      </c>
      <c r="D4" s="413"/>
      <c r="E4" s="420" t="s">
        <v>1338</v>
      </c>
      <c r="F4" s="421">
        <v>145.4</v>
      </c>
      <c r="G4" s="410"/>
      <c r="H4" s="409">
        <f t="shared" ref="H4:H9" si="0">F4*(1-G4)</f>
        <v>145.4</v>
      </c>
      <c r="I4" s="409">
        <f t="shared" ref="I4:I9" si="1">A4*H4</f>
        <v>38676.400000000001</v>
      </c>
      <c r="J4" s="417">
        <f>F4/$I$1</f>
        <v>0.38773333333333337</v>
      </c>
      <c r="K4" s="403" t="s">
        <v>1421</v>
      </c>
      <c r="L4" s="404"/>
      <c r="M4" s="418">
        <f>I4</f>
        <v>38676.400000000001</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44.55">
      <c r="A6" s="413">
        <f>A4+A5</f>
        <v>266</v>
      </c>
      <c r="B6" s="413" t="s">
        <v>505</v>
      </c>
      <c r="C6" s="420" t="s">
        <v>1347</v>
      </c>
      <c r="D6" s="413"/>
      <c r="E6" s="420" t="s">
        <v>1488</v>
      </c>
      <c r="F6" s="421">
        <f>3955/A6</f>
        <v>14.868421052631579</v>
      </c>
      <c r="G6" s="422"/>
      <c r="H6" s="421">
        <f t="shared" si="0"/>
        <v>14.868421052631579</v>
      </c>
      <c r="I6" s="421">
        <f t="shared" si="1"/>
        <v>3955</v>
      </c>
      <c r="J6" s="417">
        <f>F6/$I$1</f>
        <v>3.9649122807017545E-2</v>
      </c>
      <c r="K6" s="417"/>
      <c r="M6" s="418">
        <f>I6</f>
        <v>3955</v>
      </c>
      <c r="N6" s="418"/>
      <c r="O6" s="418"/>
      <c r="P6" s="418"/>
      <c r="Q6" s="418"/>
      <c r="R6" s="418"/>
      <c r="S6" s="418"/>
    </row>
    <row r="7" spans="1:19" ht="44.55">
      <c r="A7" s="423">
        <v>1</v>
      </c>
      <c r="B7" s="423" t="s">
        <v>522</v>
      </c>
      <c r="C7" s="408" t="s">
        <v>751</v>
      </c>
      <c r="D7" s="407"/>
      <c r="E7" s="408" t="s">
        <v>1192</v>
      </c>
      <c r="F7" s="409">
        <v>1508.89</v>
      </c>
      <c r="G7" s="422"/>
      <c r="H7" s="409">
        <f t="shared" si="0"/>
        <v>1508.89</v>
      </c>
      <c r="I7" s="409">
        <f t="shared" si="1"/>
        <v>1508.89</v>
      </c>
      <c r="J7" s="204"/>
      <c r="K7" s="17" t="s">
        <v>1484</v>
      </c>
      <c r="M7" s="418"/>
      <c r="N7" s="418"/>
      <c r="O7" s="418"/>
      <c r="P7" s="418"/>
      <c r="Q7" s="418"/>
      <c r="R7" s="418">
        <f t="shared" ref="R7:R9" si="2">I7</f>
        <v>1508.89</v>
      </c>
      <c r="S7" s="418"/>
    </row>
    <row r="8" spans="1:19" ht="44.55">
      <c r="A8" s="423">
        <v>2</v>
      </c>
      <c r="B8" s="413" t="s">
        <v>505</v>
      </c>
      <c r="C8" s="420" t="s">
        <v>751</v>
      </c>
      <c r="D8" s="413"/>
      <c r="E8" s="420" t="s">
        <v>752</v>
      </c>
      <c r="F8" s="425">
        <v>132.22</v>
      </c>
      <c r="G8" s="410"/>
      <c r="H8" s="409">
        <f t="shared" si="0"/>
        <v>132.22</v>
      </c>
      <c r="I8" s="409">
        <f t="shared" si="1"/>
        <v>264.44</v>
      </c>
      <c r="J8" s="204"/>
      <c r="M8" s="418"/>
      <c r="N8" s="418"/>
      <c r="O8" s="418"/>
      <c r="P8" s="418"/>
      <c r="Q8" s="418"/>
      <c r="R8" s="418">
        <f t="shared" si="2"/>
        <v>264.44</v>
      </c>
      <c r="S8" s="418"/>
    </row>
    <row r="9" spans="1:19" ht="44.55">
      <c r="A9" s="423">
        <v>2</v>
      </c>
      <c r="B9" s="423" t="s">
        <v>505</v>
      </c>
      <c r="C9" s="424" t="s">
        <v>751</v>
      </c>
      <c r="D9" s="423"/>
      <c r="E9" s="424" t="s">
        <v>1489</v>
      </c>
      <c r="F9" s="425">
        <v>316.67</v>
      </c>
      <c r="G9" s="410"/>
      <c r="H9" s="409">
        <f t="shared" si="0"/>
        <v>316.67</v>
      </c>
      <c r="I9" s="409">
        <f t="shared" si="1"/>
        <v>633.34</v>
      </c>
      <c r="J9" s="204"/>
      <c r="M9" s="418"/>
      <c r="N9" s="418"/>
      <c r="O9" s="418"/>
      <c r="P9" s="418"/>
      <c r="Q9" s="418"/>
      <c r="R9" s="418">
        <f t="shared" si="2"/>
        <v>633.34</v>
      </c>
      <c r="S9" s="418"/>
    </row>
    <row r="10" spans="1:19" ht="22.25">
      <c r="A10" s="413">
        <v>1</v>
      </c>
      <c r="B10" s="413" t="s">
        <v>530</v>
      </c>
      <c r="C10" s="420" t="s">
        <v>531</v>
      </c>
      <c r="D10" s="413"/>
      <c r="E10" s="413" t="s">
        <v>532</v>
      </c>
      <c r="F10" s="421">
        <v>500</v>
      </c>
      <c r="G10" s="410"/>
      <c r="H10" s="409">
        <f t="shared" ref="H10:H61" si="3">F10*(1-G10)</f>
        <v>500</v>
      </c>
      <c r="I10" s="409">
        <f t="shared" ref="I10:I31" si="4">A10*H10</f>
        <v>500</v>
      </c>
      <c r="J10" s="204"/>
      <c r="M10" s="418"/>
      <c r="N10" s="418"/>
      <c r="O10" s="418"/>
      <c r="P10" s="418"/>
      <c r="Q10" s="418"/>
      <c r="R10" s="418">
        <f t="shared" ref="R10:R23" si="5">I10</f>
        <v>500</v>
      </c>
      <c r="S10" s="418"/>
    </row>
    <row r="11" spans="1:19" ht="22.25">
      <c r="A11" s="413">
        <f>A18</f>
        <v>1</v>
      </c>
      <c r="B11" s="407" t="s">
        <v>505</v>
      </c>
      <c r="C11" s="408" t="s">
        <v>534</v>
      </c>
      <c r="D11" s="407"/>
      <c r="E11" s="420" t="s">
        <v>535</v>
      </c>
      <c r="F11" s="421">
        <v>3.71</v>
      </c>
      <c r="G11" s="410"/>
      <c r="H11" s="409">
        <f t="shared" si="3"/>
        <v>3.71</v>
      </c>
      <c r="I11" s="409">
        <f t="shared" si="4"/>
        <v>3.71</v>
      </c>
      <c r="J11" s="204" t="s">
        <v>536</v>
      </c>
      <c r="M11" s="418"/>
      <c r="N11" s="418"/>
      <c r="O11" s="418"/>
      <c r="P11" s="418"/>
      <c r="Q11" s="418"/>
      <c r="R11" s="418">
        <f t="shared" si="5"/>
        <v>3.71</v>
      </c>
      <c r="S11" s="418"/>
    </row>
    <row r="12" spans="1:19" ht="22.25">
      <c r="A12" s="413">
        <f>A11</f>
        <v>1</v>
      </c>
      <c r="B12" s="407" t="s">
        <v>505</v>
      </c>
      <c r="C12" s="408" t="s">
        <v>534</v>
      </c>
      <c r="D12" s="407"/>
      <c r="E12" s="420" t="s">
        <v>537</v>
      </c>
      <c r="F12" s="421">
        <v>3.81</v>
      </c>
      <c r="G12" s="410"/>
      <c r="H12" s="409">
        <f t="shared" si="3"/>
        <v>3.81</v>
      </c>
      <c r="I12" s="409">
        <f t="shared" si="4"/>
        <v>3.81</v>
      </c>
      <c r="J12" s="204" t="s">
        <v>538</v>
      </c>
      <c r="M12" s="418"/>
      <c r="N12" s="418"/>
      <c r="O12" s="418"/>
      <c r="P12" s="418"/>
      <c r="Q12" s="418"/>
      <c r="R12" s="418">
        <f t="shared" si="5"/>
        <v>3.81</v>
      </c>
      <c r="S12" s="418"/>
    </row>
    <row r="13" spans="1:19" ht="44.55">
      <c r="A13" s="407">
        <v>720</v>
      </c>
      <c r="B13" s="407" t="s">
        <v>539</v>
      </c>
      <c r="C13" s="408" t="s">
        <v>987</v>
      </c>
      <c r="D13" s="407" t="s">
        <v>541</v>
      </c>
      <c r="E13" s="408" t="s">
        <v>542</v>
      </c>
      <c r="F13" s="409">
        <f t="shared" ref="F13:F14" si="6">328.33/500</f>
        <v>0.65666000000000002</v>
      </c>
      <c r="G13" s="410"/>
      <c r="H13" s="409">
        <f t="shared" si="3"/>
        <v>0.65666000000000002</v>
      </c>
      <c r="I13" s="409">
        <f t="shared" si="4"/>
        <v>472.79520000000002</v>
      </c>
      <c r="J13" s="491" t="s">
        <v>756</v>
      </c>
      <c r="M13" s="418"/>
      <c r="N13" s="418"/>
      <c r="O13" s="418">
        <f t="shared" ref="O13:O26" si="7">I13</f>
        <v>472.79520000000002</v>
      </c>
      <c r="P13" s="418"/>
      <c r="Q13" s="418"/>
      <c r="R13" s="418"/>
      <c r="S13" s="418"/>
    </row>
    <row r="14" spans="1:19" ht="44.55">
      <c r="A14" s="407">
        <v>1400</v>
      </c>
      <c r="B14" s="407" t="s">
        <v>539</v>
      </c>
      <c r="C14" s="408" t="s">
        <v>987</v>
      </c>
      <c r="D14" s="407" t="s">
        <v>543</v>
      </c>
      <c r="E14" s="408" t="s">
        <v>544</v>
      </c>
      <c r="F14" s="409">
        <f t="shared" si="6"/>
        <v>0.65666000000000002</v>
      </c>
      <c r="G14" s="410"/>
      <c r="H14" s="409">
        <f t="shared" si="3"/>
        <v>0.65666000000000002</v>
      </c>
      <c r="I14" s="409">
        <f t="shared" si="4"/>
        <v>919.32400000000007</v>
      </c>
      <c r="J14" s="491" t="s">
        <v>758</v>
      </c>
      <c r="M14" s="418"/>
      <c r="N14" s="418"/>
      <c r="O14" s="418">
        <f t="shared" si="7"/>
        <v>919.32400000000007</v>
      </c>
      <c r="P14" s="418"/>
      <c r="Q14" s="418"/>
      <c r="R14" s="418"/>
      <c r="S14" s="418"/>
    </row>
    <row r="15" spans="1:19" ht="22.25">
      <c r="A15" s="413">
        <v>32</v>
      </c>
      <c r="B15" s="407" t="s">
        <v>522</v>
      </c>
      <c r="C15" s="408" t="s">
        <v>1074</v>
      </c>
      <c r="D15" s="407"/>
      <c r="E15" s="408" t="s">
        <v>1079</v>
      </c>
      <c r="F15" s="409">
        <v>1.3</v>
      </c>
      <c r="G15" s="410"/>
      <c r="H15" s="409">
        <f t="shared" si="3"/>
        <v>1.3</v>
      </c>
      <c r="I15" s="409">
        <f t="shared" si="4"/>
        <v>41.6</v>
      </c>
      <c r="J15" s="204"/>
      <c r="M15" s="418"/>
      <c r="N15" s="418"/>
      <c r="O15" s="418">
        <f t="shared" si="7"/>
        <v>41.6</v>
      </c>
      <c r="P15" s="418"/>
      <c r="Q15" s="418"/>
      <c r="R15" s="418"/>
      <c r="S15" s="418"/>
    </row>
    <row r="16" spans="1:19" ht="22.25">
      <c r="A16" s="413">
        <f>A15</f>
        <v>32</v>
      </c>
      <c r="B16" s="407" t="s">
        <v>522</v>
      </c>
      <c r="C16" s="408" t="s">
        <v>1074</v>
      </c>
      <c r="D16" s="407"/>
      <c r="E16" s="408" t="s">
        <v>1080</v>
      </c>
      <c r="F16" s="409">
        <v>0.98</v>
      </c>
      <c r="G16" s="410"/>
      <c r="H16" s="409">
        <f t="shared" si="3"/>
        <v>0.98</v>
      </c>
      <c r="I16" s="409">
        <f t="shared" si="4"/>
        <v>31.36</v>
      </c>
      <c r="J16" s="204"/>
      <c r="M16" s="418"/>
      <c r="N16" s="418"/>
      <c r="O16" s="418">
        <f t="shared" si="7"/>
        <v>31.36</v>
      </c>
      <c r="P16" s="418"/>
      <c r="Q16" s="418"/>
      <c r="R16" s="418"/>
      <c r="S16" s="418"/>
    </row>
    <row r="17" spans="1:19" ht="44.55">
      <c r="A17" s="413">
        <v>3</v>
      </c>
      <c r="B17" s="407" t="s">
        <v>522</v>
      </c>
      <c r="C17" s="408" t="s">
        <v>751</v>
      </c>
      <c r="D17" s="407"/>
      <c r="E17" s="408" t="s">
        <v>1204</v>
      </c>
      <c r="F17" s="409">
        <v>1810</v>
      </c>
      <c r="G17" s="428"/>
      <c r="H17" s="430">
        <f t="shared" si="3"/>
        <v>1810</v>
      </c>
      <c r="I17" s="409">
        <f t="shared" si="4"/>
        <v>5430</v>
      </c>
      <c r="J17" s="746" t="s">
        <v>1490</v>
      </c>
      <c r="M17" s="418"/>
      <c r="N17" s="418">
        <f t="shared" ref="N17:N20" si="8">I17</f>
        <v>5430</v>
      </c>
      <c r="O17" s="418"/>
      <c r="P17" s="418"/>
      <c r="Q17" s="418"/>
      <c r="R17" s="418"/>
      <c r="S17" s="418"/>
    </row>
    <row r="18" spans="1:19" ht="72">
      <c r="A18" s="413">
        <v>1</v>
      </c>
      <c r="B18" s="407" t="s">
        <v>505</v>
      </c>
      <c r="C18" s="408" t="s">
        <v>751</v>
      </c>
      <c r="D18" s="407"/>
      <c r="E18" s="408" t="s">
        <v>1092</v>
      </c>
      <c r="F18" s="409">
        <v>1677.33</v>
      </c>
      <c r="G18" s="410"/>
      <c r="H18" s="409">
        <f t="shared" si="3"/>
        <v>1677.33</v>
      </c>
      <c r="I18" s="409">
        <f t="shared" si="4"/>
        <v>1677.33</v>
      </c>
      <c r="J18" s="746" t="s">
        <v>1491</v>
      </c>
      <c r="M18" s="418"/>
      <c r="N18" s="418">
        <f t="shared" si="8"/>
        <v>1677.33</v>
      </c>
      <c r="O18" s="418"/>
      <c r="P18" s="418"/>
      <c r="Q18" s="418"/>
      <c r="R18" s="418"/>
      <c r="S18" s="418"/>
    </row>
    <row r="19" spans="1:19" ht="44.55">
      <c r="A19" s="413">
        <v>3</v>
      </c>
      <c r="B19" s="407" t="s">
        <v>505</v>
      </c>
      <c r="C19" s="408" t="s">
        <v>751</v>
      </c>
      <c r="D19" s="407"/>
      <c r="E19" s="408" t="s">
        <v>1100</v>
      </c>
      <c r="F19" s="409">
        <v>33.21</v>
      </c>
      <c r="G19" s="410"/>
      <c r="H19" s="409">
        <f t="shared" si="3"/>
        <v>33.21</v>
      </c>
      <c r="I19" s="409">
        <f t="shared" si="4"/>
        <v>99.63</v>
      </c>
      <c r="J19" s="204"/>
      <c r="M19" s="418"/>
      <c r="N19" s="418">
        <f t="shared" si="8"/>
        <v>99.63</v>
      </c>
      <c r="O19" s="418"/>
      <c r="P19" s="418"/>
      <c r="Q19" s="418"/>
      <c r="R19" s="418"/>
      <c r="S19" s="418"/>
    </row>
    <row r="20" spans="1:19">
      <c r="A20" s="413">
        <v>0</v>
      </c>
      <c r="B20" s="407" t="s">
        <v>505</v>
      </c>
      <c r="C20" s="408"/>
      <c r="D20" s="407"/>
      <c r="E20" s="408"/>
      <c r="F20" s="409"/>
      <c r="G20" s="410"/>
      <c r="H20" s="409">
        <f t="shared" si="3"/>
        <v>0</v>
      </c>
      <c r="I20" s="409">
        <f t="shared" si="4"/>
        <v>0</v>
      </c>
      <c r="J20" s="204"/>
      <c r="M20" s="418"/>
      <c r="N20" s="418">
        <f t="shared" si="8"/>
        <v>0</v>
      </c>
      <c r="O20" s="418"/>
      <c r="P20" s="418"/>
      <c r="Q20" s="418"/>
      <c r="R20" s="418"/>
      <c r="S20" s="418"/>
    </row>
    <row r="21" spans="1:19" ht="44.55">
      <c r="A21" s="413">
        <v>24</v>
      </c>
      <c r="B21" s="407" t="s">
        <v>522</v>
      </c>
      <c r="C21" s="408" t="s">
        <v>987</v>
      </c>
      <c r="D21" s="407" t="s">
        <v>761</v>
      </c>
      <c r="E21" s="408" t="s">
        <v>762</v>
      </c>
      <c r="F21" s="409">
        <v>2.5</v>
      </c>
      <c r="G21" s="410"/>
      <c r="H21" s="409">
        <f t="shared" si="3"/>
        <v>2.5</v>
      </c>
      <c r="I21" s="409">
        <f t="shared" si="4"/>
        <v>60</v>
      </c>
      <c r="J21" s="204"/>
      <c r="M21" s="418"/>
      <c r="N21" s="418"/>
      <c r="O21" s="418"/>
      <c r="P21" s="418"/>
      <c r="Q21" s="418"/>
      <c r="R21" s="418">
        <f t="shared" si="5"/>
        <v>60</v>
      </c>
      <c r="S21" s="418"/>
    </row>
    <row r="22" spans="1:19" ht="35.85" customHeight="1">
      <c r="A22" s="413">
        <v>1</v>
      </c>
      <c r="B22" s="413" t="s">
        <v>522</v>
      </c>
      <c r="C22" s="408" t="s">
        <v>751</v>
      </c>
      <c r="D22" s="407"/>
      <c r="E22" s="408" t="s">
        <v>803</v>
      </c>
      <c r="F22" s="409">
        <v>564.44000000000005</v>
      </c>
      <c r="G22" s="410"/>
      <c r="H22" s="409">
        <f t="shared" si="3"/>
        <v>564.44000000000005</v>
      </c>
      <c r="I22" s="409">
        <f t="shared" si="4"/>
        <v>564.44000000000005</v>
      </c>
      <c r="J22" s="1054"/>
      <c r="K22" s="1054"/>
      <c r="L22" s="1054"/>
      <c r="M22" s="418"/>
      <c r="N22" s="418"/>
      <c r="O22" s="418"/>
      <c r="P22" s="418"/>
      <c r="Q22" s="418"/>
      <c r="R22" s="418">
        <f t="shared" si="5"/>
        <v>564.44000000000005</v>
      </c>
      <c r="S22" s="418"/>
    </row>
    <row r="23" spans="1:19">
      <c r="A23" s="407"/>
      <c r="B23" s="407"/>
      <c r="C23" s="408"/>
      <c r="D23" s="407"/>
      <c r="E23" s="408"/>
      <c r="F23" s="409"/>
      <c r="G23" s="410"/>
      <c r="H23" s="409">
        <f t="shared" si="3"/>
        <v>0</v>
      </c>
      <c r="I23" s="409">
        <f t="shared" si="4"/>
        <v>0</v>
      </c>
      <c r="J23" s="204"/>
      <c r="M23" s="418"/>
      <c r="N23" s="418"/>
      <c r="O23" s="418"/>
      <c r="P23" s="418"/>
      <c r="Q23" s="418"/>
      <c r="R23" s="418">
        <f t="shared" si="5"/>
        <v>0</v>
      </c>
      <c r="S23" s="418"/>
    </row>
    <row r="24" spans="1:19" ht="22.25">
      <c r="A24" s="413">
        <v>1</v>
      </c>
      <c r="B24" s="407" t="s">
        <v>522</v>
      </c>
      <c r="C24" s="408" t="s">
        <v>531</v>
      </c>
      <c r="D24" s="407"/>
      <c r="E24" s="408" t="s">
        <v>695</v>
      </c>
      <c r="F24" s="409">
        <v>100</v>
      </c>
      <c r="G24" s="410"/>
      <c r="H24" s="409">
        <f t="shared" si="3"/>
        <v>100</v>
      </c>
      <c r="I24" s="409">
        <f t="shared" si="4"/>
        <v>100</v>
      </c>
      <c r="J24" s="204"/>
      <c r="M24" s="418"/>
      <c r="N24" s="418"/>
      <c r="O24" s="418">
        <f t="shared" si="7"/>
        <v>100</v>
      </c>
      <c r="P24" s="418"/>
      <c r="Q24" s="418"/>
      <c r="R24" s="418"/>
      <c r="S24" s="418"/>
    </row>
    <row r="25" spans="1:19" ht="44.55">
      <c r="A25" s="413">
        <v>1</v>
      </c>
      <c r="B25" s="407" t="s">
        <v>505</v>
      </c>
      <c r="C25" s="408" t="s">
        <v>751</v>
      </c>
      <c r="D25" s="407"/>
      <c r="E25" s="408" t="s">
        <v>1212</v>
      </c>
      <c r="F25" s="409">
        <v>787.5</v>
      </c>
      <c r="G25" s="410"/>
      <c r="H25" s="409">
        <f t="shared" si="3"/>
        <v>787.5</v>
      </c>
      <c r="I25" s="409">
        <f t="shared" si="4"/>
        <v>787.5</v>
      </c>
      <c r="J25" s="204"/>
      <c r="M25" s="418">
        <f>F25</f>
        <v>787.5</v>
      </c>
      <c r="N25" s="418"/>
      <c r="O25" s="418"/>
      <c r="P25" s="418"/>
      <c r="Q25" s="418"/>
      <c r="R25" s="418"/>
      <c r="S25" s="418"/>
    </row>
    <row r="26" spans="1:19" ht="44.55">
      <c r="A26" s="413">
        <v>30</v>
      </c>
      <c r="B26" s="407" t="s">
        <v>539</v>
      </c>
      <c r="C26" s="408" t="s">
        <v>552</v>
      </c>
      <c r="D26" s="407"/>
      <c r="E26" s="407" t="s">
        <v>1057</v>
      </c>
      <c r="F26" s="409">
        <v>26.45</v>
      </c>
      <c r="G26" s="428"/>
      <c r="H26" s="409">
        <f t="shared" si="3"/>
        <v>26.45</v>
      </c>
      <c r="I26" s="409">
        <f t="shared" si="4"/>
        <v>793.5</v>
      </c>
      <c r="J26" s="491" t="s">
        <v>756</v>
      </c>
      <c r="M26" s="418"/>
      <c r="N26" s="418"/>
      <c r="O26" s="418">
        <f t="shared" si="7"/>
        <v>793.5</v>
      </c>
      <c r="P26" s="418"/>
      <c r="Q26" s="418"/>
      <c r="R26" s="418"/>
      <c r="S26" s="418"/>
    </row>
    <row r="27" spans="1:19" ht="44.55">
      <c r="A27" s="407">
        <v>0</v>
      </c>
      <c r="B27" s="407" t="s">
        <v>517</v>
      </c>
      <c r="C27" s="408" t="s">
        <v>569</v>
      </c>
      <c r="D27" s="407" t="s">
        <v>570</v>
      </c>
      <c r="E27" s="408" t="s">
        <v>571</v>
      </c>
      <c r="F27" s="409">
        <v>1040</v>
      </c>
      <c r="G27" s="429">
        <v>0.48</v>
      </c>
      <c r="H27" s="430">
        <f t="shared" si="3"/>
        <v>540.80000000000007</v>
      </c>
      <c r="I27" s="409">
        <f t="shared" si="4"/>
        <v>0</v>
      </c>
      <c r="J27" s="204"/>
      <c r="M27" s="418"/>
      <c r="N27" s="418"/>
      <c r="O27" s="418"/>
      <c r="P27" s="418"/>
      <c r="Q27" s="418"/>
      <c r="R27" s="418"/>
      <c r="S27" s="418">
        <f t="shared" ref="S27:S31" si="9">I27</f>
        <v>0</v>
      </c>
    </row>
    <row r="28" spans="1:19" ht="44.55">
      <c r="A28" s="407">
        <v>1</v>
      </c>
      <c r="B28" s="407" t="s">
        <v>517</v>
      </c>
      <c r="C28" s="492" t="s">
        <v>569</v>
      </c>
      <c r="D28" s="487" t="s">
        <v>572</v>
      </c>
      <c r="E28" s="492" t="s">
        <v>573</v>
      </c>
      <c r="F28" s="430">
        <v>1190</v>
      </c>
      <c r="G28" s="429">
        <v>0.48</v>
      </c>
      <c r="H28" s="430">
        <f t="shared" si="3"/>
        <v>618.80000000000007</v>
      </c>
      <c r="I28" s="409">
        <f t="shared" si="4"/>
        <v>618.80000000000007</v>
      </c>
      <c r="J28" s="204"/>
      <c r="M28" s="418"/>
      <c r="N28" s="418"/>
      <c r="O28" s="418"/>
      <c r="P28" s="418"/>
      <c r="Q28" s="418"/>
      <c r="R28" s="418"/>
      <c r="S28" s="418">
        <f t="shared" si="9"/>
        <v>618.80000000000007</v>
      </c>
    </row>
    <row r="29" spans="1:19">
      <c r="A29" s="407">
        <v>3</v>
      </c>
      <c r="B29" s="407" t="s">
        <v>517</v>
      </c>
      <c r="C29" s="408" t="s">
        <v>574</v>
      </c>
      <c r="D29" s="407" t="s">
        <v>575</v>
      </c>
      <c r="E29" s="407" t="s">
        <v>576</v>
      </c>
      <c r="F29" s="409">
        <v>36.700000000000003</v>
      </c>
      <c r="G29" s="410"/>
      <c r="H29" s="409">
        <f t="shared" si="3"/>
        <v>36.700000000000003</v>
      </c>
      <c r="I29" s="409">
        <f t="shared" si="4"/>
        <v>110.10000000000001</v>
      </c>
      <c r="J29" s="204"/>
      <c r="M29" s="418"/>
      <c r="N29" s="418"/>
      <c r="O29" s="418"/>
      <c r="P29" s="418"/>
      <c r="Q29" s="418"/>
      <c r="R29" s="418"/>
      <c r="S29" s="418">
        <f t="shared" si="9"/>
        <v>110.10000000000001</v>
      </c>
    </row>
    <row r="30" spans="1:19">
      <c r="A30" s="407">
        <v>5</v>
      </c>
      <c r="B30" s="407" t="s">
        <v>517</v>
      </c>
      <c r="C30" s="408" t="s">
        <v>574</v>
      </c>
      <c r="D30" s="407" t="s">
        <v>577</v>
      </c>
      <c r="E30" s="407" t="s">
        <v>578</v>
      </c>
      <c r="F30" s="409">
        <v>75</v>
      </c>
      <c r="G30" s="410"/>
      <c r="H30" s="409">
        <f t="shared" si="3"/>
        <v>75</v>
      </c>
      <c r="I30" s="409">
        <f t="shared" si="4"/>
        <v>375</v>
      </c>
      <c r="J30" s="204"/>
      <c r="M30" s="418"/>
      <c r="N30" s="418"/>
      <c r="O30" s="418"/>
      <c r="P30" s="418"/>
      <c r="Q30" s="418"/>
      <c r="R30" s="418"/>
      <c r="S30" s="418">
        <f t="shared" si="9"/>
        <v>375</v>
      </c>
    </row>
    <row r="31" spans="1:19">
      <c r="A31" s="407">
        <v>1</v>
      </c>
      <c r="B31" s="407" t="s">
        <v>517</v>
      </c>
      <c r="C31" s="408" t="s">
        <v>574</v>
      </c>
      <c r="D31" s="407"/>
      <c r="E31" s="407" t="s">
        <v>579</v>
      </c>
      <c r="F31" s="409">
        <f>35/4</f>
        <v>8.75</v>
      </c>
      <c r="G31" s="410"/>
      <c r="H31" s="409">
        <f t="shared" si="3"/>
        <v>8.75</v>
      </c>
      <c r="I31" s="409">
        <f t="shared" si="4"/>
        <v>8.75</v>
      </c>
      <c r="J31" s="204"/>
      <c r="M31" s="418"/>
      <c r="N31" s="418"/>
      <c r="O31" s="418"/>
      <c r="P31" s="418"/>
      <c r="Q31" s="418"/>
      <c r="R31" s="418"/>
      <c r="S31" s="418">
        <f t="shared" si="9"/>
        <v>8.75</v>
      </c>
    </row>
    <row r="32" spans="1:19" ht="12.45">
      <c r="A32" s="407"/>
      <c r="B32" s="407"/>
      <c r="C32" s="408"/>
      <c r="D32" s="407"/>
      <c r="E32" s="431"/>
      <c r="F32" s="409"/>
      <c r="G32" s="410"/>
      <c r="H32" s="409"/>
      <c r="I32" s="409"/>
      <c r="J32" s="204"/>
      <c r="M32" s="418"/>
      <c r="N32" s="418"/>
      <c r="O32" s="418"/>
      <c r="P32" s="418"/>
      <c r="Q32" s="418"/>
      <c r="R32" s="418"/>
      <c r="S32" s="418"/>
    </row>
    <row r="33" spans="1:19">
      <c r="A33" s="407"/>
      <c r="B33" s="407"/>
      <c r="C33" s="408"/>
      <c r="D33" s="407"/>
      <c r="E33" s="407"/>
      <c r="F33" s="409"/>
      <c r="G33" s="410"/>
      <c r="H33" s="409"/>
      <c r="I33" s="409"/>
      <c r="J33" s="204"/>
      <c r="M33" s="418"/>
      <c r="N33" s="418"/>
      <c r="O33" s="418"/>
      <c r="P33" s="418"/>
      <c r="Q33" s="418"/>
      <c r="R33" s="418"/>
      <c r="S33" s="418"/>
    </row>
    <row r="34" spans="1:19">
      <c r="A34" s="407"/>
      <c r="B34" s="407"/>
      <c r="C34" s="408"/>
      <c r="D34" s="407"/>
      <c r="E34" s="432" t="s">
        <v>580</v>
      </c>
      <c r="F34" s="409"/>
      <c r="G34" s="410"/>
      <c r="H34" s="409"/>
      <c r="I34" s="421">
        <f>SUM(I4:I32)</f>
        <v>57635.7192</v>
      </c>
      <c r="J34" s="204"/>
      <c r="M34" s="418">
        <f>SUM(M4:M32)</f>
        <v>43418.9</v>
      </c>
      <c r="N34" s="418">
        <f>SUM(N4:N32)</f>
        <v>7206.96</v>
      </c>
      <c r="O34" s="418">
        <f>SUM(O4:O32)</f>
        <v>2358.5792000000001</v>
      </c>
      <c r="P34" s="418"/>
      <c r="Q34" s="418"/>
      <c r="R34" s="418">
        <f>SUM(R4:R32)</f>
        <v>3538.63</v>
      </c>
      <c r="S34" s="418">
        <f>SUM(S4:S32)</f>
        <v>1112.6500000000001</v>
      </c>
    </row>
    <row r="35" spans="1:19">
      <c r="A35" s="407"/>
      <c r="B35" s="407"/>
      <c r="C35" s="408"/>
      <c r="D35" s="407"/>
      <c r="E35" s="413" t="s">
        <v>581</v>
      </c>
      <c r="F35" s="409"/>
      <c r="G35" s="410">
        <v>0.25</v>
      </c>
      <c r="H35" s="409"/>
      <c r="I35" s="421"/>
      <c r="J35" s="204"/>
      <c r="M35" s="418"/>
      <c r="N35" s="418"/>
      <c r="O35" s="418"/>
      <c r="P35" s="418"/>
      <c r="Q35" s="418"/>
      <c r="R35" s="418"/>
      <c r="S35" s="418"/>
    </row>
    <row r="36" spans="1:19" ht="15.75">
      <c r="E36" s="433" t="s">
        <v>582</v>
      </c>
      <c r="F36" s="418"/>
      <c r="G36" s="434"/>
      <c r="H36" s="418"/>
      <c r="I36" s="435">
        <f>I34*(1+$G$35)</f>
        <v>72044.649000000005</v>
      </c>
      <c r="J36" s="436"/>
      <c r="K36" s="437"/>
      <c r="L36" s="437"/>
      <c r="M36" s="438">
        <f>M34*(1+$G$35)</f>
        <v>54273.625</v>
      </c>
      <c r="N36" s="438">
        <f>N34*(1+$G$35)</f>
        <v>9008.7000000000007</v>
      </c>
      <c r="O36" s="438">
        <f>O34*(1+$G$35)</f>
        <v>2948.2240000000002</v>
      </c>
      <c r="P36" s="418"/>
      <c r="Q36" s="418"/>
      <c r="R36" s="438">
        <f>R34*(1+$G$35)</f>
        <v>4423.2875000000004</v>
      </c>
      <c r="S36" s="438">
        <f>S34*(1+$G$35)</f>
        <v>1390.8125</v>
      </c>
    </row>
    <row r="39" spans="1:19">
      <c r="E39" s="439" t="s">
        <v>585</v>
      </c>
    </row>
    <row r="40" spans="1:19" ht="12.45">
      <c r="A40" s="441">
        <v>16</v>
      </c>
      <c r="B40" s="17" t="s">
        <v>619</v>
      </c>
      <c r="E40" s="17" t="s">
        <v>586</v>
      </c>
      <c r="F40" s="403">
        <f t="shared" ref="F40:F56" si="10">F$60</f>
        <v>55</v>
      </c>
      <c r="H40" s="458">
        <f t="shared" si="3"/>
        <v>55</v>
      </c>
      <c r="I40" s="458">
        <f t="shared" ref="I40:I62" si="11">A40*H40</f>
        <v>880</v>
      </c>
    </row>
    <row r="41" spans="1:19" ht="12.45">
      <c r="A41" s="441">
        <f>A6/120*8*2</f>
        <v>35.466666666666669</v>
      </c>
      <c r="B41" s="17" t="s">
        <v>619</v>
      </c>
      <c r="E41" s="17" t="s">
        <v>589</v>
      </c>
      <c r="F41" s="403">
        <f t="shared" si="10"/>
        <v>55</v>
      </c>
      <c r="H41" s="458">
        <f t="shared" si="3"/>
        <v>55</v>
      </c>
      <c r="I41" s="458">
        <f t="shared" si="11"/>
        <v>1950.6666666666667</v>
      </c>
      <c r="J41" s="17" t="s">
        <v>592</v>
      </c>
    </row>
    <row r="42" spans="1:19" ht="12.45">
      <c r="A42" s="441">
        <v>8</v>
      </c>
      <c r="B42" s="17" t="s">
        <v>619</v>
      </c>
      <c r="E42" s="17" t="s">
        <v>1426</v>
      </c>
      <c r="F42" s="403">
        <f t="shared" si="10"/>
        <v>55</v>
      </c>
      <c r="H42" s="458">
        <f t="shared" si="3"/>
        <v>55</v>
      </c>
      <c r="I42" s="458">
        <f t="shared" si="11"/>
        <v>440</v>
      </c>
      <c r="J42" s="17" t="s">
        <v>1486</v>
      </c>
    </row>
    <row r="43" spans="1:19" ht="12.45">
      <c r="A43" s="441">
        <f>A6/120*16*2</f>
        <v>70.933333333333337</v>
      </c>
      <c r="B43" s="17" t="s">
        <v>619</v>
      </c>
      <c r="E43" s="17" t="s">
        <v>591</v>
      </c>
      <c r="F43" s="403">
        <f t="shared" si="10"/>
        <v>55</v>
      </c>
      <c r="H43" s="458">
        <f t="shared" si="3"/>
        <v>55</v>
      </c>
      <c r="I43" s="458">
        <f t="shared" si="11"/>
        <v>3901.3333333333335</v>
      </c>
      <c r="J43" s="17" t="s">
        <v>592</v>
      </c>
    </row>
    <row r="44" spans="1:19" ht="12.45">
      <c r="A44" s="441">
        <v>4</v>
      </c>
      <c r="B44" s="17" t="s">
        <v>619</v>
      </c>
      <c r="E44" s="17" t="s">
        <v>1428</v>
      </c>
      <c r="F44" s="403">
        <f t="shared" si="10"/>
        <v>55</v>
      </c>
      <c r="H44" s="458">
        <f t="shared" si="3"/>
        <v>55</v>
      </c>
      <c r="I44" s="458">
        <f t="shared" si="11"/>
        <v>220</v>
      </c>
    </row>
    <row r="45" spans="1:19" ht="12.45">
      <c r="A45" s="441">
        <v>4</v>
      </c>
      <c r="B45" s="17" t="s">
        <v>619</v>
      </c>
      <c r="E45" s="17" t="s">
        <v>1429</v>
      </c>
      <c r="F45" s="403">
        <f t="shared" si="10"/>
        <v>55</v>
      </c>
      <c r="H45" s="458">
        <f t="shared" si="3"/>
        <v>55</v>
      </c>
      <c r="I45" s="458">
        <f t="shared" si="11"/>
        <v>220</v>
      </c>
    </row>
    <row r="46" spans="1:19" ht="12.45">
      <c r="A46" s="441">
        <v>8</v>
      </c>
      <c r="B46" s="17" t="s">
        <v>619</v>
      </c>
      <c r="E46" s="17" t="s">
        <v>605</v>
      </c>
      <c r="F46" s="403">
        <f t="shared" si="10"/>
        <v>55</v>
      </c>
      <c r="H46" s="458">
        <f t="shared" si="3"/>
        <v>55</v>
      </c>
      <c r="I46" s="458">
        <f t="shared" si="11"/>
        <v>440</v>
      </c>
      <c r="J46" s="17" t="s">
        <v>1487</v>
      </c>
    </row>
    <row r="47" spans="1:19" ht="12.45">
      <c r="A47" s="441">
        <v>4</v>
      </c>
      <c r="B47" s="17" t="s">
        <v>619</v>
      </c>
      <c r="E47" s="17" t="s">
        <v>607</v>
      </c>
      <c r="F47" s="403">
        <f t="shared" si="10"/>
        <v>55</v>
      </c>
      <c r="H47" s="458">
        <f t="shared" si="3"/>
        <v>55</v>
      </c>
      <c r="I47" s="458">
        <f t="shared" si="11"/>
        <v>220</v>
      </c>
      <c r="J47" s="17" t="s">
        <v>608</v>
      </c>
    </row>
    <row r="48" spans="1:19" ht="12.45">
      <c r="A48" s="441">
        <v>0.5</v>
      </c>
      <c r="B48" s="17" t="s">
        <v>619</v>
      </c>
      <c r="E48" s="17" t="s">
        <v>609</v>
      </c>
      <c r="F48" s="403">
        <f t="shared" si="10"/>
        <v>55</v>
      </c>
      <c r="H48" s="458">
        <f t="shared" si="3"/>
        <v>55</v>
      </c>
      <c r="I48" s="458">
        <f t="shared" si="11"/>
        <v>27.5</v>
      </c>
    </row>
    <row r="49" spans="1:10" ht="12.45">
      <c r="A49" s="441">
        <v>16</v>
      </c>
      <c r="B49" s="17" t="s">
        <v>619</v>
      </c>
      <c r="E49" s="17" t="s">
        <v>610</v>
      </c>
      <c r="F49" s="403">
        <f t="shared" si="10"/>
        <v>55</v>
      </c>
      <c r="H49" s="458">
        <f t="shared" si="3"/>
        <v>55</v>
      </c>
      <c r="I49" s="458">
        <f t="shared" si="11"/>
        <v>880</v>
      </c>
    </row>
    <row r="50" spans="1:10" ht="12.45">
      <c r="A50" s="441">
        <v>1</v>
      </c>
      <c r="B50" s="17" t="s">
        <v>619</v>
      </c>
      <c r="E50" s="17" t="s">
        <v>611</v>
      </c>
      <c r="F50" s="403">
        <f t="shared" si="10"/>
        <v>55</v>
      </c>
      <c r="H50" s="458">
        <f t="shared" si="3"/>
        <v>55</v>
      </c>
      <c r="I50" s="458">
        <f t="shared" si="11"/>
        <v>55</v>
      </c>
    </row>
    <row r="51" spans="1:10" ht="12.45">
      <c r="A51" s="441">
        <v>1</v>
      </c>
      <c r="B51" s="17" t="s">
        <v>619</v>
      </c>
      <c r="E51" s="17" t="s">
        <v>1431</v>
      </c>
      <c r="F51" s="403">
        <f t="shared" si="10"/>
        <v>55</v>
      </c>
      <c r="H51" s="458">
        <f t="shared" si="3"/>
        <v>55</v>
      </c>
      <c r="I51" s="458">
        <f t="shared" si="11"/>
        <v>55</v>
      </c>
    </row>
    <row r="52" spans="1:10" ht="12.45">
      <c r="A52" s="441">
        <f>3*2</f>
        <v>6</v>
      </c>
      <c r="B52" s="17" t="s">
        <v>619</v>
      </c>
      <c r="E52" s="17" t="s">
        <v>612</v>
      </c>
      <c r="F52" s="403">
        <f t="shared" si="10"/>
        <v>55</v>
      </c>
      <c r="H52" s="458">
        <f t="shared" si="3"/>
        <v>55</v>
      </c>
      <c r="I52" s="458">
        <f t="shared" si="11"/>
        <v>330</v>
      </c>
      <c r="J52" s="17" t="s">
        <v>613</v>
      </c>
    </row>
    <row r="53" spans="1:10" ht="12.45">
      <c r="A53" s="441">
        <f>A40</f>
        <v>16</v>
      </c>
      <c r="B53" s="17" t="s">
        <v>619</v>
      </c>
      <c r="E53" s="17" t="s">
        <v>614</v>
      </c>
      <c r="F53" s="403">
        <f t="shared" si="10"/>
        <v>55</v>
      </c>
      <c r="H53" s="458">
        <f t="shared" si="3"/>
        <v>55</v>
      </c>
      <c r="I53" s="458">
        <f t="shared" si="11"/>
        <v>880</v>
      </c>
    </row>
    <row r="54" spans="1:10" ht="12.45">
      <c r="A54" s="441">
        <v>4</v>
      </c>
      <c r="B54" s="17" t="s">
        <v>619</v>
      </c>
      <c r="E54" s="17" t="s">
        <v>615</v>
      </c>
      <c r="F54" s="403">
        <f t="shared" si="10"/>
        <v>55</v>
      </c>
      <c r="H54" s="458">
        <f t="shared" si="3"/>
        <v>55</v>
      </c>
      <c r="I54" s="458">
        <f t="shared" si="11"/>
        <v>220</v>
      </c>
    </row>
    <row r="55" spans="1:10" ht="12.45">
      <c r="A55" s="441">
        <v>4</v>
      </c>
      <c r="B55" s="17" t="s">
        <v>619</v>
      </c>
      <c r="E55" s="17" t="s">
        <v>616</v>
      </c>
      <c r="F55" s="403">
        <f t="shared" si="10"/>
        <v>55</v>
      </c>
      <c r="H55" s="458">
        <f t="shared" si="3"/>
        <v>55</v>
      </c>
      <c r="I55" s="458">
        <f t="shared" si="11"/>
        <v>220</v>
      </c>
    </row>
    <row r="56" spans="1:10" ht="12.45">
      <c r="A56" s="745">
        <f>30*0.25</f>
        <v>7.5</v>
      </c>
      <c r="B56" s="442" t="s">
        <v>619</v>
      </c>
      <c r="C56" s="446"/>
      <c r="D56" s="442"/>
      <c r="E56" s="17" t="s">
        <v>617</v>
      </c>
      <c r="F56" s="443">
        <f t="shared" si="10"/>
        <v>55</v>
      </c>
      <c r="G56" s="444"/>
      <c r="H56" s="458">
        <f t="shared" si="3"/>
        <v>55</v>
      </c>
      <c r="I56" s="458">
        <f t="shared" si="11"/>
        <v>412.5</v>
      </c>
      <c r="J56" s="17" t="s">
        <v>618</v>
      </c>
    </row>
    <row r="58" spans="1:10">
      <c r="A58" s="17">
        <f>SUM(A40:A57)</f>
        <v>206.4</v>
      </c>
      <c r="B58" s="17" t="s">
        <v>619</v>
      </c>
      <c r="E58" s="17" t="s">
        <v>620</v>
      </c>
    </row>
    <row r="59" spans="1:10">
      <c r="A59" s="441">
        <v>3</v>
      </c>
      <c r="B59" s="17" t="s">
        <v>517</v>
      </c>
      <c r="E59" s="17" t="s">
        <v>621</v>
      </c>
    </row>
    <row r="60" spans="1:10" ht="12.45">
      <c r="A60" s="17">
        <v>1</v>
      </c>
      <c r="B60" s="17" t="s">
        <v>517</v>
      </c>
      <c r="E60" s="17" t="s">
        <v>622</v>
      </c>
      <c r="F60" s="445">
        <v>55</v>
      </c>
      <c r="H60" s="458">
        <f t="shared" si="3"/>
        <v>55</v>
      </c>
      <c r="I60" s="458">
        <f t="shared" si="11"/>
        <v>55</v>
      </c>
      <c r="J60" s="17" t="s">
        <v>623</v>
      </c>
    </row>
    <row r="61" spans="1:10" ht="12.45">
      <c r="A61" s="17">
        <f>ROUNDUP(A58/8/A59,0)</f>
        <v>9</v>
      </c>
      <c r="B61" s="17" t="s">
        <v>624</v>
      </c>
      <c r="E61" s="17" t="s">
        <v>625</v>
      </c>
      <c r="F61" s="403">
        <f>A59*8*F60</f>
        <v>1320</v>
      </c>
      <c r="H61" s="458">
        <f t="shared" si="3"/>
        <v>1320</v>
      </c>
      <c r="I61" s="458">
        <f t="shared" si="11"/>
        <v>11880</v>
      </c>
    </row>
    <row r="62" spans="1:10" ht="12.45">
      <c r="A62" s="441">
        <v>1</v>
      </c>
      <c r="B62" s="442" t="s">
        <v>517</v>
      </c>
      <c r="C62" s="446"/>
      <c r="D62" s="442"/>
      <c r="E62" s="442" t="s">
        <v>626</v>
      </c>
      <c r="F62" s="447">
        <v>500</v>
      </c>
      <c r="G62" s="444"/>
      <c r="H62" s="458">
        <v>1000</v>
      </c>
      <c r="I62" s="458">
        <f t="shared" si="11"/>
        <v>1000</v>
      </c>
      <c r="J62" s="17" t="s">
        <v>627</v>
      </c>
    </row>
    <row r="63" spans="1:10">
      <c r="A63" s="441"/>
      <c r="F63" s="447"/>
      <c r="H63" s="403"/>
      <c r="I63" s="403"/>
    </row>
    <row r="64" spans="1:10">
      <c r="A64" s="441"/>
      <c r="F64" s="447"/>
      <c r="H64" s="403"/>
      <c r="I64" s="403"/>
    </row>
    <row r="65" spans="3:16" ht="15.75">
      <c r="E65" s="439" t="s">
        <v>628</v>
      </c>
      <c r="I65" s="486">
        <f>SUM(I61:I64)</f>
        <v>12880</v>
      </c>
      <c r="P65" s="438">
        <f>I65</f>
        <v>12880</v>
      </c>
    </row>
    <row r="75" spans="3:16" ht="55">
      <c r="C75" s="448" t="s">
        <v>629</v>
      </c>
      <c r="D75" s="448"/>
      <c r="E75" s="449" t="s">
        <v>630</v>
      </c>
    </row>
    <row r="76" spans="3:16">
      <c r="D76" s="448"/>
      <c r="E76" s="449" t="s">
        <v>631</v>
      </c>
    </row>
    <row r="77" spans="3:16">
      <c r="D77" s="17" t="s">
        <v>632</v>
      </c>
      <c r="E77" s="450" t="s">
        <v>633</v>
      </c>
      <c r="G77" s="451">
        <v>0.4</v>
      </c>
    </row>
    <row r="78" spans="3:16">
      <c r="D78" s="17" t="s">
        <v>517</v>
      </c>
      <c r="E78" s="450" t="s">
        <v>634</v>
      </c>
      <c r="G78" s="451">
        <f>G77</f>
        <v>0.4</v>
      </c>
    </row>
    <row r="79" spans="3:16">
      <c r="D79" s="448"/>
      <c r="E79" s="449"/>
    </row>
    <row r="80" spans="3:16">
      <c r="E80" s="449" t="s">
        <v>635</v>
      </c>
    </row>
    <row r="81" spans="1:11" ht="24.9">
      <c r="A81" s="452">
        <v>0</v>
      </c>
      <c r="B81" s="453" t="s">
        <v>517</v>
      </c>
      <c r="C81" s="454" t="s">
        <v>538</v>
      </c>
      <c r="D81" s="455" t="s">
        <v>636</v>
      </c>
      <c r="E81" s="453" t="s">
        <v>637</v>
      </c>
      <c r="F81" s="456">
        <v>1849</v>
      </c>
      <c r="G81" s="457"/>
      <c r="H81" s="458">
        <f>F81*(1-$G$78)</f>
        <v>1109.3999999999999</v>
      </c>
      <c r="I81" s="458">
        <f t="shared" ref="I81:I99" si="12">A81*H81</f>
        <v>0</v>
      </c>
      <c r="J81" s="459" t="s">
        <v>638</v>
      </c>
      <c r="K81" s="460" t="s">
        <v>639</v>
      </c>
    </row>
    <row r="82" spans="1:11" ht="12.8" customHeight="1">
      <c r="A82" s="461">
        <v>0</v>
      </c>
      <c r="B82" s="453" t="s">
        <v>517</v>
      </c>
      <c r="C82" s="453" t="s">
        <v>538</v>
      </c>
      <c r="D82" s="462" t="s">
        <v>640</v>
      </c>
      <c r="E82" s="453" t="s">
        <v>641</v>
      </c>
      <c r="F82" s="463">
        <v>1949</v>
      </c>
      <c r="G82" s="457"/>
      <c r="H82" s="458">
        <f t="shared" ref="H82:H96" si="13">F82*(1-$G$77)</f>
        <v>1169.3999999999999</v>
      </c>
      <c r="I82" s="458">
        <f t="shared" si="12"/>
        <v>0</v>
      </c>
      <c r="J82" s="459" t="s">
        <v>638</v>
      </c>
      <c r="K82" s="1051" t="s">
        <v>642</v>
      </c>
    </row>
    <row r="83" spans="1:11" ht="24.9">
      <c r="A83" s="452">
        <v>0</v>
      </c>
      <c r="B83" s="453" t="s">
        <v>539</v>
      </c>
      <c r="C83" s="453" t="s">
        <v>538</v>
      </c>
      <c r="D83" s="462" t="s">
        <v>643</v>
      </c>
      <c r="E83" s="453" t="s">
        <v>641</v>
      </c>
      <c r="F83" s="463">
        <v>80</v>
      </c>
      <c r="G83" s="457"/>
      <c r="H83" s="458">
        <f t="shared" si="13"/>
        <v>48</v>
      </c>
      <c r="I83" s="458">
        <f t="shared" si="12"/>
        <v>0</v>
      </c>
      <c r="J83" s="459" t="s">
        <v>638</v>
      </c>
      <c r="K83" s="1051"/>
    </row>
    <row r="84" spans="1:11" ht="12.8" customHeight="1">
      <c r="A84" s="461">
        <v>0</v>
      </c>
      <c r="B84" s="453" t="s">
        <v>517</v>
      </c>
      <c r="C84" s="453" t="s">
        <v>538</v>
      </c>
      <c r="D84" s="464" t="s">
        <v>644</v>
      </c>
      <c r="E84" s="453" t="s">
        <v>645</v>
      </c>
      <c r="F84" s="463">
        <v>10051</v>
      </c>
      <c r="G84" s="457"/>
      <c r="H84" s="458">
        <f t="shared" si="13"/>
        <v>6030.5999999999995</v>
      </c>
      <c r="I84" s="458">
        <f t="shared" si="12"/>
        <v>0</v>
      </c>
      <c r="J84" s="459" t="s">
        <v>638</v>
      </c>
      <c r="K84" s="1052" t="s">
        <v>646</v>
      </c>
    </row>
    <row r="85" spans="1:11" ht="24.9">
      <c r="A85" s="461">
        <v>0</v>
      </c>
      <c r="B85" s="453" t="s">
        <v>517</v>
      </c>
      <c r="C85" s="453" t="s">
        <v>538</v>
      </c>
      <c r="D85" s="464" t="s">
        <v>644</v>
      </c>
      <c r="E85" s="453" t="s">
        <v>647</v>
      </c>
      <c r="F85" s="463">
        <v>17412</v>
      </c>
      <c r="G85" s="457"/>
      <c r="H85" s="458">
        <f t="shared" si="13"/>
        <v>10447.199999999999</v>
      </c>
      <c r="I85" s="458">
        <f t="shared" si="12"/>
        <v>0</v>
      </c>
      <c r="J85" s="459" t="s">
        <v>638</v>
      </c>
      <c r="K85" s="1052"/>
    </row>
    <row r="86" spans="1:11" ht="12.8" customHeight="1">
      <c r="A86" s="461">
        <v>0</v>
      </c>
      <c r="B86" s="453" t="s">
        <v>517</v>
      </c>
      <c r="C86" s="453" t="s">
        <v>538</v>
      </c>
      <c r="D86" s="465" t="s">
        <v>644</v>
      </c>
      <c r="E86" s="453" t="s">
        <v>648</v>
      </c>
      <c r="F86" s="466">
        <v>2345</v>
      </c>
      <c r="G86" s="457"/>
      <c r="H86" s="458">
        <f t="shared" si="13"/>
        <v>1407</v>
      </c>
      <c r="I86" s="458">
        <f t="shared" si="12"/>
        <v>0</v>
      </c>
      <c r="J86" s="453" t="s">
        <v>649</v>
      </c>
      <c r="K86" s="1049" t="s">
        <v>650</v>
      </c>
    </row>
    <row r="87" spans="1:11" ht="24.9">
      <c r="A87" s="461">
        <v>0</v>
      </c>
      <c r="B87" s="453" t="s">
        <v>517</v>
      </c>
      <c r="C87" s="453" t="s">
        <v>538</v>
      </c>
      <c r="D87" s="465" t="s">
        <v>644</v>
      </c>
      <c r="E87" s="453" t="s">
        <v>651</v>
      </c>
      <c r="F87" s="466">
        <v>3258</v>
      </c>
      <c r="G87" s="457"/>
      <c r="H87" s="458">
        <f t="shared" si="13"/>
        <v>1954.8</v>
      </c>
      <c r="I87" s="458">
        <f t="shared" si="12"/>
        <v>0</v>
      </c>
      <c r="J87" s="453" t="s">
        <v>649</v>
      </c>
      <c r="K87" s="1049"/>
    </row>
    <row r="88" spans="1:11" ht="24.9">
      <c r="A88" s="461">
        <v>0</v>
      </c>
      <c r="B88" s="453" t="s">
        <v>517</v>
      </c>
      <c r="C88" s="453" t="s">
        <v>538</v>
      </c>
      <c r="D88" s="465" t="s">
        <v>644</v>
      </c>
      <c r="E88" s="453" t="s">
        <v>652</v>
      </c>
      <c r="F88" s="463">
        <v>5649</v>
      </c>
      <c r="G88" s="457"/>
      <c r="H88" s="458">
        <f t="shared" si="13"/>
        <v>3389.4</v>
      </c>
      <c r="I88" s="458">
        <f t="shared" si="12"/>
        <v>0</v>
      </c>
      <c r="J88" s="453" t="s">
        <v>649</v>
      </c>
      <c r="K88" s="1049"/>
    </row>
    <row r="89" spans="1:11" ht="24.9">
      <c r="A89" s="461">
        <v>0</v>
      </c>
      <c r="B89" s="453" t="s">
        <v>517</v>
      </c>
      <c r="C89" s="453" t="s">
        <v>538</v>
      </c>
      <c r="D89" s="465" t="s">
        <v>644</v>
      </c>
      <c r="E89" s="453" t="s">
        <v>653</v>
      </c>
      <c r="F89" s="463">
        <v>1488</v>
      </c>
      <c r="G89" s="457"/>
      <c r="H89" s="458">
        <f t="shared" si="13"/>
        <v>892.8</v>
      </c>
      <c r="I89" s="458">
        <f t="shared" si="12"/>
        <v>0</v>
      </c>
      <c r="J89" s="453" t="s">
        <v>649</v>
      </c>
      <c r="K89" s="1049"/>
    </row>
    <row r="90" spans="1:11" ht="24.9">
      <c r="A90" s="461">
        <v>0</v>
      </c>
      <c r="B90" s="453" t="s">
        <v>517</v>
      </c>
      <c r="C90" s="453" t="s">
        <v>538</v>
      </c>
      <c r="D90" s="465" t="s">
        <v>644</v>
      </c>
      <c r="E90" s="453" t="s">
        <v>654</v>
      </c>
      <c r="F90" s="463">
        <v>5269</v>
      </c>
      <c r="G90" s="457"/>
      <c r="H90" s="458">
        <f t="shared" si="13"/>
        <v>3161.4</v>
      </c>
      <c r="I90" s="458">
        <f t="shared" si="12"/>
        <v>0</v>
      </c>
      <c r="J90" s="453" t="s">
        <v>649</v>
      </c>
      <c r="K90" s="1049"/>
    </row>
    <row r="91" spans="1:11" ht="24.9">
      <c r="A91" s="461">
        <v>0</v>
      </c>
      <c r="B91" s="453" t="s">
        <v>517</v>
      </c>
      <c r="C91" s="453" t="s">
        <v>538</v>
      </c>
      <c r="D91" s="465" t="s">
        <v>644</v>
      </c>
      <c r="E91" s="453" t="s">
        <v>655</v>
      </c>
      <c r="F91" s="463">
        <v>3078</v>
      </c>
      <c r="G91" s="457"/>
      <c r="H91" s="458">
        <f t="shared" si="13"/>
        <v>1846.8</v>
      </c>
      <c r="I91" s="458">
        <f t="shared" si="12"/>
        <v>0</v>
      </c>
      <c r="J91" s="453" t="s">
        <v>649</v>
      </c>
      <c r="K91" s="1049"/>
    </row>
    <row r="92" spans="1:11" ht="24.9">
      <c r="A92" s="461">
        <v>0</v>
      </c>
      <c r="B92" s="453" t="s">
        <v>517</v>
      </c>
      <c r="C92" s="453" t="s">
        <v>538</v>
      </c>
      <c r="D92" s="465" t="s">
        <v>644</v>
      </c>
      <c r="E92" s="453" t="s">
        <v>656</v>
      </c>
      <c r="F92" s="463">
        <v>3489</v>
      </c>
      <c r="G92" s="457"/>
      <c r="H92" s="458">
        <f t="shared" si="13"/>
        <v>2093.4</v>
      </c>
      <c r="I92" s="458">
        <f t="shared" si="12"/>
        <v>0</v>
      </c>
      <c r="J92" s="453" t="s">
        <v>649</v>
      </c>
      <c r="K92" s="1049"/>
    </row>
    <row r="93" spans="1:11" ht="24.9">
      <c r="A93" s="461">
        <v>0</v>
      </c>
      <c r="B93" s="453" t="s">
        <v>517</v>
      </c>
      <c r="C93" s="453" t="s">
        <v>538</v>
      </c>
      <c r="D93" s="465" t="s">
        <v>644</v>
      </c>
      <c r="E93" s="453" t="s">
        <v>657</v>
      </c>
      <c r="F93" s="467" t="s">
        <v>658</v>
      </c>
      <c r="G93" s="457"/>
      <c r="H93" s="468"/>
      <c r="I93" s="468"/>
      <c r="J93" s="453" t="s">
        <v>649</v>
      </c>
      <c r="K93" s="1049"/>
    </row>
    <row r="94" spans="1:11" ht="24.9">
      <c r="A94" s="461">
        <v>0</v>
      </c>
      <c r="B94" s="453" t="s">
        <v>517</v>
      </c>
      <c r="C94" s="453" t="s">
        <v>538</v>
      </c>
      <c r="D94" s="465" t="s">
        <v>644</v>
      </c>
      <c r="E94" s="453" t="s">
        <v>659</v>
      </c>
      <c r="F94" s="463">
        <v>7456</v>
      </c>
      <c r="G94" s="457"/>
      <c r="H94" s="458">
        <f t="shared" si="13"/>
        <v>4473.5999999999995</v>
      </c>
      <c r="I94" s="458">
        <f t="shared" si="12"/>
        <v>0</v>
      </c>
      <c r="J94" s="453" t="s">
        <v>649</v>
      </c>
      <c r="K94" s="1049"/>
    </row>
    <row r="95" spans="1:11" ht="24.9">
      <c r="A95" s="461">
        <v>0</v>
      </c>
      <c r="B95" s="453" t="s">
        <v>517</v>
      </c>
      <c r="C95" s="453" t="s">
        <v>538</v>
      </c>
      <c r="D95" s="465" t="s">
        <v>644</v>
      </c>
      <c r="E95" s="453" t="s">
        <v>660</v>
      </c>
      <c r="F95" s="463">
        <v>8494</v>
      </c>
      <c r="G95" s="457"/>
      <c r="H95" s="458">
        <f t="shared" si="13"/>
        <v>5096.3999999999996</v>
      </c>
      <c r="I95" s="458">
        <f t="shared" si="12"/>
        <v>0</v>
      </c>
      <c r="J95" s="453" t="s">
        <v>649</v>
      </c>
      <c r="K95" s="1049"/>
    </row>
    <row r="96" spans="1:11" ht="24.9">
      <c r="A96" s="461">
        <v>0</v>
      </c>
      <c r="B96" s="453" t="s">
        <v>517</v>
      </c>
      <c r="C96" s="453" t="s">
        <v>538</v>
      </c>
      <c r="D96" s="465" t="s">
        <v>644</v>
      </c>
      <c r="E96" s="453" t="s">
        <v>661</v>
      </c>
      <c r="F96" s="463">
        <v>9434</v>
      </c>
      <c r="G96" s="457"/>
      <c r="H96" s="458">
        <f t="shared" si="13"/>
        <v>5660.4</v>
      </c>
      <c r="I96" s="458">
        <f t="shared" si="12"/>
        <v>0</v>
      </c>
      <c r="J96" s="453" t="s">
        <v>649</v>
      </c>
      <c r="K96" s="1049"/>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2"/>
        <v>0</v>
      </c>
      <c r="J99" s="453" t="s">
        <v>638</v>
      </c>
      <c r="K99" s="482" t="s">
        <v>666</v>
      </c>
    </row>
    <row r="100" spans="1:12">
      <c r="A100" s="474"/>
      <c r="B100" s="475"/>
      <c r="C100" s="475"/>
      <c r="D100" s="476"/>
      <c r="E100" s="475"/>
      <c r="F100" s="457"/>
      <c r="G100" s="457"/>
      <c r="H100" s="479"/>
      <c r="I100" s="480"/>
      <c r="J100" s="475"/>
      <c r="K100" s="475"/>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89.05" customHeight="1">
      <c r="A103" s="452">
        <v>1</v>
      </c>
      <c r="B103" s="453" t="s">
        <v>517</v>
      </c>
      <c r="C103" s="454" t="s">
        <v>538</v>
      </c>
      <c r="D103" s="455" t="s">
        <v>636</v>
      </c>
      <c r="E103" s="453" t="s">
        <v>668</v>
      </c>
      <c r="F103" s="463">
        <v>3732</v>
      </c>
      <c r="G103" s="457"/>
      <c r="H103" s="458">
        <f>F103*(1-G78)</f>
        <v>2239.1999999999998</v>
      </c>
      <c r="I103" s="458">
        <f t="shared" ref="I103:I124" si="14">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4"/>
        <v>53.22</v>
      </c>
      <c r="J104" s="453" t="s">
        <v>649</v>
      </c>
      <c r="K104" s="1050"/>
      <c r="L104" s="17" t="s">
        <v>672</v>
      </c>
    </row>
    <row r="105" spans="1:12" ht="89.05" customHeight="1">
      <c r="A105" s="461">
        <v>1</v>
      </c>
      <c r="B105" s="453" t="s">
        <v>517</v>
      </c>
      <c r="C105" s="453" t="s">
        <v>538</v>
      </c>
      <c r="D105" s="462" t="s">
        <v>640</v>
      </c>
      <c r="E105" s="453" t="s">
        <v>673</v>
      </c>
      <c r="F105" s="463">
        <v>1968</v>
      </c>
      <c r="G105" s="457"/>
      <c r="H105" s="458">
        <f t="shared" ref="H105:H119" si="15">F105*(1-$G$77)</f>
        <v>1180.8</v>
      </c>
      <c r="I105" s="458">
        <f t="shared" si="14"/>
        <v>1180.8</v>
      </c>
      <c r="J105" s="459" t="s">
        <v>638</v>
      </c>
      <c r="K105" s="1051" t="s">
        <v>642</v>
      </c>
    </row>
    <row r="106" spans="1:12" ht="24.9">
      <c r="A106" s="452">
        <v>32</v>
      </c>
      <c r="B106" s="453" t="s">
        <v>539</v>
      </c>
      <c r="C106" s="453" t="s">
        <v>538</v>
      </c>
      <c r="D106" s="462" t="s">
        <v>643</v>
      </c>
      <c r="E106" s="453" t="s">
        <v>673</v>
      </c>
      <c r="F106" s="463">
        <v>87.9</v>
      </c>
      <c r="G106" s="457"/>
      <c r="H106" s="458">
        <f t="shared" si="15"/>
        <v>52.74</v>
      </c>
      <c r="I106" s="458">
        <f t="shared" si="14"/>
        <v>1687.68</v>
      </c>
      <c r="J106" s="459" t="s">
        <v>638</v>
      </c>
      <c r="K106" s="1051"/>
    </row>
    <row r="107" spans="1:12" ht="89.05" customHeight="1">
      <c r="A107" s="452">
        <v>1</v>
      </c>
      <c r="B107" s="453" t="s">
        <v>517</v>
      </c>
      <c r="C107" s="453" t="s">
        <v>538</v>
      </c>
      <c r="D107" s="464" t="s">
        <v>644</v>
      </c>
      <c r="E107" s="453" t="s">
        <v>645</v>
      </c>
      <c r="F107" s="463">
        <v>10051</v>
      </c>
      <c r="G107" s="457"/>
      <c r="H107" s="458">
        <f t="shared" si="15"/>
        <v>6030.5999999999995</v>
      </c>
      <c r="I107" s="458">
        <f t="shared" si="14"/>
        <v>6030.5999999999995</v>
      </c>
      <c r="J107" s="459" t="s">
        <v>638</v>
      </c>
      <c r="K107" s="1052" t="s">
        <v>646</v>
      </c>
    </row>
    <row r="108" spans="1:12" ht="24.9">
      <c r="A108" s="461">
        <v>0</v>
      </c>
      <c r="B108" s="453" t="s">
        <v>517</v>
      </c>
      <c r="C108" s="453" t="s">
        <v>538</v>
      </c>
      <c r="D108" s="464" t="s">
        <v>644</v>
      </c>
      <c r="E108" s="453" t="s">
        <v>647</v>
      </c>
      <c r="F108" s="463">
        <v>17412</v>
      </c>
      <c r="G108" s="457"/>
      <c r="H108" s="458">
        <f t="shared" si="15"/>
        <v>10447.199999999999</v>
      </c>
      <c r="I108" s="458">
        <f t="shared" si="14"/>
        <v>0</v>
      </c>
      <c r="J108" s="459" t="s">
        <v>638</v>
      </c>
      <c r="K108" s="1052"/>
    </row>
    <row r="109" spans="1:12" ht="89.05" customHeight="1">
      <c r="A109" s="461">
        <v>0</v>
      </c>
      <c r="B109" s="453" t="s">
        <v>517</v>
      </c>
      <c r="C109" s="453" t="s">
        <v>538</v>
      </c>
      <c r="D109" s="465" t="s">
        <v>644</v>
      </c>
      <c r="E109" s="453" t="s">
        <v>648</v>
      </c>
      <c r="F109" s="463">
        <v>2345</v>
      </c>
      <c r="G109" s="457"/>
      <c r="H109" s="458">
        <f t="shared" si="15"/>
        <v>1407</v>
      </c>
      <c r="I109" s="458">
        <f t="shared" si="14"/>
        <v>0</v>
      </c>
      <c r="J109" s="453" t="s">
        <v>649</v>
      </c>
      <c r="K109" s="1049" t="s">
        <v>650</v>
      </c>
    </row>
    <row r="110" spans="1:12" ht="24.9">
      <c r="A110" s="461">
        <v>0</v>
      </c>
      <c r="B110" s="453" t="s">
        <v>517</v>
      </c>
      <c r="C110" s="453" t="s">
        <v>538</v>
      </c>
      <c r="D110" s="465" t="s">
        <v>644</v>
      </c>
      <c r="E110" s="453" t="s">
        <v>651</v>
      </c>
      <c r="F110" s="463">
        <v>3258</v>
      </c>
      <c r="G110" s="457"/>
      <c r="H110" s="458">
        <f t="shared" si="15"/>
        <v>1954.8</v>
      </c>
      <c r="I110" s="458">
        <f t="shared" si="14"/>
        <v>0</v>
      </c>
      <c r="J110" s="453" t="s">
        <v>649</v>
      </c>
      <c r="K110" s="1049"/>
    </row>
    <row r="111" spans="1:12" ht="24.9">
      <c r="A111" s="461">
        <v>0</v>
      </c>
      <c r="B111" s="453" t="s">
        <v>517</v>
      </c>
      <c r="C111" s="453" t="s">
        <v>538</v>
      </c>
      <c r="D111" s="465" t="s">
        <v>644</v>
      </c>
      <c r="E111" s="453" t="s">
        <v>652</v>
      </c>
      <c r="F111" s="463">
        <v>5649</v>
      </c>
      <c r="G111" s="457"/>
      <c r="H111" s="458">
        <f t="shared" si="15"/>
        <v>3389.4</v>
      </c>
      <c r="I111" s="458">
        <f t="shared" si="14"/>
        <v>0</v>
      </c>
      <c r="J111" s="453" t="s">
        <v>649</v>
      </c>
      <c r="K111" s="1049"/>
    </row>
    <row r="112" spans="1:12" ht="24.9">
      <c r="A112" s="461">
        <v>0</v>
      </c>
      <c r="B112" s="453" t="s">
        <v>517</v>
      </c>
      <c r="C112" s="453" t="s">
        <v>538</v>
      </c>
      <c r="D112" s="465" t="s">
        <v>644</v>
      </c>
      <c r="E112" s="453" t="s">
        <v>653</v>
      </c>
      <c r="F112" s="463">
        <v>1488</v>
      </c>
      <c r="G112" s="457"/>
      <c r="H112" s="458">
        <f t="shared" si="15"/>
        <v>892.8</v>
      </c>
      <c r="I112" s="458">
        <f t="shared" si="14"/>
        <v>0</v>
      </c>
      <c r="J112" s="453" t="s">
        <v>649</v>
      </c>
      <c r="K112" s="1049"/>
    </row>
    <row r="113" spans="1:17" ht="24.9">
      <c r="A113" s="461">
        <v>0</v>
      </c>
      <c r="B113" s="453" t="s">
        <v>517</v>
      </c>
      <c r="C113" s="453" t="s">
        <v>538</v>
      </c>
      <c r="D113" s="465" t="s">
        <v>644</v>
      </c>
      <c r="E113" s="453" t="s">
        <v>654</v>
      </c>
      <c r="F113" s="463">
        <v>5269</v>
      </c>
      <c r="G113" s="457"/>
      <c r="H113" s="458">
        <f t="shared" si="15"/>
        <v>3161.4</v>
      </c>
      <c r="I113" s="458">
        <f t="shared" si="14"/>
        <v>0</v>
      </c>
      <c r="J113" s="453" t="s">
        <v>649</v>
      </c>
      <c r="K113" s="1049"/>
    </row>
    <row r="114" spans="1:17" ht="24.9">
      <c r="A114" s="461">
        <v>0</v>
      </c>
      <c r="B114" s="453" t="s">
        <v>517</v>
      </c>
      <c r="C114" s="453" t="s">
        <v>538</v>
      </c>
      <c r="D114" s="465" t="s">
        <v>644</v>
      </c>
      <c r="E114" s="453" t="s">
        <v>655</v>
      </c>
      <c r="F114" s="463">
        <v>3078</v>
      </c>
      <c r="G114" s="457"/>
      <c r="H114" s="458">
        <f t="shared" si="15"/>
        <v>1846.8</v>
      </c>
      <c r="I114" s="458">
        <f t="shared" si="14"/>
        <v>0</v>
      </c>
      <c r="J114" s="453" t="s">
        <v>649</v>
      </c>
      <c r="K114" s="1049"/>
    </row>
    <row r="115" spans="1:17" ht="24.9">
      <c r="A115" s="461">
        <v>0</v>
      </c>
      <c r="B115" s="453" t="s">
        <v>517</v>
      </c>
      <c r="C115" s="453" t="s">
        <v>538</v>
      </c>
      <c r="D115" s="465" t="s">
        <v>644</v>
      </c>
      <c r="E115" s="453" t="s">
        <v>656</v>
      </c>
      <c r="F115" s="463">
        <v>3489</v>
      </c>
      <c r="G115" s="457"/>
      <c r="H115" s="458">
        <f t="shared" si="15"/>
        <v>2093.4</v>
      </c>
      <c r="I115" s="458">
        <f t="shared" si="14"/>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5"/>
        <v>4473.5999999999995</v>
      </c>
      <c r="I117" s="458">
        <f t="shared" si="14"/>
        <v>0</v>
      </c>
      <c r="J117" s="453" t="s">
        <v>649</v>
      </c>
      <c r="K117" s="1049"/>
    </row>
    <row r="118" spans="1:17" ht="24.9">
      <c r="A118" s="461">
        <v>0</v>
      </c>
      <c r="B118" s="453" t="s">
        <v>517</v>
      </c>
      <c r="C118" s="453" t="s">
        <v>538</v>
      </c>
      <c r="D118" s="465" t="s">
        <v>644</v>
      </c>
      <c r="E118" s="453" t="s">
        <v>660</v>
      </c>
      <c r="F118" s="463">
        <v>8494</v>
      </c>
      <c r="G118" s="457"/>
      <c r="H118" s="458">
        <f t="shared" si="15"/>
        <v>5096.3999999999996</v>
      </c>
      <c r="I118" s="458">
        <f t="shared" si="14"/>
        <v>0</v>
      </c>
      <c r="J118" s="453" t="s">
        <v>649</v>
      </c>
      <c r="K118" s="1049"/>
    </row>
    <row r="119" spans="1:17" ht="24.9">
      <c r="A119" s="461">
        <v>0</v>
      </c>
      <c r="B119" s="453" t="s">
        <v>517</v>
      </c>
      <c r="C119" s="453" t="s">
        <v>538</v>
      </c>
      <c r="D119" s="465" t="s">
        <v>644</v>
      </c>
      <c r="E119" s="453" t="s">
        <v>661</v>
      </c>
      <c r="F119" s="463">
        <v>9434</v>
      </c>
      <c r="G119" s="457"/>
      <c r="H119" s="458">
        <f t="shared" si="15"/>
        <v>5660.4</v>
      </c>
      <c r="I119" s="458">
        <f t="shared" si="14"/>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411</v>
      </c>
      <c r="B122" s="453" t="s">
        <v>539</v>
      </c>
      <c r="C122" s="453" t="s">
        <v>538</v>
      </c>
      <c r="D122" s="481" t="s">
        <v>664</v>
      </c>
      <c r="E122" s="453" t="s">
        <v>665</v>
      </c>
      <c r="F122" s="463">
        <v>108</v>
      </c>
      <c r="G122" s="463">
        <v>79</v>
      </c>
      <c r="H122" s="458">
        <f>IFERROR((MIN(A122,400)*F122+MAX(A122-400,0)*G122)*(1-G77)/A122,0)</f>
        <v>64.334306569343056</v>
      </c>
      <c r="I122" s="458">
        <f t="shared" si="14"/>
        <v>26441.399999999998</v>
      </c>
      <c r="J122" s="453" t="s">
        <v>638</v>
      </c>
      <c r="K122" s="482" t="s">
        <v>666</v>
      </c>
    </row>
    <row r="123" spans="1:17">
      <c r="A123" s="204"/>
      <c r="F123" s="17"/>
      <c r="H123" s="403"/>
      <c r="I123" s="403"/>
    </row>
    <row r="124" spans="1:17" ht="33.4">
      <c r="A124" s="204">
        <v>1</v>
      </c>
      <c r="B124" s="17" t="s">
        <v>517</v>
      </c>
      <c r="C124" s="204" t="s">
        <v>674</v>
      </c>
      <c r="E124" s="17" t="s">
        <v>675</v>
      </c>
      <c r="F124" s="445">
        <v>161.44</v>
      </c>
      <c r="G124" s="404">
        <v>0</v>
      </c>
      <c r="H124" s="458">
        <f>F124*(1-G124)</f>
        <v>161.44</v>
      </c>
      <c r="I124" s="458">
        <f t="shared" si="14"/>
        <v>161.44</v>
      </c>
    </row>
    <row r="125" spans="1:17">
      <c r="A125" s="204"/>
      <c r="F125" s="485"/>
      <c r="H125" s="403"/>
      <c r="I125" s="403"/>
    </row>
    <row r="126" spans="1:17" ht="15.75">
      <c r="E126" s="439" t="s">
        <v>676</v>
      </c>
      <c r="I126" s="486">
        <f>SUM(I81:I124)</f>
        <v>37794.339999999997</v>
      </c>
      <c r="Q126" s="438">
        <f>I126</f>
        <v>37794.339999999997</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66" si="16">F131*(1-G131)</f>
        <v>2801.13</v>
      </c>
      <c r="I131" s="409"/>
    </row>
    <row r="132" spans="1:10" ht="22.25">
      <c r="A132" s="407">
        <v>0</v>
      </c>
      <c r="B132" s="407" t="s">
        <v>522</v>
      </c>
      <c r="C132" s="408" t="s">
        <v>678</v>
      </c>
      <c r="D132" s="407" t="s">
        <v>681</v>
      </c>
      <c r="E132" s="408" t="s">
        <v>682</v>
      </c>
      <c r="F132" s="409">
        <v>772.15</v>
      </c>
      <c r="G132" s="410"/>
      <c r="H132" s="409">
        <f t="shared" si="16"/>
        <v>772.15</v>
      </c>
      <c r="I132" s="409"/>
    </row>
    <row r="133" spans="1:10" ht="22.25">
      <c r="A133" s="407">
        <v>0</v>
      </c>
      <c r="B133" s="407" t="s">
        <v>522</v>
      </c>
      <c r="C133" s="408" t="s">
        <v>678</v>
      </c>
      <c r="D133" s="407" t="s">
        <v>683</v>
      </c>
      <c r="E133" s="408" t="s">
        <v>684</v>
      </c>
      <c r="F133" s="409">
        <v>150.26</v>
      </c>
      <c r="G133" s="410"/>
      <c r="H133" s="409">
        <f t="shared" si="16"/>
        <v>150.26</v>
      </c>
      <c r="I133" s="409"/>
    </row>
    <row r="134" spans="1:10" ht="22.25">
      <c r="A134" s="407">
        <v>0</v>
      </c>
      <c r="B134" s="407" t="s">
        <v>522</v>
      </c>
      <c r="C134" s="408" t="s">
        <v>678</v>
      </c>
      <c r="D134" s="407" t="s">
        <v>685</v>
      </c>
      <c r="E134" s="408" t="s">
        <v>686</v>
      </c>
      <c r="F134" s="409">
        <v>10.58</v>
      </c>
      <c r="G134" s="410"/>
      <c r="H134" s="409">
        <f t="shared" si="16"/>
        <v>10.58</v>
      </c>
      <c r="I134" s="409"/>
    </row>
    <row r="135" spans="1:10" ht="22.25">
      <c r="A135" s="407">
        <v>0</v>
      </c>
      <c r="B135" s="407" t="s">
        <v>522</v>
      </c>
      <c r="C135" s="408" t="s">
        <v>678</v>
      </c>
      <c r="D135" s="407" t="s">
        <v>687</v>
      </c>
      <c r="E135" s="408" t="s">
        <v>688</v>
      </c>
      <c r="F135" s="409">
        <v>69.78</v>
      </c>
      <c r="G135" s="410"/>
      <c r="H135" s="409">
        <f t="shared" si="16"/>
        <v>69.78</v>
      </c>
      <c r="I135" s="409"/>
      <c r="J135" s="17" t="s">
        <v>689</v>
      </c>
    </row>
    <row r="136" spans="1:10" ht="22.25">
      <c r="A136" s="487">
        <v>0</v>
      </c>
      <c r="B136" s="407" t="s">
        <v>539</v>
      </c>
      <c r="C136" s="408" t="s">
        <v>690</v>
      </c>
      <c r="D136" s="407"/>
      <c r="E136" s="407" t="s">
        <v>691</v>
      </c>
      <c r="F136" s="409">
        <v>7.58</v>
      </c>
      <c r="G136" s="410"/>
      <c r="H136" s="409">
        <f t="shared" si="16"/>
        <v>7.58</v>
      </c>
      <c r="I136" s="409"/>
      <c r="J136" s="17" t="s">
        <v>692</v>
      </c>
    </row>
    <row r="137" spans="1:10" ht="22.25">
      <c r="A137" s="487">
        <v>0</v>
      </c>
      <c r="B137" s="407" t="s">
        <v>539</v>
      </c>
      <c r="C137" s="408" t="s">
        <v>690</v>
      </c>
      <c r="D137" s="407"/>
      <c r="E137" s="407" t="s">
        <v>693</v>
      </c>
      <c r="F137" s="409">
        <v>2.04</v>
      </c>
      <c r="G137" s="410"/>
      <c r="H137" s="409">
        <f t="shared" si="16"/>
        <v>2.04</v>
      </c>
      <c r="I137" s="409"/>
      <c r="J137" s="17" t="s">
        <v>694</v>
      </c>
    </row>
    <row r="138" spans="1:10" ht="22.25">
      <c r="A138" s="407">
        <v>0</v>
      </c>
      <c r="B138" s="407" t="s">
        <v>522</v>
      </c>
      <c r="C138" s="408"/>
      <c r="D138" s="407"/>
      <c r="E138" s="408" t="s">
        <v>695</v>
      </c>
      <c r="F138" s="409">
        <v>50</v>
      </c>
      <c r="G138" s="410"/>
      <c r="H138" s="409">
        <f t="shared" si="16"/>
        <v>50</v>
      </c>
      <c r="I138" s="409"/>
      <c r="J138" s="204" t="s">
        <v>696</v>
      </c>
    </row>
    <row r="139" spans="1:10">
      <c r="A139" s="407">
        <v>0</v>
      </c>
      <c r="B139" s="407" t="s">
        <v>619</v>
      </c>
      <c r="C139" s="408"/>
      <c r="D139" s="407"/>
      <c r="E139" s="408" t="s">
        <v>697</v>
      </c>
      <c r="F139" s="409">
        <f>F60</f>
        <v>55</v>
      </c>
      <c r="G139" s="410"/>
      <c r="H139" s="409">
        <f t="shared" si="16"/>
        <v>55</v>
      </c>
      <c r="I139" s="409"/>
    </row>
    <row r="140" spans="1:10" ht="66.8">
      <c r="A140" s="407">
        <v>0</v>
      </c>
      <c r="B140" s="407" t="s">
        <v>517</v>
      </c>
      <c r="C140" s="408" t="s">
        <v>698</v>
      </c>
      <c r="D140" s="407" t="s">
        <v>636</v>
      </c>
      <c r="E140" s="408" t="s">
        <v>637</v>
      </c>
      <c r="F140" s="409">
        <v>1809</v>
      </c>
      <c r="G140" s="410">
        <v>0.75</v>
      </c>
      <c r="H140" s="409">
        <f t="shared" si="16"/>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17">
        <v>1</v>
      </c>
      <c r="B154" s="17" t="s">
        <v>517</v>
      </c>
      <c r="E154" s="17" t="s">
        <v>703</v>
      </c>
      <c r="F154" s="403">
        <v>800</v>
      </c>
      <c r="H154" s="403">
        <f t="shared" si="16"/>
        <v>800</v>
      </c>
      <c r="I154" s="403">
        <f t="shared" ref="I154:I159" si="17">A154*H154</f>
        <v>800</v>
      </c>
      <c r="J154" s="17" t="s">
        <v>704</v>
      </c>
    </row>
    <row r="155" spans="1:10">
      <c r="A155" s="17">
        <v>1</v>
      </c>
      <c r="B155" s="17" t="s">
        <v>517</v>
      </c>
      <c r="E155" s="17" t="s">
        <v>705</v>
      </c>
      <c r="F155" s="403">
        <v>500</v>
      </c>
      <c r="H155" s="403">
        <f t="shared" si="16"/>
        <v>500</v>
      </c>
      <c r="I155" s="403">
        <f t="shared" si="17"/>
        <v>500</v>
      </c>
      <c r="J155" s="17" t="s">
        <v>704</v>
      </c>
    </row>
    <row r="156" spans="1:10">
      <c r="A156" s="17">
        <v>0</v>
      </c>
      <c r="B156" s="17" t="s">
        <v>517</v>
      </c>
      <c r="E156" s="17" t="s">
        <v>707</v>
      </c>
      <c r="F156" s="403">
        <v>1500</v>
      </c>
      <c r="H156" s="403">
        <f t="shared" si="16"/>
        <v>1500</v>
      </c>
      <c r="I156" s="403">
        <f t="shared" si="17"/>
        <v>0</v>
      </c>
    </row>
    <row r="157" spans="1:10" ht="55.65">
      <c r="B157" s="17" t="s">
        <v>517</v>
      </c>
      <c r="C157" s="204" t="s">
        <v>708</v>
      </c>
      <c r="E157" s="204" t="s">
        <v>709</v>
      </c>
      <c r="F157" s="403">
        <v>460</v>
      </c>
      <c r="H157" s="403">
        <f t="shared" si="16"/>
        <v>460</v>
      </c>
      <c r="I157" s="403">
        <f t="shared" si="17"/>
        <v>0</v>
      </c>
      <c r="J157" s="17" t="s">
        <v>710</v>
      </c>
    </row>
    <row r="158" spans="1:10" ht="55.65">
      <c r="A158" s="17">
        <v>0</v>
      </c>
      <c r="B158" s="17" t="s">
        <v>517</v>
      </c>
      <c r="C158" s="204" t="s">
        <v>711</v>
      </c>
      <c r="E158" s="204" t="s">
        <v>712</v>
      </c>
      <c r="F158" s="403">
        <v>320</v>
      </c>
      <c r="H158" s="403">
        <f t="shared" si="16"/>
        <v>320</v>
      </c>
      <c r="I158" s="403">
        <f t="shared" si="17"/>
        <v>0</v>
      </c>
    </row>
    <row r="159" spans="1:10" ht="55.65">
      <c r="A159" s="17">
        <v>0</v>
      </c>
      <c r="B159" s="17" t="s">
        <v>517</v>
      </c>
      <c r="C159" s="17" t="s">
        <v>713</v>
      </c>
      <c r="D159" s="17" t="s">
        <v>714</v>
      </c>
      <c r="E159" s="204" t="s">
        <v>715</v>
      </c>
      <c r="F159" s="403">
        <v>2725</v>
      </c>
      <c r="H159" s="403">
        <f t="shared" si="16"/>
        <v>2725</v>
      </c>
      <c r="I159" s="403">
        <f t="shared" si="17"/>
        <v>0</v>
      </c>
    </row>
    <row r="161" spans="1:9" ht="15.75">
      <c r="E161" s="439" t="s">
        <v>729</v>
      </c>
      <c r="I161" s="168">
        <f>SUM(I152:I160)</f>
        <v>1300</v>
      </c>
    </row>
    <row r="163" spans="1:9" ht="13.75" customHeight="1">
      <c r="A163" s="997" t="s">
        <v>68</v>
      </c>
      <c r="B163" s="997"/>
      <c r="C163" s="997"/>
      <c r="D163" s="997"/>
      <c r="E163" s="997"/>
    </row>
    <row r="164" spans="1:9">
      <c r="A164" s="17">
        <v>1</v>
      </c>
      <c r="B164" s="17" t="s">
        <v>517</v>
      </c>
      <c r="E164" s="17" t="s">
        <v>730</v>
      </c>
      <c r="F164" s="403">
        <v>500</v>
      </c>
      <c r="H164" s="403">
        <f t="shared" si="16"/>
        <v>500</v>
      </c>
      <c r="I164" s="403">
        <f t="shared" ref="I164:I166" si="18">A164*H164</f>
        <v>500</v>
      </c>
    </row>
    <row r="165" spans="1:9" ht="55.65">
      <c r="A165" s="17">
        <v>0</v>
      </c>
      <c r="B165" s="17" t="s">
        <v>517</v>
      </c>
      <c r="C165" s="204" t="s">
        <v>708</v>
      </c>
      <c r="E165" s="204" t="s">
        <v>731</v>
      </c>
      <c r="F165" s="403">
        <f>460/2</f>
        <v>230</v>
      </c>
      <c r="H165" s="403">
        <f t="shared" si="16"/>
        <v>230</v>
      </c>
      <c r="I165" s="403">
        <f t="shared" si="18"/>
        <v>0</v>
      </c>
    </row>
    <row r="166" spans="1:9" ht="55.65">
      <c r="A166" s="17">
        <v>0</v>
      </c>
      <c r="B166" s="17" t="s">
        <v>517</v>
      </c>
      <c r="C166" s="204" t="s">
        <v>711</v>
      </c>
      <c r="E166" s="204" t="s">
        <v>732</v>
      </c>
      <c r="F166" s="403">
        <f>320/2</f>
        <v>160</v>
      </c>
      <c r="H166" s="403">
        <f t="shared" si="16"/>
        <v>160</v>
      </c>
      <c r="I166" s="403">
        <f t="shared" si="18"/>
        <v>0</v>
      </c>
    </row>
    <row r="168" spans="1:9" ht="15.75">
      <c r="E168" s="439" t="s">
        <v>733</v>
      </c>
      <c r="I168" s="168">
        <f>SUM(I163:I167)</f>
        <v>500</v>
      </c>
    </row>
    <row r="169" spans="1:9">
      <c r="E169" s="439"/>
    </row>
  </sheetData>
  <mergeCells count="13">
    <mergeCell ref="B1:F1"/>
    <mergeCell ref="A2:G2"/>
    <mergeCell ref="J22:L22"/>
    <mergeCell ref="K82:K83"/>
    <mergeCell ref="K84:K85"/>
    <mergeCell ref="A128:E128"/>
    <mergeCell ref="A152:E152"/>
    <mergeCell ref="A163:E163"/>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79"/>
  <sheetViews>
    <sheetView workbookViewId="0">
      <pane ySplit="3" topLeftCell="A4" activePane="bottomLeft" state="frozen"/>
      <selection activeCellId="1" sqref="G16 A1"/>
      <selection pane="bottomLeft"/>
    </sheetView>
  </sheetViews>
  <sheetFormatPr baseColWidth="10" defaultColWidth="10.140625" defaultRowHeight="11.15"/>
  <cols>
    <col min="1" max="1" width="6.8554687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6" width="10.140625" style="403"/>
    <col min="17" max="17" width="13" style="403" customWidth="1"/>
    <col min="18" max="19" width="10.140625" style="403"/>
    <col min="20" max="64" width="10.140625" style="17"/>
  </cols>
  <sheetData>
    <row r="1" spans="1:19" ht="15.75">
      <c r="B1" s="1053" t="s">
        <v>271</v>
      </c>
      <c r="C1" s="1053"/>
      <c r="D1" s="1053"/>
      <c r="E1" s="1053"/>
      <c r="F1" s="1053"/>
      <c r="H1" s="405" t="s">
        <v>493</v>
      </c>
      <c r="I1" s="406">
        <v>405</v>
      </c>
      <c r="J1" s="17" t="s">
        <v>494</v>
      </c>
      <c r="K1" s="17" t="s">
        <v>495</v>
      </c>
      <c r="L1" s="58">
        <f>A4*I1</f>
        <v>156735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387</v>
      </c>
      <c r="B4" s="413" t="s">
        <v>505</v>
      </c>
      <c r="C4" s="420" t="s">
        <v>734</v>
      </c>
      <c r="D4" s="413"/>
      <c r="E4" s="420" t="s">
        <v>735</v>
      </c>
      <c r="F4" s="421">
        <f>0.362*405</f>
        <v>146.60999999999999</v>
      </c>
      <c r="G4" s="422"/>
      <c r="H4" s="421">
        <f t="shared" ref="H4:H7" si="0">F4*(1-G4)</f>
        <v>146.60999999999999</v>
      </c>
      <c r="I4" s="409">
        <f t="shared" ref="I4:I7" si="1">A4*H4</f>
        <v>56738.069999999992</v>
      </c>
      <c r="J4" s="417">
        <f>F4/$I$1</f>
        <v>0.36199999999999999</v>
      </c>
      <c r="K4" s="403" t="s">
        <v>736</v>
      </c>
      <c r="L4" s="404"/>
      <c r="M4" s="418">
        <f t="shared" ref="M4:M6" si="2">I4</f>
        <v>56738.069999999992</v>
      </c>
      <c r="N4" s="418"/>
      <c r="O4" s="418"/>
      <c r="P4" s="418"/>
      <c r="Q4" s="418"/>
      <c r="R4" s="418"/>
      <c r="S4" s="418"/>
    </row>
    <row r="5" spans="1:19" ht="55.65">
      <c r="A5" s="413">
        <v>0</v>
      </c>
      <c r="B5" s="407" t="s">
        <v>505</v>
      </c>
      <c r="C5" s="408" t="s">
        <v>817</v>
      </c>
      <c r="D5" s="407" t="s">
        <v>818</v>
      </c>
      <c r="E5" s="408" t="s">
        <v>819</v>
      </c>
      <c r="F5" s="409">
        <v>267.5</v>
      </c>
      <c r="G5" s="422"/>
      <c r="H5" s="421">
        <f t="shared" si="0"/>
        <v>267.5</v>
      </c>
      <c r="I5" s="409">
        <f t="shared" si="1"/>
        <v>0</v>
      </c>
      <c r="J5" s="417"/>
      <c r="K5" s="403"/>
      <c r="L5" s="404"/>
      <c r="M5" s="418">
        <f t="shared" si="2"/>
        <v>0</v>
      </c>
      <c r="N5" s="418"/>
      <c r="O5" s="418"/>
      <c r="P5" s="418"/>
      <c r="Q5" s="418"/>
      <c r="R5" s="418"/>
      <c r="S5" s="418"/>
    </row>
    <row r="6" spans="1:19" ht="66.8">
      <c r="A6" s="413">
        <f>A4+A5</f>
        <v>387</v>
      </c>
      <c r="B6" s="413" t="s">
        <v>505</v>
      </c>
      <c r="C6" s="420" t="s">
        <v>738</v>
      </c>
      <c r="D6" s="413"/>
      <c r="E6" s="420" t="s">
        <v>739</v>
      </c>
      <c r="F6" s="421">
        <f>5266*1.036/A6</f>
        <v>14.097095607235142</v>
      </c>
      <c r="G6" s="410"/>
      <c r="H6" s="409">
        <f t="shared" si="0"/>
        <v>14.097095607235142</v>
      </c>
      <c r="I6" s="409">
        <f t="shared" si="1"/>
        <v>5455.576</v>
      </c>
      <c r="J6" s="417">
        <f>F6/$I$1</f>
        <v>3.4807643474654669E-2</v>
      </c>
      <c r="K6" s="417" t="s">
        <v>740</v>
      </c>
      <c r="L6" s="204" t="s">
        <v>741</v>
      </c>
      <c r="M6" s="418">
        <f t="shared" si="2"/>
        <v>5455.576</v>
      </c>
      <c r="N6" s="418"/>
      <c r="O6" s="418"/>
      <c r="P6" s="418"/>
      <c r="Q6" s="418"/>
      <c r="R6" s="418"/>
      <c r="S6" s="418"/>
    </row>
    <row r="7" spans="1:19" ht="22.6" customHeight="1">
      <c r="A7" s="423">
        <v>2</v>
      </c>
      <c r="B7" s="423" t="s">
        <v>522</v>
      </c>
      <c r="C7" s="420" t="s">
        <v>1115</v>
      </c>
      <c r="D7" s="423"/>
      <c r="E7" s="420" t="s">
        <v>1224</v>
      </c>
      <c r="F7" s="421">
        <v>7479</v>
      </c>
      <c r="G7" s="422"/>
      <c r="H7" s="409">
        <f t="shared" si="0"/>
        <v>7479</v>
      </c>
      <c r="I7" s="409">
        <f t="shared" si="1"/>
        <v>14958</v>
      </c>
      <c r="J7" s="417"/>
      <c r="K7" s="417" t="s">
        <v>1492</v>
      </c>
      <c r="L7" s="204"/>
      <c r="M7" s="418"/>
      <c r="N7" s="418">
        <f>I7</f>
        <v>14958</v>
      </c>
      <c r="O7" s="418"/>
      <c r="P7" s="418"/>
      <c r="Q7" s="418"/>
      <c r="R7" s="418"/>
      <c r="S7" s="418"/>
    </row>
    <row r="8" spans="1:19" ht="23.25" customHeight="1">
      <c r="A8" s="413"/>
      <c r="B8" s="413"/>
      <c r="C8" s="420"/>
      <c r="D8" s="413"/>
      <c r="E8" s="420"/>
      <c r="F8" s="421"/>
      <c r="G8" s="410"/>
      <c r="H8" s="409"/>
      <c r="I8" s="409"/>
      <c r="J8" s="417"/>
      <c r="K8" s="417"/>
      <c r="L8" s="204"/>
      <c r="M8" s="418"/>
      <c r="N8" s="418"/>
      <c r="O8" s="418"/>
      <c r="P8" s="418"/>
      <c r="Q8" s="418"/>
      <c r="R8" s="418"/>
      <c r="S8" s="418"/>
    </row>
    <row r="9" spans="1:19" ht="22.6" customHeight="1">
      <c r="A9" s="413"/>
      <c r="B9" s="413"/>
      <c r="C9" s="420"/>
      <c r="D9" s="413"/>
      <c r="E9" s="420"/>
      <c r="F9" s="421"/>
      <c r="G9" s="410"/>
      <c r="H9" s="409"/>
      <c r="I9" s="409"/>
      <c r="J9" s="417"/>
      <c r="K9" s="417"/>
      <c r="L9" s="204"/>
      <c r="M9" s="418"/>
      <c r="N9" s="418"/>
      <c r="O9" s="418"/>
      <c r="P9" s="418"/>
      <c r="Q9" s="418"/>
      <c r="R9" s="418"/>
      <c r="S9" s="418"/>
    </row>
    <row r="10" spans="1:19" ht="122.4">
      <c r="A10" s="413">
        <v>2</v>
      </c>
      <c r="B10" s="413" t="s">
        <v>530</v>
      </c>
      <c r="C10" s="420" t="s">
        <v>749</v>
      </c>
      <c r="D10" s="413"/>
      <c r="E10" s="420" t="s">
        <v>1231</v>
      </c>
      <c r="F10" s="421">
        <v>827.8</v>
      </c>
      <c r="G10" s="422"/>
      <c r="H10" s="421">
        <f t="shared" ref="H10:H61" si="3">F10*(1-G10)</f>
        <v>827.8</v>
      </c>
      <c r="I10" s="409">
        <f t="shared" ref="I10:I31" si="4">A10*H10</f>
        <v>1655.6</v>
      </c>
      <c r="J10" s="204"/>
      <c r="K10" s="17" t="s">
        <v>1493</v>
      </c>
      <c r="M10" s="418"/>
      <c r="N10" s="418"/>
      <c r="O10" s="418"/>
      <c r="P10" s="418"/>
      <c r="Q10" s="418"/>
      <c r="R10" s="418">
        <f t="shared" ref="R10:R23" si="5">I10</f>
        <v>1655.6</v>
      </c>
      <c r="S10" s="418"/>
    </row>
    <row r="11" spans="1:19" ht="22.25">
      <c r="A11" s="413">
        <v>1</v>
      </c>
      <c r="B11" s="413" t="s">
        <v>505</v>
      </c>
      <c r="C11" s="420" t="s">
        <v>531</v>
      </c>
      <c r="D11" s="413"/>
      <c r="E11" s="420" t="s">
        <v>1296</v>
      </c>
      <c r="F11" s="421">
        <v>2000</v>
      </c>
      <c r="G11" s="422"/>
      <c r="H11" s="421">
        <f t="shared" si="3"/>
        <v>2000</v>
      </c>
      <c r="I11" s="409">
        <f t="shared" si="4"/>
        <v>2000</v>
      </c>
      <c r="J11" s="204"/>
      <c r="M11" s="418"/>
      <c r="N11" s="418"/>
      <c r="O11" s="418"/>
      <c r="P11" s="418"/>
      <c r="Q11" s="418"/>
      <c r="R11" s="418">
        <f t="shared" si="5"/>
        <v>2000</v>
      </c>
      <c r="S11" s="418"/>
    </row>
    <row r="12" spans="1:19">
      <c r="A12" s="488"/>
      <c r="B12" s="488"/>
      <c r="C12" s="489"/>
      <c r="D12" s="488"/>
      <c r="E12" s="489"/>
      <c r="F12" s="490"/>
      <c r="G12" s="410"/>
      <c r="H12" s="409">
        <f t="shared" si="3"/>
        <v>0</v>
      </c>
      <c r="I12" s="409">
        <f t="shared" si="4"/>
        <v>0</v>
      </c>
      <c r="J12" s="204"/>
      <c r="M12" s="418"/>
      <c r="N12" s="418"/>
      <c r="O12" s="418"/>
      <c r="P12" s="418"/>
      <c r="Q12" s="418"/>
      <c r="R12" s="418">
        <f t="shared" si="5"/>
        <v>0</v>
      </c>
      <c r="S12" s="418"/>
    </row>
    <row r="13" spans="1:19" ht="22.25">
      <c r="A13" s="488">
        <v>1</v>
      </c>
      <c r="B13" s="488" t="s">
        <v>530</v>
      </c>
      <c r="C13" s="489" t="s">
        <v>531</v>
      </c>
      <c r="D13" s="488"/>
      <c r="E13" s="488" t="s">
        <v>532</v>
      </c>
      <c r="F13" s="490">
        <v>1000</v>
      </c>
      <c r="G13" s="410"/>
      <c r="H13" s="409">
        <f t="shared" si="3"/>
        <v>1000</v>
      </c>
      <c r="I13" s="409">
        <f t="shared" si="4"/>
        <v>1000</v>
      </c>
      <c r="J13" s="204"/>
      <c r="M13" s="418"/>
      <c r="N13" s="418"/>
      <c r="O13" s="418"/>
      <c r="P13" s="418"/>
      <c r="Q13" s="418"/>
      <c r="R13" s="418">
        <f t="shared" si="5"/>
        <v>1000</v>
      </c>
      <c r="S13" s="418"/>
    </row>
    <row r="14" spans="1:19" ht="22.25">
      <c r="A14" s="407">
        <v>0</v>
      </c>
      <c r="B14" s="407" t="s">
        <v>505</v>
      </c>
      <c r="C14" s="408" t="s">
        <v>534</v>
      </c>
      <c r="D14" s="407"/>
      <c r="E14" s="408" t="s">
        <v>535</v>
      </c>
      <c r="F14" s="409">
        <v>3.71</v>
      </c>
      <c r="G14" s="410"/>
      <c r="H14" s="409">
        <f t="shared" si="3"/>
        <v>3.71</v>
      </c>
      <c r="I14" s="409">
        <f t="shared" si="4"/>
        <v>0</v>
      </c>
      <c r="J14" s="204"/>
      <c r="M14" s="418"/>
      <c r="N14" s="418"/>
      <c r="O14" s="418"/>
      <c r="P14" s="418"/>
      <c r="Q14" s="418"/>
      <c r="R14" s="418">
        <f t="shared" si="5"/>
        <v>0</v>
      </c>
      <c r="S14" s="418"/>
    </row>
    <row r="15" spans="1:19" ht="22.25">
      <c r="A15" s="407">
        <f>A14</f>
        <v>0</v>
      </c>
      <c r="B15" s="407" t="s">
        <v>505</v>
      </c>
      <c r="C15" s="408" t="s">
        <v>534</v>
      </c>
      <c r="D15" s="407"/>
      <c r="E15" s="408" t="s">
        <v>537</v>
      </c>
      <c r="F15" s="409">
        <v>3.81</v>
      </c>
      <c r="G15" s="410"/>
      <c r="H15" s="409">
        <f t="shared" si="3"/>
        <v>3.81</v>
      </c>
      <c r="I15" s="409">
        <f t="shared" si="4"/>
        <v>0</v>
      </c>
      <c r="J15" s="204"/>
      <c r="M15" s="418"/>
      <c r="N15" s="418"/>
      <c r="O15" s="418"/>
      <c r="P15" s="418"/>
      <c r="Q15" s="418"/>
      <c r="R15" s="418">
        <f t="shared" si="5"/>
        <v>0</v>
      </c>
      <c r="S15" s="418"/>
    </row>
    <row r="16" spans="1:19" ht="44.55">
      <c r="A16" s="413">
        <v>1200</v>
      </c>
      <c r="B16" s="413" t="s">
        <v>539</v>
      </c>
      <c r="C16" s="420" t="s">
        <v>751</v>
      </c>
      <c r="D16" s="413"/>
      <c r="E16" s="420" t="s">
        <v>755</v>
      </c>
      <c r="F16" s="421">
        <f t="shared" ref="F16:F17" si="6">307.26/500</f>
        <v>0.61451999999999996</v>
      </c>
      <c r="G16" s="410"/>
      <c r="H16" s="409">
        <f t="shared" si="3"/>
        <v>0.61451999999999996</v>
      </c>
      <c r="I16" s="409">
        <f t="shared" si="4"/>
        <v>737.42399999999998</v>
      </c>
      <c r="J16" s="491" t="s">
        <v>756</v>
      </c>
      <c r="M16" s="418"/>
      <c r="N16" s="418"/>
      <c r="O16" s="418">
        <f t="shared" ref="O16:O26" si="7">I16</f>
        <v>737.42399999999998</v>
      </c>
      <c r="P16" s="418"/>
      <c r="Q16" s="418"/>
      <c r="R16" s="418"/>
      <c r="S16" s="418"/>
    </row>
    <row r="17" spans="1:19" ht="44.55">
      <c r="A17" s="413">
        <v>2000</v>
      </c>
      <c r="B17" s="413" t="s">
        <v>539</v>
      </c>
      <c r="C17" s="420" t="s">
        <v>751</v>
      </c>
      <c r="D17" s="413"/>
      <c r="E17" s="420" t="s">
        <v>757</v>
      </c>
      <c r="F17" s="421">
        <f t="shared" si="6"/>
        <v>0.61451999999999996</v>
      </c>
      <c r="G17" s="410"/>
      <c r="H17" s="409">
        <f t="shared" si="3"/>
        <v>0.61451999999999996</v>
      </c>
      <c r="I17" s="409">
        <f t="shared" si="4"/>
        <v>1229.04</v>
      </c>
      <c r="J17" s="491" t="s">
        <v>758</v>
      </c>
      <c r="M17" s="418"/>
      <c r="N17" s="418"/>
      <c r="O17" s="418">
        <f t="shared" si="7"/>
        <v>1229.04</v>
      </c>
      <c r="P17" s="418"/>
      <c r="Q17" s="418"/>
      <c r="R17" s="418"/>
      <c r="S17" s="418"/>
    </row>
    <row r="18" spans="1:19" ht="33.4">
      <c r="A18" s="413">
        <v>18</v>
      </c>
      <c r="B18" s="413" t="s">
        <v>517</v>
      </c>
      <c r="C18" s="420" t="s">
        <v>540</v>
      </c>
      <c r="D18" s="413" t="s">
        <v>797</v>
      </c>
      <c r="E18" s="420" t="s">
        <v>798</v>
      </c>
      <c r="F18" s="421">
        <v>0.88</v>
      </c>
      <c r="G18" s="410"/>
      <c r="H18" s="409">
        <f t="shared" si="3"/>
        <v>0.88</v>
      </c>
      <c r="I18" s="409">
        <f t="shared" si="4"/>
        <v>15.84</v>
      </c>
      <c r="J18" s="204"/>
      <c r="M18" s="418"/>
      <c r="N18" s="418"/>
      <c r="O18" s="418">
        <f t="shared" si="7"/>
        <v>15.84</v>
      </c>
      <c r="P18" s="418"/>
      <c r="Q18" s="418"/>
      <c r="R18" s="418"/>
      <c r="S18" s="418"/>
    </row>
    <row r="19" spans="1:19" ht="33.4">
      <c r="A19" s="413">
        <f>A18</f>
        <v>18</v>
      </c>
      <c r="B19" s="413" t="s">
        <v>517</v>
      </c>
      <c r="C19" s="420" t="s">
        <v>540</v>
      </c>
      <c r="D19" s="413" t="s">
        <v>800</v>
      </c>
      <c r="E19" s="420" t="s">
        <v>801</v>
      </c>
      <c r="F19" s="421">
        <v>0.67</v>
      </c>
      <c r="G19" s="410"/>
      <c r="H19" s="409">
        <f t="shared" si="3"/>
        <v>0.67</v>
      </c>
      <c r="I19" s="409">
        <f t="shared" si="4"/>
        <v>12.06</v>
      </c>
      <c r="J19" s="204"/>
      <c r="M19" s="418"/>
      <c r="N19" s="418"/>
      <c r="O19" s="418">
        <f t="shared" si="7"/>
        <v>12.06</v>
      </c>
      <c r="P19" s="418"/>
      <c r="Q19" s="418"/>
      <c r="R19" s="418"/>
      <c r="S19" s="418"/>
    </row>
    <row r="20" spans="1:19">
      <c r="A20" s="488"/>
      <c r="B20" s="488"/>
      <c r="C20" s="489"/>
      <c r="D20" s="488"/>
      <c r="E20" s="489"/>
      <c r="F20" s="490"/>
      <c r="G20" s="410"/>
      <c r="H20" s="409">
        <f t="shared" si="3"/>
        <v>0</v>
      </c>
      <c r="I20" s="409">
        <f t="shared" si="4"/>
        <v>0</v>
      </c>
      <c r="J20" s="204"/>
      <c r="M20" s="418"/>
      <c r="N20" s="418"/>
      <c r="O20" s="418">
        <f t="shared" si="7"/>
        <v>0</v>
      </c>
      <c r="P20" s="418"/>
      <c r="Q20" s="418"/>
      <c r="R20" s="418"/>
      <c r="S20" s="418"/>
    </row>
    <row r="21" spans="1:19" ht="33.4">
      <c r="A21" s="413">
        <v>36</v>
      </c>
      <c r="B21" s="413" t="s">
        <v>517</v>
      </c>
      <c r="C21" s="420" t="s">
        <v>540</v>
      </c>
      <c r="D21" s="413" t="s">
        <v>761</v>
      </c>
      <c r="E21" s="420" t="s">
        <v>762</v>
      </c>
      <c r="F21" s="421">
        <v>2.5</v>
      </c>
      <c r="G21" s="410"/>
      <c r="H21" s="409">
        <f t="shared" si="3"/>
        <v>2.5</v>
      </c>
      <c r="I21" s="409">
        <f t="shared" si="4"/>
        <v>90</v>
      </c>
      <c r="J21" s="204"/>
      <c r="M21" s="418"/>
      <c r="N21" s="418"/>
      <c r="O21" s="418"/>
      <c r="P21" s="418"/>
      <c r="Q21" s="418"/>
      <c r="R21" s="418">
        <f t="shared" si="5"/>
        <v>90</v>
      </c>
      <c r="S21" s="418"/>
    </row>
    <row r="22" spans="1:19" ht="35.85" customHeight="1">
      <c r="A22" s="413">
        <v>1</v>
      </c>
      <c r="B22" s="413" t="s">
        <v>522</v>
      </c>
      <c r="C22" s="420" t="s">
        <v>1223</v>
      </c>
      <c r="D22" s="413"/>
      <c r="E22" s="420" t="s">
        <v>1352</v>
      </c>
      <c r="F22" s="421">
        <v>2576.4499999999998</v>
      </c>
      <c r="G22" s="410"/>
      <c r="H22" s="409">
        <f t="shared" si="3"/>
        <v>2576.4499999999998</v>
      </c>
      <c r="I22" s="409">
        <f t="shared" si="4"/>
        <v>2576.4499999999998</v>
      </c>
      <c r="J22" s="1054"/>
      <c r="K22" s="1054"/>
      <c r="L22" s="1054"/>
      <c r="M22" s="418"/>
      <c r="N22" s="418"/>
      <c r="O22" s="418"/>
      <c r="P22" s="418"/>
      <c r="Q22" s="418"/>
      <c r="R22" s="418">
        <f t="shared" si="5"/>
        <v>2576.4499999999998</v>
      </c>
      <c r="S22" s="418"/>
    </row>
    <row r="23" spans="1:19">
      <c r="A23" s="407"/>
      <c r="B23" s="407"/>
      <c r="C23" s="408"/>
      <c r="D23" s="407"/>
      <c r="E23" s="408"/>
      <c r="F23" s="409"/>
      <c r="G23" s="410"/>
      <c r="H23" s="409">
        <f t="shared" si="3"/>
        <v>0</v>
      </c>
      <c r="I23" s="409">
        <f t="shared" si="4"/>
        <v>0</v>
      </c>
      <c r="J23" s="204"/>
      <c r="M23" s="418"/>
      <c r="N23" s="418"/>
      <c r="O23" s="418"/>
      <c r="P23" s="418"/>
      <c r="Q23" s="418"/>
      <c r="R23" s="418">
        <f t="shared" si="5"/>
        <v>0</v>
      </c>
      <c r="S23" s="418"/>
    </row>
    <row r="24" spans="1:19" ht="22.25">
      <c r="A24" s="407">
        <v>1</v>
      </c>
      <c r="B24" s="407" t="s">
        <v>522</v>
      </c>
      <c r="C24" s="408" t="s">
        <v>531</v>
      </c>
      <c r="D24" s="407"/>
      <c r="E24" s="408" t="s">
        <v>695</v>
      </c>
      <c r="F24" s="409">
        <v>100</v>
      </c>
      <c r="G24" s="410"/>
      <c r="H24" s="409">
        <f t="shared" si="3"/>
        <v>100</v>
      </c>
      <c r="I24" s="409">
        <f t="shared" si="4"/>
        <v>100</v>
      </c>
      <c r="J24" s="204"/>
      <c r="M24" s="418"/>
      <c r="N24" s="418"/>
      <c r="O24" s="418">
        <f t="shared" si="7"/>
        <v>100</v>
      </c>
      <c r="P24" s="418"/>
      <c r="Q24" s="418"/>
      <c r="R24" s="418"/>
      <c r="S24" s="418"/>
    </row>
    <row r="25" spans="1:19" ht="22.25">
      <c r="A25" s="488">
        <v>1</v>
      </c>
      <c r="B25" s="488" t="s">
        <v>517</v>
      </c>
      <c r="C25" s="489" t="s">
        <v>540</v>
      </c>
      <c r="D25" s="488" t="s">
        <v>769</v>
      </c>
      <c r="E25" s="489" t="s">
        <v>567</v>
      </c>
      <c r="F25" s="490">
        <v>750</v>
      </c>
      <c r="G25" s="410"/>
      <c r="H25" s="409">
        <f t="shared" si="3"/>
        <v>750</v>
      </c>
      <c r="I25" s="409">
        <f t="shared" si="4"/>
        <v>750</v>
      </c>
      <c r="J25" s="204"/>
      <c r="M25" s="418">
        <f>F25</f>
        <v>750</v>
      </c>
      <c r="N25" s="418"/>
      <c r="O25" s="418"/>
      <c r="P25" s="418"/>
      <c r="Q25" s="418"/>
      <c r="R25" s="418"/>
      <c r="S25" s="418"/>
    </row>
    <row r="26" spans="1:19" ht="44.55">
      <c r="A26" s="488">
        <v>30</v>
      </c>
      <c r="B26" s="407" t="s">
        <v>539</v>
      </c>
      <c r="C26" s="408" t="s">
        <v>552</v>
      </c>
      <c r="D26" s="407"/>
      <c r="E26" s="407" t="s">
        <v>1057</v>
      </c>
      <c r="F26" s="409">
        <v>26.45</v>
      </c>
      <c r="G26" s="428"/>
      <c r="H26" s="409">
        <f t="shared" si="3"/>
        <v>26.45</v>
      </c>
      <c r="I26" s="409">
        <f t="shared" si="4"/>
        <v>793.5</v>
      </c>
      <c r="J26" s="491" t="s">
        <v>756</v>
      </c>
      <c r="M26" s="418"/>
      <c r="N26" s="418"/>
      <c r="O26" s="418">
        <f t="shared" si="7"/>
        <v>793.5</v>
      </c>
      <c r="P26" s="418"/>
      <c r="Q26" s="418"/>
      <c r="R26" s="418"/>
      <c r="S26" s="418"/>
    </row>
    <row r="27" spans="1:19" ht="44.55">
      <c r="A27" s="407">
        <v>0</v>
      </c>
      <c r="B27" s="407" t="s">
        <v>517</v>
      </c>
      <c r="C27" s="408" t="s">
        <v>569</v>
      </c>
      <c r="D27" s="407" t="s">
        <v>570</v>
      </c>
      <c r="E27" s="408" t="s">
        <v>571</v>
      </c>
      <c r="F27" s="409">
        <v>1040</v>
      </c>
      <c r="G27" s="429">
        <v>0.48</v>
      </c>
      <c r="H27" s="430">
        <f t="shared" si="3"/>
        <v>540.80000000000007</v>
      </c>
      <c r="I27" s="409">
        <f t="shared" si="4"/>
        <v>0</v>
      </c>
      <c r="J27" s="204"/>
      <c r="M27" s="418"/>
      <c r="N27" s="418"/>
      <c r="O27" s="418"/>
      <c r="P27" s="418"/>
      <c r="Q27" s="418"/>
      <c r="R27" s="418"/>
      <c r="S27" s="418">
        <f t="shared" ref="S27:S31" si="8">I27</f>
        <v>0</v>
      </c>
    </row>
    <row r="28" spans="1:19" ht="44.55">
      <c r="A28" s="407">
        <v>1</v>
      </c>
      <c r="B28" s="407" t="s">
        <v>517</v>
      </c>
      <c r="C28" s="492" t="s">
        <v>569</v>
      </c>
      <c r="D28" s="487" t="s">
        <v>572</v>
      </c>
      <c r="E28" s="492" t="s">
        <v>573</v>
      </c>
      <c r="F28" s="430">
        <v>1190</v>
      </c>
      <c r="G28" s="429">
        <v>0.48</v>
      </c>
      <c r="H28" s="430">
        <f t="shared" si="3"/>
        <v>618.80000000000007</v>
      </c>
      <c r="I28" s="409">
        <f t="shared" si="4"/>
        <v>618.80000000000007</v>
      </c>
      <c r="J28" s="204"/>
      <c r="M28" s="418"/>
      <c r="N28" s="418"/>
      <c r="O28" s="418"/>
      <c r="P28" s="418"/>
      <c r="Q28" s="418"/>
      <c r="R28" s="418"/>
      <c r="S28" s="418">
        <f t="shared" si="8"/>
        <v>618.80000000000007</v>
      </c>
    </row>
    <row r="29" spans="1:19">
      <c r="A29" s="407">
        <v>3</v>
      </c>
      <c r="B29" s="407" t="s">
        <v>517</v>
      </c>
      <c r="C29" s="408" t="s">
        <v>574</v>
      </c>
      <c r="D29" s="407" t="s">
        <v>575</v>
      </c>
      <c r="E29" s="407" t="s">
        <v>576</v>
      </c>
      <c r="F29" s="409">
        <v>36.700000000000003</v>
      </c>
      <c r="G29" s="410"/>
      <c r="H29" s="409">
        <f t="shared" si="3"/>
        <v>36.700000000000003</v>
      </c>
      <c r="I29" s="409">
        <f t="shared" si="4"/>
        <v>110.10000000000001</v>
      </c>
      <c r="J29" s="204"/>
      <c r="M29" s="418"/>
      <c r="N29" s="418"/>
      <c r="O29" s="418"/>
      <c r="P29" s="418"/>
      <c r="Q29" s="418"/>
      <c r="R29" s="418"/>
      <c r="S29" s="418">
        <f t="shared" si="8"/>
        <v>110.10000000000001</v>
      </c>
    </row>
    <row r="30" spans="1:19">
      <c r="A30" s="407">
        <v>5</v>
      </c>
      <c r="B30" s="407" t="s">
        <v>517</v>
      </c>
      <c r="C30" s="408" t="s">
        <v>574</v>
      </c>
      <c r="D30" s="407" t="s">
        <v>577</v>
      </c>
      <c r="E30" s="407" t="s">
        <v>578</v>
      </c>
      <c r="F30" s="409">
        <v>75</v>
      </c>
      <c r="G30" s="410"/>
      <c r="H30" s="409">
        <f t="shared" si="3"/>
        <v>75</v>
      </c>
      <c r="I30" s="409">
        <f t="shared" si="4"/>
        <v>375</v>
      </c>
      <c r="J30" s="204"/>
      <c r="M30" s="418"/>
      <c r="N30" s="418"/>
      <c r="O30" s="418"/>
      <c r="P30" s="418"/>
      <c r="Q30" s="418"/>
      <c r="R30" s="418"/>
      <c r="S30" s="418">
        <f t="shared" si="8"/>
        <v>375</v>
      </c>
    </row>
    <row r="31" spans="1:19">
      <c r="A31" s="407">
        <v>1</v>
      </c>
      <c r="B31" s="407" t="s">
        <v>517</v>
      </c>
      <c r="C31" s="408" t="s">
        <v>574</v>
      </c>
      <c r="D31" s="407"/>
      <c r="E31" s="407" t="s">
        <v>579</v>
      </c>
      <c r="F31" s="409">
        <f>35/4</f>
        <v>8.75</v>
      </c>
      <c r="G31" s="410"/>
      <c r="H31" s="409">
        <f t="shared" si="3"/>
        <v>8.75</v>
      </c>
      <c r="I31" s="409">
        <f t="shared" si="4"/>
        <v>8.75</v>
      </c>
      <c r="J31" s="204"/>
      <c r="M31" s="418"/>
      <c r="N31" s="418"/>
      <c r="O31" s="418"/>
      <c r="P31" s="418"/>
      <c r="Q31" s="418"/>
      <c r="R31" s="418"/>
      <c r="S31" s="418">
        <f t="shared" si="8"/>
        <v>8.75</v>
      </c>
    </row>
    <row r="32" spans="1:19" ht="12.45">
      <c r="A32" s="407"/>
      <c r="B32" s="407"/>
      <c r="C32" s="408"/>
      <c r="D32" s="407"/>
      <c r="E32" s="431"/>
      <c r="F32" s="409"/>
      <c r="G32" s="410"/>
      <c r="H32" s="409"/>
      <c r="I32" s="409"/>
      <c r="J32" s="204"/>
      <c r="M32" s="418"/>
      <c r="N32" s="418"/>
      <c r="O32" s="418"/>
      <c r="P32" s="418"/>
      <c r="Q32" s="418"/>
      <c r="R32" s="418"/>
      <c r="S32" s="418"/>
    </row>
    <row r="33" spans="1:19">
      <c r="A33" s="407"/>
      <c r="B33" s="407"/>
      <c r="C33" s="408"/>
      <c r="D33" s="407"/>
      <c r="E33" s="407"/>
      <c r="F33" s="409"/>
      <c r="G33" s="410"/>
      <c r="H33" s="409"/>
      <c r="I33" s="409"/>
      <c r="J33" s="204"/>
      <c r="M33" s="418"/>
      <c r="N33" s="418"/>
      <c r="O33" s="418"/>
      <c r="P33" s="418"/>
      <c r="Q33" s="418"/>
      <c r="R33" s="418"/>
      <c r="S33" s="418"/>
    </row>
    <row r="34" spans="1:19">
      <c r="A34" s="407"/>
      <c r="B34" s="407"/>
      <c r="C34" s="408"/>
      <c r="D34" s="407"/>
      <c r="E34" s="432" t="s">
        <v>580</v>
      </c>
      <c r="F34" s="409"/>
      <c r="G34" s="410"/>
      <c r="H34" s="409"/>
      <c r="I34" s="421">
        <f>SUM(I4:I32)</f>
        <v>89224.209999999992</v>
      </c>
      <c r="J34" s="204"/>
      <c r="M34" s="418">
        <f>SUM(M4:M32)</f>
        <v>62943.645999999993</v>
      </c>
      <c r="N34" s="418">
        <f>SUM(N4:N32)</f>
        <v>14958</v>
      </c>
      <c r="O34" s="418">
        <f>SUM(O4:O32)</f>
        <v>2887.8639999999996</v>
      </c>
      <c r="P34" s="418"/>
      <c r="Q34" s="418"/>
      <c r="R34" s="418">
        <f>SUM(R4:R32)</f>
        <v>7322.05</v>
      </c>
      <c r="S34" s="418">
        <f>SUM(S4:S32)</f>
        <v>1112.6500000000001</v>
      </c>
    </row>
    <row r="35" spans="1:19">
      <c r="A35" s="407"/>
      <c r="B35" s="407"/>
      <c r="C35" s="408"/>
      <c r="D35" s="407"/>
      <c r="E35" s="413" t="s">
        <v>581</v>
      </c>
      <c r="F35" s="409"/>
      <c r="G35" s="410">
        <v>0.25</v>
      </c>
      <c r="H35" s="409"/>
      <c r="I35" s="421"/>
      <c r="J35" s="204"/>
      <c r="M35" s="418"/>
      <c r="N35" s="418"/>
      <c r="O35" s="418"/>
      <c r="P35" s="418"/>
      <c r="Q35" s="418"/>
      <c r="R35" s="418"/>
      <c r="S35" s="418"/>
    </row>
    <row r="36" spans="1:19" ht="15.75">
      <c r="E36" s="433" t="s">
        <v>582</v>
      </c>
      <c r="F36" s="418"/>
      <c r="G36" s="434"/>
      <c r="H36" s="418"/>
      <c r="I36" s="435">
        <f>I34*(1+$G$35)</f>
        <v>111530.26249999998</v>
      </c>
      <c r="J36" s="436"/>
      <c r="K36" s="437"/>
      <c r="L36" s="437"/>
      <c r="M36" s="438">
        <f>M34*(1+$G$35)</f>
        <v>78679.557499999995</v>
      </c>
      <c r="N36" s="438">
        <f>N34*(1+$G$35)</f>
        <v>18697.5</v>
      </c>
      <c r="O36" s="438">
        <f>O34*(1+$G$35)</f>
        <v>3609.8299999999995</v>
      </c>
      <c r="P36" s="438">
        <f>P65</f>
        <v>15520</v>
      </c>
      <c r="Q36" s="438">
        <f>Q125</f>
        <v>37794.339999999997</v>
      </c>
      <c r="R36" s="438">
        <f>R34*(1+$G$35)</f>
        <v>9152.5625</v>
      </c>
      <c r="S36" s="438">
        <f>S34*(1+$G$35)</f>
        <v>1390.8125</v>
      </c>
    </row>
    <row r="39" spans="1:19">
      <c r="E39" s="439" t="s">
        <v>585</v>
      </c>
    </row>
    <row r="40" spans="1:19">
      <c r="A40" s="441">
        <v>16</v>
      </c>
      <c r="B40" s="17" t="s">
        <v>619</v>
      </c>
      <c r="E40" s="17" t="s">
        <v>586</v>
      </c>
      <c r="F40" s="403">
        <f t="shared" ref="F40:F56" si="9">F$60</f>
        <v>55</v>
      </c>
      <c r="H40" s="403">
        <f t="shared" si="3"/>
        <v>55</v>
      </c>
      <c r="I40" s="403">
        <f t="shared" ref="I40:I62" si="10">A40*H40</f>
        <v>880</v>
      </c>
    </row>
    <row r="41" spans="1:19">
      <c r="A41" s="441">
        <f>A6/120*8*2</f>
        <v>51.6</v>
      </c>
      <c r="B41" s="17" t="s">
        <v>619</v>
      </c>
      <c r="E41" s="17" t="s">
        <v>589</v>
      </c>
      <c r="F41" s="403">
        <f t="shared" si="9"/>
        <v>55</v>
      </c>
      <c r="H41" s="403">
        <f t="shared" si="3"/>
        <v>55</v>
      </c>
      <c r="I41" s="403">
        <f t="shared" si="10"/>
        <v>2838</v>
      </c>
      <c r="J41" s="17" t="s">
        <v>592</v>
      </c>
    </row>
    <row r="42" spans="1:19">
      <c r="A42" s="441">
        <f>18*(10+20)/60</f>
        <v>9</v>
      </c>
      <c r="B42" s="17" t="s">
        <v>619</v>
      </c>
      <c r="E42" s="17" t="s">
        <v>1426</v>
      </c>
      <c r="F42" s="403">
        <f t="shared" si="9"/>
        <v>55</v>
      </c>
      <c r="H42" s="403">
        <f t="shared" si="3"/>
        <v>55</v>
      </c>
      <c r="I42" s="403">
        <f t="shared" si="10"/>
        <v>495</v>
      </c>
      <c r="J42" s="17" t="s">
        <v>1494</v>
      </c>
    </row>
    <row r="43" spans="1:19">
      <c r="A43" s="441">
        <f>A6/120*16*2</f>
        <v>103.2</v>
      </c>
      <c r="B43" s="17" t="s">
        <v>619</v>
      </c>
      <c r="E43" s="17" t="s">
        <v>591</v>
      </c>
      <c r="F43" s="403">
        <f t="shared" si="9"/>
        <v>55</v>
      </c>
      <c r="H43" s="403">
        <f t="shared" si="3"/>
        <v>55</v>
      </c>
      <c r="I43" s="403">
        <f t="shared" si="10"/>
        <v>5676</v>
      </c>
      <c r="J43" s="17" t="s">
        <v>592</v>
      </c>
    </row>
    <row r="44" spans="1:19">
      <c r="A44" s="441">
        <v>0</v>
      </c>
      <c r="B44" s="17" t="s">
        <v>619</v>
      </c>
      <c r="E44" s="17" t="s">
        <v>1428</v>
      </c>
      <c r="F44" s="403">
        <f t="shared" si="9"/>
        <v>55</v>
      </c>
      <c r="H44" s="403">
        <f t="shared" si="3"/>
        <v>55</v>
      </c>
      <c r="I44" s="403">
        <f t="shared" si="10"/>
        <v>0</v>
      </c>
    </row>
    <row r="45" spans="1:19">
      <c r="A45" s="441">
        <v>4</v>
      </c>
      <c r="B45" s="17" t="s">
        <v>619</v>
      </c>
      <c r="E45" s="17" t="s">
        <v>1429</v>
      </c>
      <c r="F45" s="403">
        <f t="shared" si="9"/>
        <v>55</v>
      </c>
      <c r="H45" s="403">
        <f t="shared" si="3"/>
        <v>55</v>
      </c>
      <c r="I45" s="403">
        <f t="shared" si="10"/>
        <v>220</v>
      </c>
    </row>
    <row r="46" spans="1:19">
      <c r="A46" s="747">
        <f>(36*2+14*10)/60</f>
        <v>3.5333333333333332</v>
      </c>
      <c r="B46" s="17" t="s">
        <v>619</v>
      </c>
      <c r="E46" s="17" t="s">
        <v>605</v>
      </c>
      <c r="F46" s="403">
        <f t="shared" si="9"/>
        <v>55</v>
      </c>
      <c r="H46" s="403">
        <f t="shared" si="3"/>
        <v>55</v>
      </c>
      <c r="I46" s="403">
        <f t="shared" si="10"/>
        <v>194.33333333333331</v>
      </c>
      <c r="J46" s="17" t="s">
        <v>1495</v>
      </c>
    </row>
    <row r="47" spans="1:19">
      <c r="A47" s="441">
        <f>2*4</f>
        <v>8</v>
      </c>
      <c r="B47" s="17" t="s">
        <v>619</v>
      </c>
      <c r="E47" s="17" t="s">
        <v>607</v>
      </c>
      <c r="F47" s="403">
        <f t="shared" si="9"/>
        <v>55</v>
      </c>
      <c r="H47" s="403">
        <f t="shared" si="3"/>
        <v>55</v>
      </c>
      <c r="I47" s="403">
        <f t="shared" si="10"/>
        <v>440</v>
      </c>
      <c r="J47" s="17" t="s">
        <v>1496</v>
      </c>
    </row>
    <row r="48" spans="1:19">
      <c r="A48" s="441">
        <v>1</v>
      </c>
      <c r="B48" s="17" t="s">
        <v>619</v>
      </c>
      <c r="E48" s="17" t="s">
        <v>609</v>
      </c>
      <c r="F48" s="403">
        <f t="shared" si="9"/>
        <v>55</v>
      </c>
      <c r="H48" s="403">
        <f t="shared" si="3"/>
        <v>55</v>
      </c>
      <c r="I48" s="403">
        <f t="shared" si="10"/>
        <v>55</v>
      </c>
    </row>
    <row r="49" spans="1:10">
      <c r="A49" s="441">
        <v>16</v>
      </c>
      <c r="B49" s="17" t="s">
        <v>619</v>
      </c>
      <c r="E49" s="17" t="s">
        <v>610</v>
      </c>
      <c r="F49" s="403">
        <f t="shared" si="9"/>
        <v>55</v>
      </c>
      <c r="H49" s="403">
        <f t="shared" si="3"/>
        <v>55</v>
      </c>
      <c r="I49" s="403">
        <f t="shared" si="10"/>
        <v>880</v>
      </c>
    </row>
    <row r="50" spans="1:10">
      <c r="A50" s="441">
        <v>2</v>
      </c>
      <c r="B50" s="17" t="s">
        <v>619</v>
      </c>
      <c r="E50" s="17" t="s">
        <v>611</v>
      </c>
      <c r="F50" s="403">
        <f t="shared" si="9"/>
        <v>55</v>
      </c>
      <c r="H50" s="403">
        <f t="shared" si="3"/>
        <v>55</v>
      </c>
      <c r="I50" s="403">
        <f t="shared" si="10"/>
        <v>110</v>
      </c>
    </row>
    <row r="51" spans="1:10">
      <c r="A51" s="441">
        <v>1</v>
      </c>
      <c r="B51" s="17" t="s">
        <v>619</v>
      </c>
      <c r="E51" s="17" t="s">
        <v>1431</v>
      </c>
      <c r="F51" s="403">
        <f t="shared" si="9"/>
        <v>55</v>
      </c>
      <c r="H51" s="403">
        <f t="shared" si="3"/>
        <v>55</v>
      </c>
      <c r="I51" s="403">
        <f t="shared" si="10"/>
        <v>55</v>
      </c>
    </row>
    <row r="52" spans="1:10">
      <c r="A52" s="441">
        <f>3*2</f>
        <v>6</v>
      </c>
      <c r="B52" s="17" t="s">
        <v>619</v>
      </c>
      <c r="E52" s="17" t="s">
        <v>612</v>
      </c>
      <c r="F52" s="403">
        <f t="shared" si="9"/>
        <v>55</v>
      </c>
      <c r="H52" s="403">
        <f t="shared" si="3"/>
        <v>55</v>
      </c>
      <c r="I52" s="403">
        <f t="shared" si="10"/>
        <v>330</v>
      </c>
    </row>
    <row r="53" spans="1:10">
      <c r="A53" s="441">
        <f>A40</f>
        <v>16</v>
      </c>
      <c r="B53" s="17" t="s">
        <v>619</v>
      </c>
      <c r="E53" s="17" t="s">
        <v>614</v>
      </c>
      <c r="F53" s="403">
        <f t="shared" si="9"/>
        <v>55</v>
      </c>
      <c r="H53" s="403">
        <f t="shared" si="3"/>
        <v>55</v>
      </c>
      <c r="I53" s="403">
        <f t="shared" si="10"/>
        <v>880</v>
      </c>
    </row>
    <row r="54" spans="1:10">
      <c r="A54" s="441">
        <v>4</v>
      </c>
      <c r="B54" s="17" t="s">
        <v>619</v>
      </c>
      <c r="E54" s="17" t="s">
        <v>615</v>
      </c>
      <c r="F54" s="403">
        <f t="shared" si="9"/>
        <v>55</v>
      </c>
      <c r="H54" s="403">
        <f t="shared" si="3"/>
        <v>55</v>
      </c>
      <c r="I54" s="403">
        <f t="shared" si="10"/>
        <v>220</v>
      </c>
    </row>
    <row r="55" spans="1:10">
      <c r="A55" s="441">
        <v>4</v>
      </c>
      <c r="B55" s="17" t="s">
        <v>619</v>
      </c>
      <c r="E55" s="17" t="s">
        <v>616</v>
      </c>
      <c r="F55" s="403">
        <f t="shared" si="9"/>
        <v>55</v>
      </c>
      <c r="H55" s="403">
        <f t="shared" si="3"/>
        <v>55</v>
      </c>
      <c r="I55" s="403">
        <f t="shared" si="10"/>
        <v>220</v>
      </c>
    </row>
    <row r="56" spans="1:10">
      <c r="A56" s="745">
        <f>30*0.25</f>
        <v>7.5</v>
      </c>
      <c r="B56" s="442" t="s">
        <v>619</v>
      </c>
      <c r="C56" s="446"/>
      <c r="D56" s="442"/>
      <c r="E56" s="17" t="s">
        <v>617</v>
      </c>
      <c r="F56" s="443">
        <f t="shared" si="9"/>
        <v>55</v>
      </c>
      <c r="G56" s="444"/>
      <c r="H56" s="443">
        <f t="shared" si="3"/>
        <v>55</v>
      </c>
      <c r="I56" s="443">
        <f t="shared" si="10"/>
        <v>412.5</v>
      </c>
      <c r="J56" s="17" t="s">
        <v>618</v>
      </c>
    </row>
    <row r="58" spans="1:10">
      <c r="A58" s="17">
        <f>SUM(A40:A57)</f>
        <v>252.83333333333334</v>
      </c>
      <c r="B58" s="17" t="s">
        <v>619</v>
      </c>
      <c r="E58" s="17" t="s">
        <v>620</v>
      </c>
    </row>
    <row r="59" spans="1:10">
      <c r="A59" s="441">
        <v>3</v>
      </c>
      <c r="B59" s="17" t="s">
        <v>517</v>
      </c>
      <c r="E59" s="17" t="s">
        <v>621</v>
      </c>
    </row>
    <row r="60" spans="1:10">
      <c r="A60" s="17">
        <v>1</v>
      </c>
      <c r="B60" s="17" t="s">
        <v>517</v>
      </c>
      <c r="E60" s="17" t="s">
        <v>622</v>
      </c>
      <c r="F60" s="445">
        <v>55</v>
      </c>
      <c r="H60" s="403">
        <f t="shared" si="3"/>
        <v>55</v>
      </c>
      <c r="I60" s="403">
        <f t="shared" si="10"/>
        <v>55</v>
      </c>
      <c r="J60" s="17" t="s">
        <v>623</v>
      </c>
    </row>
    <row r="61" spans="1:10">
      <c r="A61" s="17">
        <f>ROUNDUP(A58/8/A59,0)</f>
        <v>11</v>
      </c>
      <c r="B61" s="17" t="s">
        <v>624</v>
      </c>
      <c r="E61" s="17" t="s">
        <v>625</v>
      </c>
      <c r="F61" s="403">
        <f>A59*8*F60</f>
        <v>1320</v>
      </c>
      <c r="H61" s="403">
        <f t="shared" si="3"/>
        <v>1320</v>
      </c>
      <c r="I61" s="403">
        <f t="shared" si="10"/>
        <v>14520</v>
      </c>
    </row>
    <row r="62" spans="1:10">
      <c r="A62" s="441">
        <v>1</v>
      </c>
      <c r="B62" s="442" t="s">
        <v>517</v>
      </c>
      <c r="C62" s="446"/>
      <c r="D62" s="442"/>
      <c r="E62" s="442" t="s">
        <v>626</v>
      </c>
      <c r="F62" s="447">
        <v>500</v>
      </c>
      <c r="G62" s="444"/>
      <c r="H62" s="403">
        <v>1000</v>
      </c>
      <c r="I62" s="403">
        <f t="shared" si="10"/>
        <v>1000</v>
      </c>
      <c r="J62" s="17" t="s">
        <v>627</v>
      </c>
    </row>
    <row r="63" spans="1:10">
      <c r="A63" s="441"/>
      <c r="F63" s="447"/>
      <c r="H63" s="403"/>
      <c r="I63" s="403"/>
    </row>
    <row r="64" spans="1:10">
      <c r="A64" s="441"/>
      <c r="F64" s="447"/>
      <c r="H64" s="403"/>
      <c r="I64" s="403"/>
    </row>
    <row r="65" spans="1:16" ht="15.75">
      <c r="E65" s="439" t="s">
        <v>628</v>
      </c>
      <c r="I65" s="443">
        <f>SUM(I61:I64)</f>
        <v>15520</v>
      </c>
      <c r="P65" s="438">
        <f>I65</f>
        <v>15520</v>
      </c>
    </row>
    <row r="74" spans="1:16" ht="55">
      <c r="C74" s="448" t="s">
        <v>629</v>
      </c>
      <c r="D74" s="448"/>
      <c r="E74" s="449" t="s">
        <v>630</v>
      </c>
    </row>
    <row r="75" spans="1:16">
      <c r="D75" s="448"/>
      <c r="E75" s="449" t="s">
        <v>631</v>
      </c>
    </row>
    <row r="76" spans="1:16">
      <c r="D76" s="17" t="s">
        <v>632</v>
      </c>
      <c r="E76" s="450" t="s">
        <v>633</v>
      </c>
      <c r="G76" s="451">
        <v>0.4</v>
      </c>
    </row>
    <row r="77" spans="1:16">
      <c r="D77" s="17" t="s">
        <v>517</v>
      </c>
      <c r="E77" s="450" t="s">
        <v>634</v>
      </c>
      <c r="G77" s="451">
        <f>G76</f>
        <v>0.4</v>
      </c>
    </row>
    <row r="78" spans="1:16">
      <c r="D78" s="448"/>
      <c r="E78" s="449"/>
    </row>
    <row r="79" spans="1:16">
      <c r="E79" s="449" t="s">
        <v>635</v>
      </c>
    </row>
    <row r="80" spans="1:16" ht="24.9">
      <c r="A80" s="452">
        <v>0</v>
      </c>
      <c r="B80" s="453" t="s">
        <v>517</v>
      </c>
      <c r="C80" s="454" t="s">
        <v>538</v>
      </c>
      <c r="D80" s="455" t="s">
        <v>636</v>
      </c>
      <c r="E80" s="453" t="s">
        <v>637</v>
      </c>
      <c r="F80" s="456">
        <v>1849</v>
      </c>
      <c r="G80" s="457"/>
      <c r="H80" s="458">
        <f>F80*(1-$G$77)</f>
        <v>1109.3999999999999</v>
      </c>
      <c r="I80" s="458">
        <f t="shared" ref="I80:I98" si="11">A80*H80</f>
        <v>0</v>
      </c>
      <c r="J80" s="459" t="s">
        <v>638</v>
      </c>
      <c r="K80" s="460" t="s">
        <v>639</v>
      </c>
    </row>
    <row r="81" spans="1:12" ht="12.8" customHeight="1">
      <c r="A81" s="461">
        <v>0</v>
      </c>
      <c r="B81" s="453" t="s">
        <v>517</v>
      </c>
      <c r="C81" s="453" t="s">
        <v>538</v>
      </c>
      <c r="D81" s="462" t="s">
        <v>640</v>
      </c>
      <c r="E81" s="453" t="s">
        <v>641</v>
      </c>
      <c r="F81" s="463">
        <v>1949</v>
      </c>
      <c r="G81" s="457"/>
      <c r="H81" s="458">
        <f t="shared" ref="H81:H95" si="12">F81*(1-$G$76)</f>
        <v>1169.3999999999999</v>
      </c>
      <c r="I81" s="458">
        <f t="shared" si="11"/>
        <v>0</v>
      </c>
      <c r="J81" s="459" t="s">
        <v>638</v>
      </c>
      <c r="K81" s="1051" t="s">
        <v>642</v>
      </c>
    </row>
    <row r="82" spans="1:12" ht="24.9">
      <c r="A82" s="452">
        <v>0</v>
      </c>
      <c r="B82" s="453" t="s">
        <v>539</v>
      </c>
      <c r="C82" s="453" t="s">
        <v>538</v>
      </c>
      <c r="D82" s="462" t="s">
        <v>643</v>
      </c>
      <c r="E82" s="453" t="s">
        <v>641</v>
      </c>
      <c r="F82" s="463">
        <v>80</v>
      </c>
      <c r="G82" s="457"/>
      <c r="H82" s="458">
        <f t="shared" si="12"/>
        <v>48</v>
      </c>
      <c r="I82" s="458">
        <f t="shared" si="11"/>
        <v>0</v>
      </c>
      <c r="J82" s="459" t="s">
        <v>638</v>
      </c>
      <c r="K82" s="1051"/>
    </row>
    <row r="83" spans="1:12" ht="12.8" customHeight="1">
      <c r="A83" s="461">
        <v>0</v>
      </c>
      <c r="B83" s="453" t="s">
        <v>517</v>
      </c>
      <c r="C83" s="453" t="s">
        <v>538</v>
      </c>
      <c r="D83" s="464" t="s">
        <v>644</v>
      </c>
      <c r="E83" s="453" t="s">
        <v>645</v>
      </c>
      <c r="F83" s="463">
        <v>10051</v>
      </c>
      <c r="G83" s="457"/>
      <c r="H83" s="458">
        <f t="shared" si="12"/>
        <v>6030.5999999999995</v>
      </c>
      <c r="I83" s="458">
        <f t="shared" si="11"/>
        <v>0</v>
      </c>
      <c r="J83" s="459" t="s">
        <v>638</v>
      </c>
      <c r="K83" s="1052" t="s">
        <v>646</v>
      </c>
    </row>
    <row r="84" spans="1:12" ht="24.9">
      <c r="A84" s="461">
        <v>0</v>
      </c>
      <c r="B84" s="453" t="s">
        <v>517</v>
      </c>
      <c r="C84" s="453" t="s">
        <v>538</v>
      </c>
      <c r="D84" s="464" t="s">
        <v>644</v>
      </c>
      <c r="E84" s="453" t="s">
        <v>647</v>
      </c>
      <c r="F84" s="463">
        <v>17412</v>
      </c>
      <c r="G84" s="457"/>
      <c r="H84" s="458">
        <f t="shared" si="12"/>
        <v>10447.199999999999</v>
      </c>
      <c r="I84" s="458">
        <f t="shared" si="11"/>
        <v>0</v>
      </c>
      <c r="J84" s="459" t="s">
        <v>638</v>
      </c>
      <c r="K84" s="1052"/>
    </row>
    <row r="85" spans="1:12" ht="12.8" customHeight="1">
      <c r="A85" s="461">
        <v>0</v>
      </c>
      <c r="B85" s="453" t="s">
        <v>517</v>
      </c>
      <c r="C85" s="453" t="s">
        <v>538</v>
      </c>
      <c r="D85" s="465" t="s">
        <v>644</v>
      </c>
      <c r="E85" s="453" t="s">
        <v>648</v>
      </c>
      <c r="F85" s="466">
        <v>2345</v>
      </c>
      <c r="G85" s="457"/>
      <c r="H85" s="458">
        <f t="shared" si="12"/>
        <v>1407</v>
      </c>
      <c r="I85" s="458">
        <f t="shared" si="11"/>
        <v>0</v>
      </c>
      <c r="J85" s="453" t="s">
        <v>649</v>
      </c>
      <c r="K85" s="1049" t="s">
        <v>650</v>
      </c>
    </row>
    <row r="86" spans="1:12" ht="24.9">
      <c r="A86" s="461">
        <v>0</v>
      </c>
      <c r="B86" s="453" t="s">
        <v>517</v>
      </c>
      <c r="C86" s="453" t="s">
        <v>538</v>
      </c>
      <c r="D86" s="465" t="s">
        <v>644</v>
      </c>
      <c r="E86" s="453" t="s">
        <v>651</v>
      </c>
      <c r="F86" s="466">
        <v>3258</v>
      </c>
      <c r="G86" s="457"/>
      <c r="H86" s="458">
        <f t="shared" si="12"/>
        <v>1954.8</v>
      </c>
      <c r="I86" s="458">
        <f t="shared" si="11"/>
        <v>0</v>
      </c>
      <c r="J86" s="453" t="s">
        <v>649</v>
      </c>
      <c r="K86" s="1049"/>
    </row>
    <row r="87" spans="1:12" ht="24.9">
      <c r="A87" s="461">
        <v>0</v>
      </c>
      <c r="B87" s="453" t="s">
        <v>517</v>
      </c>
      <c r="C87" s="453" t="s">
        <v>538</v>
      </c>
      <c r="D87" s="465" t="s">
        <v>644</v>
      </c>
      <c r="E87" s="453" t="s">
        <v>652</v>
      </c>
      <c r="F87" s="463">
        <v>5649</v>
      </c>
      <c r="G87" s="457"/>
      <c r="H87" s="458">
        <f t="shared" si="12"/>
        <v>3389.4</v>
      </c>
      <c r="I87" s="458">
        <f t="shared" si="11"/>
        <v>0</v>
      </c>
      <c r="J87" s="453" t="s">
        <v>649</v>
      </c>
      <c r="K87" s="1049"/>
    </row>
    <row r="88" spans="1:12" ht="24.9">
      <c r="A88" s="461">
        <v>0</v>
      </c>
      <c r="B88" s="453" t="s">
        <v>517</v>
      </c>
      <c r="C88" s="453" t="s">
        <v>538</v>
      </c>
      <c r="D88" s="465" t="s">
        <v>644</v>
      </c>
      <c r="E88" s="453" t="s">
        <v>653</v>
      </c>
      <c r="F88" s="463">
        <v>1488</v>
      </c>
      <c r="G88" s="457"/>
      <c r="H88" s="458">
        <f t="shared" si="12"/>
        <v>892.8</v>
      </c>
      <c r="I88" s="458">
        <f t="shared" si="11"/>
        <v>0</v>
      </c>
      <c r="J88" s="453" t="s">
        <v>649</v>
      </c>
      <c r="K88" s="1049"/>
    </row>
    <row r="89" spans="1:12" ht="24.9">
      <c r="A89" s="461">
        <v>0</v>
      </c>
      <c r="B89" s="453" t="s">
        <v>517</v>
      </c>
      <c r="C89" s="453" t="s">
        <v>538</v>
      </c>
      <c r="D89" s="465" t="s">
        <v>644</v>
      </c>
      <c r="E89" s="453" t="s">
        <v>654</v>
      </c>
      <c r="F89" s="463">
        <v>5269</v>
      </c>
      <c r="G89" s="457"/>
      <c r="H89" s="458">
        <f t="shared" si="12"/>
        <v>3161.4</v>
      </c>
      <c r="I89" s="458">
        <f t="shared" si="11"/>
        <v>0</v>
      </c>
      <c r="J89" s="453" t="s">
        <v>649</v>
      </c>
      <c r="K89" s="1049"/>
    </row>
    <row r="90" spans="1:12" ht="24.9">
      <c r="A90" s="461">
        <v>0</v>
      </c>
      <c r="B90" s="453" t="s">
        <v>517</v>
      </c>
      <c r="C90" s="453" t="s">
        <v>538</v>
      </c>
      <c r="D90" s="465" t="s">
        <v>644</v>
      </c>
      <c r="E90" s="453" t="s">
        <v>655</v>
      </c>
      <c r="F90" s="463">
        <v>3078</v>
      </c>
      <c r="G90" s="457"/>
      <c r="H90" s="458">
        <f t="shared" si="12"/>
        <v>1846.8</v>
      </c>
      <c r="I90" s="458">
        <f t="shared" si="11"/>
        <v>0</v>
      </c>
      <c r="J90" s="453" t="s">
        <v>649</v>
      </c>
      <c r="K90" s="1049"/>
    </row>
    <row r="91" spans="1:12" ht="24.9">
      <c r="A91" s="461">
        <v>0</v>
      </c>
      <c r="B91" s="453" t="s">
        <v>517</v>
      </c>
      <c r="C91" s="453" t="s">
        <v>538</v>
      </c>
      <c r="D91" s="465" t="s">
        <v>644</v>
      </c>
      <c r="E91" s="453" t="s">
        <v>656</v>
      </c>
      <c r="F91" s="463">
        <v>3489</v>
      </c>
      <c r="G91" s="457"/>
      <c r="H91" s="458">
        <f t="shared" si="12"/>
        <v>2093.4</v>
      </c>
      <c r="I91" s="458">
        <f t="shared" si="11"/>
        <v>0</v>
      </c>
      <c r="J91" s="453" t="s">
        <v>649</v>
      </c>
      <c r="K91" s="1049"/>
    </row>
    <row r="92" spans="1:12" ht="24.9">
      <c r="A92" s="461">
        <v>0</v>
      </c>
      <c r="B92" s="453" t="s">
        <v>517</v>
      </c>
      <c r="C92" s="453" t="s">
        <v>538</v>
      </c>
      <c r="D92" s="465" t="s">
        <v>644</v>
      </c>
      <c r="E92" s="453" t="s">
        <v>657</v>
      </c>
      <c r="F92" s="467" t="s">
        <v>658</v>
      </c>
      <c r="G92" s="457"/>
      <c r="H92" s="468"/>
      <c r="I92" s="468"/>
      <c r="J92" s="453" t="s">
        <v>649</v>
      </c>
      <c r="K92" s="1049"/>
    </row>
    <row r="93" spans="1:12" ht="24.9">
      <c r="A93" s="461">
        <v>0</v>
      </c>
      <c r="B93" s="453" t="s">
        <v>517</v>
      </c>
      <c r="C93" s="453" t="s">
        <v>538</v>
      </c>
      <c r="D93" s="465" t="s">
        <v>644</v>
      </c>
      <c r="E93" s="453" t="s">
        <v>659</v>
      </c>
      <c r="F93" s="463">
        <v>7456</v>
      </c>
      <c r="G93" s="457"/>
      <c r="H93" s="458">
        <f t="shared" si="12"/>
        <v>4473.5999999999995</v>
      </c>
      <c r="I93" s="458">
        <f t="shared" si="11"/>
        <v>0</v>
      </c>
      <c r="J93" s="453" t="s">
        <v>649</v>
      </c>
      <c r="K93" s="1049"/>
    </row>
    <row r="94" spans="1:12" ht="24.9">
      <c r="A94" s="461">
        <v>0</v>
      </c>
      <c r="B94" s="453" t="s">
        <v>517</v>
      </c>
      <c r="C94" s="453" t="s">
        <v>538</v>
      </c>
      <c r="D94" s="465" t="s">
        <v>644</v>
      </c>
      <c r="E94" s="453" t="s">
        <v>660</v>
      </c>
      <c r="F94" s="463">
        <v>8494</v>
      </c>
      <c r="G94" s="457"/>
      <c r="H94" s="458">
        <f t="shared" si="12"/>
        <v>5096.3999999999996</v>
      </c>
      <c r="I94" s="458">
        <f t="shared" si="11"/>
        <v>0</v>
      </c>
      <c r="J94" s="453" t="s">
        <v>649</v>
      </c>
      <c r="K94" s="1049"/>
    </row>
    <row r="95" spans="1:12" ht="24.9">
      <c r="A95" s="461">
        <v>0</v>
      </c>
      <c r="B95" s="453" t="s">
        <v>517</v>
      </c>
      <c r="C95" s="453" t="s">
        <v>538</v>
      </c>
      <c r="D95" s="465" t="s">
        <v>644</v>
      </c>
      <c r="E95" s="453" t="s">
        <v>661</v>
      </c>
      <c r="F95" s="463">
        <v>9434</v>
      </c>
      <c r="G95" s="457"/>
      <c r="H95" s="458">
        <f t="shared" si="12"/>
        <v>5660.4</v>
      </c>
      <c r="I95" s="458">
        <f t="shared" si="11"/>
        <v>0</v>
      </c>
      <c r="J95" s="453" t="s">
        <v>649</v>
      </c>
      <c r="K95" s="1049"/>
      <c r="L95" s="204"/>
    </row>
    <row r="96" spans="1:12">
      <c r="A96" s="469"/>
      <c r="B96" s="427"/>
      <c r="C96" s="427"/>
      <c r="D96" s="470"/>
      <c r="E96" s="427"/>
      <c r="F96" s="471"/>
      <c r="G96" s="471"/>
      <c r="H96" s="472"/>
      <c r="I96" s="473"/>
      <c r="J96" s="427"/>
      <c r="K96" s="427"/>
    </row>
    <row r="97" spans="1:12" ht="37.35">
      <c r="A97" s="474"/>
      <c r="B97" s="475"/>
      <c r="C97" s="475"/>
      <c r="D97" s="476"/>
      <c r="E97" s="475"/>
      <c r="F97" s="477" t="s">
        <v>662</v>
      </c>
      <c r="G97" s="478" t="s">
        <v>663</v>
      </c>
      <c r="H97" s="479"/>
      <c r="I97" s="480"/>
      <c r="J97" s="427"/>
      <c r="K97" s="475"/>
    </row>
    <row r="98" spans="1:12" ht="87.05">
      <c r="A98" s="461">
        <v>0</v>
      </c>
      <c r="B98" s="453" t="s">
        <v>539</v>
      </c>
      <c r="C98" s="453" t="s">
        <v>538</v>
      </c>
      <c r="D98" s="481" t="s">
        <v>664</v>
      </c>
      <c r="E98" s="453" t="s">
        <v>665</v>
      </c>
      <c r="F98" s="463">
        <v>108</v>
      </c>
      <c r="G98" s="463">
        <v>79</v>
      </c>
      <c r="H98" s="458">
        <f>IFERROR((MIN(A98,400)*F98+MAX(A98-400,0)*G98)*(1-G76)/A98,0)</f>
        <v>0</v>
      </c>
      <c r="I98" s="458">
        <f t="shared" si="11"/>
        <v>0</v>
      </c>
      <c r="J98" s="453" t="s">
        <v>638</v>
      </c>
      <c r="K98" s="482" t="s">
        <v>666</v>
      </c>
      <c r="L98" s="204"/>
    </row>
    <row r="99" spans="1:12">
      <c r="A99" s="474"/>
      <c r="B99" s="475"/>
      <c r="C99" s="475"/>
      <c r="D99" s="476"/>
      <c r="E99" s="475"/>
      <c r="F99" s="457"/>
      <c r="G99" s="457"/>
      <c r="H99" s="479"/>
      <c r="I99" s="480"/>
      <c r="J99" s="475"/>
      <c r="K99" s="475"/>
      <c r="L99" s="204"/>
    </row>
    <row r="100" spans="1:12">
      <c r="A100" s="474"/>
      <c r="B100" s="475"/>
      <c r="C100" s="475"/>
      <c r="D100" s="476"/>
      <c r="E100" s="475"/>
      <c r="F100" s="457"/>
      <c r="G100" s="457"/>
      <c r="H100" s="479"/>
      <c r="I100" s="480"/>
      <c r="J100" s="475"/>
      <c r="K100" s="475"/>
    </row>
    <row r="101" spans="1:12" ht="13.1">
      <c r="A101" s="474"/>
      <c r="B101" s="475"/>
      <c r="C101" s="475"/>
      <c r="D101" s="476"/>
      <c r="E101" s="483" t="s">
        <v>667</v>
      </c>
      <c r="F101" s="457"/>
      <c r="G101" s="457"/>
      <c r="H101" s="479"/>
      <c r="I101" s="480"/>
      <c r="J101" s="475"/>
      <c r="K101" s="475"/>
    </row>
    <row r="102" spans="1:12" ht="33.4" customHeight="1">
      <c r="A102" s="452">
        <v>1</v>
      </c>
      <c r="B102" s="453" t="s">
        <v>517</v>
      </c>
      <c r="C102" s="454" t="s">
        <v>538</v>
      </c>
      <c r="D102" s="455" t="s">
        <v>636</v>
      </c>
      <c r="E102" s="453" t="s">
        <v>668</v>
      </c>
      <c r="F102" s="463">
        <v>3732</v>
      </c>
      <c r="G102" s="457"/>
      <c r="H102" s="458">
        <f>F102*(1-G77)</f>
        <v>2239.1999999999998</v>
      </c>
      <c r="I102" s="458">
        <f t="shared" ref="I102:I123" si="13">A102*H102</f>
        <v>2239.1999999999998</v>
      </c>
      <c r="J102" s="453" t="s">
        <v>649</v>
      </c>
      <c r="K102" s="1050" t="s">
        <v>669</v>
      </c>
    </row>
    <row r="103" spans="1:12" ht="24.9">
      <c r="A103" s="452">
        <v>1</v>
      </c>
      <c r="B103" s="453" t="s">
        <v>539</v>
      </c>
      <c r="C103" s="454" t="s">
        <v>538</v>
      </c>
      <c r="D103" s="455" t="s">
        <v>670</v>
      </c>
      <c r="E103" s="453" t="s">
        <v>671</v>
      </c>
      <c r="F103" s="463">
        <v>88.7</v>
      </c>
      <c r="G103" s="457"/>
      <c r="H103" s="458">
        <f>F103*(1-G77)</f>
        <v>53.22</v>
      </c>
      <c r="I103" s="458">
        <f t="shared" si="13"/>
        <v>53.22</v>
      </c>
      <c r="J103" s="453" t="s">
        <v>649</v>
      </c>
      <c r="K103" s="1050"/>
      <c r="L103" s="17" t="s">
        <v>672</v>
      </c>
    </row>
    <row r="104" spans="1:12" ht="33.4" customHeight="1">
      <c r="A104" s="461">
        <v>1</v>
      </c>
      <c r="B104" s="453" t="s">
        <v>517</v>
      </c>
      <c r="C104" s="453" t="s">
        <v>538</v>
      </c>
      <c r="D104" s="462" t="s">
        <v>640</v>
      </c>
      <c r="E104" s="453" t="s">
        <v>673</v>
      </c>
      <c r="F104" s="463">
        <v>1968</v>
      </c>
      <c r="G104" s="457"/>
      <c r="H104" s="458">
        <f t="shared" ref="H104:H118" si="14">F104*(1-$G$76)</f>
        <v>1180.8</v>
      </c>
      <c r="I104" s="458">
        <f t="shared" si="13"/>
        <v>1180.8</v>
      </c>
      <c r="J104" s="459" t="s">
        <v>638</v>
      </c>
      <c r="K104" s="1051" t="s">
        <v>642</v>
      </c>
    </row>
    <row r="105" spans="1:12" ht="24.9">
      <c r="A105" s="452">
        <v>32</v>
      </c>
      <c r="B105" s="453" t="s">
        <v>539</v>
      </c>
      <c r="C105" s="453" t="s">
        <v>538</v>
      </c>
      <c r="D105" s="462" t="s">
        <v>643</v>
      </c>
      <c r="E105" s="453" t="s">
        <v>673</v>
      </c>
      <c r="F105" s="463">
        <v>87.9</v>
      </c>
      <c r="G105" s="457"/>
      <c r="H105" s="458">
        <f t="shared" si="14"/>
        <v>52.74</v>
      </c>
      <c r="I105" s="458">
        <f t="shared" si="13"/>
        <v>1687.68</v>
      </c>
      <c r="J105" s="459" t="s">
        <v>638</v>
      </c>
      <c r="K105" s="1051"/>
    </row>
    <row r="106" spans="1:12" ht="33.4" customHeight="1">
      <c r="A106" s="452">
        <v>1</v>
      </c>
      <c r="B106" s="453" t="s">
        <v>517</v>
      </c>
      <c r="C106" s="453" t="s">
        <v>538</v>
      </c>
      <c r="D106" s="464" t="s">
        <v>644</v>
      </c>
      <c r="E106" s="453" t="s">
        <v>645</v>
      </c>
      <c r="F106" s="463">
        <v>10051</v>
      </c>
      <c r="G106" s="457"/>
      <c r="H106" s="458">
        <f t="shared" si="14"/>
        <v>6030.5999999999995</v>
      </c>
      <c r="I106" s="458">
        <f t="shared" si="13"/>
        <v>6030.5999999999995</v>
      </c>
      <c r="J106" s="459" t="s">
        <v>638</v>
      </c>
      <c r="K106" s="1052" t="s">
        <v>646</v>
      </c>
    </row>
    <row r="107" spans="1:12" ht="24.9">
      <c r="A107" s="461">
        <v>0</v>
      </c>
      <c r="B107" s="453" t="s">
        <v>517</v>
      </c>
      <c r="C107" s="453" t="s">
        <v>538</v>
      </c>
      <c r="D107" s="464" t="s">
        <v>644</v>
      </c>
      <c r="E107" s="453" t="s">
        <v>647</v>
      </c>
      <c r="F107" s="463">
        <v>17412</v>
      </c>
      <c r="G107" s="457"/>
      <c r="H107" s="458">
        <f t="shared" si="14"/>
        <v>10447.199999999999</v>
      </c>
      <c r="I107" s="458">
        <f t="shared" si="13"/>
        <v>0</v>
      </c>
      <c r="J107" s="459" t="s">
        <v>638</v>
      </c>
      <c r="K107" s="1052"/>
    </row>
    <row r="108" spans="1:12" ht="33.4" customHeight="1">
      <c r="A108" s="461">
        <v>0</v>
      </c>
      <c r="B108" s="453" t="s">
        <v>517</v>
      </c>
      <c r="C108" s="453" t="s">
        <v>538</v>
      </c>
      <c r="D108" s="465" t="s">
        <v>644</v>
      </c>
      <c r="E108" s="453" t="s">
        <v>648</v>
      </c>
      <c r="F108" s="463">
        <v>2345</v>
      </c>
      <c r="G108" s="457"/>
      <c r="H108" s="458">
        <f t="shared" si="14"/>
        <v>1407</v>
      </c>
      <c r="I108" s="458">
        <f t="shared" si="13"/>
        <v>0</v>
      </c>
      <c r="J108" s="453" t="s">
        <v>649</v>
      </c>
      <c r="K108" s="1049" t="s">
        <v>650</v>
      </c>
    </row>
    <row r="109" spans="1:12" ht="24.9">
      <c r="A109" s="461">
        <v>0</v>
      </c>
      <c r="B109" s="453" t="s">
        <v>517</v>
      </c>
      <c r="C109" s="453" t="s">
        <v>538</v>
      </c>
      <c r="D109" s="465" t="s">
        <v>644</v>
      </c>
      <c r="E109" s="453" t="s">
        <v>651</v>
      </c>
      <c r="F109" s="463">
        <v>3258</v>
      </c>
      <c r="G109" s="457"/>
      <c r="H109" s="458">
        <f t="shared" si="14"/>
        <v>1954.8</v>
      </c>
      <c r="I109" s="458">
        <f t="shared" si="13"/>
        <v>0</v>
      </c>
      <c r="J109" s="453" t="s">
        <v>649</v>
      </c>
      <c r="K109" s="1049"/>
    </row>
    <row r="110" spans="1:12" ht="24.9">
      <c r="A110" s="461">
        <v>0</v>
      </c>
      <c r="B110" s="453" t="s">
        <v>517</v>
      </c>
      <c r="C110" s="453" t="s">
        <v>538</v>
      </c>
      <c r="D110" s="465" t="s">
        <v>644</v>
      </c>
      <c r="E110" s="453" t="s">
        <v>652</v>
      </c>
      <c r="F110" s="463">
        <v>5649</v>
      </c>
      <c r="G110" s="457"/>
      <c r="H110" s="458">
        <f t="shared" si="14"/>
        <v>3389.4</v>
      </c>
      <c r="I110" s="458">
        <f t="shared" si="13"/>
        <v>0</v>
      </c>
      <c r="J110" s="453" t="s">
        <v>649</v>
      </c>
      <c r="K110" s="1049"/>
    </row>
    <row r="111" spans="1:12" ht="24.9">
      <c r="A111" s="461">
        <v>0</v>
      </c>
      <c r="B111" s="453" t="s">
        <v>517</v>
      </c>
      <c r="C111" s="453" t="s">
        <v>538</v>
      </c>
      <c r="D111" s="465" t="s">
        <v>644</v>
      </c>
      <c r="E111" s="453" t="s">
        <v>653</v>
      </c>
      <c r="F111" s="463">
        <v>1488</v>
      </c>
      <c r="G111" s="457"/>
      <c r="H111" s="458">
        <f t="shared" si="14"/>
        <v>892.8</v>
      </c>
      <c r="I111" s="458">
        <f t="shared" si="13"/>
        <v>0</v>
      </c>
      <c r="J111" s="453" t="s">
        <v>649</v>
      </c>
      <c r="K111" s="1049"/>
    </row>
    <row r="112" spans="1:12" ht="24.9">
      <c r="A112" s="461">
        <v>0</v>
      </c>
      <c r="B112" s="453" t="s">
        <v>517</v>
      </c>
      <c r="C112" s="453" t="s">
        <v>538</v>
      </c>
      <c r="D112" s="465" t="s">
        <v>644</v>
      </c>
      <c r="E112" s="453" t="s">
        <v>654</v>
      </c>
      <c r="F112" s="463">
        <v>5269</v>
      </c>
      <c r="G112" s="457"/>
      <c r="H112" s="458">
        <f t="shared" si="14"/>
        <v>3161.4</v>
      </c>
      <c r="I112" s="458">
        <f t="shared" si="13"/>
        <v>0</v>
      </c>
      <c r="J112" s="453" t="s">
        <v>649</v>
      </c>
      <c r="K112" s="1049"/>
    </row>
    <row r="113" spans="1:17" ht="24.9">
      <c r="A113" s="461">
        <v>0</v>
      </c>
      <c r="B113" s="453" t="s">
        <v>517</v>
      </c>
      <c r="C113" s="453" t="s">
        <v>538</v>
      </c>
      <c r="D113" s="465" t="s">
        <v>644</v>
      </c>
      <c r="E113" s="453" t="s">
        <v>655</v>
      </c>
      <c r="F113" s="463">
        <v>3078</v>
      </c>
      <c r="G113" s="457"/>
      <c r="H113" s="458">
        <f t="shared" si="14"/>
        <v>1846.8</v>
      </c>
      <c r="I113" s="458">
        <f t="shared" si="13"/>
        <v>0</v>
      </c>
      <c r="J113" s="453" t="s">
        <v>649</v>
      </c>
      <c r="K113" s="1049"/>
    </row>
    <row r="114" spans="1:17" ht="24.9">
      <c r="A114" s="461">
        <v>0</v>
      </c>
      <c r="B114" s="453" t="s">
        <v>517</v>
      </c>
      <c r="C114" s="453" t="s">
        <v>538</v>
      </c>
      <c r="D114" s="465" t="s">
        <v>644</v>
      </c>
      <c r="E114" s="453" t="s">
        <v>656</v>
      </c>
      <c r="F114" s="463">
        <v>3489</v>
      </c>
      <c r="G114" s="457"/>
      <c r="H114" s="458">
        <f t="shared" si="14"/>
        <v>2093.4</v>
      </c>
      <c r="I114" s="458">
        <f t="shared" si="13"/>
        <v>0</v>
      </c>
      <c r="J114" s="453" t="s">
        <v>649</v>
      </c>
      <c r="K114" s="1049"/>
    </row>
    <row r="115" spans="1:17" ht="24.9">
      <c r="A115" s="461">
        <v>0</v>
      </c>
      <c r="B115" s="453" t="s">
        <v>517</v>
      </c>
      <c r="C115" s="453" t="s">
        <v>538</v>
      </c>
      <c r="D115" s="465" t="s">
        <v>644</v>
      </c>
      <c r="E115" s="453" t="s">
        <v>657</v>
      </c>
      <c r="F115" s="467" t="s">
        <v>658</v>
      </c>
      <c r="G115" s="457"/>
      <c r="H115" s="468"/>
      <c r="I115" s="484"/>
      <c r="J115" s="453" t="s">
        <v>649</v>
      </c>
      <c r="K115" s="1049"/>
    </row>
    <row r="116" spans="1:17" ht="24.9">
      <c r="A116" s="461">
        <v>0</v>
      </c>
      <c r="B116" s="453" t="s">
        <v>517</v>
      </c>
      <c r="C116" s="453" t="s">
        <v>538</v>
      </c>
      <c r="D116" s="465" t="s">
        <v>644</v>
      </c>
      <c r="E116" s="453" t="s">
        <v>659</v>
      </c>
      <c r="F116" s="463">
        <v>7456</v>
      </c>
      <c r="G116" s="457"/>
      <c r="H116" s="458">
        <f t="shared" si="14"/>
        <v>4473.5999999999995</v>
      </c>
      <c r="I116" s="458">
        <f t="shared" si="13"/>
        <v>0</v>
      </c>
      <c r="J116" s="453" t="s">
        <v>649</v>
      </c>
      <c r="K116" s="1049"/>
    </row>
    <row r="117" spans="1:17" ht="24.9">
      <c r="A117" s="461">
        <v>0</v>
      </c>
      <c r="B117" s="453" t="s">
        <v>517</v>
      </c>
      <c r="C117" s="453" t="s">
        <v>538</v>
      </c>
      <c r="D117" s="465" t="s">
        <v>644</v>
      </c>
      <c r="E117" s="453" t="s">
        <v>660</v>
      </c>
      <c r="F117" s="463">
        <v>8494</v>
      </c>
      <c r="G117" s="457"/>
      <c r="H117" s="458">
        <f t="shared" si="14"/>
        <v>5096.3999999999996</v>
      </c>
      <c r="I117" s="458">
        <f t="shared" si="13"/>
        <v>0</v>
      </c>
      <c r="J117" s="453" t="s">
        <v>649</v>
      </c>
      <c r="K117" s="1049"/>
    </row>
    <row r="118" spans="1:17" ht="24.9">
      <c r="A118" s="461">
        <v>0</v>
      </c>
      <c r="B118" s="453" t="s">
        <v>517</v>
      </c>
      <c r="C118" s="453" t="s">
        <v>538</v>
      </c>
      <c r="D118" s="465" t="s">
        <v>644</v>
      </c>
      <c r="E118" s="453" t="s">
        <v>661</v>
      </c>
      <c r="F118" s="463">
        <v>9434</v>
      </c>
      <c r="G118" s="457"/>
      <c r="H118" s="458">
        <f t="shared" si="14"/>
        <v>5660.4</v>
      </c>
      <c r="I118" s="458">
        <f t="shared" si="13"/>
        <v>0</v>
      </c>
      <c r="J118" s="453" t="s">
        <v>649</v>
      </c>
      <c r="K118" s="1049"/>
    </row>
    <row r="119" spans="1:17">
      <c r="A119" s="469"/>
      <c r="B119" s="427"/>
      <c r="C119" s="427"/>
      <c r="D119" s="470"/>
      <c r="E119" s="427"/>
      <c r="F119" s="472"/>
      <c r="G119" s="471"/>
      <c r="H119" s="472"/>
      <c r="I119" s="473"/>
      <c r="J119" s="427"/>
      <c r="K119" s="427"/>
    </row>
    <row r="120" spans="1:17" ht="37.35">
      <c r="A120" s="474"/>
      <c r="B120" s="475"/>
      <c r="C120" s="475"/>
      <c r="D120" s="476"/>
      <c r="E120" s="475"/>
      <c r="F120" s="477" t="s">
        <v>662</v>
      </c>
      <c r="G120" s="478" t="s">
        <v>663</v>
      </c>
      <c r="H120" s="479"/>
      <c r="I120" s="480"/>
      <c r="J120" s="427"/>
      <c r="K120" s="475"/>
    </row>
    <row r="121" spans="1:17" ht="87.05">
      <c r="A121" s="461">
        <v>411</v>
      </c>
      <c r="B121" s="453" t="s">
        <v>539</v>
      </c>
      <c r="C121" s="453" t="s">
        <v>538</v>
      </c>
      <c r="D121" s="481" t="s">
        <v>664</v>
      </c>
      <c r="E121" s="453" t="s">
        <v>665</v>
      </c>
      <c r="F121" s="463">
        <v>108</v>
      </c>
      <c r="G121" s="463">
        <v>79</v>
      </c>
      <c r="H121" s="458">
        <f>IFERROR((MIN(A121,400)*F121+MAX(A121-400,0)*G121)*(1-G76)/A121,0)</f>
        <v>64.334306569343056</v>
      </c>
      <c r="I121" s="458">
        <f t="shared" si="13"/>
        <v>26441.399999999998</v>
      </c>
      <c r="J121" s="453" t="s">
        <v>638</v>
      </c>
      <c r="K121" s="482" t="s">
        <v>666</v>
      </c>
    </row>
    <row r="122" spans="1:17">
      <c r="A122" s="204"/>
      <c r="F122" s="17"/>
      <c r="H122" s="403"/>
      <c r="I122" s="403"/>
    </row>
    <row r="123" spans="1:17" ht="33.4">
      <c r="A123" s="204">
        <v>1</v>
      </c>
      <c r="B123" s="17" t="s">
        <v>517</v>
      </c>
      <c r="C123" s="204" t="s">
        <v>674</v>
      </c>
      <c r="E123" s="17" t="s">
        <v>675</v>
      </c>
      <c r="F123" s="445">
        <v>161.44</v>
      </c>
      <c r="G123" s="404">
        <v>0</v>
      </c>
      <c r="H123" s="458">
        <f>F123*(1-G123)</f>
        <v>161.44</v>
      </c>
      <c r="I123" s="458">
        <f t="shared" si="13"/>
        <v>161.44</v>
      </c>
    </row>
    <row r="124" spans="1:17">
      <c r="A124" s="204"/>
      <c r="F124" s="485"/>
      <c r="H124" s="403"/>
      <c r="I124" s="403"/>
    </row>
    <row r="125" spans="1:17" ht="15.75">
      <c r="E125" s="439" t="s">
        <v>676</v>
      </c>
      <c r="I125" s="486">
        <f>SUM(I80:I123)</f>
        <v>37794.339999999997</v>
      </c>
      <c r="Q125" s="438">
        <f>I125</f>
        <v>37794.339999999997</v>
      </c>
    </row>
    <row r="127" spans="1:17" ht="13.75" customHeight="1">
      <c r="A127" s="986" t="s">
        <v>100</v>
      </c>
      <c r="B127" s="986"/>
      <c r="C127" s="986"/>
      <c r="D127" s="986"/>
      <c r="E127" s="986"/>
    </row>
    <row r="129" spans="1:10">
      <c r="E129" s="442" t="s">
        <v>677</v>
      </c>
      <c r="J129" s="403" t="s">
        <v>779</v>
      </c>
    </row>
    <row r="130" spans="1:10" ht="22.25">
      <c r="A130" s="407">
        <v>0</v>
      </c>
      <c r="B130" s="407" t="s">
        <v>522</v>
      </c>
      <c r="C130" s="408" t="s">
        <v>678</v>
      </c>
      <c r="D130" s="407" t="s">
        <v>679</v>
      </c>
      <c r="E130" s="408" t="s">
        <v>680</v>
      </c>
      <c r="F130" s="409">
        <v>2801.13</v>
      </c>
      <c r="G130" s="410"/>
      <c r="H130" s="409">
        <f t="shared" ref="H130:H176" si="15">F130*(1-G130)</f>
        <v>2801.13</v>
      </c>
      <c r="I130" s="409"/>
    </row>
    <row r="131" spans="1:10" ht="22.25">
      <c r="A131" s="407">
        <v>0</v>
      </c>
      <c r="B131" s="407" t="s">
        <v>522</v>
      </c>
      <c r="C131" s="408" t="s">
        <v>678</v>
      </c>
      <c r="D131" s="407" t="s">
        <v>681</v>
      </c>
      <c r="E131" s="408" t="s">
        <v>682</v>
      </c>
      <c r="F131" s="409">
        <v>772.15</v>
      </c>
      <c r="G131" s="410"/>
      <c r="H131" s="409">
        <f t="shared" si="15"/>
        <v>772.15</v>
      </c>
      <c r="I131" s="409"/>
    </row>
    <row r="132" spans="1:10" ht="22.25">
      <c r="A132" s="407">
        <v>0</v>
      </c>
      <c r="B132" s="407" t="s">
        <v>522</v>
      </c>
      <c r="C132" s="408" t="s">
        <v>678</v>
      </c>
      <c r="D132" s="407" t="s">
        <v>683</v>
      </c>
      <c r="E132" s="408" t="s">
        <v>684</v>
      </c>
      <c r="F132" s="409">
        <v>150.26</v>
      </c>
      <c r="G132" s="410"/>
      <c r="H132" s="409">
        <f t="shared" si="15"/>
        <v>150.26</v>
      </c>
      <c r="I132" s="409"/>
    </row>
    <row r="133" spans="1:10" ht="22.25">
      <c r="A133" s="407">
        <v>0</v>
      </c>
      <c r="B133" s="407" t="s">
        <v>522</v>
      </c>
      <c r="C133" s="408" t="s">
        <v>678</v>
      </c>
      <c r="D133" s="407" t="s">
        <v>685</v>
      </c>
      <c r="E133" s="408" t="s">
        <v>686</v>
      </c>
      <c r="F133" s="409">
        <v>10.58</v>
      </c>
      <c r="G133" s="410"/>
      <c r="H133" s="409">
        <f t="shared" si="15"/>
        <v>10.58</v>
      </c>
      <c r="I133" s="409"/>
    </row>
    <row r="134" spans="1:10" ht="22.25">
      <c r="A134" s="407">
        <v>0</v>
      </c>
      <c r="B134" s="407" t="s">
        <v>522</v>
      </c>
      <c r="C134" s="408" t="s">
        <v>678</v>
      </c>
      <c r="D134" s="407" t="s">
        <v>687</v>
      </c>
      <c r="E134" s="408" t="s">
        <v>688</v>
      </c>
      <c r="F134" s="409">
        <v>69.78</v>
      </c>
      <c r="G134" s="410"/>
      <c r="H134" s="409">
        <f t="shared" si="15"/>
        <v>69.78</v>
      </c>
      <c r="I134" s="409"/>
      <c r="J134" s="17" t="s">
        <v>689</v>
      </c>
    </row>
    <row r="135" spans="1:10" ht="22.25">
      <c r="A135" s="487">
        <v>0</v>
      </c>
      <c r="B135" s="407" t="s">
        <v>539</v>
      </c>
      <c r="C135" s="408" t="s">
        <v>690</v>
      </c>
      <c r="D135" s="407"/>
      <c r="E135" s="407" t="s">
        <v>691</v>
      </c>
      <c r="F135" s="409">
        <v>7.58</v>
      </c>
      <c r="G135" s="410"/>
      <c r="H135" s="409">
        <f t="shared" si="15"/>
        <v>7.58</v>
      </c>
      <c r="I135" s="409"/>
      <c r="J135" s="17" t="s">
        <v>692</v>
      </c>
    </row>
    <row r="136" spans="1:10" ht="22.25">
      <c r="A136" s="487">
        <v>0</v>
      </c>
      <c r="B136" s="407" t="s">
        <v>539</v>
      </c>
      <c r="C136" s="408" t="s">
        <v>690</v>
      </c>
      <c r="D136" s="407"/>
      <c r="E136" s="407" t="s">
        <v>693</v>
      </c>
      <c r="F136" s="409">
        <v>2.04</v>
      </c>
      <c r="G136" s="410"/>
      <c r="H136" s="409">
        <f t="shared" si="15"/>
        <v>2.04</v>
      </c>
      <c r="I136" s="409"/>
      <c r="J136" s="17" t="s">
        <v>694</v>
      </c>
    </row>
    <row r="137" spans="1:10" ht="22.25">
      <c r="A137" s="407">
        <v>0</v>
      </c>
      <c r="B137" s="407" t="s">
        <v>522</v>
      </c>
      <c r="C137" s="408"/>
      <c r="D137" s="407"/>
      <c r="E137" s="408" t="s">
        <v>695</v>
      </c>
      <c r="F137" s="409">
        <v>50</v>
      </c>
      <c r="G137" s="410"/>
      <c r="H137" s="409">
        <f t="shared" si="15"/>
        <v>50</v>
      </c>
      <c r="I137" s="409"/>
      <c r="J137" s="204" t="s">
        <v>696</v>
      </c>
    </row>
    <row r="138" spans="1:10">
      <c r="A138" s="407">
        <v>0</v>
      </c>
      <c r="B138" s="407" t="s">
        <v>619</v>
      </c>
      <c r="C138" s="408"/>
      <c r="D138" s="407"/>
      <c r="E138" s="408" t="s">
        <v>697</v>
      </c>
      <c r="F138" s="409">
        <f>F60</f>
        <v>55</v>
      </c>
      <c r="G138" s="410"/>
      <c r="H138" s="409">
        <f t="shared" si="15"/>
        <v>55</v>
      </c>
      <c r="I138" s="409"/>
    </row>
    <row r="139" spans="1:10" ht="66.8">
      <c r="A139" s="407">
        <v>0</v>
      </c>
      <c r="B139" s="407" t="s">
        <v>517</v>
      </c>
      <c r="C139" s="408" t="s">
        <v>698</v>
      </c>
      <c r="D139" s="407" t="s">
        <v>636</v>
      </c>
      <c r="E139" s="408" t="s">
        <v>637</v>
      </c>
      <c r="F139" s="409">
        <v>1809</v>
      </c>
      <c r="G139" s="410">
        <v>0.75</v>
      </c>
      <c r="H139" s="409">
        <f t="shared" si="15"/>
        <v>452.25</v>
      </c>
      <c r="I139" s="409"/>
      <c r="J139" s="17" t="s">
        <v>699</v>
      </c>
    </row>
    <row r="140" spans="1:10">
      <c r="A140" s="407"/>
      <c r="B140" s="407"/>
      <c r="C140" s="408"/>
      <c r="D140" s="407"/>
      <c r="E140" s="408"/>
      <c r="F140" s="409"/>
      <c r="G140" s="410"/>
      <c r="H140" s="409"/>
      <c r="I140" s="409"/>
    </row>
    <row r="141" spans="1:10">
      <c r="E141" s="442" t="s">
        <v>700</v>
      </c>
    </row>
    <row r="142" spans="1:10">
      <c r="A142" s="407"/>
      <c r="B142" s="407"/>
      <c r="C142" s="408"/>
      <c r="D142" s="407"/>
      <c r="E142" s="408"/>
      <c r="F142" s="409"/>
      <c r="G142" s="410"/>
      <c r="H142" s="409"/>
      <c r="I142" s="409"/>
    </row>
    <row r="143" spans="1:10">
      <c r="A143" s="407"/>
      <c r="B143" s="407"/>
      <c r="C143" s="408"/>
      <c r="D143" s="407"/>
      <c r="E143" s="408" t="s">
        <v>701</v>
      </c>
      <c r="F143" s="409"/>
      <c r="G143" s="410"/>
      <c r="H143" s="409"/>
      <c r="I143" s="409"/>
    </row>
    <row r="144" spans="1:10">
      <c r="A144" s="407"/>
      <c r="B144" s="407"/>
      <c r="C144" s="408"/>
      <c r="D144" s="407"/>
      <c r="E144" s="408"/>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204"/>
      <c r="F148" s="485"/>
      <c r="H148" s="403"/>
      <c r="I148" s="403"/>
    </row>
    <row r="149" spans="1:10">
      <c r="E149" s="439" t="s">
        <v>702</v>
      </c>
      <c r="I149" s="443">
        <f>SUM(I130:I148)</f>
        <v>0</v>
      </c>
    </row>
    <row r="151" spans="1:10" ht="15.05" customHeight="1">
      <c r="A151" s="1002" t="s">
        <v>90</v>
      </c>
      <c r="B151" s="1002"/>
      <c r="C151" s="1002"/>
      <c r="D151" s="1002"/>
      <c r="E151" s="1002"/>
    </row>
    <row r="153" spans="1:10">
      <c r="A153" s="17">
        <v>1</v>
      </c>
      <c r="B153" s="17" t="s">
        <v>517</v>
      </c>
      <c r="E153" s="17" t="s">
        <v>703</v>
      </c>
      <c r="F153" s="403">
        <v>800</v>
      </c>
      <c r="H153" s="403">
        <f t="shared" si="15"/>
        <v>800</v>
      </c>
      <c r="I153" s="403">
        <f t="shared" ref="I153:I169" si="16">A153*H153</f>
        <v>800</v>
      </c>
      <c r="J153" s="17" t="s">
        <v>704</v>
      </c>
    </row>
    <row r="154" spans="1:10">
      <c r="A154" s="17">
        <v>1</v>
      </c>
      <c r="B154" s="17" t="s">
        <v>517</v>
      </c>
      <c r="E154" s="17" t="s">
        <v>705</v>
      </c>
      <c r="F154" s="403">
        <v>500</v>
      </c>
      <c r="H154" s="403">
        <f t="shared" si="15"/>
        <v>500</v>
      </c>
      <c r="I154" s="403">
        <f t="shared" si="16"/>
        <v>500</v>
      </c>
      <c r="J154" s="17" t="s">
        <v>704</v>
      </c>
    </row>
    <row r="155" spans="1:10">
      <c r="A155" s="17">
        <v>1</v>
      </c>
      <c r="B155" s="17" t="s">
        <v>517</v>
      </c>
      <c r="E155" s="17" t="s">
        <v>706</v>
      </c>
      <c r="F155" s="403">
        <v>40</v>
      </c>
      <c r="H155" s="403">
        <f t="shared" si="15"/>
        <v>40</v>
      </c>
      <c r="I155" s="403">
        <f t="shared" si="16"/>
        <v>40</v>
      </c>
    </row>
    <row r="156" spans="1:10">
      <c r="A156" s="17">
        <v>0</v>
      </c>
      <c r="B156" s="17" t="s">
        <v>517</v>
      </c>
      <c r="E156" s="17" t="s">
        <v>707</v>
      </c>
      <c r="F156" s="403">
        <v>1500</v>
      </c>
      <c r="H156" s="403">
        <f t="shared" si="15"/>
        <v>1500</v>
      </c>
      <c r="I156" s="403">
        <f t="shared" si="16"/>
        <v>0</v>
      </c>
    </row>
    <row r="157" spans="1:10" ht="55.65">
      <c r="B157" s="17" t="s">
        <v>517</v>
      </c>
      <c r="C157" s="204" t="s">
        <v>708</v>
      </c>
      <c r="E157" s="204" t="s">
        <v>709</v>
      </c>
      <c r="F157" s="403">
        <v>460</v>
      </c>
      <c r="H157" s="403">
        <f t="shared" si="15"/>
        <v>460</v>
      </c>
      <c r="I157" s="403">
        <f t="shared" si="16"/>
        <v>0</v>
      </c>
      <c r="J157" s="17" t="s">
        <v>710</v>
      </c>
    </row>
    <row r="158" spans="1:10" ht="55.65">
      <c r="A158" s="17">
        <v>0</v>
      </c>
      <c r="B158" s="17" t="s">
        <v>517</v>
      </c>
      <c r="C158" s="204" t="s">
        <v>711</v>
      </c>
      <c r="E158" s="204" t="s">
        <v>712</v>
      </c>
      <c r="F158" s="403">
        <v>320</v>
      </c>
      <c r="H158" s="403">
        <f t="shared" si="15"/>
        <v>320</v>
      </c>
      <c r="I158" s="403">
        <f t="shared" si="16"/>
        <v>0</v>
      </c>
    </row>
    <row r="159" spans="1:10" ht="55.65">
      <c r="A159" s="17">
        <v>0</v>
      </c>
      <c r="B159" s="17" t="s">
        <v>517</v>
      </c>
      <c r="C159" s="17" t="s">
        <v>713</v>
      </c>
      <c r="D159" s="17" t="s">
        <v>714</v>
      </c>
      <c r="E159" s="204" t="s">
        <v>715</v>
      </c>
      <c r="F159" s="403">
        <v>2725</v>
      </c>
      <c r="H159" s="403">
        <f t="shared" si="15"/>
        <v>2725</v>
      </c>
      <c r="I159" s="403">
        <f t="shared" si="16"/>
        <v>0</v>
      </c>
    </row>
    <row r="160" spans="1:10" ht="33.4">
      <c r="A160" s="17">
        <v>1</v>
      </c>
      <c r="B160" s="17" t="s">
        <v>517</v>
      </c>
      <c r="C160" s="204" t="s">
        <v>716</v>
      </c>
      <c r="E160" s="17" t="s">
        <v>717</v>
      </c>
      <c r="F160" s="403">
        <f>1840*1.04</f>
        <v>1913.6000000000001</v>
      </c>
      <c r="H160" s="403">
        <f t="shared" si="15"/>
        <v>1913.6000000000001</v>
      </c>
      <c r="I160" s="403">
        <f t="shared" si="16"/>
        <v>1913.6000000000001</v>
      </c>
    </row>
    <row r="161" spans="1:9">
      <c r="H161" s="403"/>
      <c r="I161" s="403"/>
    </row>
    <row r="162" spans="1:9">
      <c r="E162" s="446" t="s">
        <v>719</v>
      </c>
      <c r="H162" s="403"/>
      <c r="I162" s="403"/>
    </row>
    <row r="163" spans="1:9" ht="22.25">
      <c r="A163" s="17">
        <f>2*16</f>
        <v>32</v>
      </c>
      <c r="B163" s="17" t="s">
        <v>619</v>
      </c>
      <c r="C163" s="204" t="s">
        <v>531</v>
      </c>
      <c r="E163" s="17" t="s">
        <v>720</v>
      </c>
      <c r="F163" s="403">
        <v>50</v>
      </c>
      <c r="H163" s="403">
        <f t="shared" si="15"/>
        <v>50</v>
      </c>
      <c r="I163" s="403">
        <f t="shared" si="16"/>
        <v>1600</v>
      </c>
    </row>
    <row r="164" spans="1:9">
      <c r="A164" s="17">
        <f>ROUND((51-2)/2*6,0)</f>
        <v>147</v>
      </c>
      <c r="B164" s="17" t="s">
        <v>517</v>
      </c>
      <c r="C164" s="204" t="s">
        <v>721</v>
      </c>
      <c r="E164" s="17" t="s">
        <v>722</v>
      </c>
      <c r="F164" s="403">
        <f>69/100</f>
        <v>0.69</v>
      </c>
      <c r="H164" s="403">
        <f t="shared" si="15"/>
        <v>0.69</v>
      </c>
      <c r="I164" s="403">
        <f t="shared" si="16"/>
        <v>101.42999999999999</v>
      </c>
    </row>
    <row r="165" spans="1:9">
      <c r="A165" s="17">
        <f t="shared" ref="A165:A166" si="17">A164</f>
        <v>147</v>
      </c>
      <c r="B165" s="17" t="s">
        <v>517</v>
      </c>
      <c r="C165" s="204" t="s">
        <v>721</v>
      </c>
      <c r="E165" s="17" t="s">
        <v>723</v>
      </c>
      <c r="F165" s="403">
        <v>0.1</v>
      </c>
      <c r="H165" s="403">
        <f t="shared" si="15"/>
        <v>0.1</v>
      </c>
      <c r="I165" s="403">
        <f t="shared" si="16"/>
        <v>14.700000000000001</v>
      </c>
    </row>
    <row r="166" spans="1:9">
      <c r="A166" s="17">
        <f t="shared" si="17"/>
        <v>147</v>
      </c>
      <c r="B166" s="17" t="s">
        <v>517</v>
      </c>
      <c r="C166" s="204" t="s">
        <v>721</v>
      </c>
      <c r="E166" s="17" t="s">
        <v>724</v>
      </c>
      <c r="F166" s="403">
        <f>13.25/1.2/100</f>
        <v>0.11041666666666668</v>
      </c>
      <c r="H166" s="403">
        <f t="shared" si="15"/>
        <v>0.11041666666666668</v>
      </c>
      <c r="I166" s="403">
        <f t="shared" si="16"/>
        <v>16.231250000000003</v>
      </c>
    </row>
    <row r="167" spans="1:9" ht="22.25">
      <c r="A167" s="17">
        <f>ROUNDUP(2*(16.4+8.5/12.9*11.3)/4,0)</f>
        <v>12</v>
      </c>
      <c r="B167" s="17" t="s">
        <v>539</v>
      </c>
      <c r="C167" s="204" t="s">
        <v>725</v>
      </c>
      <c r="E167" s="17" t="s">
        <v>726</v>
      </c>
      <c r="F167" s="403">
        <f>15.73/1.2</f>
        <v>13.108333333333334</v>
      </c>
      <c r="H167" s="403">
        <f t="shared" si="15"/>
        <v>13.108333333333334</v>
      </c>
      <c r="I167" s="403">
        <f t="shared" si="16"/>
        <v>157.30000000000001</v>
      </c>
    </row>
    <row r="168" spans="1:9" ht="22.25">
      <c r="A168" s="17">
        <f>A167</f>
        <v>12</v>
      </c>
      <c r="B168" s="17" t="s">
        <v>539</v>
      </c>
      <c r="C168" s="204" t="s">
        <v>531</v>
      </c>
      <c r="E168" s="17" t="s">
        <v>727</v>
      </c>
      <c r="F168" s="403">
        <v>25</v>
      </c>
      <c r="H168" s="403">
        <f t="shared" si="15"/>
        <v>25</v>
      </c>
      <c r="I168" s="403">
        <f t="shared" si="16"/>
        <v>300</v>
      </c>
    </row>
    <row r="169" spans="1:9" ht="22.25">
      <c r="A169" s="17">
        <f>A168*4</f>
        <v>48</v>
      </c>
      <c r="B169" s="17" t="s">
        <v>517</v>
      </c>
      <c r="C169" s="204" t="s">
        <v>531</v>
      </c>
      <c r="E169" s="17" t="s">
        <v>728</v>
      </c>
      <c r="F169" s="403">
        <v>0.1</v>
      </c>
      <c r="H169" s="403">
        <f t="shared" si="15"/>
        <v>0.1</v>
      </c>
      <c r="I169" s="403">
        <f t="shared" si="16"/>
        <v>4.8000000000000007</v>
      </c>
    </row>
    <row r="170" spans="1:9">
      <c r="H170" s="403"/>
      <c r="I170" s="403"/>
    </row>
    <row r="171" spans="1:9" ht="15.75">
      <c r="E171" s="439" t="s">
        <v>729</v>
      </c>
      <c r="I171" s="168">
        <f>SUM(I151:I170)</f>
        <v>5448.0612500000007</v>
      </c>
    </row>
    <row r="173" spans="1:9" ht="13.75" customHeight="1">
      <c r="A173" s="997" t="s">
        <v>68</v>
      </c>
      <c r="B173" s="997"/>
      <c r="C173" s="997"/>
      <c r="D173" s="997"/>
      <c r="E173" s="997"/>
    </row>
    <row r="174" spans="1:9">
      <c r="A174" s="17">
        <v>1</v>
      </c>
      <c r="B174" s="17" t="s">
        <v>517</v>
      </c>
      <c r="E174" s="17" t="s">
        <v>730</v>
      </c>
      <c r="F174" s="403">
        <v>500</v>
      </c>
      <c r="H174" s="403">
        <f t="shared" si="15"/>
        <v>500</v>
      </c>
      <c r="I174" s="403">
        <f t="shared" ref="I174:I176" si="18">A174*H174</f>
        <v>500</v>
      </c>
    </row>
    <row r="175" spans="1:9" ht="55.65">
      <c r="A175" s="17">
        <v>0</v>
      </c>
      <c r="B175" s="17" t="s">
        <v>517</v>
      </c>
      <c r="C175" s="204" t="s">
        <v>708</v>
      </c>
      <c r="E175" s="204" t="s">
        <v>731</v>
      </c>
      <c r="F175" s="403">
        <f>460/2</f>
        <v>230</v>
      </c>
      <c r="H175" s="403">
        <f t="shared" si="15"/>
        <v>230</v>
      </c>
      <c r="I175" s="403">
        <f t="shared" si="18"/>
        <v>0</v>
      </c>
    </row>
    <row r="176" spans="1:9" ht="55.65">
      <c r="A176" s="17">
        <v>0</v>
      </c>
      <c r="B176" s="17" t="s">
        <v>517</v>
      </c>
      <c r="C176" s="204" t="s">
        <v>711</v>
      </c>
      <c r="E176" s="204" t="s">
        <v>732</v>
      </c>
      <c r="F176" s="403">
        <f>320/2</f>
        <v>160</v>
      </c>
      <c r="H176" s="403">
        <f t="shared" si="15"/>
        <v>160</v>
      </c>
      <c r="I176" s="403">
        <f t="shared" si="18"/>
        <v>0</v>
      </c>
    </row>
    <row r="178" spans="5:9" ht="15.75">
      <c r="E178" s="439" t="s">
        <v>733</v>
      </c>
      <c r="I178" s="168">
        <f>SUM(I173:I177)</f>
        <v>500</v>
      </c>
    </row>
    <row r="179" spans="5:9">
      <c r="E179" s="439"/>
    </row>
  </sheetData>
  <mergeCells count="13">
    <mergeCell ref="B1:F1"/>
    <mergeCell ref="A2:G2"/>
    <mergeCell ref="J22:L22"/>
    <mergeCell ref="K81:K82"/>
    <mergeCell ref="K83:K84"/>
    <mergeCell ref="A127:E127"/>
    <mergeCell ref="A151:E151"/>
    <mergeCell ref="A173:E173"/>
    <mergeCell ref="K85:K95"/>
    <mergeCell ref="K102:K103"/>
    <mergeCell ref="K104:K105"/>
    <mergeCell ref="K106:K107"/>
    <mergeCell ref="K108:K118"/>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96"/>
  <sheetViews>
    <sheetView workbookViewId="0">
      <pane ySplit="3" topLeftCell="A4" activePane="bottomLeft" state="frozen"/>
      <selection activeCellId="1" sqref="G16 A1"/>
      <selection pane="bottomLeft"/>
    </sheetView>
  </sheetViews>
  <sheetFormatPr baseColWidth="10" defaultColWidth="10.140625" defaultRowHeight="11.15"/>
  <cols>
    <col min="1" max="1" width="6.85546875" style="17" customWidth="1"/>
    <col min="2" max="2" width="7.42578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5" width="10.140625" style="403"/>
    <col min="16" max="16" width="11.7109375" style="403" customWidth="1"/>
    <col min="17" max="17" width="13" style="403" customWidth="1"/>
    <col min="18" max="19" width="10.140625" style="403"/>
    <col min="20" max="64" width="10.140625" style="17"/>
  </cols>
  <sheetData>
    <row r="1" spans="1:19" ht="15.75">
      <c r="B1" s="1053" t="s">
        <v>271</v>
      </c>
      <c r="C1" s="1053"/>
      <c r="D1" s="1053"/>
      <c r="E1" s="1053"/>
      <c r="F1" s="1053"/>
      <c r="H1" s="405" t="s">
        <v>493</v>
      </c>
      <c r="I1" s="406">
        <v>405</v>
      </c>
      <c r="J1" s="17" t="s">
        <v>494</v>
      </c>
      <c r="K1" s="17" t="s">
        <v>495</v>
      </c>
      <c r="L1" s="58">
        <f>A4*I1</f>
        <v>156330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386</v>
      </c>
      <c r="B4" s="413" t="s">
        <v>505</v>
      </c>
      <c r="C4" s="420" t="s">
        <v>734</v>
      </c>
      <c r="D4" s="413"/>
      <c r="E4" s="420" t="s">
        <v>735</v>
      </c>
      <c r="F4" s="421">
        <v>146.04</v>
      </c>
      <c r="G4" s="422"/>
      <c r="H4" s="421">
        <f t="shared" ref="H4:H9" si="0">F4*(1-G4)</f>
        <v>146.04</v>
      </c>
      <c r="I4" s="409">
        <f t="shared" ref="I4:I9" si="1">A4*H4</f>
        <v>56371.439999999995</v>
      </c>
      <c r="J4" s="417">
        <f>F4/$I$1</f>
        <v>0.36059259259259258</v>
      </c>
      <c r="K4" s="403" t="s">
        <v>736</v>
      </c>
      <c r="L4" s="404" t="s">
        <v>1497</v>
      </c>
      <c r="M4" s="418">
        <f t="shared" ref="M4:M6" si="2">I4</f>
        <v>56371.439999999995</v>
      </c>
      <c r="N4" s="418"/>
      <c r="O4" s="418"/>
      <c r="P4" s="418"/>
      <c r="Q4" s="418"/>
      <c r="R4" s="418"/>
      <c r="S4" s="418"/>
    </row>
    <row r="5" spans="1:19" ht="22.25">
      <c r="A5" s="413">
        <v>2</v>
      </c>
      <c r="B5" s="413" t="s">
        <v>505</v>
      </c>
      <c r="C5" s="420" t="s">
        <v>734</v>
      </c>
      <c r="D5" s="413"/>
      <c r="E5" s="420" t="s">
        <v>735</v>
      </c>
      <c r="F5" s="421">
        <f>F4</f>
        <v>146.04</v>
      </c>
      <c r="G5" s="410"/>
      <c r="H5" s="409">
        <f t="shared" si="0"/>
        <v>146.04</v>
      </c>
      <c r="I5" s="409">
        <f t="shared" si="1"/>
        <v>292.08</v>
      </c>
      <c r="J5" s="417"/>
      <c r="K5" s="403" t="s">
        <v>737</v>
      </c>
      <c r="L5" s="404"/>
      <c r="M5" s="418">
        <f t="shared" si="2"/>
        <v>292.08</v>
      </c>
      <c r="N5" s="418"/>
      <c r="O5" s="418"/>
      <c r="P5" s="418"/>
      <c r="Q5" s="418"/>
      <c r="R5" s="418"/>
      <c r="S5" s="418"/>
    </row>
    <row r="6" spans="1:19" ht="33.4">
      <c r="A6" s="413">
        <f>A4+A5</f>
        <v>388</v>
      </c>
      <c r="B6" s="413" t="s">
        <v>505</v>
      </c>
      <c r="C6" s="420" t="s">
        <v>738</v>
      </c>
      <c r="D6" s="413"/>
      <c r="E6" s="420" t="s">
        <v>739</v>
      </c>
      <c r="F6" s="421">
        <f>5823.74/A6</f>
        <v>15.009639175257732</v>
      </c>
      <c r="G6" s="410"/>
      <c r="H6" s="409">
        <f t="shared" si="0"/>
        <v>15.009639175257732</v>
      </c>
      <c r="I6" s="409">
        <f t="shared" si="1"/>
        <v>5823.74</v>
      </c>
      <c r="J6" s="417">
        <f>F6/$I$1</f>
        <v>3.7060837469772179E-2</v>
      </c>
      <c r="K6" s="417" t="s">
        <v>740</v>
      </c>
      <c r="L6" s="748" t="s">
        <v>1497</v>
      </c>
      <c r="M6" s="418">
        <f t="shared" si="2"/>
        <v>5823.74</v>
      </c>
      <c r="N6" s="418"/>
      <c r="O6" s="418"/>
      <c r="P6" s="418"/>
      <c r="Q6" s="418"/>
      <c r="R6" s="418"/>
      <c r="S6" s="418"/>
    </row>
    <row r="7" spans="1:19" ht="22.6" customHeight="1">
      <c r="A7" s="423"/>
      <c r="B7" s="423"/>
      <c r="C7" s="420"/>
      <c r="D7" s="423"/>
      <c r="E7" s="420"/>
      <c r="F7" s="421"/>
      <c r="G7" s="422"/>
      <c r="H7" s="409"/>
      <c r="I7" s="409"/>
      <c r="J7" s="417"/>
      <c r="K7" s="417"/>
      <c r="L7" s="204"/>
      <c r="M7" s="418"/>
      <c r="N7" s="418">
        <f t="shared" ref="N7:N9" si="3">I7</f>
        <v>0</v>
      </c>
      <c r="O7" s="418"/>
      <c r="P7" s="418"/>
      <c r="Q7" s="418"/>
      <c r="R7" s="418"/>
      <c r="S7" s="418"/>
    </row>
    <row r="8" spans="1:19" ht="23.25" customHeight="1">
      <c r="A8" s="423">
        <v>1</v>
      </c>
      <c r="B8" s="423" t="s">
        <v>522</v>
      </c>
      <c r="C8" s="420" t="s">
        <v>742</v>
      </c>
      <c r="D8" s="413"/>
      <c r="E8" s="420" t="s">
        <v>519</v>
      </c>
      <c r="F8" s="421">
        <v>4450.22</v>
      </c>
      <c r="G8" s="422"/>
      <c r="H8" s="421">
        <f t="shared" si="0"/>
        <v>4450.22</v>
      </c>
      <c r="I8" s="409">
        <f t="shared" si="1"/>
        <v>4450.22</v>
      </c>
      <c r="J8" s="417"/>
      <c r="K8" s="204" t="s">
        <v>744</v>
      </c>
      <c r="L8" s="204"/>
      <c r="M8" s="418"/>
      <c r="N8" s="418">
        <f t="shared" si="3"/>
        <v>4450.22</v>
      </c>
      <c r="O8" s="418"/>
      <c r="P8" s="418"/>
      <c r="Q8" s="418"/>
      <c r="R8" s="418"/>
      <c r="S8" s="418"/>
    </row>
    <row r="9" spans="1:19" ht="22.6" customHeight="1">
      <c r="A9" s="423">
        <v>1</v>
      </c>
      <c r="B9" s="423" t="s">
        <v>522</v>
      </c>
      <c r="C9" s="420" t="s">
        <v>742</v>
      </c>
      <c r="D9" s="423"/>
      <c r="E9" s="420" t="s">
        <v>520</v>
      </c>
      <c r="F9" s="421">
        <v>3327.33</v>
      </c>
      <c r="G9" s="422"/>
      <c r="H9" s="421">
        <f t="shared" si="0"/>
        <v>3327.33</v>
      </c>
      <c r="I9" s="409">
        <f t="shared" si="1"/>
        <v>3327.33</v>
      </c>
      <c r="J9" s="417"/>
      <c r="K9" s="417" t="s">
        <v>746</v>
      </c>
      <c r="L9" s="204"/>
      <c r="M9" s="418"/>
      <c r="N9" s="418">
        <f t="shared" si="3"/>
        <v>3327.33</v>
      </c>
      <c r="O9" s="418"/>
      <c r="P9" s="418"/>
      <c r="Q9" s="418"/>
      <c r="R9" s="418"/>
      <c r="S9" s="418"/>
    </row>
    <row r="10" spans="1:19" ht="22.6" customHeight="1">
      <c r="A10" s="423">
        <v>2</v>
      </c>
      <c r="B10" s="414" t="s">
        <v>505</v>
      </c>
      <c r="C10" s="415" t="s">
        <v>747</v>
      </c>
      <c r="D10" s="414"/>
      <c r="E10" s="415" t="s">
        <v>748</v>
      </c>
      <c r="F10" s="416">
        <v>137.78</v>
      </c>
      <c r="G10" s="419"/>
      <c r="H10" s="416">
        <f t="shared" ref="H10:H73" si="4">F10*(1-G10)</f>
        <v>137.78</v>
      </c>
      <c r="I10" s="409">
        <f t="shared" ref="I10:I40" si="5">A10*H10</f>
        <v>275.56</v>
      </c>
      <c r="J10" s="417"/>
      <c r="K10" s="417"/>
      <c r="L10" s="204"/>
      <c r="M10" s="418"/>
      <c r="N10" s="418">
        <f>I10</f>
        <v>275.56</v>
      </c>
      <c r="O10" s="418"/>
      <c r="P10" s="418"/>
      <c r="Q10" s="418"/>
      <c r="R10" s="418"/>
      <c r="S10" s="418"/>
    </row>
    <row r="11" spans="1:19" ht="44.55">
      <c r="A11" s="423">
        <v>2</v>
      </c>
      <c r="B11" s="423" t="s">
        <v>530</v>
      </c>
      <c r="C11" s="415" t="s">
        <v>747</v>
      </c>
      <c r="D11" s="423"/>
      <c r="E11" s="415" t="s">
        <v>1416</v>
      </c>
      <c r="F11" s="416">
        <v>611.11</v>
      </c>
      <c r="G11" s="419"/>
      <c r="H11" s="416">
        <f t="shared" si="4"/>
        <v>611.11</v>
      </c>
      <c r="I11" s="409">
        <f t="shared" si="5"/>
        <v>1222.22</v>
      </c>
      <c r="J11" s="204"/>
      <c r="M11" s="418"/>
      <c r="N11" s="418"/>
      <c r="O11" s="418"/>
      <c r="P11" s="418"/>
      <c r="Q11" s="418"/>
      <c r="R11" s="418">
        <f t="shared" ref="R11:R30" si="6">I11</f>
        <v>1222.22</v>
      </c>
      <c r="S11" s="418"/>
    </row>
    <row r="12" spans="1:19" ht="44.55">
      <c r="A12" s="423">
        <v>1</v>
      </c>
      <c r="B12" s="423" t="s">
        <v>530</v>
      </c>
      <c r="C12" s="415" t="s">
        <v>747</v>
      </c>
      <c r="D12" s="423"/>
      <c r="E12" s="415" t="s">
        <v>824</v>
      </c>
      <c r="F12" s="416">
        <v>555.55999999999995</v>
      </c>
      <c r="G12" s="419"/>
      <c r="H12" s="416">
        <f t="shared" si="4"/>
        <v>555.55999999999995</v>
      </c>
      <c r="I12" s="409">
        <f t="shared" si="5"/>
        <v>555.55999999999995</v>
      </c>
      <c r="J12" s="204"/>
      <c r="M12" s="418"/>
      <c r="N12" s="418"/>
      <c r="O12" s="418"/>
      <c r="P12" s="418"/>
      <c r="Q12" s="418"/>
      <c r="R12" s="418">
        <f t="shared" si="6"/>
        <v>555.55999999999995</v>
      </c>
      <c r="S12" s="418"/>
    </row>
    <row r="13" spans="1:19" ht="44.55">
      <c r="A13" s="423">
        <v>0</v>
      </c>
      <c r="B13" s="423" t="s">
        <v>505</v>
      </c>
      <c r="C13" s="420" t="s">
        <v>751</v>
      </c>
      <c r="D13" s="423"/>
      <c r="E13" s="420" t="s">
        <v>753</v>
      </c>
      <c r="F13" s="421">
        <v>277.77999999999997</v>
      </c>
      <c r="G13" s="422"/>
      <c r="H13" s="421">
        <f t="shared" si="4"/>
        <v>277.77999999999997</v>
      </c>
      <c r="I13" s="409">
        <f t="shared" si="5"/>
        <v>0</v>
      </c>
      <c r="J13" s="204"/>
      <c r="M13" s="418"/>
      <c r="N13" s="418"/>
      <c r="O13" s="418"/>
      <c r="P13" s="418"/>
      <c r="Q13" s="418"/>
      <c r="R13" s="418">
        <f t="shared" si="6"/>
        <v>0</v>
      </c>
      <c r="S13" s="418"/>
    </row>
    <row r="14" spans="1:19" ht="44.55">
      <c r="A14" s="413">
        <v>1</v>
      </c>
      <c r="B14" s="413" t="s">
        <v>505</v>
      </c>
      <c r="C14" s="415" t="s">
        <v>747</v>
      </c>
      <c r="D14" s="414"/>
      <c r="E14" s="415" t="s">
        <v>754</v>
      </c>
      <c r="F14" s="416">
        <v>2728.51</v>
      </c>
      <c r="G14" s="419"/>
      <c r="H14" s="416">
        <f t="shared" si="4"/>
        <v>2728.51</v>
      </c>
      <c r="I14" s="409">
        <f t="shared" si="5"/>
        <v>2728.51</v>
      </c>
      <c r="J14" s="204"/>
      <c r="M14" s="418"/>
      <c r="N14" s="418"/>
      <c r="O14" s="418"/>
      <c r="P14" s="418"/>
      <c r="Q14" s="418"/>
      <c r="R14" s="418">
        <f t="shared" si="6"/>
        <v>2728.51</v>
      </c>
      <c r="S14" s="418"/>
    </row>
    <row r="15" spans="1:19">
      <c r="A15" s="488"/>
      <c r="B15" s="488"/>
      <c r="C15" s="489"/>
      <c r="D15" s="488"/>
      <c r="E15" s="489"/>
      <c r="F15" s="490"/>
      <c r="G15" s="410"/>
      <c r="H15" s="409">
        <f t="shared" si="4"/>
        <v>0</v>
      </c>
      <c r="I15" s="409">
        <f t="shared" si="5"/>
        <v>0</v>
      </c>
      <c r="J15" s="204"/>
      <c r="M15" s="418"/>
      <c r="N15" s="418"/>
      <c r="O15" s="418"/>
      <c r="P15" s="418"/>
      <c r="Q15" s="418"/>
      <c r="R15" s="418">
        <f t="shared" si="6"/>
        <v>0</v>
      </c>
      <c r="S15" s="418"/>
    </row>
    <row r="16" spans="1:19" ht="22.25">
      <c r="A16" s="488">
        <v>1</v>
      </c>
      <c r="B16" s="488" t="s">
        <v>530</v>
      </c>
      <c r="C16" s="489" t="s">
        <v>531</v>
      </c>
      <c r="D16" s="488"/>
      <c r="E16" s="488" t="s">
        <v>532</v>
      </c>
      <c r="F16" s="490">
        <v>1000</v>
      </c>
      <c r="G16" s="410"/>
      <c r="H16" s="409">
        <f t="shared" si="4"/>
        <v>1000</v>
      </c>
      <c r="I16" s="409">
        <f t="shared" si="5"/>
        <v>1000</v>
      </c>
      <c r="J16" s="204"/>
      <c r="M16" s="418"/>
      <c r="N16" s="418"/>
      <c r="O16" s="418"/>
      <c r="P16" s="418"/>
      <c r="Q16" s="418"/>
      <c r="R16" s="418">
        <f t="shared" si="6"/>
        <v>1000</v>
      </c>
      <c r="S16" s="418"/>
    </row>
    <row r="17" spans="1:19" ht="22.25">
      <c r="A17" s="407">
        <v>0</v>
      </c>
      <c r="B17" s="407" t="s">
        <v>505</v>
      </c>
      <c r="C17" s="408" t="s">
        <v>534</v>
      </c>
      <c r="D17" s="407"/>
      <c r="E17" s="408" t="s">
        <v>535</v>
      </c>
      <c r="F17" s="409">
        <v>3.71</v>
      </c>
      <c r="G17" s="410"/>
      <c r="H17" s="409">
        <f t="shared" si="4"/>
        <v>3.71</v>
      </c>
      <c r="I17" s="409">
        <f t="shared" si="5"/>
        <v>0</v>
      </c>
      <c r="J17" s="204"/>
      <c r="M17" s="418"/>
      <c r="N17" s="418"/>
      <c r="O17" s="418"/>
      <c r="P17" s="418"/>
      <c r="Q17" s="418"/>
      <c r="R17" s="418">
        <f t="shared" si="6"/>
        <v>0</v>
      </c>
      <c r="S17" s="418"/>
    </row>
    <row r="18" spans="1:19" ht="22.25">
      <c r="A18" s="407">
        <f>A17</f>
        <v>0</v>
      </c>
      <c r="B18" s="407" t="s">
        <v>505</v>
      </c>
      <c r="C18" s="408" t="s">
        <v>534</v>
      </c>
      <c r="D18" s="407"/>
      <c r="E18" s="408" t="s">
        <v>537</v>
      </c>
      <c r="F18" s="409">
        <v>3.81</v>
      </c>
      <c r="G18" s="410"/>
      <c r="H18" s="409">
        <f t="shared" si="4"/>
        <v>3.81</v>
      </c>
      <c r="I18" s="409">
        <f t="shared" si="5"/>
        <v>0</v>
      </c>
      <c r="J18" s="204"/>
      <c r="M18" s="418"/>
      <c r="N18" s="418"/>
      <c r="O18" s="418"/>
      <c r="P18" s="418"/>
      <c r="Q18" s="418"/>
      <c r="R18" s="418">
        <f t="shared" si="6"/>
        <v>0</v>
      </c>
      <c r="S18" s="418"/>
    </row>
    <row r="19" spans="1:19" ht="44.55">
      <c r="A19" s="413">
        <v>205.7</v>
      </c>
      <c r="B19" s="413" t="s">
        <v>539</v>
      </c>
      <c r="C19" s="420" t="s">
        <v>751</v>
      </c>
      <c r="D19" s="413"/>
      <c r="E19" s="420" t="s">
        <v>755</v>
      </c>
      <c r="F19" s="421">
        <f t="shared" ref="F19:F20" si="7">362.73/500</f>
        <v>0.72545999999999999</v>
      </c>
      <c r="G19" s="410"/>
      <c r="H19" s="409">
        <f t="shared" si="4"/>
        <v>0.72545999999999999</v>
      </c>
      <c r="I19" s="409">
        <f t="shared" si="5"/>
        <v>149.22712199999998</v>
      </c>
      <c r="J19" s="491" t="s">
        <v>756</v>
      </c>
      <c r="M19" s="418"/>
      <c r="N19" s="418"/>
      <c r="O19" s="418">
        <f t="shared" ref="O19:O35" si="8">I19</f>
        <v>149.22712199999998</v>
      </c>
      <c r="P19" s="418"/>
      <c r="Q19" s="418"/>
      <c r="R19" s="418"/>
      <c r="S19" s="418"/>
    </row>
    <row r="20" spans="1:19" ht="44.55">
      <c r="A20" s="413">
        <v>731.5</v>
      </c>
      <c r="B20" s="413" t="s">
        <v>539</v>
      </c>
      <c r="C20" s="420" t="s">
        <v>751</v>
      </c>
      <c r="D20" s="413"/>
      <c r="E20" s="420" t="s">
        <v>757</v>
      </c>
      <c r="F20" s="421">
        <f t="shared" si="7"/>
        <v>0.72545999999999999</v>
      </c>
      <c r="G20" s="410"/>
      <c r="H20" s="409">
        <f t="shared" si="4"/>
        <v>0.72545999999999999</v>
      </c>
      <c r="I20" s="409">
        <f t="shared" si="5"/>
        <v>530.67399</v>
      </c>
      <c r="J20" s="491" t="s">
        <v>758</v>
      </c>
      <c r="M20" s="418"/>
      <c r="N20" s="418"/>
      <c r="O20" s="418">
        <f t="shared" si="8"/>
        <v>530.67399</v>
      </c>
      <c r="P20" s="418"/>
      <c r="Q20" s="418"/>
      <c r="R20" s="418"/>
      <c r="S20" s="418"/>
    </row>
    <row r="21" spans="1:19" ht="22.25">
      <c r="A21" s="413">
        <f>2*(71+55)*1.1</f>
        <v>277.20000000000005</v>
      </c>
      <c r="B21" s="413" t="s">
        <v>539</v>
      </c>
      <c r="C21" s="420" t="s">
        <v>545</v>
      </c>
      <c r="D21" s="413"/>
      <c r="E21" s="420" t="s">
        <v>546</v>
      </c>
      <c r="F21" s="409">
        <v>8.9420000000000002</v>
      </c>
      <c r="G21" s="410"/>
      <c r="H21" s="409">
        <f t="shared" si="4"/>
        <v>8.9420000000000002</v>
      </c>
      <c r="I21" s="409">
        <f t="shared" si="5"/>
        <v>2478.7224000000006</v>
      </c>
      <c r="J21" s="204"/>
      <c r="M21" s="418"/>
      <c r="N21" s="418"/>
      <c r="O21" s="418">
        <f t="shared" si="8"/>
        <v>2478.7224000000006</v>
      </c>
      <c r="P21" s="418"/>
      <c r="Q21" s="418"/>
      <c r="R21" s="418"/>
      <c r="S21" s="418"/>
    </row>
    <row r="22" spans="1:19" ht="44.55">
      <c r="A22" s="413">
        <v>32</v>
      </c>
      <c r="B22" s="413" t="s">
        <v>517</v>
      </c>
      <c r="C22" s="415" t="s">
        <v>747</v>
      </c>
      <c r="D22" s="414"/>
      <c r="E22" s="415" t="s">
        <v>759</v>
      </c>
      <c r="F22" s="416">
        <v>0.77</v>
      </c>
      <c r="G22" s="419"/>
      <c r="H22" s="416">
        <f t="shared" si="4"/>
        <v>0.77</v>
      </c>
      <c r="I22" s="409">
        <f t="shared" si="5"/>
        <v>24.64</v>
      </c>
      <c r="J22" s="204"/>
      <c r="M22" s="418"/>
      <c r="N22" s="418"/>
      <c r="O22" s="418">
        <f t="shared" si="8"/>
        <v>24.64</v>
      </c>
      <c r="P22" s="418"/>
      <c r="Q22" s="418"/>
      <c r="R22" s="418"/>
      <c r="S22" s="418"/>
    </row>
    <row r="23" spans="1:19" ht="44.55">
      <c r="A23" s="413">
        <f>A22</f>
        <v>32</v>
      </c>
      <c r="B23" s="413" t="s">
        <v>517</v>
      </c>
      <c r="C23" s="415" t="s">
        <v>747</v>
      </c>
      <c r="D23" s="414"/>
      <c r="E23" s="415" t="s">
        <v>760</v>
      </c>
      <c r="F23" s="416">
        <v>1.02</v>
      </c>
      <c r="G23" s="419"/>
      <c r="H23" s="416">
        <f t="shared" si="4"/>
        <v>1.02</v>
      </c>
      <c r="I23" s="409">
        <f t="shared" si="5"/>
        <v>32.64</v>
      </c>
      <c r="J23" s="204"/>
      <c r="M23" s="418"/>
      <c r="N23" s="418"/>
      <c r="O23" s="418">
        <f t="shared" si="8"/>
        <v>32.64</v>
      </c>
      <c r="P23" s="418"/>
      <c r="Q23" s="418"/>
      <c r="R23" s="418"/>
      <c r="S23" s="418"/>
    </row>
    <row r="24" spans="1:19" ht="44.55">
      <c r="A24" s="413">
        <v>3</v>
      </c>
      <c r="B24" s="413" t="s">
        <v>551</v>
      </c>
      <c r="C24" s="420" t="s">
        <v>552</v>
      </c>
      <c r="D24" s="413" t="s">
        <v>553</v>
      </c>
      <c r="E24" s="420" t="s">
        <v>554</v>
      </c>
      <c r="F24" s="421">
        <v>100</v>
      </c>
      <c r="G24" s="426"/>
      <c r="H24" s="425">
        <f t="shared" si="4"/>
        <v>100</v>
      </c>
      <c r="I24" s="409">
        <f t="shared" si="5"/>
        <v>300</v>
      </c>
      <c r="J24" s="204"/>
      <c r="K24" s="17" t="s">
        <v>555</v>
      </c>
      <c r="M24" s="418"/>
      <c r="N24" s="418"/>
      <c r="O24" s="418">
        <f t="shared" si="8"/>
        <v>300</v>
      </c>
      <c r="P24" s="418"/>
      <c r="Q24" s="418"/>
      <c r="R24" s="418"/>
      <c r="S24" s="418"/>
    </row>
    <row r="25" spans="1:19" ht="33.4">
      <c r="A25" s="413">
        <v>34</v>
      </c>
      <c r="B25" s="413" t="s">
        <v>517</v>
      </c>
      <c r="C25" s="420" t="s">
        <v>540</v>
      </c>
      <c r="D25" s="413" t="s">
        <v>761</v>
      </c>
      <c r="E25" s="420" t="s">
        <v>762</v>
      </c>
      <c r="F25" s="421">
        <v>2.5</v>
      </c>
      <c r="G25" s="410"/>
      <c r="H25" s="409">
        <f t="shared" si="4"/>
        <v>2.5</v>
      </c>
      <c r="I25" s="409">
        <f t="shared" si="5"/>
        <v>85</v>
      </c>
      <c r="J25" s="204"/>
      <c r="M25" s="418"/>
      <c r="N25" s="418"/>
      <c r="O25" s="418"/>
      <c r="P25" s="418"/>
      <c r="Q25" s="418"/>
      <c r="R25" s="418">
        <f t="shared" si="6"/>
        <v>85</v>
      </c>
      <c r="S25" s="418"/>
    </row>
    <row r="26" spans="1:19" ht="35.85" customHeight="1">
      <c r="A26" s="413">
        <v>1</v>
      </c>
      <c r="B26" s="414" t="s">
        <v>505</v>
      </c>
      <c r="C26" s="415" t="s">
        <v>747</v>
      </c>
      <c r="D26" s="414"/>
      <c r="E26" s="415" t="s">
        <v>763</v>
      </c>
      <c r="F26" s="416">
        <v>887.09</v>
      </c>
      <c r="G26" s="419"/>
      <c r="H26" s="416">
        <f t="shared" si="4"/>
        <v>887.09</v>
      </c>
      <c r="I26" s="409">
        <f t="shared" si="5"/>
        <v>887.09</v>
      </c>
      <c r="J26" s="1054"/>
      <c r="K26" s="1054"/>
      <c r="L26" s="1054"/>
      <c r="M26" s="418"/>
      <c r="N26" s="418"/>
      <c r="O26" s="418"/>
      <c r="P26" s="418"/>
      <c r="Q26" s="418"/>
      <c r="R26" s="418">
        <f t="shared" si="6"/>
        <v>887.09</v>
      </c>
      <c r="S26" s="418"/>
    </row>
    <row r="27" spans="1:19" ht="35.85" customHeight="1">
      <c r="A27" s="413">
        <v>1</v>
      </c>
      <c r="B27" s="414" t="s">
        <v>505</v>
      </c>
      <c r="C27" s="415" t="s">
        <v>747</v>
      </c>
      <c r="D27" s="414"/>
      <c r="E27" s="415" t="s">
        <v>764</v>
      </c>
      <c r="F27" s="416">
        <v>20.2</v>
      </c>
      <c r="G27" s="419"/>
      <c r="H27" s="416">
        <f t="shared" si="4"/>
        <v>20.2</v>
      </c>
      <c r="I27" s="409">
        <f t="shared" si="5"/>
        <v>20.2</v>
      </c>
      <c r="J27" s="1054"/>
      <c r="K27" s="1054"/>
      <c r="L27" s="1054"/>
      <c r="M27" s="418"/>
      <c r="N27" s="418"/>
      <c r="O27" s="418"/>
      <c r="P27" s="418"/>
      <c r="Q27" s="418"/>
      <c r="R27" s="418">
        <f t="shared" si="6"/>
        <v>20.2</v>
      </c>
      <c r="S27" s="418"/>
    </row>
    <row r="28" spans="1:19" ht="35.85" customHeight="1">
      <c r="A28" s="413">
        <v>1</v>
      </c>
      <c r="B28" s="414" t="s">
        <v>522</v>
      </c>
      <c r="C28" s="415" t="s">
        <v>747</v>
      </c>
      <c r="D28" s="414"/>
      <c r="E28" s="415" t="s">
        <v>765</v>
      </c>
      <c r="F28" s="416">
        <v>19.14</v>
      </c>
      <c r="G28" s="419"/>
      <c r="H28" s="416">
        <f t="shared" si="4"/>
        <v>19.14</v>
      </c>
      <c r="I28" s="409">
        <f t="shared" si="5"/>
        <v>19.14</v>
      </c>
      <c r="J28" s="1054"/>
      <c r="K28" s="1054"/>
      <c r="L28" s="1054"/>
      <c r="M28" s="418"/>
      <c r="N28" s="418"/>
      <c r="O28" s="418"/>
      <c r="P28" s="418"/>
      <c r="Q28" s="418"/>
      <c r="R28" s="418">
        <f t="shared" si="6"/>
        <v>19.14</v>
      </c>
      <c r="S28" s="418"/>
    </row>
    <row r="29" spans="1:19" ht="35.85" customHeight="1">
      <c r="A29" s="413">
        <v>1</v>
      </c>
      <c r="B29" s="414" t="s">
        <v>522</v>
      </c>
      <c r="C29" s="415" t="s">
        <v>747</v>
      </c>
      <c r="D29" s="414"/>
      <c r="E29" s="415" t="s">
        <v>766</v>
      </c>
      <c r="F29" s="416">
        <v>19.809999999999999</v>
      </c>
      <c r="G29" s="419"/>
      <c r="H29" s="416">
        <f t="shared" si="4"/>
        <v>19.809999999999999</v>
      </c>
      <c r="I29" s="409">
        <f t="shared" si="5"/>
        <v>19.809999999999999</v>
      </c>
      <c r="J29" s="1054"/>
      <c r="K29" s="1054"/>
      <c r="L29" s="1054"/>
      <c r="M29" s="418"/>
      <c r="N29" s="418"/>
      <c r="O29" s="418"/>
      <c r="P29" s="418"/>
      <c r="Q29" s="418"/>
      <c r="R29" s="418">
        <f t="shared" si="6"/>
        <v>19.809999999999999</v>
      </c>
      <c r="S29" s="418"/>
    </row>
    <row r="30" spans="1:19" ht="35.85" customHeight="1">
      <c r="A30" s="413">
        <v>1</v>
      </c>
      <c r="B30" s="414" t="s">
        <v>522</v>
      </c>
      <c r="C30" s="415" t="s">
        <v>747</v>
      </c>
      <c r="D30" s="414"/>
      <c r="E30" s="415" t="s">
        <v>767</v>
      </c>
      <c r="F30" s="416">
        <v>133.46</v>
      </c>
      <c r="G30" s="419"/>
      <c r="H30" s="416">
        <f t="shared" si="4"/>
        <v>133.46</v>
      </c>
      <c r="I30" s="409">
        <f t="shared" si="5"/>
        <v>133.46</v>
      </c>
      <c r="J30" s="1054"/>
      <c r="K30" s="1054"/>
      <c r="L30" s="1054"/>
      <c r="M30" s="418"/>
      <c r="N30" s="418"/>
      <c r="O30" s="418"/>
      <c r="P30" s="418"/>
      <c r="Q30" s="418"/>
      <c r="R30" s="418">
        <f t="shared" si="6"/>
        <v>133.46</v>
      </c>
      <c r="S30" s="418"/>
    </row>
    <row r="31" spans="1:19" ht="35.85" customHeight="1">
      <c r="A31" s="413"/>
      <c r="B31" s="414"/>
      <c r="C31" s="415"/>
      <c r="D31" s="414"/>
      <c r="E31" s="415"/>
      <c r="F31" s="416"/>
      <c r="G31" s="419"/>
      <c r="H31" s="416"/>
      <c r="I31" s="409"/>
      <c r="J31" s="427"/>
      <c r="K31" s="427"/>
      <c r="L31" s="427"/>
      <c r="M31" s="418"/>
      <c r="N31" s="418"/>
      <c r="O31" s="418"/>
      <c r="P31" s="418"/>
      <c r="Q31" s="418"/>
      <c r="R31" s="418"/>
      <c r="S31" s="418"/>
    </row>
    <row r="32" spans="1:19" ht="22.25">
      <c r="A32" s="407">
        <v>1</v>
      </c>
      <c r="B32" s="413" t="s">
        <v>563</v>
      </c>
      <c r="C32" s="420" t="s">
        <v>545</v>
      </c>
      <c r="D32" s="413"/>
      <c r="E32" s="420" t="s">
        <v>564</v>
      </c>
      <c r="F32" s="421">
        <v>47.85</v>
      </c>
      <c r="G32" s="410"/>
      <c r="H32" s="409">
        <f t="shared" si="4"/>
        <v>47.85</v>
      </c>
      <c r="I32" s="409">
        <f t="shared" si="5"/>
        <v>47.85</v>
      </c>
      <c r="J32" s="204"/>
      <c r="K32" s="17" t="s">
        <v>565</v>
      </c>
      <c r="M32" s="418"/>
      <c r="N32" s="418"/>
      <c r="O32" s="418">
        <f t="shared" si="8"/>
        <v>47.85</v>
      </c>
      <c r="P32" s="418"/>
      <c r="Q32" s="418"/>
      <c r="R32" s="418"/>
      <c r="S32" s="418"/>
    </row>
    <row r="33" spans="1:19" ht="22.25">
      <c r="A33" s="407">
        <v>1</v>
      </c>
      <c r="B33" s="407" t="s">
        <v>522</v>
      </c>
      <c r="C33" s="408" t="s">
        <v>531</v>
      </c>
      <c r="D33" s="407"/>
      <c r="E33" s="420" t="s">
        <v>566</v>
      </c>
      <c r="F33" s="409">
        <v>100</v>
      </c>
      <c r="G33" s="410"/>
      <c r="H33" s="409">
        <f t="shared" si="4"/>
        <v>100</v>
      </c>
      <c r="I33" s="409">
        <f t="shared" si="5"/>
        <v>100</v>
      </c>
      <c r="J33" s="204"/>
      <c r="M33" s="418"/>
      <c r="N33" s="418"/>
      <c r="O33" s="418">
        <f t="shared" si="8"/>
        <v>100</v>
      </c>
      <c r="P33" s="418"/>
      <c r="Q33" s="418"/>
      <c r="R33" s="418"/>
      <c r="S33" s="418"/>
    </row>
    <row r="34" spans="1:19" ht="22.25">
      <c r="A34" s="488">
        <v>1</v>
      </c>
      <c r="B34" s="488" t="s">
        <v>517</v>
      </c>
      <c r="C34" s="489" t="s">
        <v>540</v>
      </c>
      <c r="D34" s="488" t="s">
        <v>769</v>
      </c>
      <c r="E34" s="489" t="s">
        <v>567</v>
      </c>
      <c r="F34" s="490">
        <v>750</v>
      </c>
      <c r="G34" s="410"/>
      <c r="H34" s="409">
        <f t="shared" si="4"/>
        <v>750</v>
      </c>
      <c r="I34" s="409">
        <f t="shared" si="5"/>
        <v>750</v>
      </c>
      <c r="J34" s="204"/>
      <c r="M34" s="418">
        <f>F34</f>
        <v>750</v>
      </c>
      <c r="N34" s="418"/>
      <c r="O34" s="418"/>
      <c r="P34" s="418"/>
      <c r="Q34" s="418"/>
      <c r="R34" s="418"/>
      <c r="S34" s="418"/>
    </row>
    <row r="35" spans="1:19" ht="44.55">
      <c r="A35" s="413">
        <v>30</v>
      </c>
      <c r="B35" s="413" t="s">
        <v>539</v>
      </c>
      <c r="C35" s="420" t="s">
        <v>552</v>
      </c>
      <c r="D35" s="413"/>
      <c r="E35" s="420" t="s">
        <v>1380</v>
      </c>
      <c r="F35" s="421">
        <f>23.27/1.2</f>
        <v>19.391666666666666</v>
      </c>
      <c r="G35" s="410"/>
      <c r="H35" s="430">
        <f t="shared" si="4"/>
        <v>19.391666666666666</v>
      </c>
      <c r="I35" s="409">
        <f t="shared" si="5"/>
        <v>581.75</v>
      </c>
      <c r="J35" s="204"/>
      <c r="M35" s="418"/>
      <c r="N35" s="418"/>
      <c r="O35" s="418">
        <f t="shared" si="8"/>
        <v>581.75</v>
      </c>
      <c r="P35" s="418"/>
      <c r="Q35" s="418"/>
      <c r="R35" s="418"/>
      <c r="S35" s="418"/>
    </row>
    <row r="36" spans="1:19" ht="44.55">
      <c r="A36" s="407">
        <v>0</v>
      </c>
      <c r="B36" s="407" t="s">
        <v>517</v>
      </c>
      <c r="C36" s="408" t="s">
        <v>569</v>
      </c>
      <c r="D36" s="407" t="s">
        <v>570</v>
      </c>
      <c r="E36" s="408" t="s">
        <v>571</v>
      </c>
      <c r="F36" s="409">
        <v>1040</v>
      </c>
      <c r="G36" s="429">
        <v>0.48</v>
      </c>
      <c r="H36" s="430">
        <f t="shared" si="4"/>
        <v>540.80000000000007</v>
      </c>
      <c r="I36" s="409">
        <f t="shared" si="5"/>
        <v>0</v>
      </c>
      <c r="J36" s="204"/>
      <c r="M36" s="418"/>
      <c r="N36" s="418"/>
      <c r="O36" s="418"/>
      <c r="P36" s="418"/>
      <c r="Q36" s="418"/>
      <c r="R36" s="418"/>
      <c r="S36" s="418">
        <f t="shared" ref="S36:S40" si="9">I36</f>
        <v>0</v>
      </c>
    </row>
    <row r="37" spans="1:19" ht="44.55">
      <c r="A37" s="407">
        <v>1</v>
      </c>
      <c r="B37" s="407" t="s">
        <v>517</v>
      </c>
      <c r="C37" s="492" t="s">
        <v>569</v>
      </c>
      <c r="D37" s="487" t="s">
        <v>572</v>
      </c>
      <c r="E37" s="492" t="s">
        <v>573</v>
      </c>
      <c r="F37" s="430">
        <v>1190</v>
      </c>
      <c r="G37" s="429">
        <v>0.48</v>
      </c>
      <c r="H37" s="430">
        <f t="shared" si="4"/>
        <v>618.80000000000007</v>
      </c>
      <c r="I37" s="409">
        <f t="shared" si="5"/>
        <v>618.80000000000007</v>
      </c>
      <c r="J37" s="204"/>
      <c r="M37" s="418"/>
      <c r="N37" s="418"/>
      <c r="O37" s="418"/>
      <c r="P37" s="418"/>
      <c r="Q37" s="418"/>
      <c r="R37" s="418"/>
      <c r="S37" s="418">
        <f t="shared" si="9"/>
        <v>618.80000000000007</v>
      </c>
    </row>
    <row r="38" spans="1:19">
      <c r="A38" s="407">
        <v>3</v>
      </c>
      <c r="B38" s="407" t="s">
        <v>517</v>
      </c>
      <c r="C38" s="408" t="s">
        <v>574</v>
      </c>
      <c r="D38" s="407" t="s">
        <v>575</v>
      </c>
      <c r="E38" s="407" t="s">
        <v>576</v>
      </c>
      <c r="F38" s="409">
        <v>36.700000000000003</v>
      </c>
      <c r="G38" s="410"/>
      <c r="H38" s="409">
        <f t="shared" si="4"/>
        <v>36.700000000000003</v>
      </c>
      <c r="I38" s="409">
        <f t="shared" si="5"/>
        <v>110.10000000000001</v>
      </c>
      <c r="J38" s="204"/>
      <c r="M38" s="418"/>
      <c r="N38" s="418"/>
      <c r="O38" s="418"/>
      <c r="P38" s="418"/>
      <c r="Q38" s="418"/>
      <c r="R38" s="418"/>
      <c r="S38" s="418">
        <f t="shared" si="9"/>
        <v>110.10000000000001</v>
      </c>
    </row>
    <row r="39" spans="1:19">
      <c r="A39" s="407">
        <v>5</v>
      </c>
      <c r="B39" s="407" t="s">
        <v>517</v>
      </c>
      <c r="C39" s="408" t="s">
        <v>574</v>
      </c>
      <c r="D39" s="407" t="s">
        <v>577</v>
      </c>
      <c r="E39" s="407" t="s">
        <v>578</v>
      </c>
      <c r="F39" s="409">
        <v>75</v>
      </c>
      <c r="G39" s="410"/>
      <c r="H39" s="409">
        <f t="shared" si="4"/>
        <v>75</v>
      </c>
      <c r="I39" s="409">
        <f t="shared" si="5"/>
        <v>375</v>
      </c>
      <c r="J39" s="204"/>
      <c r="M39" s="418"/>
      <c r="N39" s="418"/>
      <c r="O39" s="418"/>
      <c r="P39" s="418"/>
      <c r="Q39" s="418"/>
      <c r="R39" s="418"/>
      <c r="S39" s="418">
        <f t="shared" si="9"/>
        <v>375</v>
      </c>
    </row>
    <row r="40" spans="1:19">
      <c r="A40" s="407">
        <v>1</v>
      </c>
      <c r="B40" s="407" t="s">
        <v>517</v>
      </c>
      <c r="C40" s="408" t="s">
        <v>574</v>
      </c>
      <c r="D40" s="407"/>
      <c r="E40" s="407" t="s">
        <v>579</v>
      </c>
      <c r="F40" s="409">
        <f>35/4</f>
        <v>8.75</v>
      </c>
      <c r="G40" s="410"/>
      <c r="H40" s="409">
        <f t="shared" si="4"/>
        <v>8.75</v>
      </c>
      <c r="I40" s="409">
        <f t="shared" si="5"/>
        <v>8.75</v>
      </c>
      <c r="J40" s="204"/>
      <c r="M40" s="418"/>
      <c r="N40" s="418"/>
      <c r="O40" s="418"/>
      <c r="P40" s="418"/>
      <c r="Q40" s="418"/>
      <c r="R40" s="418"/>
      <c r="S40" s="418">
        <f t="shared" si="9"/>
        <v>8.75</v>
      </c>
    </row>
    <row r="41" spans="1:19" ht="12.45">
      <c r="A41" s="407"/>
      <c r="B41" s="407"/>
      <c r="C41" s="408"/>
      <c r="D41" s="407"/>
      <c r="E41" s="431"/>
      <c r="F41" s="409"/>
      <c r="G41" s="410"/>
      <c r="H41" s="409"/>
      <c r="I41" s="409"/>
      <c r="J41" s="204"/>
      <c r="M41" s="418"/>
      <c r="N41" s="418"/>
      <c r="O41" s="418"/>
      <c r="P41" s="418"/>
      <c r="Q41" s="418"/>
      <c r="R41" s="418"/>
      <c r="S41" s="418"/>
    </row>
    <row r="42" spans="1:19">
      <c r="A42" s="407"/>
      <c r="B42" s="407"/>
      <c r="C42" s="408"/>
      <c r="D42" s="407"/>
      <c r="E42" s="407"/>
      <c r="F42" s="409"/>
      <c r="G42" s="410"/>
      <c r="H42" s="409"/>
      <c r="I42" s="409"/>
      <c r="J42" s="204"/>
      <c r="M42" s="418"/>
      <c r="N42" s="418"/>
      <c r="O42" s="418"/>
      <c r="P42" s="418"/>
      <c r="Q42" s="418"/>
      <c r="R42" s="418"/>
      <c r="S42" s="418"/>
    </row>
    <row r="43" spans="1:19">
      <c r="A43" s="407"/>
      <c r="B43" s="407"/>
      <c r="C43" s="408"/>
      <c r="D43" s="407"/>
      <c r="E43" s="432" t="s">
        <v>580</v>
      </c>
      <c r="F43" s="409"/>
      <c r="G43" s="410"/>
      <c r="H43" s="409"/>
      <c r="I43" s="421">
        <f>SUM(I4:I41)</f>
        <v>83319.51351199999</v>
      </c>
      <c r="J43" s="204"/>
      <c r="M43" s="418">
        <f>SUM(M4:M41)</f>
        <v>63237.259999999995</v>
      </c>
      <c r="N43" s="418">
        <f>SUM(N4:N41)</f>
        <v>8053.1100000000006</v>
      </c>
      <c r="O43" s="418">
        <f>SUM(O4:O41)</f>
        <v>4245.5035120000002</v>
      </c>
      <c r="P43" s="418"/>
      <c r="Q43" s="418"/>
      <c r="R43" s="418">
        <f>SUM(R4:R41)</f>
        <v>6670.9900000000007</v>
      </c>
      <c r="S43" s="418">
        <f>SUM(S4:S41)</f>
        <v>1112.6500000000001</v>
      </c>
    </row>
    <row r="44" spans="1:19">
      <c r="A44" s="407"/>
      <c r="B44" s="407"/>
      <c r="C44" s="408"/>
      <c r="D44" s="407"/>
      <c r="E44" s="413" t="s">
        <v>581</v>
      </c>
      <c r="F44" s="409"/>
      <c r="G44" s="410">
        <v>0.25</v>
      </c>
      <c r="H44" s="409"/>
      <c r="I44" s="421"/>
      <c r="J44" s="204"/>
      <c r="M44" s="418"/>
      <c r="N44" s="418"/>
      <c r="O44" s="418"/>
      <c r="P44" s="418"/>
      <c r="Q44" s="418"/>
      <c r="R44" s="418"/>
      <c r="S44" s="418"/>
    </row>
    <row r="45" spans="1:19" ht="15.75">
      <c r="E45" s="433" t="s">
        <v>582</v>
      </c>
      <c r="F45" s="418"/>
      <c r="G45" s="434"/>
      <c r="H45" s="418"/>
      <c r="I45" s="435">
        <f>I43*(1+$G$44)</f>
        <v>104149.39188999998</v>
      </c>
      <c r="J45" s="436"/>
      <c r="K45" s="437"/>
      <c r="L45" s="437"/>
      <c r="M45" s="438">
        <f>M43*(1+$G$44)</f>
        <v>79046.574999999997</v>
      </c>
      <c r="N45" s="438">
        <f>N43*(1+$G$44)</f>
        <v>10066.387500000001</v>
      </c>
      <c r="O45" s="438">
        <f>O43*(1+$G$44)</f>
        <v>5306.8793900000001</v>
      </c>
      <c r="P45" s="438">
        <f>P82</f>
        <v>19480</v>
      </c>
      <c r="Q45" s="438">
        <f>Q142</f>
        <v>37794.339999999997</v>
      </c>
      <c r="R45" s="438">
        <f>R43*(1+$G$44)</f>
        <v>8338.7375000000011</v>
      </c>
      <c r="S45" s="438">
        <f>S43*(1+$G$44)</f>
        <v>1390.8125</v>
      </c>
    </row>
    <row r="51" spans="1:10" ht="33.4">
      <c r="B51" s="204" t="s">
        <v>583</v>
      </c>
      <c r="C51" s="204" t="s">
        <v>584</v>
      </c>
      <c r="E51" s="439" t="s">
        <v>585</v>
      </c>
    </row>
    <row r="52" spans="1:10">
      <c r="A52" s="440">
        <f t="shared" ref="A52:A73" si="10">B52*C52</f>
        <v>16</v>
      </c>
      <c r="B52" s="441">
        <v>16</v>
      </c>
      <c r="C52" s="493">
        <v>1</v>
      </c>
      <c r="E52" s="17" t="s">
        <v>586</v>
      </c>
      <c r="F52" s="403">
        <f t="shared" ref="F52:F73" si="11">F$77</f>
        <v>55</v>
      </c>
      <c r="H52" s="403">
        <f t="shared" si="4"/>
        <v>55</v>
      </c>
      <c r="I52" s="403">
        <f t="shared" ref="I52:I79" si="12">A52*H52</f>
        <v>880</v>
      </c>
    </row>
    <row r="53" spans="1:10">
      <c r="A53" s="440">
        <f t="shared" si="10"/>
        <v>58.199999999999996</v>
      </c>
      <c r="B53" s="441">
        <v>0.15</v>
      </c>
      <c r="C53" s="493">
        <f>A6</f>
        <v>388</v>
      </c>
      <c r="D53" s="17" t="s">
        <v>588</v>
      </c>
      <c r="E53" s="17" t="s">
        <v>589</v>
      </c>
      <c r="F53" s="403">
        <f t="shared" si="11"/>
        <v>55</v>
      </c>
      <c r="H53" s="403">
        <f t="shared" si="4"/>
        <v>55</v>
      </c>
      <c r="I53" s="403">
        <f t="shared" si="12"/>
        <v>3200.9999999999995</v>
      </c>
      <c r="J53" s="17" t="s">
        <v>592</v>
      </c>
    </row>
    <row r="54" spans="1:10">
      <c r="A54" s="440">
        <f t="shared" si="10"/>
        <v>135.79999999999998</v>
      </c>
      <c r="B54" s="441">
        <v>0.35</v>
      </c>
      <c r="C54" s="493">
        <f>A6</f>
        <v>388</v>
      </c>
      <c r="D54" s="17" t="s">
        <v>588</v>
      </c>
      <c r="E54" s="17" t="s">
        <v>591</v>
      </c>
      <c r="F54" s="403">
        <f t="shared" si="11"/>
        <v>55</v>
      </c>
      <c r="H54" s="403">
        <f t="shared" si="4"/>
        <v>55</v>
      </c>
      <c r="I54" s="403">
        <f t="shared" si="12"/>
        <v>7468.9999999999991</v>
      </c>
      <c r="J54" s="17" t="s">
        <v>592</v>
      </c>
    </row>
    <row r="55" spans="1:10">
      <c r="A55" s="440">
        <f t="shared" si="10"/>
        <v>2.8000000000000003</v>
      </c>
      <c r="B55" s="441">
        <v>0.04</v>
      </c>
      <c r="C55" s="493">
        <v>70</v>
      </c>
      <c r="D55" s="17" t="s">
        <v>539</v>
      </c>
      <c r="E55" s="17" t="s">
        <v>593</v>
      </c>
      <c r="H55" s="403"/>
      <c r="I55" s="403"/>
    </row>
    <row r="56" spans="1:10">
      <c r="A56" s="440">
        <f t="shared" si="10"/>
        <v>2.8000000000000003</v>
      </c>
      <c r="B56" s="441">
        <v>0.04</v>
      </c>
      <c r="C56" s="493">
        <v>70</v>
      </c>
      <c r="D56" s="17" t="s">
        <v>539</v>
      </c>
      <c r="E56" s="17" t="s">
        <v>594</v>
      </c>
      <c r="H56" s="403"/>
      <c r="I56" s="403"/>
    </row>
    <row r="57" spans="1:10">
      <c r="A57" s="440">
        <f t="shared" si="10"/>
        <v>30.288000000000004</v>
      </c>
      <c r="B57" s="441">
        <v>0.02</v>
      </c>
      <c r="C57" s="493">
        <f>A19+A20+A21+A24*100</f>
        <v>1514.4</v>
      </c>
      <c r="D57" s="17" t="s">
        <v>539</v>
      </c>
      <c r="E57" s="17" t="s">
        <v>595</v>
      </c>
      <c r="H57" s="403"/>
      <c r="I57" s="403"/>
    </row>
    <row r="58" spans="1:10">
      <c r="A58" s="440">
        <f t="shared" si="10"/>
        <v>8.16</v>
      </c>
      <c r="B58" s="441">
        <f>2*0.17</f>
        <v>0.34</v>
      </c>
      <c r="C58" s="493">
        <f>4+5*4</f>
        <v>24</v>
      </c>
      <c r="D58" s="17" t="s">
        <v>596</v>
      </c>
      <c r="E58" s="17" t="s">
        <v>597</v>
      </c>
      <c r="H58" s="403"/>
      <c r="I58" s="403"/>
    </row>
    <row r="59" spans="1:10">
      <c r="A59" s="440">
        <f t="shared" si="10"/>
        <v>1.2000000000000002</v>
      </c>
      <c r="B59" s="441">
        <v>0.4</v>
      </c>
      <c r="C59" s="493">
        <v>3</v>
      </c>
      <c r="D59" s="17" t="s">
        <v>599</v>
      </c>
      <c r="E59" s="17" t="s">
        <v>600</v>
      </c>
      <c r="H59" s="403"/>
      <c r="I59" s="403"/>
    </row>
    <row r="60" spans="1:10">
      <c r="A60" s="440">
        <f t="shared" si="10"/>
        <v>2</v>
      </c>
      <c r="B60" s="441">
        <v>2</v>
      </c>
      <c r="C60" s="493">
        <v>1</v>
      </c>
      <c r="E60" s="17" t="s">
        <v>601</v>
      </c>
      <c r="H60" s="403"/>
      <c r="I60" s="403"/>
    </row>
    <row r="61" spans="1:10">
      <c r="A61" s="440">
        <f t="shared" si="10"/>
        <v>6.6000000000000005</v>
      </c>
      <c r="B61" s="441">
        <f>0.5+10*0.15+2*0.1</f>
        <v>2.2000000000000002</v>
      </c>
      <c r="C61" s="493">
        <v>3</v>
      </c>
      <c r="E61" s="17" t="s">
        <v>602</v>
      </c>
      <c r="F61" s="403">
        <f t="shared" si="11"/>
        <v>55</v>
      </c>
      <c r="H61" s="403">
        <f t="shared" si="4"/>
        <v>55</v>
      </c>
      <c r="I61" s="403">
        <f t="shared" si="12"/>
        <v>363.00000000000006</v>
      </c>
    </row>
    <row r="62" spans="1:10">
      <c r="A62" s="440">
        <f t="shared" si="10"/>
        <v>0</v>
      </c>
      <c r="B62" s="441">
        <f>0.5+4*0.15</f>
        <v>1.1000000000000001</v>
      </c>
      <c r="C62" s="493">
        <v>0</v>
      </c>
      <c r="E62" s="17" t="s">
        <v>776</v>
      </c>
      <c r="F62" s="403">
        <f t="shared" si="11"/>
        <v>55</v>
      </c>
      <c r="H62" s="403">
        <f t="shared" si="4"/>
        <v>55</v>
      </c>
      <c r="I62" s="403">
        <f t="shared" si="12"/>
        <v>0</v>
      </c>
    </row>
    <row r="63" spans="1:10">
      <c r="A63" s="440">
        <f t="shared" si="10"/>
        <v>5.333333333333333</v>
      </c>
      <c r="B63" s="441">
        <f>8/6</f>
        <v>1.3333333333333333</v>
      </c>
      <c r="C63" s="493">
        <v>4</v>
      </c>
      <c r="D63" s="17" t="s">
        <v>604</v>
      </c>
      <c r="E63" s="17" t="s">
        <v>605</v>
      </c>
      <c r="F63" s="403">
        <f t="shared" si="11"/>
        <v>55</v>
      </c>
      <c r="H63" s="403">
        <f t="shared" si="4"/>
        <v>55</v>
      </c>
      <c r="I63" s="403">
        <f t="shared" si="12"/>
        <v>293.33333333333331</v>
      </c>
      <c r="J63" s="17" t="s">
        <v>777</v>
      </c>
    </row>
    <row r="64" spans="1:10">
      <c r="A64" s="440">
        <f t="shared" si="10"/>
        <v>4</v>
      </c>
      <c r="B64" s="441">
        <v>4</v>
      </c>
      <c r="C64" s="493">
        <v>1</v>
      </c>
      <c r="E64" s="17" t="s">
        <v>606</v>
      </c>
      <c r="H64" s="403"/>
      <c r="I64" s="403"/>
    </row>
    <row r="65" spans="1:10">
      <c r="A65" s="440">
        <f t="shared" si="10"/>
        <v>4</v>
      </c>
      <c r="B65" s="441">
        <v>2</v>
      </c>
      <c r="C65" s="493">
        <v>2</v>
      </c>
      <c r="E65" s="17" t="s">
        <v>607</v>
      </c>
      <c r="F65" s="403">
        <f t="shared" si="11"/>
        <v>55</v>
      </c>
      <c r="H65" s="403">
        <f t="shared" si="4"/>
        <v>55</v>
      </c>
      <c r="I65" s="403">
        <f t="shared" si="12"/>
        <v>220</v>
      </c>
      <c r="J65" s="17" t="s">
        <v>778</v>
      </c>
    </row>
    <row r="66" spans="1:10">
      <c r="A66" s="440">
        <f t="shared" si="10"/>
        <v>0.93000000000000016</v>
      </c>
      <c r="B66" s="441">
        <f>0.33+6*0.1</f>
        <v>0.93000000000000016</v>
      </c>
      <c r="C66" s="493">
        <v>1</v>
      </c>
      <c r="E66" s="17" t="s">
        <v>609</v>
      </c>
      <c r="F66" s="403">
        <f t="shared" si="11"/>
        <v>55</v>
      </c>
      <c r="H66" s="403">
        <f t="shared" si="4"/>
        <v>55</v>
      </c>
      <c r="I66" s="403">
        <f t="shared" si="12"/>
        <v>51.150000000000006</v>
      </c>
    </row>
    <row r="67" spans="1:10">
      <c r="A67" s="440">
        <f t="shared" si="10"/>
        <v>0.68</v>
      </c>
      <c r="B67" s="441">
        <v>0.17</v>
      </c>
      <c r="C67" s="493">
        <v>4</v>
      </c>
      <c r="E67" s="17" t="s">
        <v>610</v>
      </c>
      <c r="F67" s="403">
        <f t="shared" si="11"/>
        <v>55</v>
      </c>
      <c r="H67" s="403">
        <f t="shared" si="4"/>
        <v>55</v>
      </c>
      <c r="I67" s="403">
        <f t="shared" si="12"/>
        <v>37.400000000000006</v>
      </c>
    </row>
    <row r="68" spans="1:10">
      <c r="A68" s="440">
        <f t="shared" si="10"/>
        <v>1</v>
      </c>
      <c r="B68" s="441">
        <v>0.5</v>
      </c>
      <c r="C68" s="493">
        <v>2</v>
      </c>
      <c r="E68" s="17" t="s">
        <v>611</v>
      </c>
      <c r="F68" s="403">
        <f t="shared" si="11"/>
        <v>55</v>
      </c>
      <c r="H68" s="403">
        <f t="shared" si="4"/>
        <v>55</v>
      </c>
      <c r="I68" s="403">
        <f t="shared" si="12"/>
        <v>55</v>
      </c>
    </row>
    <row r="69" spans="1:10">
      <c r="A69" s="440">
        <f t="shared" si="10"/>
        <v>1</v>
      </c>
      <c r="B69" s="441">
        <v>1</v>
      </c>
      <c r="C69" s="493">
        <v>1</v>
      </c>
      <c r="E69" s="17" t="s">
        <v>612</v>
      </c>
      <c r="F69" s="403">
        <f t="shared" si="11"/>
        <v>55</v>
      </c>
      <c r="H69" s="403">
        <f t="shared" si="4"/>
        <v>55</v>
      </c>
      <c r="I69" s="403">
        <f t="shared" si="12"/>
        <v>55</v>
      </c>
    </row>
    <row r="70" spans="1:10">
      <c r="A70" s="440">
        <f t="shared" si="10"/>
        <v>16</v>
      </c>
      <c r="B70" s="441">
        <v>16</v>
      </c>
      <c r="C70" s="493">
        <v>1</v>
      </c>
      <c r="E70" s="17" t="s">
        <v>614</v>
      </c>
      <c r="F70" s="403">
        <f t="shared" si="11"/>
        <v>55</v>
      </c>
      <c r="H70" s="403">
        <f t="shared" si="4"/>
        <v>55</v>
      </c>
      <c r="I70" s="403">
        <f t="shared" si="12"/>
        <v>880</v>
      </c>
    </row>
    <row r="71" spans="1:10">
      <c r="A71" s="440">
        <f t="shared" si="10"/>
        <v>4</v>
      </c>
      <c r="B71" s="441">
        <v>4</v>
      </c>
      <c r="C71" s="493">
        <v>1</v>
      </c>
      <c r="E71" s="17" t="s">
        <v>615</v>
      </c>
      <c r="F71" s="403">
        <f t="shared" si="11"/>
        <v>55</v>
      </c>
      <c r="H71" s="403">
        <f t="shared" si="4"/>
        <v>55</v>
      </c>
      <c r="I71" s="403">
        <f t="shared" si="12"/>
        <v>220</v>
      </c>
    </row>
    <row r="72" spans="1:10">
      <c r="A72" s="440">
        <f t="shared" si="10"/>
        <v>4</v>
      </c>
      <c r="B72" s="441">
        <v>4</v>
      </c>
      <c r="C72" s="493">
        <v>1</v>
      </c>
      <c r="E72" s="17" t="s">
        <v>616</v>
      </c>
      <c r="F72" s="403">
        <f t="shared" si="11"/>
        <v>55</v>
      </c>
      <c r="H72" s="403">
        <f t="shared" si="4"/>
        <v>55</v>
      </c>
      <c r="I72" s="403">
        <f t="shared" si="12"/>
        <v>220</v>
      </c>
    </row>
    <row r="73" spans="1:10">
      <c r="A73" s="440">
        <f t="shared" si="10"/>
        <v>7.5</v>
      </c>
      <c r="B73" s="441">
        <v>0.25</v>
      </c>
      <c r="C73" s="493">
        <v>30</v>
      </c>
      <c r="D73" s="494" t="s">
        <v>539</v>
      </c>
      <c r="E73" s="17" t="s">
        <v>617</v>
      </c>
      <c r="F73" s="443">
        <f t="shared" si="11"/>
        <v>55</v>
      </c>
      <c r="G73" s="444"/>
      <c r="H73" s="443">
        <f t="shared" si="4"/>
        <v>55</v>
      </c>
      <c r="I73" s="443">
        <f t="shared" si="12"/>
        <v>412.5</v>
      </c>
      <c r="J73" s="17" t="s">
        <v>618</v>
      </c>
    </row>
    <row r="75" spans="1:10">
      <c r="A75" s="17">
        <f>SUM(A52:A74)</f>
        <v>312.29133333333334</v>
      </c>
      <c r="B75" s="17" t="s">
        <v>619</v>
      </c>
      <c r="E75" s="17" t="s">
        <v>620</v>
      </c>
    </row>
    <row r="76" spans="1:10">
      <c r="A76" s="441">
        <v>3</v>
      </c>
      <c r="B76" s="17" t="s">
        <v>517</v>
      </c>
      <c r="E76" s="17" t="s">
        <v>621</v>
      </c>
    </row>
    <row r="77" spans="1:10">
      <c r="A77" s="17">
        <v>1</v>
      </c>
      <c r="B77" s="17" t="s">
        <v>517</v>
      </c>
      <c r="E77" s="17" t="s">
        <v>622</v>
      </c>
      <c r="F77" s="445">
        <v>55</v>
      </c>
      <c r="H77" s="403">
        <f t="shared" ref="H77:H78" si="13">F77*(1-G77)</f>
        <v>55</v>
      </c>
      <c r="I77" s="403">
        <f t="shared" si="12"/>
        <v>55</v>
      </c>
      <c r="J77" s="17" t="s">
        <v>623</v>
      </c>
    </row>
    <row r="78" spans="1:10">
      <c r="A78" s="17">
        <f>ROUNDUP(A75/8/A76,0)</f>
        <v>14</v>
      </c>
      <c r="B78" s="17" t="s">
        <v>624</v>
      </c>
      <c r="E78" s="17" t="s">
        <v>625</v>
      </c>
      <c r="F78" s="403">
        <f>A76*8*F77</f>
        <v>1320</v>
      </c>
      <c r="H78" s="403">
        <f t="shared" si="13"/>
        <v>1320</v>
      </c>
      <c r="I78" s="403">
        <f t="shared" si="12"/>
        <v>18480</v>
      </c>
    </row>
    <row r="79" spans="1:10">
      <c r="A79" s="441">
        <v>1</v>
      </c>
      <c r="B79" s="442" t="s">
        <v>517</v>
      </c>
      <c r="C79" s="446"/>
      <c r="D79" s="442"/>
      <c r="E79" s="442" t="s">
        <v>626</v>
      </c>
      <c r="F79" s="447">
        <v>500</v>
      </c>
      <c r="G79" s="444"/>
      <c r="H79" s="403">
        <v>1000</v>
      </c>
      <c r="I79" s="403">
        <f t="shared" si="12"/>
        <v>1000</v>
      </c>
      <c r="J79" s="17" t="s">
        <v>627</v>
      </c>
    </row>
    <row r="80" spans="1:10">
      <c r="A80" s="441"/>
      <c r="F80" s="447"/>
      <c r="H80" s="403"/>
      <c r="I80" s="403"/>
    </row>
    <row r="81" spans="1:16">
      <c r="A81" s="441"/>
      <c r="F81" s="447"/>
      <c r="H81" s="403"/>
      <c r="I81" s="403"/>
    </row>
    <row r="82" spans="1:16" ht="15.75">
      <c r="E82" s="439" t="s">
        <v>628</v>
      </c>
      <c r="I82" s="443">
        <f>SUM(I78:I81)</f>
        <v>19480</v>
      </c>
      <c r="P82" s="438">
        <f>I82</f>
        <v>19480</v>
      </c>
    </row>
    <row r="91" spans="1:16" ht="55">
      <c r="C91" s="448" t="s">
        <v>629</v>
      </c>
      <c r="D91" s="448"/>
      <c r="E91" s="449" t="s">
        <v>630</v>
      </c>
    </row>
    <row r="92" spans="1:16">
      <c r="D92" s="448"/>
      <c r="E92" s="449" t="s">
        <v>631</v>
      </c>
    </row>
    <row r="93" spans="1:16">
      <c r="D93" s="17" t="s">
        <v>632</v>
      </c>
      <c r="E93" s="450" t="s">
        <v>633</v>
      </c>
      <c r="G93" s="451">
        <v>0.4</v>
      </c>
    </row>
    <row r="94" spans="1:16">
      <c r="D94" s="17" t="s">
        <v>517</v>
      </c>
      <c r="E94" s="450" t="s">
        <v>634</v>
      </c>
      <c r="G94" s="451">
        <f>G93</f>
        <v>0.4</v>
      </c>
    </row>
    <row r="95" spans="1:16">
      <c r="D95" s="448"/>
      <c r="E95" s="449"/>
    </row>
    <row r="96" spans="1:16">
      <c r="E96" s="449" t="s">
        <v>635</v>
      </c>
    </row>
    <row r="97" spans="1:12" ht="24.9">
      <c r="A97" s="452">
        <v>0</v>
      </c>
      <c r="B97" s="453" t="s">
        <v>517</v>
      </c>
      <c r="C97" s="454" t="s">
        <v>538</v>
      </c>
      <c r="D97" s="455" t="s">
        <v>636</v>
      </c>
      <c r="E97" s="453" t="s">
        <v>637</v>
      </c>
      <c r="F97" s="456">
        <v>1849</v>
      </c>
      <c r="G97" s="457"/>
      <c r="H97" s="458">
        <f>F97*(1-$G$94)</f>
        <v>1109.3999999999999</v>
      </c>
      <c r="I97" s="458">
        <f t="shared" ref="I97:I105" si="14">A97*H97</f>
        <v>0</v>
      </c>
      <c r="J97" s="459" t="s">
        <v>638</v>
      </c>
      <c r="K97" s="460" t="s">
        <v>639</v>
      </c>
    </row>
    <row r="98" spans="1:12" ht="12.8" customHeight="1">
      <c r="A98" s="461">
        <v>0</v>
      </c>
      <c r="B98" s="453" t="s">
        <v>517</v>
      </c>
      <c r="C98" s="453" t="s">
        <v>538</v>
      </c>
      <c r="D98" s="462" t="s">
        <v>640</v>
      </c>
      <c r="E98" s="453" t="s">
        <v>641</v>
      </c>
      <c r="F98" s="463">
        <v>1949</v>
      </c>
      <c r="G98" s="457"/>
      <c r="H98" s="458">
        <f t="shared" ref="H98:H99" si="15">F98*(1-$G$93)</f>
        <v>1169.3999999999999</v>
      </c>
      <c r="I98" s="458">
        <f t="shared" si="14"/>
        <v>0</v>
      </c>
      <c r="J98" s="459" t="s">
        <v>638</v>
      </c>
      <c r="K98" s="1051" t="s">
        <v>642</v>
      </c>
    </row>
    <row r="99" spans="1:12" ht="24.9">
      <c r="A99" s="452">
        <v>0</v>
      </c>
      <c r="B99" s="453" t="s">
        <v>539</v>
      </c>
      <c r="C99" s="453" t="s">
        <v>538</v>
      </c>
      <c r="D99" s="462" t="s">
        <v>643</v>
      </c>
      <c r="E99" s="453" t="s">
        <v>641</v>
      </c>
      <c r="F99" s="463">
        <v>80</v>
      </c>
      <c r="G99" s="457"/>
      <c r="H99" s="458">
        <f t="shared" si="15"/>
        <v>48</v>
      </c>
      <c r="I99" s="458">
        <f t="shared" si="14"/>
        <v>0</v>
      </c>
      <c r="J99" s="459" t="s">
        <v>638</v>
      </c>
      <c r="K99" s="1051"/>
    </row>
    <row r="100" spans="1:12" ht="12.8" customHeight="1">
      <c r="A100" s="461">
        <v>0</v>
      </c>
      <c r="B100" s="453" t="s">
        <v>517</v>
      </c>
      <c r="C100" s="453" t="s">
        <v>538</v>
      </c>
      <c r="D100" s="464" t="s">
        <v>644</v>
      </c>
      <c r="E100" s="453" t="s">
        <v>645</v>
      </c>
      <c r="F100" s="463">
        <v>10051</v>
      </c>
      <c r="G100" s="457"/>
      <c r="H100" s="458">
        <f t="shared" ref="H100:H112" si="16">F100*(1-$G$93)</f>
        <v>6030.5999999999995</v>
      </c>
      <c r="I100" s="458">
        <f t="shared" si="14"/>
        <v>0</v>
      </c>
      <c r="J100" s="459" t="s">
        <v>638</v>
      </c>
      <c r="K100" s="1052" t="s">
        <v>646</v>
      </c>
    </row>
    <row r="101" spans="1:12" ht="24.9">
      <c r="A101" s="461">
        <v>0</v>
      </c>
      <c r="B101" s="453" t="s">
        <v>517</v>
      </c>
      <c r="C101" s="453" t="s">
        <v>538</v>
      </c>
      <c r="D101" s="464" t="s">
        <v>644</v>
      </c>
      <c r="E101" s="453" t="s">
        <v>647</v>
      </c>
      <c r="F101" s="463">
        <v>17412</v>
      </c>
      <c r="G101" s="457"/>
      <c r="H101" s="458">
        <f t="shared" si="16"/>
        <v>10447.199999999999</v>
      </c>
      <c r="I101" s="458">
        <f t="shared" si="14"/>
        <v>0</v>
      </c>
      <c r="J101" s="459" t="s">
        <v>638</v>
      </c>
      <c r="K101" s="1052"/>
    </row>
    <row r="102" spans="1:12" ht="12.8" customHeight="1">
      <c r="A102" s="461">
        <v>0</v>
      </c>
      <c r="B102" s="453" t="s">
        <v>517</v>
      </c>
      <c r="C102" s="453" t="s">
        <v>538</v>
      </c>
      <c r="D102" s="465" t="s">
        <v>644</v>
      </c>
      <c r="E102" s="453" t="s">
        <v>648</v>
      </c>
      <c r="F102" s="466">
        <v>2345</v>
      </c>
      <c r="G102" s="457"/>
      <c r="H102" s="458">
        <f t="shared" si="16"/>
        <v>1407</v>
      </c>
      <c r="I102" s="458">
        <f t="shared" si="14"/>
        <v>0</v>
      </c>
      <c r="J102" s="453" t="s">
        <v>649</v>
      </c>
      <c r="K102" s="1049" t="s">
        <v>650</v>
      </c>
    </row>
    <row r="103" spans="1:12" ht="24.9">
      <c r="A103" s="461">
        <v>0</v>
      </c>
      <c r="B103" s="453" t="s">
        <v>517</v>
      </c>
      <c r="C103" s="453" t="s">
        <v>538</v>
      </c>
      <c r="D103" s="465" t="s">
        <v>644</v>
      </c>
      <c r="E103" s="453" t="s">
        <v>651</v>
      </c>
      <c r="F103" s="466">
        <v>3258</v>
      </c>
      <c r="G103" s="457"/>
      <c r="H103" s="458">
        <f t="shared" si="16"/>
        <v>1954.8</v>
      </c>
      <c r="I103" s="458">
        <f t="shared" si="14"/>
        <v>0</v>
      </c>
      <c r="J103" s="453" t="s">
        <v>649</v>
      </c>
      <c r="K103" s="1049"/>
    </row>
    <row r="104" spans="1:12" ht="24.9">
      <c r="A104" s="461">
        <v>0</v>
      </c>
      <c r="B104" s="453" t="s">
        <v>517</v>
      </c>
      <c r="C104" s="453" t="s">
        <v>538</v>
      </c>
      <c r="D104" s="465" t="s">
        <v>644</v>
      </c>
      <c r="E104" s="453" t="s">
        <v>652</v>
      </c>
      <c r="F104" s="463">
        <v>5649</v>
      </c>
      <c r="G104" s="457"/>
      <c r="H104" s="458">
        <f t="shared" si="16"/>
        <v>3389.4</v>
      </c>
      <c r="I104" s="458">
        <f t="shared" si="14"/>
        <v>0</v>
      </c>
      <c r="J104" s="453" t="s">
        <v>649</v>
      </c>
      <c r="K104" s="1049"/>
    </row>
    <row r="105" spans="1:12" ht="24.9">
      <c r="A105" s="461">
        <v>0</v>
      </c>
      <c r="B105" s="453" t="s">
        <v>517</v>
      </c>
      <c r="C105" s="453" t="s">
        <v>538</v>
      </c>
      <c r="D105" s="465" t="s">
        <v>644</v>
      </c>
      <c r="E105" s="453" t="s">
        <v>653</v>
      </c>
      <c r="F105" s="463">
        <v>1488</v>
      </c>
      <c r="G105" s="457"/>
      <c r="H105" s="458">
        <f t="shared" si="16"/>
        <v>892.8</v>
      </c>
      <c r="I105" s="458">
        <f t="shared" si="14"/>
        <v>0</v>
      </c>
      <c r="J105" s="453" t="s">
        <v>649</v>
      </c>
      <c r="K105" s="1049"/>
    </row>
    <row r="106" spans="1:12" ht="24.9">
      <c r="A106" s="461">
        <v>0</v>
      </c>
      <c r="B106" s="453" t="s">
        <v>517</v>
      </c>
      <c r="C106" s="453" t="s">
        <v>538</v>
      </c>
      <c r="D106" s="465" t="s">
        <v>644</v>
      </c>
      <c r="E106" s="453" t="s">
        <v>654</v>
      </c>
      <c r="F106" s="463">
        <v>5269</v>
      </c>
      <c r="G106" s="457"/>
      <c r="H106" s="458">
        <f t="shared" si="16"/>
        <v>3161.4</v>
      </c>
      <c r="I106" s="458">
        <f t="shared" ref="I106:I140" si="17">A106*H106</f>
        <v>0</v>
      </c>
      <c r="J106" s="453" t="s">
        <v>649</v>
      </c>
      <c r="K106" s="1049"/>
    </row>
    <row r="107" spans="1:12" ht="24.9">
      <c r="A107" s="461">
        <v>0</v>
      </c>
      <c r="B107" s="453" t="s">
        <v>517</v>
      </c>
      <c r="C107" s="453" t="s">
        <v>538</v>
      </c>
      <c r="D107" s="465" t="s">
        <v>644</v>
      </c>
      <c r="E107" s="453" t="s">
        <v>655</v>
      </c>
      <c r="F107" s="463">
        <v>3078</v>
      </c>
      <c r="G107" s="457"/>
      <c r="H107" s="458">
        <f t="shared" si="16"/>
        <v>1846.8</v>
      </c>
      <c r="I107" s="458">
        <f t="shared" si="17"/>
        <v>0</v>
      </c>
      <c r="J107" s="453" t="s">
        <v>649</v>
      </c>
      <c r="K107" s="1049"/>
    </row>
    <row r="108" spans="1:12" ht="24.9">
      <c r="A108" s="461">
        <v>0</v>
      </c>
      <c r="B108" s="453" t="s">
        <v>517</v>
      </c>
      <c r="C108" s="453" t="s">
        <v>538</v>
      </c>
      <c r="D108" s="465" t="s">
        <v>644</v>
      </c>
      <c r="E108" s="453" t="s">
        <v>656</v>
      </c>
      <c r="F108" s="463">
        <v>3489</v>
      </c>
      <c r="G108" s="457"/>
      <c r="H108" s="458">
        <f t="shared" si="16"/>
        <v>2093.4</v>
      </c>
      <c r="I108" s="458">
        <f t="shared" si="17"/>
        <v>0</v>
      </c>
      <c r="J108" s="453" t="s">
        <v>649</v>
      </c>
      <c r="K108" s="1049"/>
    </row>
    <row r="109" spans="1:12" ht="24.9">
      <c r="A109" s="461">
        <v>0</v>
      </c>
      <c r="B109" s="453" t="s">
        <v>517</v>
      </c>
      <c r="C109" s="453" t="s">
        <v>538</v>
      </c>
      <c r="D109" s="465" t="s">
        <v>644</v>
      </c>
      <c r="E109" s="453" t="s">
        <v>657</v>
      </c>
      <c r="F109" s="467" t="s">
        <v>658</v>
      </c>
      <c r="G109" s="457"/>
      <c r="H109" s="468"/>
      <c r="I109" s="468"/>
      <c r="J109" s="453" t="s">
        <v>649</v>
      </c>
      <c r="K109" s="1049"/>
    </row>
    <row r="110" spans="1:12" ht="24.9">
      <c r="A110" s="461">
        <v>0</v>
      </c>
      <c r="B110" s="453" t="s">
        <v>517</v>
      </c>
      <c r="C110" s="453" t="s">
        <v>538</v>
      </c>
      <c r="D110" s="465" t="s">
        <v>644</v>
      </c>
      <c r="E110" s="453" t="s">
        <v>659</v>
      </c>
      <c r="F110" s="463">
        <v>7456</v>
      </c>
      <c r="G110" s="457"/>
      <c r="H110" s="458">
        <f t="shared" si="16"/>
        <v>4473.5999999999995</v>
      </c>
      <c r="I110" s="458">
        <f t="shared" si="17"/>
        <v>0</v>
      </c>
      <c r="J110" s="453" t="s">
        <v>649</v>
      </c>
      <c r="K110" s="1049"/>
    </row>
    <row r="111" spans="1:12" ht="24.9">
      <c r="A111" s="461">
        <v>0</v>
      </c>
      <c r="B111" s="453" t="s">
        <v>517</v>
      </c>
      <c r="C111" s="453" t="s">
        <v>538</v>
      </c>
      <c r="D111" s="465" t="s">
        <v>644</v>
      </c>
      <c r="E111" s="453" t="s">
        <v>660</v>
      </c>
      <c r="F111" s="463">
        <v>8494</v>
      </c>
      <c r="G111" s="457"/>
      <c r="H111" s="458">
        <f t="shared" si="16"/>
        <v>5096.3999999999996</v>
      </c>
      <c r="I111" s="458">
        <f t="shared" si="17"/>
        <v>0</v>
      </c>
      <c r="J111" s="453" t="s">
        <v>649</v>
      </c>
      <c r="K111" s="1049"/>
    </row>
    <row r="112" spans="1:12" ht="24.9">
      <c r="A112" s="461">
        <v>0</v>
      </c>
      <c r="B112" s="453" t="s">
        <v>517</v>
      </c>
      <c r="C112" s="453" t="s">
        <v>538</v>
      </c>
      <c r="D112" s="465" t="s">
        <v>644</v>
      </c>
      <c r="E112" s="453" t="s">
        <v>661</v>
      </c>
      <c r="F112" s="463">
        <v>9434</v>
      </c>
      <c r="G112" s="457"/>
      <c r="H112" s="458">
        <f t="shared" si="16"/>
        <v>5660.4</v>
      </c>
      <c r="I112" s="458">
        <f t="shared" si="17"/>
        <v>0</v>
      </c>
      <c r="J112" s="453" t="s">
        <v>649</v>
      </c>
      <c r="K112" s="1049"/>
      <c r="L112" s="204"/>
    </row>
    <row r="113" spans="1:12">
      <c r="A113" s="469"/>
      <c r="B113" s="427"/>
      <c r="C113" s="427"/>
      <c r="D113" s="470"/>
      <c r="E113" s="427"/>
      <c r="F113" s="471"/>
      <c r="G113" s="471"/>
      <c r="H113" s="472"/>
      <c r="I113" s="473"/>
      <c r="J113" s="427"/>
      <c r="K113" s="427"/>
    </row>
    <row r="114" spans="1:12" ht="37.35">
      <c r="A114" s="474"/>
      <c r="B114" s="475"/>
      <c r="C114" s="475"/>
      <c r="D114" s="476"/>
      <c r="E114" s="475"/>
      <c r="F114" s="477" t="s">
        <v>662</v>
      </c>
      <c r="G114" s="478" t="s">
        <v>663</v>
      </c>
      <c r="H114" s="479"/>
      <c r="I114" s="480"/>
      <c r="J114" s="427"/>
      <c r="K114" s="475"/>
    </row>
    <row r="115" spans="1:12" ht="87.05">
      <c r="A115" s="461">
        <v>0</v>
      </c>
      <c r="B115" s="453" t="s">
        <v>539</v>
      </c>
      <c r="C115" s="453" t="s">
        <v>538</v>
      </c>
      <c r="D115" s="481" t="s">
        <v>664</v>
      </c>
      <c r="E115" s="453" t="s">
        <v>665</v>
      </c>
      <c r="F115" s="463">
        <v>108</v>
      </c>
      <c r="G115" s="463">
        <v>79</v>
      </c>
      <c r="H115" s="458">
        <f>IFERROR((MIN(A115,400)*F115+MAX(A115-400,0)*G115)*(1-G93)/A115,0)</f>
        <v>0</v>
      </c>
      <c r="I115" s="458">
        <f t="shared" si="17"/>
        <v>0</v>
      </c>
      <c r="J115" s="453" t="s">
        <v>638</v>
      </c>
      <c r="K115" s="482" t="s">
        <v>666</v>
      </c>
      <c r="L115" s="204"/>
    </row>
    <row r="116" spans="1:12">
      <c r="A116" s="474"/>
      <c r="B116" s="475"/>
      <c r="C116" s="475"/>
      <c r="D116" s="476"/>
      <c r="E116" s="475"/>
      <c r="F116" s="457"/>
      <c r="G116" s="457"/>
      <c r="H116" s="479"/>
      <c r="I116" s="480"/>
      <c r="J116" s="475"/>
      <c r="K116" s="475"/>
      <c r="L116" s="204"/>
    </row>
    <row r="117" spans="1:12">
      <c r="A117" s="474"/>
      <c r="B117" s="475"/>
      <c r="C117" s="475"/>
      <c r="D117" s="476"/>
      <c r="E117" s="475"/>
      <c r="F117" s="457"/>
      <c r="G117" s="457"/>
      <c r="H117" s="479"/>
      <c r="I117" s="480"/>
      <c r="J117" s="475"/>
      <c r="K117" s="475"/>
    </row>
    <row r="118" spans="1:12" ht="13.1">
      <c r="A118" s="474"/>
      <c r="B118" s="475"/>
      <c r="C118" s="475"/>
      <c r="D118" s="476"/>
      <c r="E118" s="483" t="s">
        <v>667</v>
      </c>
      <c r="F118" s="457"/>
      <c r="G118" s="457"/>
      <c r="H118" s="479"/>
      <c r="I118" s="480"/>
      <c r="J118" s="475"/>
      <c r="K118" s="475"/>
    </row>
    <row r="119" spans="1:12" ht="33.4" customHeight="1">
      <c r="A119" s="452">
        <v>1</v>
      </c>
      <c r="B119" s="453" t="s">
        <v>517</v>
      </c>
      <c r="C119" s="454" t="s">
        <v>538</v>
      </c>
      <c r="D119" s="455" t="s">
        <v>636</v>
      </c>
      <c r="E119" s="453" t="s">
        <v>668</v>
      </c>
      <c r="F119" s="463">
        <v>3732</v>
      </c>
      <c r="G119" s="457"/>
      <c r="H119" s="458">
        <f>F119*(1-G94)</f>
        <v>2239.1999999999998</v>
      </c>
      <c r="I119" s="458">
        <f t="shared" si="17"/>
        <v>2239.1999999999998</v>
      </c>
      <c r="J119" s="453" t="s">
        <v>649</v>
      </c>
      <c r="K119" s="1050" t="s">
        <v>669</v>
      </c>
    </row>
    <row r="120" spans="1:12" ht="24.9">
      <c r="A120" s="452">
        <v>1</v>
      </c>
      <c r="B120" s="453" t="s">
        <v>539</v>
      </c>
      <c r="C120" s="454" t="s">
        <v>538</v>
      </c>
      <c r="D120" s="455" t="s">
        <v>670</v>
      </c>
      <c r="E120" s="453" t="s">
        <v>671</v>
      </c>
      <c r="F120" s="463">
        <v>88.7</v>
      </c>
      <c r="G120" s="457"/>
      <c r="H120" s="458">
        <f>F120*(1-G94)</f>
        <v>53.22</v>
      </c>
      <c r="I120" s="458">
        <f t="shared" si="17"/>
        <v>53.22</v>
      </c>
      <c r="J120" s="453" t="s">
        <v>649</v>
      </c>
      <c r="K120" s="1050"/>
      <c r="L120" s="17" t="s">
        <v>672</v>
      </c>
    </row>
    <row r="121" spans="1:12" ht="33.4" customHeight="1">
      <c r="A121" s="461">
        <v>1</v>
      </c>
      <c r="B121" s="453" t="s">
        <v>517</v>
      </c>
      <c r="C121" s="453" t="s">
        <v>538</v>
      </c>
      <c r="D121" s="462" t="s">
        <v>640</v>
      </c>
      <c r="E121" s="453" t="s">
        <v>673</v>
      </c>
      <c r="F121" s="463">
        <v>1968</v>
      </c>
      <c r="G121" s="457"/>
      <c r="H121" s="458">
        <f t="shared" ref="H121:H135" si="18">F121*(1-$G$93)</f>
        <v>1180.8</v>
      </c>
      <c r="I121" s="458">
        <f t="shared" si="17"/>
        <v>1180.8</v>
      </c>
      <c r="J121" s="459" t="s">
        <v>638</v>
      </c>
      <c r="K121" s="1051" t="s">
        <v>642</v>
      </c>
    </row>
    <row r="122" spans="1:12" ht="24.9">
      <c r="A122" s="452">
        <v>32</v>
      </c>
      <c r="B122" s="453" t="s">
        <v>539</v>
      </c>
      <c r="C122" s="453" t="s">
        <v>538</v>
      </c>
      <c r="D122" s="462" t="s">
        <v>643</v>
      </c>
      <c r="E122" s="453" t="s">
        <v>673</v>
      </c>
      <c r="F122" s="463">
        <v>87.9</v>
      </c>
      <c r="G122" s="457"/>
      <c r="H122" s="458">
        <f t="shared" si="18"/>
        <v>52.74</v>
      </c>
      <c r="I122" s="458">
        <f t="shared" si="17"/>
        <v>1687.68</v>
      </c>
      <c r="J122" s="459" t="s">
        <v>638</v>
      </c>
      <c r="K122" s="1051"/>
    </row>
    <row r="123" spans="1:12" ht="33.4" customHeight="1">
      <c r="A123" s="452">
        <v>1</v>
      </c>
      <c r="B123" s="453" t="s">
        <v>517</v>
      </c>
      <c r="C123" s="453" t="s">
        <v>538</v>
      </c>
      <c r="D123" s="464" t="s">
        <v>644</v>
      </c>
      <c r="E123" s="453" t="s">
        <v>645</v>
      </c>
      <c r="F123" s="463">
        <v>10051</v>
      </c>
      <c r="G123" s="457"/>
      <c r="H123" s="458">
        <f t="shared" si="18"/>
        <v>6030.5999999999995</v>
      </c>
      <c r="I123" s="458">
        <f t="shared" si="17"/>
        <v>6030.5999999999995</v>
      </c>
      <c r="J123" s="459" t="s">
        <v>638</v>
      </c>
      <c r="K123" s="1052" t="s">
        <v>646</v>
      </c>
    </row>
    <row r="124" spans="1:12" ht="24.9">
      <c r="A124" s="461">
        <v>0</v>
      </c>
      <c r="B124" s="453" t="s">
        <v>517</v>
      </c>
      <c r="C124" s="453" t="s">
        <v>538</v>
      </c>
      <c r="D124" s="464" t="s">
        <v>644</v>
      </c>
      <c r="E124" s="453" t="s">
        <v>647</v>
      </c>
      <c r="F124" s="463">
        <v>17412</v>
      </c>
      <c r="G124" s="457"/>
      <c r="H124" s="458">
        <f t="shared" si="18"/>
        <v>10447.199999999999</v>
      </c>
      <c r="I124" s="458">
        <f t="shared" si="17"/>
        <v>0</v>
      </c>
      <c r="J124" s="459" t="s">
        <v>638</v>
      </c>
      <c r="K124" s="1052"/>
    </row>
    <row r="125" spans="1:12" ht="33.4" customHeight="1">
      <c r="A125" s="461">
        <v>0</v>
      </c>
      <c r="B125" s="453" t="s">
        <v>517</v>
      </c>
      <c r="C125" s="453" t="s">
        <v>538</v>
      </c>
      <c r="D125" s="465" t="s">
        <v>644</v>
      </c>
      <c r="E125" s="453" t="s">
        <v>648</v>
      </c>
      <c r="F125" s="463">
        <v>2345</v>
      </c>
      <c r="G125" s="457"/>
      <c r="H125" s="458">
        <f t="shared" si="18"/>
        <v>1407</v>
      </c>
      <c r="I125" s="458">
        <f t="shared" si="17"/>
        <v>0</v>
      </c>
      <c r="J125" s="453" t="s">
        <v>649</v>
      </c>
      <c r="K125" s="1049" t="s">
        <v>650</v>
      </c>
    </row>
    <row r="126" spans="1:12" ht="24.9">
      <c r="A126" s="461">
        <v>0</v>
      </c>
      <c r="B126" s="453" t="s">
        <v>517</v>
      </c>
      <c r="C126" s="453" t="s">
        <v>538</v>
      </c>
      <c r="D126" s="465" t="s">
        <v>644</v>
      </c>
      <c r="E126" s="453" t="s">
        <v>651</v>
      </c>
      <c r="F126" s="463">
        <v>3258</v>
      </c>
      <c r="G126" s="457"/>
      <c r="H126" s="458">
        <f t="shared" si="18"/>
        <v>1954.8</v>
      </c>
      <c r="I126" s="458">
        <f t="shared" si="17"/>
        <v>0</v>
      </c>
      <c r="J126" s="453" t="s">
        <v>649</v>
      </c>
      <c r="K126" s="1049"/>
    </row>
    <row r="127" spans="1:12" ht="24.9">
      <c r="A127" s="461">
        <v>0</v>
      </c>
      <c r="B127" s="453" t="s">
        <v>517</v>
      </c>
      <c r="C127" s="453" t="s">
        <v>538</v>
      </c>
      <c r="D127" s="465" t="s">
        <v>644</v>
      </c>
      <c r="E127" s="453" t="s">
        <v>652</v>
      </c>
      <c r="F127" s="463">
        <v>5649</v>
      </c>
      <c r="G127" s="457"/>
      <c r="H127" s="458">
        <f t="shared" si="18"/>
        <v>3389.4</v>
      </c>
      <c r="I127" s="458">
        <f t="shared" si="17"/>
        <v>0</v>
      </c>
      <c r="J127" s="453" t="s">
        <v>649</v>
      </c>
      <c r="K127" s="1049"/>
    </row>
    <row r="128" spans="1:12" ht="24.9">
      <c r="A128" s="461">
        <v>0</v>
      </c>
      <c r="B128" s="453" t="s">
        <v>517</v>
      </c>
      <c r="C128" s="453" t="s">
        <v>538</v>
      </c>
      <c r="D128" s="465" t="s">
        <v>644</v>
      </c>
      <c r="E128" s="453" t="s">
        <v>653</v>
      </c>
      <c r="F128" s="463">
        <v>1488</v>
      </c>
      <c r="G128" s="457"/>
      <c r="H128" s="458">
        <f t="shared" si="18"/>
        <v>892.8</v>
      </c>
      <c r="I128" s="458">
        <f t="shared" si="17"/>
        <v>0</v>
      </c>
      <c r="J128" s="453" t="s">
        <v>649</v>
      </c>
      <c r="K128" s="1049"/>
    </row>
    <row r="129" spans="1:17" ht="24.9">
      <c r="A129" s="461">
        <v>0</v>
      </c>
      <c r="B129" s="453" t="s">
        <v>517</v>
      </c>
      <c r="C129" s="453" t="s">
        <v>538</v>
      </c>
      <c r="D129" s="465" t="s">
        <v>644</v>
      </c>
      <c r="E129" s="453" t="s">
        <v>654</v>
      </c>
      <c r="F129" s="463">
        <v>5269</v>
      </c>
      <c r="G129" s="457"/>
      <c r="H129" s="458">
        <f t="shared" si="18"/>
        <v>3161.4</v>
      </c>
      <c r="I129" s="458">
        <f t="shared" si="17"/>
        <v>0</v>
      </c>
      <c r="J129" s="453" t="s">
        <v>649</v>
      </c>
      <c r="K129" s="1049"/>
    </row>
    <row r="130" spans="1:17" ht="24.9">
      <c r="A130" s="461">
        <v>0</v>
      </c>
      <c r="B130" s="453" t="s">
        <v>517</v>
      </c>
      <c r="C130" s="453" t="s">
        <v>538</v>
      </c>
      <c r="D130" s="465" t="s">
        <v>644</v>
      </c>
      <c r="E130" s="453" t="s">
        <v>655</v>
      </c>
      <c r="F130" s="463">
        <v>3078</v>
      </c>
      <c r="G130" s="457"/>
      <c r="H130" s="458">
        <f t="shared" si="18"/>
        <v>1846.8</v>
      </c>
      <c r="I130" s="458">
        <f t="shared" si="17"/>
        <v>0</v>
      </c>
      <c r="J130" s="453" t="s">
        <v>649</v>
      </c>
      <c r="K130" s="1049"/>
    </row>
    <row r="131" spans="1:17" ht="24.9">
      <c r="A131" s="461">
        <v>0</v>
      </c>
      <c r="B131" s="453" t="s">
        <v>517</v>
      </c>
      <c r="C131" s="453" t="s">
        <v>538</v>
      </c>
      <c r="D131" s="465" t="s">
        <v>644</v>
      </c>
      <c r="E131" s="453" t="s">
        <v>656</v>
      </c>
      <c r="F131" s="463">
        <v>3489</v>
      </c>
      <c r="G131" s="457"/>
      <c r="H131" s="458">
        <f t="shared" si="18"/>
        <v>2093.4</v>
      </c>
      <c r="I131" s="458">
        <f t="shared" si="17"/>
        <v>0</v>
      </c>
      <c r="J131" s="453" t="s">
        <v>649</v>
      </c>
      <c r="K131" s="1049"/>
    </row>
    <row r="132" spans="1:17" ht="24.9">
      <c r="A132" s="461">
        <v>0</v>
      </c>
      <c r="B132" s="453" t="s">
        <v>517</v>
      </c>
      <c r="C132" s="453" t="s">
        <v>538</v>
      </c>
      <c r="D132" s="465" t="s">
        <v>644</v>
      </c>
      <c r="E132" s="453" t="s">
        <v>657</v>
      </c>
      <c r="F132" s="467" t="s">
        <v>658</v>
      </c>
      <c r="G132" s="457"/>
      <c r="H132" s="468"/>
      <c r="I132" s="484"/>
      <c r="J132" s="453" t="s">
        <v>649</v>
      </c>
      <c r="K132" s="1049"/>
    </row>
    <row r="133" spans="1:17" ht="24.9">
      <c r="A133" s="461">
        <v>0</v>
      </c>
      <c r="B133" s="453" t="s">
        <v>517</v>
      </c>
      <c r="C133" s="453" t="s">
        <v>538</v>
      </c>
      <c r="D133" s="465" t="s">
        <v>644</v>
      </c>
      <c r="E133" s="453" t="s">
        <v>659</v>
      </c>
      <c r="F133" s="463">
        <v>7456</v>
      </c>
      <c r="G133" s="457"/>
      <c r="H133" s="458">
        <f t="shared" si="18"/>
        <v>4473.5999999999995</v>
      </c>
      <c r="I133" s="458">
        <f t="shared" si="17"/>
        <v>0</v>
      </c>
      <c r="J133" s="453" t="s">
        <v>649</v>
      </c>
      <c r="K133" s="1049"/>
    </row>
    <row r="134" spans="1:17" ht="24.9">
      <c r="A134" s="461">
        <v>0</v>
      </c>
      <c r="B134" s="453" t="s">
        <v>517</v>
      </c>
      <c r="C134" s="453" t="s">
        <v>538</v>
      </c>
      <c r="D134" s="465" t="s">
        <v>644</v>
      </c>
      <c r="E134" s="453" t="s">
        <v>660</v>
      </c>
      <c r="F134" s="463">
        <v>8494</v>
      </c>
      <c r="G134" s="457"/>
      <c r="H134" s="458">
        <f t="shared" si="18"/>
        <v>5096.3999999999996</v>
      </c>
      <c r="I134" s="458">
        <f t="shared" si="17"/>
        <v>0</v>
      </c>
      <c r="J134" s="453" t="s">
        <v>649</v>
      </c>
      <c r="K134" s="1049"/>
    </row>
    <row r="135" spans="1:17" ht="24.9">
      <c r="A135" s="461">
        <v>0</v>
      </c>
      <c r="B135" s="453" t="s">
        <v>517</v>
      </c>
      <c r="C135" s="453" t="s">
        <v>538</v>
      </c>
      <c r="D135" s="465" t="s">
        <v>644</v>
      </c>
      <c r="E135" s="453" t="s">
        <v>661</v>
      </c>
      <c r="F135" s="463">
        <v>9434</v>
      </c>
      <c r="G135" s="457"/>
      <c r="H135" s="458">
        <f t="shared" si="18"/>
        <v>5660.4</v>
      </c>
      <c r="I135" s="458">
        <f t="shared" si="17"/>
        <v>0</v>
      </c>
      <c r="J135" s="453" t="s">
        <v>649</v>
      </c>
      <c r="K135" s="1049"/>
    </row>
    <row r="136" spans="1:17">
      <c r="A136" s="469"/>
      <c r="B136" s="427"/>
      <c r="C136" s="427"/>
      <c r="D136" s="470"/>
      <c r="E136" s="427"/>
      <c r="F136" s="472"/>
      <c r="G136" s="471"/>
      <c r="H136" s="472"/>
      <c r="I136" s="473"/>
      <c r="J136" s="427"/>
      <c r="K136" s="427"/>
    </row>
    <row r="137" spans="1:17" ht="37.35">
      <c r="A137" s="474"/>
      <c r="B137" s="475"/>
      <c r="C137" s="475"/>
      <c r="D137" s="476"/>
      <c r="E137" s="475"/>
      <c r="F137" s="477" t="s">
        <v>662</v>
      </c>
      <c r="G137" s="478" t="s">
        <v>663</v>
      </c>
      <c r="H137" s="479"/>
      <c r="I137" s="480"/>
      <c r="J137" s="427"/>
      <c r="K137" s="475"/>
    </row>
    <row r="138" spans="1:17" ht="87.05">
      <c r="A138" s="461">
        <v>411</v>
      </c>
      <c r="B138" s="453" t="s">
        <v>539</v>
      </c>
      <c r="C138" s="453" t="s">
        <v>538</v>
      </c>
      <c r="D138" s="481" t="s">
        <v>664</v>
      </c>
      <c r="E138" s="453" t="s">
        <v>665</v>
      </c>
      <c r="F138" s="463">
        <v>108</v>
      </c>
      <c r="G138" s="463">
        <v>79</v>
      </c>
      <c r="H138" s="458">
        <f>IFERROR((MIN(A138,400)*F138+MAX(A138-400,0)*G138)*(1-G93)/A138,0)</f>
        <v>64.334306569343056</v>
      </c>
      <c r="I138" s="458">
        <f t="shared" si="17"/>
        <v>26441.399999999998</v>
      </c>
      <c r="J138" s="453" t="s">
        <v>638</v>
      </c>
      <c r="K138" s="482" t="s">
        <v>666</v>
      </c>
    </row>
    <row r="139" spans="1:17">
      <c r="A139" s="204"/>
      <c r="F139" s="17"/>
      <c r="H139" s="403"/>
      <c r="I139" s="403"/>
    </row>
    <row r="140" spans="1:17" ht="33.4">
      <c r="A140" s="204">
        <v>1</v>
      </c>
      <c r="B140" s="17" t="s">
        <v>517</v>
      </c>
      <c r="C140" s="204" t="s">
        <v>674</v>
      </c>
      <c r="E140" s="17" t="s">
        <v>675</v>
      </c>
      <c r="F140" s="445">
        <v>161.44</v>
      </c>
      <c r="G140" s="404">
        <v>0</v>
      </c>
      <c r="H140" s="458">
        <f>F140*(1-G140)</f>
        <v>161.44</v>
      </c>
      <c r="I140" s="458">
        <f t="shared" si="17"/>
        <v>161.44</v>
      </c>
    </row>
    <row r="141" spans="1:17">
      <c r="A141" s="204"/>
      <c r="F141" s="485"/>
      <c r="H141" s="403"/>
      <c r="I141" s="403"/>
    </row>
    <row r="142" spans="1:17" ht="15.75">
      <c r="E142" s="439" t="s">
        <v>676</v>
      </c>
      <c r="I142" s="486">
        <f>SUM(I97:I140)</f>
        <v>37794.339999999997</v>
      </c>
      <c r="Q142" s="438">
        <f>I142</f>
        <v>37794.339999999997</v>
      </c>
    </row>
    <row r="144" spans="1:17" ht="13.75" customHeight="1">
      <c r="A144" s="986" t="s">
        <v>100</v>
      </c>
      <c r="B144" s="986"/>
      <c r="C144" s="986"/>
      <c r="D144" s="986"/>
      <c r="E144" s="986"/>
    </row>
    <row r="146" spans="1:10">
      <c r="E146" s="442" t="s">
        <v>677</v>
      </c>
      <c r="J146" s="403" t="s">
        <v>779</v>
      </c>
    </row>
    <row r="147" spans="1:10" ht="22.25">
      <c r="A147" s="407">
        <v>0</v>
      </c>
      <c r="B147" s="407" t="s">
        <v>522</v>
      </c>
      <c r="C147" s="408" t="s">
        <v>678</v>
      </c>
      <c r="D147" s="407" t="s">
        <v>679</v>
      </c>
      <c r="E147" s="408" t="s">
        <v>680</v>
      </c>
      <c r="F147" s="409">
        <v>2801.13</v>
      </c>
      <c r="G147" s="410"/>
      <c r="H147" s="409">
        <f t="shared" ref="H147:H193" si="19">F147*(1-G147)</f>
        <v>2801.13</v>
      </c>
      <c r="I147" s="409"/>
    </row>
    <row r="148" spans="1:10" ht="22.25">
      <c r="A148" s="407">
        <v>0</v>
      </c>
      <c r="B148" s="407" t="s">
        <v>522</v>
      </c>
      <c r="C148" s="408" t="s">
        <v>678</v>
      </c>
      <c r="D148" s="407" t="s">
        <v>681</v>
      </c>
      <c r="E148" s="408" t="s">
        <v>682</v>
      </c>
      <c r="F148" s="409">
        <v>772.15</v>
      </c>
      <c r="G148" s="410"/>
      <c r="H148" s="409">
        <f t="shared" si="19"/>
        <v>772.15</v>
      </c>
      <c r="I148" s="409"/>
    </row>
    <row r="149" spans="1:10" ht="22.25">
      <c r="A149" s="407">
        <v>0</v>
      </c>
      <c r="B149" s="407" t="s">
        <v>522</v>
      </c>
      <c r="C149" s="408" t="s">
        <v>678</v>
      </c>
      <c r="D149" s="407" t="s">
        <v>683</v>
      </c>
      <c r="E149" s="408" t="s">
        <v>684</v>
      </c>
      <c r="F149" s="409">
        <v>150.26</v>
      </c>
      <c r="G149" s="410"/>
      <c r="H149" s="409">
        <f t="shared" si="19"/>
        <v>150.26</v>
      </c>
      <c r="I149" s="409"/>
    </row>
    <row r="150" spans="1:10" ht="22.25">
      <c r="A150" s="407">
        <v>0</v>
      </c>
      <c r="B150" s="407" t="s">
        <v>522</v>
      </c>
      <c r="C150" s="408" t="s">
        <v>678</v>
      </c>
      <c r="D150" s="407" t="s">
        <v>685</v>
      </c>
      <c r="E150" s="408" t="s">
        <v>686</v>
      </c>
      <c r="F150" s="409">
        <v>10.58</v>
      </c>
      <c r="G150" s="410"/>
      <c r="H150" s="409">
        <f t="shared" si="19"/>
        <v>10.58</v>
      </c>
      <c r="I150" s="409"/>
    </row>
    <row r="151" spans="1:10" ht="22.25">
      <c r="A151" s="407">
        <v>0</v>
      </c>
      <c r="B151" s="407" t="s">
        <v>522</v>
      </c>
      <c r="C151" s="408" t="s">
        <v>678</v>
      </c>
      <c r="D151" s="407" t="s">
        <v>687</v>
      </c>
      <c r="E151" s="408" t="s">
        <v>688</v>
      </c>
      <c r="F151" s="409">
        <v>69.78</v>
      </c>
      <c r="G151" s="410"/>
      <c r="H151" s="409">
        <f t="shared" si="19"/>
        <v>69.78</v>
      </c>
      <c r="I151" s="409"/>
      <c r="J151" s="17" t="s">
        <v>689</v>
      </c>
    </row>
    <row r="152" spans="1:10" ht="22.25">
      <c r="A152" s="487">
        <v>0</v>
      </c>
      <c r="B152" s="407" t="s">
        <v>539</v>
      </c>
      <c r="C152" s="408" t="s">
        <v>690</v>
      </c>
      <c r="D152" s="407"/>
      <c r="E152" s="407" t="s">
        <v>691</v>
      </c>
      <c r="F152" s="409">
        <v>7.58</v>
      </c>
      <c r="G152" s="410"/>
      <c r="H152" s="409">
        <f t="shared" si="19"/>
        <v>7.58</v>
      </c>
      <c r="I152" s="409"/>
      <c r="J152" s="17" t="s">
        <v>692</v>
      </c>
    </row>
    <row r="153" spans="1:10" ht="22.25">
      <c r="A153" s="487">
        <v>0</v>
      </c>
      <c r="B153" s="407" t="s">
        <v>539</v>
      </c>
      <c r="C153" s="408" t="s">
        <v>690</v>
      </c>
      <c r="D153" s="407"/>
      <c r="E153" s="407" t="s">
        <v>693</v>
      </c>
      <c r="F153" s="409">
        <v>2.04</v>
      </c>
      <c r="G153" s="410"/>
      <c r="H153" s="409">
        <f t="shared" si="19"/>
        <v>2.04</v>
      </c>
      <c r="I153" s="409"/>
      <c r="J153" s="17" t="s">
        <v>694</v>
      </c>
    </row>
    <row r="154" spans="1:10" ht="22.25">
      <c r="A154" s="407">
        <v>0</v>
      </c>
      <c r="B154" s="407" t="s">
        <v>522</v>
      </c>
      <c r="C154" s="408"/>
      <c r="D154" s="407"/>
      <c r="E154" s="408" t="s">
        <v>695</v>
      </c>
      <c r="F154" s="409">
        <v>50</v>
      </c>
      <c r="G154" s="410"/>
      <c r="H154" s="409">
        <f t="shared" si="19"/>
        <v>50</v>
      </c>
      <c r="I154" s="409"/>
      <c r="J154" s="204" t="s">
        <v>696</v>
      </c>
    </row>
    <row r="155" spans="1:10">
      <c r="A155" s="407">
        <v>0</v>
      </c>
      <c r="B155" s="407" t="s">
        <v>619</v>
      </c>
      <c r="C155" s="408"/>
      <c r="D155" s="407"/>
      <c r="E155" s="408" t="s">
        <v>697</v>
      </c>
      <c r="F155" s="409">
        <f>F77</f>
        <v>55</v>
      </c>
      <c r="G155" s="410"/>
      <c r="H155" s="409">
        <f t="shared" si="19"/>
        <v>55</v>
      </c>
      <c r="I155" s="409"/>
    </row>
    <row r="156" spans="1:10" ht="66.8">
      <c r="A156" s="407">
        <v>0</v>
      </c>
      <c r="B156" s="407" t="s">
        <v>517</v>
      </c>
      <c r="C156" s="408" t="s">
        <v>698</v>
      </c>
      <c r="D156" s="407" t="s">
        <v>636</v>
      </c>
      <c r="E156" s="408" t="s">
        <v>637</v>
      </c>
      <c r="F156" s="409">
        <v>1809</v>
      </c>
      <c r="G156" s="410">
        <v>0.75</v>
      </c>
      <c r="H156" s="409">
        <f t="shared" si="19"/>
        <v>452.25</v>
      </c>
      <c r="I156" s="409"/>
      <c r="J156" s="17" t="s">
        <v>699</v>
      </c>
    </row>
    <row r="157" spans="1:10">
      <c r="A157" s="407"/>
      <c r="B157" s="407"/>
      <c r="C157" s="408"/>
      <c r="D157" s="407"/>
      <c r="E157" s="408"/>
      <c r="F157" s="409"/>
      <c r="G157" s="410"/>
      <c r="H157" s="409"/>
      <c r="I157" s="409"/>
    </row>
    <row r="158" spans="1:10">
      <c r="E158" s="442" t="s">
        <v>700</v>
      </c>
    </row>
    <row r="159" spans="1:10">
      <c r="A159" s="407"/>
      <c r="B159" s="407"/>
      <c r="C159" s="408"/>
      <c r="D159" s="407"/>
      <c r="E159" s="408"/>
      <c r="F159" s="409"/>
      <c r="G159" s="410"/>
      <c r="H159" s="409"/>
      <c r="I159" s="409"/>
    </row>
    <row r="160" spans="1:10">
      <c r="A160" s="407"/>
      <c r="B160" s="407"/>
      <c r="C160" s="408"/>
      <c r="D160" s="407"/>
      <c r="E160" s="408" t="s">
        <v>701</v>
      </c>
      <c r="F160" s="409"/>
      <c r="G160" s="410"/>
      <c r="H160" s="409"/>
      <c r="I160" s="409"/>
    </row>
    <row r="161" spans="1:10">
      <c r="A161" s="407"/>
      <c r="B161" s="407"/>
      <c r="C161" s="408"/>
      <c r="D161" s="407"/>
      <c r="E161" s="408"/>
      <c r="F161" s="409"/>
      <c r="G161" s="410"/>
      <c r="H161" s="409"/>
      <c r="I161" s="409"/>
    </row>
    <row r="162" spans="1:10">
      <c r="A162" s="407"/>
      <c r="B162" s="407"/>
      <c r="C162" s="408"/>
      <c r="D162" s="407"/>
      <c r="E162" s="408"/>
      <c r="F162" s="409"/>
      <c r="G162" s="410"/>
      <c r="H162" s="409"/>
      <c r="I162" s="409"/>
    </row>
    <row r="163" spans="1:10">
      <c r="A163" s="407"/>
      <c r="B163" s="407"/>
      <c r="C163" s="408"/>
      <c r="D163" s="407"/>
      <c r="E163" s="408"/>
      <c r="F163" s="409"/>
      <c r="G163" s="410"/>
      <c r="H163" s="409"/>
      <c r="I163" s="409"/>
    </row>
    <row r="164" spans="1:10">
      <c r="A164" s="407"/>
      <c r="B164" s="407"/>
      <c r="C164" s="408"/>
      <c r="D164" s="407"/>
      <c r="E164" s="408"/>
      <c r="F164" s="409"/>
      <c r="G164" s="410"/>
      <c r="H164" s="409"/>
      <c r="I164" s="409"/>
    </row>
    <row r="165" spans="1:10">
      <c r="A165" s="204"/>
      <c r="F165" s="485"/>
      <c r="H165" s="403"/>
      <c r="I165" s="403"/>
    </row>
    <row r="166" spans="1:10">
      <c r="E166" s="439" t="s">
        <v>702</v>
      </c>
      <c r="I166" s="443">
        <f>SUM(I147:I165)</f>
        <v>0</v>
      </c>
    </row>
    <row r="168" spans="1:10" ht="15.05" customHeight="1">
      <c r="A168" s="1002" t="s">
        <v>90</v>
      </c>
      <c r="B168" s="1002"/>
      <c r="C168" s="1002"/>
      <c r="D168" s="1002"/>
      <c r="E168" s="1002"/>
    </row>
    <row r="170" spans="1:10">
      <c r="A170" s="17">
        <v>1</v>
      </c>
      <c r="B170" s="17" t="s">
        <v>517</v>
      </c>
      <c r="E170" s="17" t="s">
        <v>703</v>
      </c>
      <c r="F170" s="403">
        <v>800</v>
      </c>
      <c r="H170" s="403">
        <f t="shared" si="19"/>
        <v>800</v>
      </c>
      <c r="I170" s="403">
        <f t="shared" ref="I170:I186" si="20">A170*H170</f>
        <v>800</v>
      </c>
      <c r="J170" s="17" t="s">
        <v>704</v>
      </c>
    </row>
    <row r="171" spans="1:10">
      <c r="A171" s="17">
        <v>1</v>
      </c>
      <c r="B171" s="17" t="s">
        <v>517</v>
      </c>
      <c r="E171" s="17" t="s">
        <v>705</v>
      </c>
      <c r="F171" s="403">
        <v>500</v>
      </c>
      <c r="H171" s="403">
        <f t="shared" si="19"/>
        <v>500</v>
      </c>
      <c r="I171" s="403">
        <f t="shared" si="20"/>
        <v>500</v>
      </c>
      <c r="J171" s="17" t="s">
        <v>704</v>
      </c>
    </row>
    <row r="172" spans="1:10">
      <c r="A172" s="17">
        <v>1</v>
      </c>
      <c r="B172" s="17" t="s">
        <v>517</v>
      </c>
      <c r="E172" s="17" t="s">
        <v>706</v>
      </c>
      <c r="F172" s="403">
        <v>40</v>
      </c>
      <c r="H172" s="403">
        <f t="shared" si="19"/>
        <v>40</v>
      </c>
      <c r="I172" s="403">
        <f t="shared" si="20"/>
        <v>40</v>
      </c>
    </row>
    <row r="173" spans="1:10">
      <c r="A173" s="17">
        <v>0</v>
      </c>
      <c r="B173" s="17" t="s">
        <v>517</v>
      </c>
      <c r="E173" s="17" t="s">
        <v>707</v>
      </c>
      <c r="F173" s="403">
        <v>1500</v>
      </c>
      <c r="H173" s="403">
        <f t="shared" si="19"/>
        <v>1500</v>
      </c>
      <c r="I173" s="403">
        <f t="shared" si="20"/>
        <v>0</v>
      </c>
    </row>
    <row r="174" spans="1:10" ht="55.65">
      <c r="B174" s="17" t="s">
        <v>517</v>
      </c>
      <c r="C174" s="204" t="s">
        <v>708</v>
      </c>
      <c r="E174" s="204" t="s">
        <v>709</v>
      </c>
      <c r="F174" s="403">
        <v>460</v>
      </c>
      <c r="H174" s="403">
        <f t="shared" si="19"/>
        <v>460</v>
      </c>
      <c r="I174" s="403">
        <f t="shared" si="20"/>
        <v>0</v>
      </c>
      <c r="J174" s="17" t="s">
        <v>710</v>
      </c>
    </row>
    <row r="175" spans="1:10" ht="55.65">
      <c r="A175" s="17">
        <v>0</v>
      </c>
      <c r="B175" s="17" t="s">
        <v>517</v>
      </c>
      <c r="C175" s="204" t="s">
        <v>711</v>
      </c>
      <c r="E175" s="204" t="s">
        <v>712</v>
      </c>
      <c r="F175" s="403">
        <v>320</v>
      </c>
      <c r="H175" s="403">
        <f t="shared" si="19"/>
        <v>320</v>
      </c>
      <c r="I175" s="403">
        <f t="shared" si="20"/>
        <v>0</v>
      </c>
    </row>
    <row r="176" spans="1:10" ht="55.65">
      <c r="A176" s="17">
        <v>0</v>
      </c>
      <c r="B176" s="17" t="s">
        <v>517</v>
      </c>
      <c r="C176" s="17" t="s">
        <v>713</v>
      </c>
      <c r="D176" s="17" t="s">
        <v>714</v>
      </c>
      <c r="E176" s="204" t="s">
        <v>715</v>
      </c>
      <c r="F176" s="403">
        <v>2725</v>
      </c>
      <c r="H176" s="403">
        <f t="shared" si="19"/>
        <v>2725</v>
      </c>
      <c r="I176" s="403">
        <f t="shared" si="20"/>
        <v>0</v>
      </c>
    </row>
    <row r="177" spans="1:10" ht="33.4">
      <c r="A177" s="17">
        <v>1</v>
      </c>
      <c r="B177" s="17" t="s">
        <v>517</v>
      </c>
      <c r="C177" s="204" t="s">
        <v>716</v>
      </c>
      <c r="E177" s="17" t="s">
        <v>717</v>
      </c>
      <c r="F177" s="403">
        <f>1840*1.04</f>
        <v>1913.6000000000001</v>
      </c>
      <c r="H177" s="403">
        <f t="shared" si="19"/>
        <v>1913.6000000000001</v>
      </c>
      <c r="I177" s="403">
        <f t="shared" si="20"/>
        <v>1913.6000000000001</v>
      </c>
      <c r="J177" s="17" t="s">
        <v>1498</v>
      </c>
    </row>
    <row r="178" spans="1:10">
      <c r="H178" s="403"/>
      <c r="I178" s="403"/>
    </row>
    <row r="179" spans="1:10">
      <c r="E179" s="446" t="s">
        <v>719</v>
      </c>
      <c r="H179" s="403"/>
      <c r="I179" s="403"/>
    </row>
    <row r="180" spans="1:10" ht="22.25">
      <c r="A180" s="17">
        <f>2*16</f>
        <v>32</v>
      </c>
      <c r="B180" s="17" t="s">
        <v>619</v>
      </c>
      <c r="C180" s="204" t="s">
        <v>531</v>
      </c>
      <c r="E180" s="17" t="s">
        <v>720</v>
      </c>
      <c r="F180" s="403">
        <v>50</v>
      </c>
      <c r="H180" s="403">
        <f t="shared" si="19"/>
        <v>50</v>
      </c>
      <c r="I180" s="403">
        <f t="shared" si="20"/>
        <v>1600</v>
      </c>
    </row>
    <row r="181" spans="1:10">
      <c r="A181" s="17">
        <f>ROUND((51-2)/2*6,0)</f>
        <v>147</v>
      </c>
      <c r="B181" s="17" t="s">
        <v>517</v>
      </c>
      <c r="C181" s="204" t="s">
        <v>721</v>
      </c>
      <c r="E181" s="17" t="s">
        <v>722</v>
      </c>
      <c r="F181" s="403">
        <f>69/100</f>
        <v>0.69</v>
      </c>
      <c r="H181" s="403">
        <f t="shared" si="19"/>
        <v>0.69</v>
      </c>
      <c r="I181" s="403">
        <f t="shared" si="20"/>
        <v>101.42999999999999</v>
      </c>
    </row>
    <row r="182" spans="1:10">
      <c r="A182" s="17">
        <f t="shared" ref="A182:A183" si="21">A181</f>
        <v>147</v>
      </c>
      <c r="B182" s="17" t="s">
        <v>517</v>
      </c>
      <c r="C182" s="204" t="s">
        <v>721</v>
      </c>
      <c r="E182" s="17" t="s">
        <v>723</v>
      </c>
      <c r="F182" s="403">
        <v>0.1</v>
      </c>
      <c r="H182" s="403">
        <f t="shared" si="19"/>
        <v>0.1</v>
      </c>
      <c r="I182" s="403">
        <f t="shared" si="20"/>
        <v>14.700000000000001</v>
      </c>
    </row>
    <row r="183" spans="1:10">
      <c r="A183" s="17">
        <f t="shared" si="21"/>
        <v>147</v>
      </c>
      <c r="B183" s="17" t="s">
        <v>517</v>
      </c>
      <c r="C183" s="204" t="s">
        <v>721</v>
      </c>
      <c r="E183" s="17" t="s">
        <v>724</v>
      </c>
      <c r="F183" s="403">
        <f>13.25/1.2/100</f>
        <v>0.11041666666666668</v>
      </c>
      <c r="H183" s="403">
        <f t="shared" si="19"/>
        <v>0.11041666666666668</v>
      </c>
      <c r="I183" s="403">
        <f t="shared" si="20"/>
        <v>16.231250000000003</v>
      </c>
    </row>
    <row r="184" spans="1:10" ht="22.25">
      <c r="A184" s="17">
        <f>ROUNDUP(2*(16.4+8.5/12.9*11.3)/4,0)</f>
        <v>12</v>
      </c>
      <c r="B184" s="17" t="s">
        <v>539</v>
      </c>
      <c r="C184" s="204" t="s">
        <v>725</v>
      </c>
      <c r="E184" s="17" t="s">
        <v>726</v>
      </c>
      <c r="F184" s="403">
        <f>15.73/1.2</f>
        <v>13.108333333333334</v>
      </c>
      <c r="H184" s="403">
        <f t="shared" si="19"/>
        <v>13.108333333333334</v>
      </c>
      <c r="I184" s="403">
        <f t="shared" si="20"/>
        <v>157.30000000000001</v>
      </c>
    </row>
    <row r="185" spans="1:10" ht="22.25">
      <c r="A185" s="17">
        <f>A184</f>
        <v>12</v>
      </c>
      <c r="B185" s="17" t="s">
        <v>539</v>
      </c>
      <c r="C185" s="204" t="s">
        <v>531</v>
      </c>
      <c r="E185" s="17" t="s">
        <v>727</v>
      </c>
      <c r="F185" s="403">
        <v>25</v>
      </c>
      <c r="H185" s="403">
        <f t="shared" si="19"/>
        <v>25</v>
      </c>
      <c r="I185" s="403">
        <f t="shared" si="20"/>
        <v>300</v>
      </c>
    </row>
    <row r="186" spans="1:10" ht="22.25">
      <c r="A186" s="17">
        <f>A185*4</f>
        <v>48</v>
      </c>
      <c r="B186" s="17" t="s">
        <v>517</v>
      </c>
      <c r="C186" s="204" t="s">
        <v>531</v>
      </c>
      <c r="E186" s="17" t="s">
        <v>728</v>
      </c>
      <c r="F186" s="403">
        <v>0.1</v>
      </c>
      <c r="H186" s="403">
        <f t="shared" si="19"/>
        <v>0.1</v>
      </c>
      <c r="I186" s="403">
        <f t="shared" si="20"/>
        <v>4.8000000000000007</v>
      </c>
    </row>
    <row r="187" spans="1:10">
      <c r="H187" s="403"/>
      <c r="I187" s="403"/>
    </row>
    <row r="188" spans="1:10" ht="15.75">
      <c r="E188" s="439" t="s">
        <v>729</v>
      </c>
      <c r="I188" s="168">
        <f>SUM(I168:I187)</f>
        <v>5448.0612500000007</v>
      </c>
    </row>
    <row r="190" spans="1:10" ht="13.75" customHeight="1">
      <c r="A190" s="997" t="s">
        <v>68</v>
      </c>
      <c r="B190" s="997"/>
      <c r="C190" s="997"/>
      <c r="D190" s="997"/>
      <c r="E190" s="997"/>
    </row>
    <row r="191" spans="1:10">
      <c r="A191" s="17">
        <v>1</v>
      </c>
      <c r="B191" s="17" t="s">
        <v>517</v>
      </c>
      <c r="E191" s="17" t="s">
        <v>730</v>
      </c>
      <c r="F191" s="403">
        <v>500</v>
      </c>
      <c r="H191" s="403">
        <f t="shared" si="19"/>
        <v>500</v>
      </c>
      <c r="I191" s="403">
        <f t="shared" ref="I191:I193" si="22">A191*H191</f>
        <v>500</v>
      </c>
    </row>
    <row r="192" spans="1:10" ht="55.65">
      <c r="A192" s="17">
        <v>0</v>
      </c>
      <c r="B192" s="17" t="s">
        <v>517</v>
      </c>
      <c r="C192" s="204" t="s">
        <v>708</v>
      </c>
      <c r="E192" s="204" t="s">
        <v>731</v>
      </c>
      <c r="F192" s="403">
        <f>460/2</f>
        <v>230</v>
      </c>
      <c r="H192" s="403">
        <f t="shared" si="19"/>
        <v>230</v>
      </c>
      <c r="I192" s="403">
        <f t="shared" si="22"/>
        <v>0</v>
      </c>
    </row>
    <row r="193" spans="1:9" ht="55.65">
      <c r="A193" s="17">
        <v>0</v>
      </c>
      <c r="B193" s="17" t="s">
        <v>517</v>
      </c>
      <c r="C193" s="204" t="s">
        <v>711</v>
      </c>
      <c r="E193" s="204" t="s">
        <v>732</v>
      </c>
      <c r="F193" s="403">
        <f>320/2</f>
        <v>160</v>
      </c>
      <c r="H193" s="403">
        <f t="shared" si="19"/>
        <v>160</v>
      </c>
      <c r="I193" s="403">
        <f t="shared" si="22"/>
        <v>0</v>
      </c>
    </row>
    <row r="195" spans="1:9" ht="15.75">
      <c r="E195" s="439" t="s">
        <v>733</v>
      </c>
      <c r="I195" s="168">
        <f>SUM(I190:I194)</f>
        <v>500</v>
      </c>
    </row>
    <row r="196" spans="1:9">
      <c r="E196" s="439"/>
    </row>
  </sheetData>
  <mergeCells count="17">
    <mergeCell ref="B1:F1"/>
    <mergeCell ref="A2:G2"/>
    <mergeCell ref="J26:L26"/>
    <mergeCell ref="J27:L27"/>
    <mergeCell ref="J28:L28"/>
    <mergeCell ref="J29:L29"/>
    <mergeCell ref="J30:L30"/>
    <mergeCell ref="K98:K99"/>
    <mergeCell ref="K100:K101"/>
    <mergeCell ref="K102:K112"/>
    <mergeCell ref="A168:E168"/>
    <mergeCell ref="A190:E190"/>
    <mergeCell ref="K119:K120"/>
    <mergeCell ref="K121:K122"/>
    <mergeCell ref="K123:K124"/>
    <mergeCell ref="K125:K135"/>
    <mergeCell ref="A144:E144"/>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6.42578125" style="17" customWidth="1"/>
    <col min="11" max="11" width="18.140625" style="17" customWidth="1"/>
    <col min="12" max="12" width="12.140625" style="17" customWidth="1"/>
    <col min="13" max="19" width="10.140625" style="403"/>
    <col min="20" max="64" width="10.140625" style="17"/>
  </cols>
  <sheetData>
    <row r="1" spans="1:19" ht="15.75">
      <c r="B1" s="1053" t="s">
        <v>271</v>
      </c>
      <c r="C1" s="1053"/>
      <c r="D1" s="1053"/>
      <c r="E1" s="1053"/>
      <c r="F1" s="1053"/>
      <c r="H1" s="405" t="s">
        <v>493</v>
      </c>
      <c r="I1" s="406">
        <v>375</v>
      </c>
      <c r="J1" s="17"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33.4">
      <c r="A4" s="413">
        <v>378</v>
      </c>
      <c r="B4" s="407" t="s">
        <v>505</v>
      </c>
      <c r="C4" s="408" t="s">
        <v>1333</v>
      </c>
      <c r="D4" s="407"/>
      <c r="E4" s="408" t="s">
        <v>1334</v>
      </c>
      <c r="F4" s="409">
        <f>13853/96/(1+25%)</f>
        <v>115.44166666666668</v>
      </c>
      <c r="G4" s="410"/>
      <c r="H4" s="409">
        <f t="shared" ref="H4:H9" si="0">F4*(1-G4)</f>
        <v>115.44166666666668</v>
      </c>
      <c r="I4" s="409">
        <f t="shared" ref="I4:I9" si="1">A4*H4</f>
        <v>43636.950000000004</v>
      </c>
      <c r="J4" s="417">
        <f>F4/$I$1</f>
        <v>0.30784444444444448</v>
      </c>
      <c r="K4" s="403" t="s">
        <v>1421</v>
      </c>
      <c r="L4" s="404" t="s">
        <v>1499</v>
      </c>
      <c r="M4" s="418">
        <f>I4</f>
        <v>43636.950000000004</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66.8">
      <c r="A6" s="413">
        <f>A4+A5</f>
        <v>378</v>
      </c>
      <c r="B6" s="413" t="s">
        <v>505</v>
      </c>
      <c r="C6" s="420"/>
      <c r="D6" s="413"/>
      <c r="E6" s="420" t="s">
        <v>514</v>
      </c>
      <c r="F6" s="421">
        <f>5151.6/A6*1.036</f>
        <v>14.119200000000001</v>
      </c>
      <c r="G6" s="410"/>
      <c r="H6" s="409">
        <f t="shared" si="0"/>
        <v>14.119200000000001</v>
      </c>
      <c r="I6" s="409">
        <f t="shared" si="1"/>
        <v>5337.0576000000001</v>
      </c>
      <c r="J6" s="417">
        <f>F6/$I$1</f>
        <v>3.7651200000000003E-2</v>
      </c>
      <c r="K6" s="417" t="s">
        <v>740</v>
      </c>
      <c r="L6" s="204" t="s">
        <v>741</v>
      </c>
      <c r="M6" s="418">
        <f>I6</f>
        <v>5337.0576000000001</v>
      </c>
      <c r="N6" s="418"/>
      <c r="O6" s="418"/>
      <c r="P6" s="418"/>
      <c r="Q6" s="418"/>
      <c r="R6" s="418"/>
      <c r="S6" s="418"/>
    </row>
    <row r="7" spans="1:19">
      <c r="A7" s="423">
        <v>1</v>
      </c>
      <c r="B7" s="423" t="s">
        <v>522</v>
      </c>
      <c r="C7" s="423" t="s">
        <v>531</v>
      </c>
      <c r="D7" s="413"/>
      <c r="E7" s="420" t="s">
        <v>1241</v>
      </c>
      <c r="F7" s="421">
        <v>2000</v>
      </c>
      <c r="G7" s="410"/>
      <c r="H7" s="409">
        <f t="shared" si="0"/>
        <v>2000</v>
      </c>
      <c r="I7" s="409">
        <f t="shared" si="1"/>
        <v>2000</v>
      </c>
      <c r="J7" s="204"/>
      <c r="M7" s="418"/>
      <c r="N7" s="418"/>
      <c r="O7" s="418"/>
      <c r="P7" s="418"/>
      <c r="Q7" s="418"/>
      <c r="R7" s="418">
        <f t="shared" ref="R7:R9" si="2">I7</f>
        <v>2000</v>
      </c>
      <c r="S7" s="418"/>
    </row>
    <row r="8" spans="1:19" ht="166.95">
      <c r="A8" s="413">
        <v>4</v>
      </c>
      <c r="B8" s="413" t="s">
        <v>505</v>
      </c>
      <c r="C8" s="423" t="s">
        <v>984</v>
      </c>
      <c r="D8" s="423" t="s">
        <v>985</v>
      </c>
      <c r="E8" s="424" t="s">
        <v>1500</v>
      </c>
      <c r="F8" s="425">
        <v>493.33</v>
      </c>
      <c r="G8" s="410"/>
      <c r="H8" s="409">
        <f t="shared" si="0"/>
        <v>493.33</v>
      </c>
      <c r="I8" s="409">
        <f t="shared" si="1"/>
        <v>1973.32</v>
      </c>
      <c r="J8" s="204"/>
      <c r="M8" s="418"/>
      <c r="N8" s="418"/>
      <c r="O8" s="418"/>
      <c r="P8" s="418"/>
      <c r="Q8" s="418"/>
      <c r="R8" s="418">
        <f t="shared" si="2"/>
        <v>1973.32</v>
      </c>
      <c r="S8" s="418"/>
    </row>
    <row r="9" spans="1:19" ht="22.25">
      <c r="A9" s="413">
        <v>1</v>
      </c>
      <c r="B9" s="413" t="s">
        <v>505</v>
      </c>
      <c r="C9" s="420" t="s">
        <v>1074</v>
      </c>
      <c r="D9" s="413"/>
      <c r="E9" s="420" t="s">
        <v>1423</v>
      </c>
      <c r="F9" s="421">
        <v>275.56</v>
      </c>
      <c r="G9" s="410"/>
      <c r="H9" s="409">
        <f t="shared" si="0"/>
        <v>275.56</v>
      </c>
      <c r="I9" s="409">
        <f t="shared" si="1"/>
        <v>275.56</v>
      </c>
      <c r="J9" s="204"/>
      <c r="M9" s="418"/>
      <c r="N9" s="418"/>
      <c r="O9" s="418"/>
      <c r="P9" s="418"/>
      <c r="Q9" s="418"/>
      <c r="R9" s="418">
        <f t="shared" si="2"/>
        <v>275.56</v>
      </c>
      <c r="S9" s="418"/>
    </row>
    <row r="10" spans="1:19" ht="22.25">
      <c r="A10" s="413">
        <v>1</v>
      </c>
      <c r="B10" s="413" t="s">
        <v>530</v>
      </c>
      <c r="C10" s="420" t="s">
        <v>531</v>
      </c>
      <c r="D10" s="413"/>
      <c r="E10" s="413" t="s">
        <v>532</v>
      </c>
      <c r="F10" s="421">
        <v>500</v>
      </c>
      <c r="G10" s="410"/>
      <c r="H10" s="409">
        <f t="shared" ref="H10:H62" si="3">F10*(1-G10)</f>
        <v>500</v>
      </c>
      <c r="I10" s="409">
        <f t="shared" ref="I10:I32" si="4">A10*H10</f>
        <v>500</v>
      </c>
      <c r="J10" s="204"/>
      <c r="K10" s="17" t="s">
        <v>533</v>
      </c>
      <c r="M10" s="418"/>
      <c r="N10" s="418"/>
      <c r="O10" s="418"/>
      <c r="P10" s="418"/>
      <c r="Q10" s="418"/>
      <c r="R10" s="418">
        <f t="shared" ref="R10:R24" si="5">I10</f>
        <v>500</v>
      </c>
      <c r="S10" s="418"/>
    </row>
    <row r="11" spans="1:19" ht="22.25">
      <c r="A11" s="413">
        <v>0</v>
      </c>
      <c r="B11" s="413" t="s">
        <v>505</v>
      </c>
      <c r="C11" s="420" t="s">
        <v>534</v>
      </c>
      <c r="D11" s="413"/>
      <c r="E11" s="420" t="s">
        <v>535</v>
      </c>
      <c r="F11" s="421">
        <v>3.71</v>
      </c>
      <c r="G11" s="410"/>
      <c r="H11" s="409">
        <f t="shared" si="3"/>
        <v>3.71</v>
      </c>
      <c r="I11" s="409">
        <f t="shared" si="4"/>
        <v>0</v>
      </c>
      <c r="J11" s="204" t="s">
        <v>536</v>
      </c>
      <c r="M11" s="418"/>
      <c r="N11" s="418"/>
      <c r="O11" s="418"/>
      <c r="P11" s="418"/>
      <c r="Q11" s="418"/>
      <c r="R11" s="418">
        <f t="shared" si="5"/>
        <v>0</v>
      </c>
      <c r="S11" s="418"/>
    </row>
    <row r="12" spans="1:19" ht="22.25">
      <c r="A12" s="413">
        <f>A11</f>
        <v>0</v>
      </c>
      <c r="B12" s="413" t="s">
        <v>505</v>
      </c>
      <c r="C12" s="420" t="s">
        <v>534</v>
      </c>
      <c r="D12" s="413"/>
      <c r="E12" s="420" t="s">
        <v>537</v>
      </c>
      <c r="F12" s="421">
        <v>3.81</v>
      </c>
      <c r="G12" s="410"/>
      <c r="H12" s="409">
        <f t="shared" si="3"/>
        <v>3.81</v>
      </c>
      <c r="I12" s="409">
        <f t="shared" si="4"/>
        <v>0</v>
      </c>
      <c r="J12" s="204" t="s">
        <v>538</v>
      </c>
      <c r="M12" s="418"/>
      <c r="N12" s="418"/>
      <c r="O12" s="418"/>
      <c r="P12" s="418"/>
      <c r="Q12" s="418"/>
      <c r="R12" s="418">
        <f t="shared" si="5"/>
        <v>0</v>
      </c>
      <c r="S12" s="418"/>
    </row>
    <row r="13" spans="1:19" ht="33.4">
      <c r="A13" s="413">
        <v>1200</v>
      </c>
      <c r="B13" s="413" t="s">
        <v>539</v>
      </c>
      <c r="C13" s="420" t="s">
        <v>540</v>
      </c>
      <c r="D13" s="413" t="s">
        <v>541</v>
      </c>
      <c r="E13" s="420" t="s">
        <v>542</v>
      </c>
      <c r="F13" s="421">
        <v>0.55647999999999997</v>
      </c>
      <c r="G13" s="410"/>
      <c r="H13" s="409">
        <f t="shared" si="3"/>
        <v>0.55647999999999997</v>
      </c>
      <c r="I13" s="409">
        <f t="shared" si="4"/>
        <v>667.77599999999995</v>
      </c>
      <c r="M13" s="418"/>
      <c r="N13" s="418"/>
      <c r="O13" s="418">
        <f t="shared" ref="O13:O27" si="6">I13</f>
        <v>667.77599999999995</v>
      </c>
      <c r="P13" s="418"/>
      <c r="Q13" s="418"/>
      <c r="R13" s="418"/>
      <c r="S13" s="418"/>
    </row>
    <row r="14" spans="1:19" ht="33.4">
      <c r="A14" s="413">
        <v>2000</v>
      </c>
      <c r="B14" s="413" t="s">
        <v>539</v>
      </c>
      <c r="C14" s="420" t="s">
        <v>540</v>
      </c>
      <c r="D14" s="413" t="s">
        <v>543</v>
      </c>
      <c r="E14" s="420" t="s">
        <v>544</v>
      </c>
      <c r="F14" s="421">
        <v>0.55647999999999997</v>
      </c>
      <c r="G14" s="410"/>
      <c r="H14" s="409">
        <f t="shared" si="3"/>
        <v>0.55647999999999997</v>
      </c>
      <c r="I14" s="409">
        <f t="shared" si="4"/>
        <v>1112.96</v>
      </c>
      <c r="M14" s="418"/>
      <c r="N14" s="418"/>
      <c r="O14" s="418">
        <f t="shared" si="6"/>
        <v>1112.96</v>
      </c>
      <c r="P14" s="418"/>
      <c r="Q14" s="418"/>
      <c r="R14" s="418"/>
      <c r="S14" s="418"/>
    </row>
    <row r="15" spans="1:19" ht="33.4">
      <c r="A15" s="413">
        <f>4*23</f>
        <v>92</v>
      </c>
      <c r="B15" s="413" t="s">
        <v>517</v>
      </c>
      <c r="C15" s="420" t="s">
        <v>540</v>
      </c>
      <c r="D15" s="413" t="s">
        <v>797</v>
      </c>
      <c r="E15" s="420" t="s">
        <v>798</v>
      </c>
      <c r="F15" s="421">
        <v>0.88</v>
      </c>
      <c r="G15" s="410"/>
      <c r="H15" s="409">
        <f t="shared" si="3"/>
        <v>0.88</v>
      </c>
      <c r="I15" s="409">
        <f t="shared" si="4"/>
        <v>80.959999999999994</v>
      </c>
      <c r="J15" s="204"/>
      <c r="M15" s="418"/>
      <c r="N15" s="418"/>
      <c r="O15" s="418">
        <f t="shared" si="6"/>
        <v>80.959999999999994</v>
      </c>
      <c r="P15" s="418"/>
      <c r="Q15" s="418"/>
      <c r="R15" s="418"/>
      <c r="S15" s="418"/>
    </row>
    <row r="16" spans="1:19" ht="33.4">
      <c r="A16" s="413">
        <f>A15</f>
        <v>92</v>
      </c>
      <c r="B16" s="413" t="s">
        <v>517</v>
      </c>
      <c r="C16" s="420" t="s">
        <v>540</v>
      </c>
      <c r="D16" s="413" t="s">
        <v>800</v>
      </c>
      <c r="E16" s="420" t="s">
        <v>801</v>
      </c>
      <c r="F16" s="421">
        <v>0.67</v>
      </c>
      <c r="G16" s="410"/>
      <c r="H16" s="409">
        <f t="shared" si="3"/>
        <v>0.67</v>
      </c>
      <c r="I16" s="409">
        <f t="shared" si="4"/>
        <v>61.64</v>
      </c>
      <c r="J16" s="204"/>
      <c r="M16" s="418"/>
      <c r="N16" s="418"/>
      <c r="O16" s="418">
        <f t="shared" si="6"/>
        <v>61.64</v>
      </c>
      <c r="P16" s="418"/>
      <c r="Q16" s="418"/>
      <c r="R16" s="418"/>
      <c r="S16" s="418"/>
    </row>
    <row r="17" spans="1:19" ht="33.4">
      <c r="A17" s="413">
        <v>0</v>
      </c>
      <c r="B17" s="413" t="s">
        <v>517</v>
      </c>
      <c r="C17" s="420" t="s">
        <v>540</v>
      </c>
      <c r="D17" s="413" t="s">
        <v>556</v>
      </c>
      <c r="E17" s="420" t="s">
        <v>557</v>
      </c>
      <c r="F17" s="421">
        <v>6.58</v>
      </c>
      <c r="G17" s="410"/>
      <c r="H17" s="409">
        <f t="shared" si="3"/>
        <v>6.58</v>
      </c>
      <c r="I17" s="409">
        <f t="shared" si="4"/>
        <v>0</v>
      </c>
      <c r="J17" s="204"/>
      <c r="K17" s="17" t="s">
        <v>558</v>
      </c>
      <c r="M17" s="418"/>
      <c r="N17" s="418"/>
      <c r="O17" s="418">
        <f t="shared" si="6"/>
        <v>0</v>
      </c>
      <c r="P17" s="418"/>
      <c r="Q17" s="418"/>
      <c r="R17" s="418"/>
      <c r="S17" s="418"/>
    </row>
    <row r="18" spans="1:19" ht="44.55">
      <c r="A18" s="413">
        <v>4</v>
      </c>
      <c r="B18" s="413" t="s">
        <v>517</v>
      </c>
      <c r="C18" s="420" t="s">
        <v>540</v>
      </c>
      <c r="D18" s="413" t="s">
        <v>821</v>
      </c>
      <c r="E18" s="420" t="s">
        <v>822</v>
      </c>
      <c r="F18" s="421">
        <v>1810</v>
      </c>
      <c r="G18" s="410"/>
      <c r="H18" s="409">
        <f t="shared" si="3"/>
        <v>1810</v>
      </c>
      <c r="I18" s="409">
        <f t="shared" si="4"/>
        <v>7240</v>
      </c>
      <c r="J18" s="204"/>
      <c r="M18" s="418"/>
      <c r="N18" s="418">
        <f t="shared" ref="N18:N21" si="7">I18</f>
        <v>7240</v>
      </c>
      <c r="O18" s="418"/>
      <c r="P18" s="418"/>
      <c r="Q18" s="418"/>
      <c r="R18" s="418"/>
      <c r="S18" s="418"/>
    </row>
    <row r="19" spans="1:19">
      <c r="A19" s="413">
        <v>1</v>
      </c>
      <c r="B19" s="413" t="s">
        <v>505</v>
      </c>
      <c r="C19" s="413" t="s">
        <v>751</v>
      </c>
      <c r="D19" s="413"/>
      <c r="E19" s="420" t="s">
        <v>1209</v>
      </c>
      <c r="F19" s="421">
        <v>1688.73</v>
      </c>
      <c r="G19" s="422"/>
      <c r="H19" s="409">
        <f t="shared" si="3"/>
        <v>1688.73</v>
      </c>
      <c r="I19" s="409">
        <f t="shared" si="4"/>
        <v>1688.73</v>
      </c>
      <c r="J19" s="204"/>
      <c r="M19" s="418"/>
      <c r="N19" s="418">
        <f t="shared" si="7"/>
        <v>1688.73</v>
      </c>
      <c r="O19" s="418"/>
      <c r="P19" s="418"/>
      <c r="Q19" s="418"/>
      <c r="R19" s="418"/>
      <c r="S19" s="418"/>
    </row>
    <row r="20" spans="1:19" ht="33.4">
      <c r="A20" s="413">
        <v>1</v>
      </c>
      <c r="B20" s="413" t="s">
        <v>517</v>
      </c>
      <c r="C20" s="420" t="s">
        <v>540</v>
      </c>
      <c r="D20" s="413" t="s">
        <v>990</v>
      </c>
      <c r="E20" s="420" t="s">
        <v>991</v>
      </c>
      <c r="F20" s="421">
        <v>33.21</v>
      </c>
      <c r="G20" s="410"/>
      <c r="H20" s="409">
        <f t="shared" si="3"/>
        <v>33.21</v>
      </c>
      <c r="I20" s="409">
        <f t="shared" si="4"/>
        <v>33.21</v>
      </c>
      <c r="J20" s="204"/>
      <c r="M20" s="418"/>
      <c r="N20" s="418">
        <f t="shared" si="7"/>
        <v>33.21</v>
      </c>
      <c r="O20" s="418"/>
      <c r="P20" s="418"/>
      <c r="Q20" s="418"/>
      <c r="R20" s="418"/>
      <c r="S20" s="418"/>
    </row>
    <row r="21" spans="1:19" ht="33.4">
      <c r="A21" s="413">
        <v>4</v>
      </c>
      <c r="B21" s="413" t="s">
        <v>517</v>
      </c>
      <c r="C21" s="420" t="s">
        <v>540</v>
      </c>
      <c r="D21" s="413" t="s">
        <v>998</v>
      </c>
      <c r="E21" s="420" t="s">
        <v>999</v>
      </c>
      <c r="F21" s="421">
        <v>116.67</v>
      </c>
      <c r="G21" s="410"/>
      <c r="H21" s="409">
        <f t="shared" si="3"/>
        <v>116.67</v>
      </c>
      <c r="I21" s="409">
        <f t="shared" si="4"/>
        <v>466.68</v>
      </c>
      <c r="J21" s="204"/>
      <c r="M21" s="418"/>
      <c r="N21" s="418">
        <f t="shared" si="7"/>
        <v>466.68</v>
      </c>
      <c r="O21" s="418"/>
      <c r="P21" s="418"/>
      <c r="Q21" s="418"/>
      <c r="R21" s="418"/>
      <c r="S21" s="418"/>
    </row>
    <row r="22" spans="1:19" ht="33.4">
      <c r="A22" s="413">
        <v>40</v>
      </c>
      <c r="B22" s="413" t="s">
        <v>517</v>
      </c>
      <c r="C22" s="420" t="s">
        <v>540</v>
      </c>
      <c r="D22" s="413" t="s">
        <v>761</v>
      </c>
      <c r="E22" s="420" t="s">
        <v>762</v>
      </c>
      <c r="F22" s="421">
        <v>2.5</v>
      </c>
      <c r="G22" s="410"/>
      <c r="H22" s="409">
        <f t="shared" si="3"/>
        <v>2.5</v>
      </c>
      <c r="I22" s="409">
        <f t="shared" si="4"/>
        <v>100</v>
      </c>
      <c r="J22" s="204"/>
      <c r="M22" s="418"/>
      <c r="N22" s="418"/>
      <c r="O22" s="418"/>
      <c r="P22" s="418"/>
      <c r="Q22" s="418"/>
      <c r="R22" s="418">
        <f t="shared" si="5"/>
        <v>100</v>
      </c>
      <c r="S22" s="418"/>
    </row>
    <row r="23" spans="1:19" ht="35.85" customHeight="1">
      <c r="A23" s="413">
        <v>1</v>
      </c>
      <c r="B23" s="413" t="s">
        <v>522</v>
      </c>
      <c r="C23" s="420" t="s">
        <v>678</v>
      </c>
      <c r="D23" s="413"/>
      <c r="E23" s="420" t="s">
        <v>1160</v>
      </c>
      <c r="F23" s="421">
        <v>1668.3</v>
      </c>
      <c r="G23" s="410"/>
      <c r="H23" s="409">
        <f t="shared" si="3"/>
        <v>1668.3</v>
      </c>
      <c r="I23" s="409">
        <f t="shared" si="4"/>
        <v>1668.3</v>
      </c>
      <c r="J23" s="1054" t="s">
        <v>1501</v>
      </c>
      <c r="K23" s="1054"/>
      <c r="L23" s="1054"/>
      <c r="M23" s="418"/>
      <c r="N23" s="418"/>
      <c r="O23" s="418"/>
      <c r="P23" s="418"/>
      <c r="Q23" s="418"/>
      <c r="R23" s="418">
        <f t="shared" si="5"/>
        <v>1668.3</v>
      </c>
      <c r="S23" s="418"/>
    </row>
    <row r="24" spans="1:19">
      <c r="A24" s="407"/>
      <c r="B24" s="407"/>
      <c r="C24" s="408"/>
      <c r="D24" s="407"/>
      <c r="E24" s="408"/>
      <c r="F24" s="409"/>
      <c r="G24" s="410"/>
      <c r="H24" s="409">
        <f t="shared" si="3"/>
        <v>0</v>
      </c>
      <c r="I24" s="409">
        <f t="shared" si="4"/>
        <v>0</v>
      </c>
      <c r="J24" s="204"/>
      <c r="M24" s="418"/>
      <c r="N24" s="418"/>
      <c r="O24" s="418"/>
      <c r="P24" s="418"/>
      <c r="Q24" s="418"/>
      <c r="R24" s="418">
        <f t="shared" si="5"/>
        <v>0</v>
      </c>
      <c r="S24" s="418"/>
    </row>
    <row r="25" spans="1:19" ht="22.25">
      <c r="A25" s="413">
        <v>1</v>
      </c>
      <c r="B25" s="413" t="s">
        <v>522</v>
      </c>
      <c r="C25" s="420" t="s">
        <v>531</v>
      </c>
      <c r="D25" s="413"/>
      <c r="E25" s="420" t="s">
        <v>695</v>
      </c>
      <c r="F25" s="421">
        <v>100</v>
      </c>
      <c r="G25" s="410"/>
      <c r="H25" s="409">
        <f t="shared" si="3"/>
        <v>100</v>
      </c>
      <c r="I25" s="409">
        <f t="shared" si="4"/>
        <v>100</v>
      </c>
      <c r="J25" s="204"/>
      <c r="M25" s="418"/>
      <c r="N25" s="418"/>
      <c r="O25" s="418">
        <f t="shared" si="6"/>
        <v>100</v>
      </c>
      <c r="P25" s="418"/>
      <c r="Q25" s="418"/>
      <c r="R25" s="418"/>
      <c r="S25" s="418"/>
    </row>
    <row r="26" spans="1:19" ht="33.4">
      <c r="A26" s="413">
        <v>1</v>
      </c>
      <c r="B26" s="413" t="s">
        <v>517</v>
      </c>
      <c r="C26" s="420" t="s">
        <v>540</v>
      </c>
      <c r="D26" s="413" t="s">
        <v>769</v>
      </c>
      <c r="E26" s="420" t="s">
        <v>567</v>
      </c>
      <c r="F26" s="421">
        <v>750</v>
      </c>
      <c r="G26" s="410"/>
      <c r="H26" s="409">
        <f t="shared" si="3"/>
        <v>750</v>
      </c>
      <c r="I26" s="409">
        <f t="shared" si="4"/>
        <v>750</v>
      </c>
      <c r="J26" s="204"/>
      <c r="M26" s="418">
        <f>F26</f>
        <v>750</v>
      </c>
      <c r="N26" s="418"/>
      <c r="O26" s="418"/>
      <c r="P26" s="418"/>
      <c r="Q26" s="418"/>
      <c r="R26" s="418"/>
      <c r="S26" s="418"/>
    </row>
    <row r="27" spans="1:19" ht="44.55">
      <c r="A27" s="413">
        <v>30</v>
      </c>
      <c r="B27" s="413" t="s">
        <v>539</v>
      </c>
      <c r="C27" s="420" t="s">
        <v>552</v>
      </c>
      <c r="D27" s="413"/>
      <c r="E27" s="413" t="s">
        <v>568</v>
      </c>
      <c r="F27" s="421">
        <v>13.69</v>
      </c>
      <c r="G27" s="428"/>
      <c r="H27" s="409">
        <f t="shared" si="3"/>
        <v>13.69</v>
      </c>
      <c r="I27" s="409">
        <f t="shared" si="4"/>
        <v>410.7</v>
      </c>
      <c r="J27" s="204"/>
      <c r="M27" s="418"/>
      <c r="N27" s="418"/>
      <c r="O27" s="418">
        <f t="shared" si="6"/>
        <v>410.7</v>
      </c>
      <c r="P27" s="418"/>
      <c r="Q27" s="418"/>
      <c r="R27" s="418"/>
      <c r="S27" s="418"/>
    </row>
    <row r="28" spans="1:19" ht="44.55">
      <c r="A28" s="413">
        <v>0</v>
      </c>
      <c r="B28" s="407" t="s">
        <v>517</v>
      </c>
      <c r="C28" s="408" t="s">
        <v>569</v>
      </c>
      <c r="D28" s="407" t="s">
        <v>570</v>
      </c>
      <c r="E28" s="408" t="s">
        <v>571</v>
      </c>
      <c r="F28" s="409">
        <v>1040</v>
      </c>
      <c r="G28" s="429">
        <v>0.48</v>
      </c>
      <c r="H28" s="430">
        <f t="shared" si="3"/>
        <v>540.80000000000007</v>
      </c>
      <c r="I28" s="409">
        <f t="shared" si="4"/>
        <v>0</v>
      </c>
      <c r="J28" s="204"/>
      <c r="M28" s="418"/>
      <c r="N28" s="418"/>
      <c r="O28" s="418"/>
      <c r="P28" s="418"/>
      <c r="Q28" s="418"/>
      <c r="R28" s="418"/>
      <c r="S28" s="418">
        <f t="shared" ref="S28:S32" si="8">I28</f>
        <v>0</v>
      </c>
    </row>
    <row r="29" spans="1:19" ht="55.65">
      <c r="A29" s="413">
        <v>1</v>
      </c>
      <c r="B29" s="413" t="s">
        <v>517</v>
      </c>
      <c r="C29" s="424" t="s">
        <v>569</v>
      </c>
      <c r="D29" s="423" t="s">
        <v>572</v>
      </c>
      <c r="E29" s="424" t="s">
        <v>573</v>
      </c>
      <c r="F29" s="425">
        <v>1190</v>
      </c>
      <c r="G29" s="429">
        <v>0.48</v>
      </c>
      <c r="H29" s="430">
        <f t="shared" si="3"/>
        <v>618.80000000000007</v>
      </c>
      <c r="I29" s="409">
        <f t="shared" si="4"/>
        <v>618.80000000000007</v>
      </c>
      <c r="J29" s="204"/>
      <c r="M29" s="418"/>
      <c r="N29" s="418"/>
      <c r="O29" s="418"/>
      <c r="P29" s="418"/>
      <c r="Q29" s="418"/>
      <c r="R29" s="418"/>
      <c r="S29" s="418">
        <f t="shared" si="8"/>
        <v>618.80000000000007</v>
      </c>
    </row>
    <row r="30" spans="1:19">
      <c r="A30" s="413">
        <v>3</v>
      </c>
      <c r="B30" s="413" t="s">
        <v>517</v>
      </c>
      <c r="C30" s="420" t="s">
        <v>574</v>
      </c>
      <c r="D30" s="413" t="s">
        <v>575</v>
      </c>
      <c r="E30" s="413" t="s">
        <v>576</v>
      </c>
      <c r="F30" s="421">
        <v>36.700000000000003</v>
      </c>
      <c r="G30" s="410"/>
      <c r="H30" s="409">
        <f t="shared" si="3"/>
        <v>36.700000000000003</v>
      </c>
      <c r="I30" s="409">
        <f t="shared" si="4"/>
        <v>110.10000000000001</v>
      </c>
      <c r="J30" s="204"/>
      <c r="M30" s="418"/>
      <c r="N30" s="418"/>
      <c r="O30" s="418"/>
      <c r="P30" s="418"/>
      <c r="Q30" s="418"/>
      <c r="R30" s="418"/>
      <c r="S30" s="418">
        <f t="shared" si="8"/>
        <v>110.10000000000001</v>
      </c>
    </row>
    <row r="31" spans="1:19">
      <c r="A31" s="413">
        <v>5</v>
      </c>
      <c r="B31" s="413" t="s">
        <v>517</v>
      </c>
      <c r="C31" s="420" t="s">
        <v>574</v>
      </c>
      <c r="D31" s="413" t="s">
        <v>577</v>
      </c>
      <c r="E31" s="413" t="s">
        <v>578</v>
      </c>
      <c r="F31" s="421">
        <v>75</v>
      </c>
      <c r="G31" s="410"/>
      <c r="H31" s="409">
        <f t="shared" si="3"/>
        <v>75</v>
      </c>
      <c r="I31" s="409">
        <f t="shared" si="4"/>
        <v>375</v>
      </c>
      <c r="J31" s="204"/>
      <c r="M31" s="418"/>
      <c r="N31" s="418"/>
      <c r="O31" s="418"/>
      <c r="P31" s="418"/>
      <c r="Q31" s="418"/>
      <c r="R31" s="418"/>
      <c r="S31" s="418">
        <f t="shared" si="8"/>
        <v>375</v>
      </c>
    </row>
    <row r="32" spans="1:19">
      <c r="A32" s="413">
        <v>1</v>
      </c>
      <c r="B32" s="413" t="s">
        <v>517</v>
      </c>
      <c r="C32" s="420" t="s">
        <v>574</v>
      </c>
      <c r="D32" s="413"/>
      <c r="E32" s="413" t="s">
        <v>579</v>
      </c>
      <c r="F32" s="421">
        <f>35/4</f>
        <v>8.75</v>
      </c>
      <c r="G32" s="410"/>
      <c r="H32" s="409">
        <f t="shared" si="3"/>
        <v>8.75</v>
      </c>
      <c r="I32" s="409">
        <f t="shared" si="4"/>
        <v>8.75</v>
      </c>
      <c r="J32" s="204"/>
      <c r="M32" s="418"/>
      <c r="N32" s="418"/>
      <c r="O32" s="418"/>
      <c r="P32" s="418"/>
      <c r="Q32" s="418"/>
      <c r="R32" s="418"/>
      <c r="S32" s="418">
        <f t="shared" si="8"/>
        <v>8.75</v>
      </c>
    </row>
    <row r="33" spans="1:19" ht="12.45">
      <c r="A33" s="407"/>
      <c r="B33" s="407"/>
      <c r="C33" s="408"/>
      <c r="D33" s="407"/>
      <c r="E33" s="431"/>
      <c r="F33" s="409"/>
      <c r="G33" s="410"/>
      <c r="H33" s="409"/>
      <c r="I33" s="409"/>
      <c r="J33" s="204"/>
      <c r="M33" s="418"/>
      <c r="N33" s="418"/>
      <c r="O33" s="418"/>
      <c r="P33" s="418"/>
      <c r="Q33" s="418"/>
      <c r="R33" s="418"/>
      <c r="S33" s="418"/>
    </row>
    <row r="34" spans="1:19">
      <c r="A34" s="407"/>
      <c r="B34" s="407"/>
      <c r="C34" s="408"/>
      <c r="D34" s="407"/>
      <c r="E34" s="407"/>
      <c r="F34" s="409"/>
      <c r="G34" s="410"/>
      <c r="H34" s="409"/>
      <c r="I34" s="409"/>
      <c r="J34" s="204"/>
      <c r="M34" s="418"/>
      <c r="N34" s="418"/>
      <c r="O34" s="418"/>
      <c r="P34" s="418"/>
      <c r="Q34" s="418"/>
      <c r="R34" s="418"/>
      <c r="S34" s="418"/>
    </row>
    <row r="35" spans="1:19">
      <c r="A35" s="407"/>
      <c r="B35" s="407"/>
      <c r="C35" s="408"/>
      <c r="D35" s="407"/>
      <c r="E35" s="432" t="s">
        <v>580</v>
      </c>
      <c r="F35" s="409"/>
      <c r="G35" s="410"/>
      <c r="H35" s="409"/>
      <c r="I35" s="421">
        <f>SUM(I4:I33)</f>
        <v>69216.493600000002</v>
      </c>
      <c r="J35" s="204"/>
      <c r="M35" s="418">
        <f>SUM(M4:M33)</f>
        <v>49724.007600000004</v>
      </c>
      <c r="N35" s="418">
        <f>SUM(N4:N33)</f>
        <v>9428.619999999999</v>
      </c>
      <c r="O35" s="418">
        <f>SUM(O4:O33)</f>
        <v>2434.0360000000001</v>
      </c>
      <c r="P35" s="418"/>
      <c r="Q35" s="418"/>
      <c r="R35" s="418">
        <f>SUM(R4:R33)</f>
        <v>6517.18</v>
      </c>
      <c r="S35" s="418">
        <f>SUM(S4:S33)</f>
        <v>1112.6500000000001</v>
      </c>
    </row>
    <row r="36" spans="1:19">
      <c r="A36" s="407"/>
      <c r="B36" s="407"/>
      <c r="C36" s="408"/>
      <c r="D36" s="407"/>
      <c r="E36" s="413" t="s">
        <v>581</v>
      </c>
      <c r="F36" s="409"/>
      <c r="G36" s="410">
        <v>0.25</v>
      </c>
      <c r="H36" s="409"/>
      <c r="I36" s="421"/>
      <c r="J36" s="204"/>
      <c r="M36" s="418"/>
      <c r="N36" s="418"/>
      <c r="O36" s="418"/>
      <c r="P36" s="418"/>
      <c r="Q36" s="418"/>
      <c r="R36" s="418"/>
      <c r="S36" s="418"/>
    </row>
    <row r="37" spans="1:19" ht="15.75">
      <c r="E37" s="433" t="s">
        <v>582</v>
      </c>
      <c r="F37" s="418"/>
      <c r="G37" s="434"/>
      <c r="H37" s="418"/>
      <c r="I37" s="435">
        <f>I35*(1+$G$36)</f>
        <v>86520.616999999998</v>
      </c>
      <c r="J37" s="436"/>
      <c r="K37" s="437"/>
      <c r="L37" s="437"/>
      <c r="M37" s="438">
        <f>M35*(1+$G$36)</f>
        <v>62155.009500000007</v>
      </c>
      <c r="N37" s="438">
        <f>N35*(1+$G$36)</f>
        <v>11785.774999999998</v>
      </c>
      <c r="O37" s="438">
        <f>O35*(1+$G$36)</f>
        <v>3042.5450000000001</v>
      </c>
      <c r="P37" s="438">
        <f>P66</f>
        <v>15080</v>
      </c>
      <c r="Q37" s="438">
        <f>Q126</f>
        <v>37794.339999999997</v>
      </c>
      <c r="R37" s="438">
        <f>R35*(1+$G$36)</f>
        <v>8146.4750000000004</v>
      </c>
      <c r="S37" s="438">
        <f>S35*(1+$G$36)</f>
        <v>1390.8125</v>
      </c>
    </row>
    <row r="40" spans="1:19">
      <c r="E40" s="439" t="s">
        <v>585</v>
      </c>
    </row>
    <row r="41" spans="1:19">
      <c r="A41" s="441">
        <v>16</v>
      </c>
      <c r="B41" s="17" t="s">
        <v>619</v>
      </c>
      <c r="E41" s="17" t="s">
        <v>586</v>
      </c>
      <c r="F41" s="403">
        <f t="shared" ref="F41:F57" si="9">F$61</f>
        <v>55</v>
      </c>
      <c r="H41" s="403">
        <f t="shared" si="3"/>
        <v>55</v>
      </c>
      <c r="I41" s="403">
        <f t="shared" ref="I41:I63" si="10">A41*H41</f>
        <v>880</v>
      </c>
    </row>
    <row r="42" spans="1:19">
      <c r="A42" s="441">
        <f>A6/120*8*2</f>
        <v>50.4</v>
      </c>
      <c r="B42" s="17" t="s">
        <v>619</v>
      </c>
      <c r="E42" s="17" t="s">
        <v>589</v>
      </c>
      <c r="F42" s="403">
        <f t="shared" si="9"/>
        <v>55</v>
      </c>
      <c r="H42" s="403">
        <f t="shared" si="3"/>
        <v>55</v>
      </c>
      <c r="I42" s="403">
        <f t="shared" si="10"/>
        <v>2772</v>
      </c>
      <c r="J42" s="17" t="s">
        <v>592</v>
      </c>
    </row>
    <row r="43" spans="1:19">
      <c r="A43" s="441">
        <v>8</v>
      </c>
      <c r="B43" s="17" t="s">
        <v>619</v>
      </c>
      <c r="E43" s="17" t="s">
        <v>1426</v>
      </c>
      <c r="F43" s="403">
        <f t="shared" si="9"/>
        <v>55</v>
      </c>
      <c r="H43" s="403">
        <f t="shared" si="3"/>
        <v>55</v>
      </c>
      <c r="I43" s="403">
        <f t="shared" si="10"/>
        <v>440</v>
      </c>
      <c r="J43" s="17" t="s">
        <v>1486</v>
      </c>
    </row>
    <row r="44" spans="1:19">
      <c r="A44" s="441">
        <f>A6/120*16*2</f>
        <v>100.8</v>
      </c>
      <c r="B44" s="17" t="s">
        <v>619</v>
      </c>
      <c r="E44" s="17" t="s">
        <v>591</v>
      </c>
      <c r="F44" s="403">
        <f t="shared" si="9"/>
        <v>55</v>
      </c>
      <c r="H44" s="403">
        <f t="shared" si="3"/>
        <v>55</v>
      </c>
      <c r="I44" s="403">
        <f t="shared" si="10"/>
        <v>5544</v>
      </c>
      <c r="J44" s="17" t="s">
        <v>592</v>
      </c>
    </row>
    <row r="45" spans="1:19">
      <c r="A45" s="441">
        <v>4</v>
      </c>
      <c r="B45" s="17" t="s">
        <v>619</v>
      </c>
      <c r="E45" s="17" t="s">
        <v>1428</v>
      </c>
      <c r="F45" s="403">
        <f t="shared" si="9"/>
        <v>55</v>
      </c>
      <c r="H45" s="403">
        <f t="shared" si="3"/>
        <v>55</v>
      </c>
      <c r="I45" s="403">
        <f t="shared" si="10"/>
        <v>220</v>
      </c>
    </row>
    <row r="46" spans="1:19">
      <c r="A46" s="441">
        <v>4</v>
      </c>
      <c r="B46" s="17" t="s">
        <v>619</v>
      </c>
      <c r="E46" s="17" t="s">
        <v>1429</v>
      </c>
      <c r="F46" s="403">
        <f t="shared" si="9"/>
        <v>55</v>
      </c>
      <c r="H46" s="403">
        <f t="shared" si="3"/>
        <v>55</v>
      </c>
      <c r="I46" s="403">
        <f t="shared" si="10"/>
        <v>220</v>
      </c>
    </row>
    <row r="47" spans="1:19">
      <c r="A47" s="441">
        <v>8</v>
      </c>
      <c r="B47" s="17" t="s">
        <v>619</v>
      </c>
      <c r="E47" s="17" t="s">
        <v>605</v>
      </c>
      <c r="F47" s="403">
        <f t="shared" si="9"/>
        <v>55</v>
      </c>
      <c r="H47" s="403">
        <f t="shared" si="3"/>
        <v>55</v>
      </c>
      <c r="I47" s="403">
        <f t="shared" si="10"/>
        <v>440</v>
      </c>
      <c r="J47" s="17" t="s">
        <v>1487</v>
      </c>
    </row>
    <row r="48" spans="1:19">
      <c r="A48" s="441">
        <v>4</v>
      </c>
      <c r="B48" s="17" t="s">
        <v>619</v>
      </c>
      <c r="E48" s="17" t="s">
        <v>607</v>
      </c>
      <c r="F48" s="403">
        <f t="shared" si="9"/>
        <v>55</v>
      </c>
      <c r="H48" s="403">
        <f t="shared" si="3"/>
        <v>55</v>
      </c>
      <c r="I48" s="403">
        <f t="shared" si="10"/>
        <v>220</v>
      </c>
      <c r="J48" s="17" t="s">
        <v>608</v>
      </c>
    </row>
    <row r="49" spans="1:10">
      <c r="A49" s="441">
        <v>0.5</v>
      </c>
      <c r="B49" s="17" t="s">
        <v>619</v>
      </c>
      <c r="E49" s="17" t="s">
        <v>609</v>
      </c>
      <c r="F49" s="403">
        <f t="shared" si="9"/>
        <v>55</v>
      </c>
      <c r="H49" s="403">
        <f t="shared" si="3"/>
        <v>55</v>
      </c>
      <c r="I49" s="403">
        <f t="shared" si="10"/>
        <v>27.5</v>
      </c>
    </row>
    <row r="50" spans="1:10">
      <c r="A50" s="441">
        <v>16</v>
      </c>
      <c r="B50" s="17" t="s">
        <v>619</v>
      </c>
      <c r="E50" s="17" t="s">
        <v>610</v>
      </c>
      <c r="F50" s="403">
        <f t="shared" si="9"/>
        <v>55</v>
      </c>
      <c r="H50" s="403">
        <f t="shared" si="3"/>
        <v>55</v>
      </c>
      <c r="I50" s="403">
        <f t="shared" si="10"/>
        <v>880</v>
      </c>
    </row>
    <row r="51" spans="1:10">
      <c r="A51" s="441">
        <v>1</v>
      </c>
      <c r="B51" s="17" t="s">
        <v>619</v>
      </c>
      <c r="E51" s="17" t="s">
        <v>611</v>
      </c>
      <c r="F51" s="403">
        <f t="shared" si="9"/>
        <v>55</v>
      </c>
      <c r="H51" s="403">
        <f t="shared" si="3"/>
        <v>55</v>
      </c>
      <c r="I51" s="403">
        <f t="shared" si="10"/>
        <v>55</v>
      </c>
    </row>
    <row r="52" spans="1:10">
      <c r="A52" s="441">
        <v>1</v>
      </c>
      <c r="B52" s="17" t="s">
        <v>619</v>
      </c>
      <c r="E52" s="17" t="s">
        <v>1431</v>
      </c>
      <c r="F52" s="403">
        <f t="shared" si="9"/>
        <v>55</v>
      </c>
      <c r="H52" s="403">
        <f t="shared" si="3"/>
        <v>55</v>
      </c>
      <c r="I52" s="403">
        <f t="shared" si="10"/>
        <v>55</v>
      </c>
    </row>
    <row r="53" spans="1:10">
      <c r="A53" s="441">
        <f>3*2</f>
        <v>6</v>
      </c>
      <c r="B53" s="17" t="s">
        <v>619</v>
      </c>
      <c r="E53" s="17" t="s">
        <v>612</v>
      </c>
      <c r="F53" s="403">
        <f t="shared" si="9"/>
        <v>55</v>
      </c>
      <c r="H53" s="403">
        <f t="shared" si="3"/>
        <v>55</v>
      </c>
      <c r="I53" s="403">
        <f t="shared" si="10"/>
        <v>330</v>
      </c>
      <c r="J53" s="17" t="s">
        <v>613</v>
      </c>
    </row>
    <row r="54" spans="1:10">
      <c r="A54" s="441">
        <f>A41</f>
        <v>16</v>
      </c>
      <c r="B54" s="17" t="s">
        <v>619</v>
      </c>
      <c r="E54" s="17" t="s">
        <v>614</v>
      </c>
      <c r="F54" s="403">
        <f t="shared" si="9"/>
        <v>55</v>
      </c>
      <c r="H54" s="403">
        <f t="shared" si="3"/>
        <v>55</v>
      </c>
      <c r="I54" s="403">
        <f t="shared" si="10"/>
        <v>880</v>
      </c>
    </row>
    <row r="55" spans="1:10">
      <c r="A55" s="441">
        <v>4</v>
      </c>
      <c r="B55" s="17" t="s">
        <v>619</v>
      </c>
      <c r="E55" s="17" t="s">
        <v>615</v>
      </c>
      <c r="F55" s="403">
        <f t="shared" si="9"/>
        <v>55</v>
      </c>
      <c r="H55" s="403">
        <f t="shared" si="3"/>
        <v>55</v>
      </c>
      <c r="I55" s="403">
        <f t="shared" si="10"/>
        <v>220</v>
      </c>
    </row>
    <row r="56" spans="1:10">
      <c r="A56" s="441">
        <v>4</v>
      </c>
      <c r="B56" s="17" t="s">
        <v>619</v>
      </c>
      <c r="E56" s="17" t="s">
        <v>616</v>
      </c>
      <c r="F56" s="403">
        <f t="shared" si="9"/>
        <v>55</v>
      </c>
      <c r="H56" s="403">
        <f t="shared" si="3"/>
        <v>55</v>
      </c>
      <c r="I56" s="403">
        <f t="shared" si="10"/>
        <v>220</v>
      </c>
    </row>
    <row r="57" spans="1:10">
      <c r="A57" s="745">
        <f>30*0.25</f>
        <v>7.5</v>
      </c>
      <c r="B57" s="442" t="s">
        <v>619</v>
      </c>
      <c r="C57" s="446"/>
      <c r="D57" s="442"/>
      <c r="E57" s="17" t="s">
        <v>617</v>
      </c>
      <c r="F57" s="443">
        <f t="shared" si="9"/>
        <v>55</v>
      </c>
      <c r="G57" s="444"/>
      <c r="H57" s="443">
        <f t="shared" si="3"/>
        <v>55</v>
      </c>
      <c r="I57" s="443">
        <f t="shared" si="10"/>
        <v>412.5</v>
      </c>
      <c r="J57" s="17" t="s">
        <v>618</v>
      </c>
    </row>
    <row r="59" spans="1:10">
      <c r="A59" s="17">
        <f>SUM(A41:A58)</f>
        <v>251.2</v>
      </c>
      <c r="B59" s="17" t="s">
        <v>619</v>
      </c>
      <c r="E59" s="17" t="s">
        <v>620</v>
      </c>
    </row>
    <row r="60" spans="1:10">
      <c r="A60" s="441">
        <v>4</v>
      </c>
      <c r="B60" s="17" t="s">
        <v>517</v>
      </c>
      <c r="E60" s="17" t="s">
        <v>621</v>
      </c>
    </row>
    <row r="61" spans="1:10">
      <c r="A61" s="17">
        <v>1</v>
      </c>
      <c r="B61" s="17" t="s">
        <v>517</v>
      </c>
      <c r="E61" s="17" t="s">
        <v>622</v>
      </c>
      <c r="F61" s="445">
        <v>55</v>
      </c>
      <c r="H61" s="403">
        <f t="shared" si="3"/>
        <v>55</v>
      </c>
      <c r="I61" s="403">
        <f t="shared" si="10"/>
        <v>55</v>
      </c>
      <c r="J61" s="17" t="s">
        <v>623</v>
      </c>
    </row>
    <row r="62" spans="1:10">
      <c r="A62" s="17">
        <f>ROUNDUP(A59/8/A60,0)</f>
        <v>8</v>
      </c>
      <c r="B62" s="17" t="s">
        <v>624</v>
      </c>
      <c r="E62" s="17" t="s">
        <v>625</v>
      </c>
      <c r="F62" s="403">
        <f>A60*8*F61</f>
        <v>1760</v>
      </c>
      <c r="H62" s="403">
        <f t="shared" si="3"/>
        <v>1760</v>
      </c>
      <c r="I62" s="403">
        <f t="shared" si="10"/>
        <v>14080</v>
      </c>
    </row>
    <row r="63" spans="1:10">
      <c r="A63" s="441">
        <v>1</v>
      </c>
      <c r="B63" s="442" t="s">
        <v>517</v>
      </c>
      <c r="C63" s="446"/>
      <c r="D63" s="442"/>
      <c r="E63" s="442" t="s">
        <v>626</v>
      </c>
      <c r="F63" s="447">
        <v>500</v>
      </c>
      <c r="G63" s="444"/>
      <c r="H63" s="403">
        <v>1000</v>
      </c>
      <c r="I63" s="403">
        <f t="shared" si="10"/>
        <v>1000</v>
      </c>
      <c r="J63" s="17" t="s">
        <v>627</v>
      </c>
    </row>
    <row r="64" spans="1:10">
      <c r="A64" s="441"/>
      <c r="F64" s="447"/>
      <c r="H64" s="403"/>
      <c r="I64" s="403"/>
    </row>
    <row r="65" spans="1:16">
      <c r="A65" s="441"/>
      <c r="F65" s="447"/>
      <c r="H65" s="403"/>
      <c r="I65" s="403"/>
    </row>
    <row r="66" spans="1:16" ht="15.75">
      <c r="E66" s="439" t="s">
        <v>628</v>
      </c>
      <c r="I66" s="443">
        <f>SUM(I62:I65)</f>
        <v>15080</v>
      </c>
      <c r="P66" s="438">
        <f>I66</f>
        <v>15080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1">A81*H81</f>
        <v>0</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24.9">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8.850000000000001" customHeight="1">
      <c r="A102" s="474"/>
      <c r="B102" s="475"/>
      <c r="C102" s="475"/>
      <c r="D102" s="476"/>
      <c r="E102" s="483" t="s">
        <v>667</v>
      </c>
      <c r="F102" s="457"/>
      <c r="G102" s="457"/>
      <c r="H102" s="479"/>
      <c r="I102" s="480"/>
      <c r="J102" s="475"/>
      <c r="K102" s="475"/>
    </row>
    <row r="103" spans="1:12" ht="13.6" customHeight="1">
      <c r="A103" s="452">
        <v>1</v>
      </c>
      <c r="B103" s="453" t="s">
        <v>517</v>
      </c>
      <c r="C103" s="454" t="s">
        <v>538</v>
      </c>
      <c r="D103" s="455" t="s">
        <v>636</v>
      </c>
      <c r="E103" s="453" t="s">
        <v>668</v>
      </c>
      <c r="F103" s="463">
        <v>3732</v>
      </c>
      <c r="G103" s="457"/>
      <c r="H103" s="458">
        <f>F103*(1-G78)</f>
        <v>2239.1999999999998</v>
      </c>
      <c r="I103" s="458">
        <f t="shared" ref="I103:I124" si="13">A103*H103</f>
        <v>2239.1999999999998</v>
      </c>
      <c r="J103" s="453" t="s">
        <v>649</v>
      </c>
      <c r="K103" s="1050" t="s">
        <v>669</v>
      </c>
    </row>
    <row r="104" spans="1:12" ht="16.55" customHeight="1">
      <c r="A104" s="452">
        <v>1</v>
      </c>
      <c r="B104" s="453" t="s">
        <v>539</v>
      </c>
      <c r="C104" s="454" t="s">
        <v>538</v>
      </c>
      <c r="D104" s="455" t="s">
        <v>670</v>
      </c>
      <c r="E104" s="453" t="s">
        <v>671</v>
      </c>
      <c r="F104" s="463">
        <v>88.7</v>
      </c>
      <c r="G104" s="457"/>
      <c r="H104" s="458">
        <f>F104*(1-G78)</f>
        <v>53.22</v>
      </c>
      <c r="I104" s="458">
        <f t="shared" si="13"/>
        <v>53.22</v>
      </c>
      <c r="J104" s="453" t="s">
        <v>649</v>
      </c>
      <c r="K104" s="1050"/>
      <c r="L104" s="17" t="s">
        <v>672</v>
      </c>
    </row>
    <row r="105" spans="1:12" ht="9.85" customHeight="1">
      <c r="A105" s="461">
        <v>1</v>
      </c>
      <c r="B105" s="453" t="s">
        <v>517</v>
      </c>
      <c r="C105" s="453" t="s">
        <v>538</v>
      </c>
      <c r="D105" s="462" t="s">
        <v>640</v>
      </c>
      <c r="E105" s="453" t="s">
        <v>673</v>
      </c>
      <c r="F105" s="463">
        <v>1968</v>
      </c>
      <c r="G105" s="457"/>
      <c r="H105" s="458">
        <f t="shared" ref="H105:H119" si="14">F105*(1-$G$77)</f>
        <v>1180.8</v>
      </c>
      <c r="I105" s="458">
        <f t="shared" si="13"/>
        <v>1180.8</v>
      </c>
      <c r="J105" s="459" t="s">
        <v>638</v>
      </c>
      <c r="K105" s="1051" t="s">
        <v>642</v>
      </c>
    </row>
    <row r="106" spans="1:12" ht="14.25" customHeight="1">
      <c r="A106" s="452">
        <v>32</v>
      </c>
      <c r="B106" s="453" t="s">
        <v>539</v>
      </c>
      <c r="C106" s="453" t="s">
        <v>538</v>
      </c>
      <c r="D106" s="462" t="s">
        <v>643</v>
      </c>
      <c r="E106" s="453" t="s">
        <v>673</v>
      </c>
      <c r="F106" s="463">
        <v>87.9</v>
      </c>
      <c r="G106" s="457"/>
      <c r="H106" s="458">
        <f t="shared" si="14"/>
        <v>52.74</v>
      </c>
      <c r="I106" s="458">
        <f t="shared" si="13"/>
        <v>1687.68</v>
      </c>
      <c r="J106" s="459" t="s">
        <v>638</v>
      </c>
      <c r="K106" s="1051"/>
    </row>
    <row r="107" spans="1:12" ht="15.05" customHeight="1">
      <c r="A107" s="452">
        <v>1</v>
      </c>
      <c r="B107" s="453" t="s">
        <v>517</v>
      </c>
      <c r="C107" s="453" t="s">
        <v>538</v>
      </c>
      <c r="D107" s="464" t="s">
        <v>644</v>
      </c>
      <c r="E107" s="453" t="s">
        <v>645</v>
      </c>
      <c r="F107" s="463">
        <v>10051</v>
      </c>
      <c r="G107" s="457"/>
      <c r="H107" s="458">
        <f t="shared" si="14"/>
        <v>6030.5999999999995</v>
      </c>
      <c r="I107" s="458">
        <f t="shared" si="13"/>
        <v>6030.5999999999995</v>
      </c>
      <c r="J107" s="459" t="s">
        <v>638</v>
      </c>
      <c r="K107" s="1052" t="s">
        <v>646</v>
      </c>
    </row>
    <row r="108" spans="1:12" ht="10.5" customHeight="1">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14.25"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14.25" customHeight="1">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14.25" customHeight="1">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14.25" customHeight="1">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14.25" customHeight="1">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14.25" customHeight="1">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14.25" customHeight="1">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14.25" customHeight="1">
      <c r="A116" s="461">
        <v>0</v>
      </c>
      <c r="B116" s="453" t="s">
        <v>517</v>
      </c>
      <c r="C116" s="453" t="s">
        <v>538</v>
      </c>
      <c r="D116" s="465" t="s">
        <v>644</v>
      </c>
      <c r="E116" s="453" t="s">
        <v>657</v>
      </c>
      <c r="F116" s="467" t="s">
        <v>658</v>
      </c>
      <c r="G116" s="457"/>
      <c r="H116" s="468"/>
      <c r="I116" s="484"/>
      <c r="J116" s="453" t="s">
        <v>649</v>
      </c>
      <c r="K116" s="1049"/>
    </row>
    <row r="117" spans="1:17" ht="14.25" customHeight="1">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14.25" customHeight="1">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14.25" customHeight="1">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ht="14.25" customHeight="1">
      <c r="A120" s="469"/>
      <c r="B120" s="427"/>
      <c r="C120" s="427"/>
      <c r="D120" s="470"/>
      <c r="E120" s="427"/>
      <c r="F120" s="472"/>
      <c r="G120" s="471"/>
      <c r="H120" s="472"/>
      <c r="I120" s="473"/>
      <c r="J120" s="427"/>
      <c r="K120" s="427"/>
    </row>
    <row r="121" spans="1:17" ht="28.5" customHeight="1">
      <c r="A121" s="474"/>
      <c r="B121" s="475"/>
      <c r="C121" s="475"/>
      <c r="D121" s="476"/>
      <c r="E121" s="475"/>
      <c r="F121" s="477" t="s">
        <v>662</v>
      </c>
      <c r="G121" s="478" t="s">
        <v>663</v>
      </c>
      <c r="H121" s="479"/>
      <c r="I121" s="480"/>
      <c r="J121" s="427"/>
      <c r="K121" s="475"/>
    </row>
    <row r="122" spans="1:17" ht="78.05" customHeight="1">
      <c r="A122" s="461">
        <v>411</v>
      </c>
      <c r="B122" s="453" t="s">
        <v>539</v>
      </c>
      <c r="C122" s="453" t="s">
        <v>538</v>
      </c>
      <c r="D122" s="481" t="s">
        <v>664</v>
      </c>
      <c r="E122" s="453" t="s">
        <v>665</v>
      </c>
      <c r="F122" s="463">
        <v>108</v>
      </c>
      <c r="G122" s="463">
        <v>79</v>
      </c>
      <c r="H122" s="458">
        <f>IFERROR((MIN(A122,400)*F122+MAX(A122-400,0)*G122)*(1-G77)/A122,0)</f>
        <v>64.334306569343056</v>
      </c>
      <c r="I122" s="458">
        <f t="shared" si="13"/>
        <v>26441.399999999998</v>
      </c>
      <c r="J122" s="453" t="s">
        <v>638</v>
      </c>
      <c r="K122" s="482" t="s">
        <v>666</v>
      </c>
    </row>
    <row r="123" spans="1:17" ht="14.25" customHeight="1">
      <c r="A123" s="204"/>
      <c r="F123" s="17"/>
      <c r="H123" s="403"/>
      <c r="I123" s="403"/>
    </row>
    <row r="124" spans="1:17" ht="33.4">
      <c r="A124" s="204">
        <v>1</v>
      </c>
      <c r="B124" s="17" t="s">
        <v>517</v>
      </c>
      <c r="C124" s="204" t="s">
        <v>674</v>
      </c>
      <c r="E124" s="17" t="s">
        <v>675</v>
      </c>
      <c r="F124" s="445">
        <v>161.44</v>
      </c>
      <c r="G124" s="404">
        <v>0</v>
      </c>
      <c r="H124" s="458">
        <f>F124*(1-G124)</f>
        <v>161.44</v>
      </c>
      <c r="I124" s="458">
        <f t="shared" si="13"/>
        <v>161.44</v>
      </c>
    </row>
    <row r="125" spans="1:17">
      <c r="A125" s="204"/>
      <c r="F125" s="485"/>
      <c r="H125" s="403"/>
      <c r="I125" s="403"/>
    </row>
    <row r="126" spans="1:17" ht="15.75">
      <c r="E126" s="439" t="s">
        <v>676</v>
      </c>
      <c r="I126" s="486">
        <f>SUM(I81:I124)</f>
        <v>37794.339999999997</v>
      </c>
      <c r="Q126" s="438">
        <f>I126</f>
        <v>37794.339999999997</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7"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F61</f>
        <v>55</v>
      </c>
      <c r="G139" s="410"/>
      <c r="H139" s="409">
        <f t="shared" si="15"/>
        <v>55</v>
      </c>
      <c r="I139" s="409"/>
    </row>
    <row r="140" spans="1:10" ht="66.8">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17">
        <v>0</v>
      </c>
      <c r="B154" s="17" t="s">
        <v>517</v>
      </c>
      <c r="E154" s="17" t="s">
        <v>703</v>
      </c>
      <c r="F154" s="403">
        <v>800</v>
      </c>
      <c r="H154" s="403">
        <f t="shared" si="15"/>
        <v>800</v>
      </c>
      <c r="I154" s="403">
        <f t="shared" ref="I154:I170" si="16">A154*H154</f>
        <v>0</v>
      </c>
      <c r="J154" s="17" t="s">
        <v>704</v>
      </c>
    </row>
    <row r="155" spans="1:10">
      <c r="A155" s="17">
        <v>0</v>
      </c>
      <c r="B155" s="17" t="s">
        <v>517</v>
      </c>
      <c r="E155" s="17" t="s">
        <v>705</v>
      </c>
      <c r="F155" s="403">
        <v>500</v>
      </c>
      <c r="H155" s="403">
        <f t="shared" si="15"/>
        <v>500</v>
      </c>
      <c r="I155" s="403">
        <f t="shared" si="16"/>
        <v>0</v>
      </c>
      <c r="J155" s="17" t="s">
        <v>704</v>
      </c>
    </row>
    <row r="156" spans="1:10">
      <c r="A156" s="17">
        <v>1</v>
      </c>
      <c r="B156" s="17" t="s">
        <v>517</v>
      </c>
      <c r="E156" s="17" t="s">
        <v>706</v>
      </c>
      <c r="F156" s="403">
        <v>40</v>
      </c>
      <c r="H156" s="403">
        <f t="shared" si="15"/>
        <v>40</v>
      </c>
      <c r="I156" s="403">
        <f t="shared" si="16"/>
        <v>40</v>
      </c>
    </row>
    <row r="157" spans="1:10">
      <c r="A157" s="17">
        <v>0</v>
      </c>
      <c r="B157" s="17" t="s">
        <v>517</v>
      </c>
      <c r="E157" s="17" t="s">
        <v>707</v>
      </c>
      <c r="F157" s="403">
        <v>1500</v>
      </c>
      <c r="H157" s="403">
        <f t="shared" si="15"/>
        <v>1500</v>
      </c>
      <c r="I157" s="403">
        <f t="shared" si="16"/>
        <v>0</v>
      </c>
    </row>
    <row r="158" spans="1:10" ht="55.65">
      <c r="A158" s="17">
        <v>0</v>
      </c>
      <c r="B158" s="17" t="s">
        <v>517</v>
      </c>
      <c r="C158" s="204" t="s">
        <v>708</v>
      </c>
      <c r="E158" s="204" t="s">
        <v>709</v>
      </c>
      <c r="F158" s="403">
        <v>460</v>
      </c>
      <c r="H158" s="403">
        <f t="shared" si="15"/>
        <v>460</v>
      </c>
      <c r="I158" s="403">
        <f t="shared" si="16"/>
        <v>0</v>
      </c>
      <c r="J158" s="17" t="s">
        <v>710</v>
      </c>
    </row>
    <row r="159" spans="1:10" ht="55.65">
      <c r="A159" s="17">
        <v>0</v>
      </c>
      <c r="B159" s="17" t="s">
        <v>517</v>
      </c>
      <c r="C159" s="204" t="s">
        <v>711</v>
      </c>
      <c r="E159" s="204" t="s">
        <v>712</v>
      </c>
      <c r="F159" s="403">
        <v>320</v>
      </c>
      <c r="H159" s="403">
        <f t="shared" si="15"/>
        <v>320</v>
      </c>
      <c r="I159" s="403">
        <f t="shared" si="16"/>
        <v>0</v>
      </c>
    </row>
    <row r="160" spans="1:10" ht="55.65">
      <c r="A160" s="17">
        <v>0</v>
      </c>
      <c r="B160" s="17" t="s">
        <v>517</v>
      </c>
      <c r="C160" s="17" t="s">
        <v>713</v>
      </c>
      <c r="D160" s="17" t="s">
        <v>714</v>
      </c>
      <c r="E160" s="204" t="s">
        <v>715</v>
      </c>
      <c r="F160" s="403">
        <v>2725</v>
      </c>
      <c r="H160" s="403">
        <f t="shared" si="15"/>
        <v>2725</v>
      </c>
      <c r="I160" s="403">
        <f t="shared" si="16"/>
        <v>0</v>
      </c>
    </row>
    <row r="161" spans="1:10" ht="33.4">
      <c r="A161" s="17">
        <v>1</v>
      </c>
      <c r="B161" s="17" t="s">
        <v>517</v>
      </c>
      <c r="C161" s="204" t="s">
        <v>716</v>
      </c>
      <c r="E161" s="17" t="s">
        <v>717</v>
      </c>
      <c r="F161" s="403">
        <f>1840*1.04</f>
        <v>1913.6000000000001</v>
      </c>
      <c r="H161" s="403">
        <f t="shared" si="15"/>
        <v>1913.6000000000001</v>
      </c>
      <c r="I161" s="403">
        <f t="shared" si="16"/>
        <v>1913.6000000000001</v>
      </c>
      <c r="J161" s="17" t="s">
        <v>718</v>
      </c>
    </row>
    <row r="162" spans="1:10">
      <c r="H162" s="403"/>
      <c r="I162" s="403"/>
    </row>
    <row r="163" spans="1:10">
      <c r="E163" s="446" t="s">
        <v>719</v>
      </c>
      <c r="H163" s="403"/>
      <c r="I163" s="403"/>
    </row>
    <row r="164" spans="1:10" ht="22.25">
      <c r="A164" s="17">
        <f>2*16</f>
        <v>32</v>
      </c>
      <c r="B164" s="17" t="s">
        <v>619</v>
      </c>
      <c r="C164" s="204" t="s">
        <v>531</v>
      </c>
      <c r="E164" s="17" t="s">
        <v>720</v>
      </c>
      <c r="F164" s="403">
        <v>50</v>
      </c>
      <c r="H164" s="403">
        <f t="shared" si="15"/>
        <v>50</v>
      </c>
      <c r="I164" s="403">
        <f t="shared" si="16"/>
        <v>1600</v>
      </c>
    </row>
    <row r="165" spans="1:10">
      <c r="A165" s="17">
        <f>ROUND((51-2)/2*6,0)</f>
        <v>147</v>
      </c>
      <c r="B165" s="17" t="s">
        <v>517</v>
      </c>
      <c r="C165" s="204" t="s">
        <v>721</v>
      </c>
      <c r="E165" s="17" t="s">
        <v>722</v>
      </c>
      <c r="F165" s="403">
        <f>69/100</f>
        <v>0.69</v>
      </c>
      <c r="H165" s="403">
        <f t="shared" si="15"/>
        <v>0.69</v>
      </c>
      <c r="I165" s="403">
        <f t="shared" si="16"/>
        <v>101.42999999999999</v>
      </c>
    </row>
    <row r="166" spans="1:10">
      <c r="A166" s="17">
        <f t="shared" ref="A166:A167" si="17">A165</f>
        <v>147</v>
      </c>
      <c r="B166" s="17" t="s">
        <v>517</v>
      </c>
      <c r="C166" s="204" t="s">
        <v>721</v>
      </c>
      <c r="E166" s="17" t="s">
        <v>723</v>
      </c>
      <c r="F166" s="403">
        <v>0.1</v>
      </c>
      <c r="H166" s="403">
        <f t="shared" si="15"/>
        <v>0.1</v>
      </c>
      <c r="I166" s="403">
        <f t="shared" si="16"/>
        <v>14.700000000000001</v>
      </c>
    </row>
    <row r="167" spans="1:10">
      <c r="A167" s="17">
        <f t="shared" si="17"/>
        <v>147</v>
      </c>
      <c r="B167" s="17" t="s">
        <v>517</v>
      </c>
      <c r="C167" s="204" t="s">
        <v>721</v>
      </c>
      <c r="E167" s="17" t="s">
        <v>724</v>
      </c>
      <c r="F167" s="403">
        <f>13.25/1.2/100</f>
        <v>0.11041666666666668</v>
      </c>
      <c r="H167" s="403">
        <f t="shared" si="15"/>
        <v>0.11041666666666668</v>
      </c>
      <c r="I167" s="403">
        <f t="shared" si="16"/>
        <v>16.231250000000003</v>
      </c>
    </row>
    <row r="168" spans="1:10" ht="22.25">
      <c r="A168" s="17">
        <f>ROUNDUP(2*(16.4+8.5/12.9*11.3)/4,0)</f>
        <v>12</v>
      </c>
      <c r="B168" s="17" t="s">
        <v>539</v>
      </c>
      <c r="C168" s="204" t="s">
        <v>725</v>
      </c>
      <c r="E168" s="17" t="s">
        <v>726</v>
      </c>
      <c r="F168" s="403">
        <f>15.73/1.2</f>
        <v>13.108333333333334</v>
      </c>
      <c r="H168" s="403">
        <f t="shared" si="15"/>
        <v>13.108333333333334</v>
      </c>
      <c r="I168" s="403">
        <f t="shared" si="16"/>
        <v>157.30000000000001</v>
      </c>
    </row>
    <row r="169" spans="1:10" ht="22.25">
      <c r="A169" s="17">
        <f>A168</f>
        <v>12</v>
      </c>
      <c r="B169" s="17" t="s">
        <v>539</v>
      </c>
      <c r="C169" s="204" t="s">
        <v>531</v>
      </c>
      <c r="E169" s="17" t="s">
        <v>727</v>
      </c>
      <c r="F169" s="403">
        <v>25</v>
      </c>
      <c r="H169" s="403">
        <f t="shared" si="15"/>
        <v>25</v>
      </c>
      <c r="I169" s="403">
        <f t="shared" si="16"/>
        <v>300</v>
      </c>
    </row>
    <row r="170" spans="1:10" ht="22.25">
      <c r="A170" s="17">
        <f>A169*4</f>
        <v>48</v>
      </c>
      <c r="B170" s="17" t="s">
        <v>517</v>
      </c>
      <c r="C170" s="204" t="s">
        <v>531</v>
      </c>
      <c r="E170" s="17" t="s">
        <v>728</v>
      </c>
      <c r="F170" s="403">
        <v>0.1</v>
      </c>
      <c r="H170" s="403">
        <f t="shared" si="15"/>
        <v>0.1</v>
      </c>
      <c r="I170" s="403">
        <f t="shared" si="16"/>
        <v>4.8000000000000007</v>
      </c>
    </row>
    <row r="171" spans="1:10">
      <c r="H171" s="403"/>
      <c r="I171" s="403"/>
    </row>
    <row r="172" spans="1:10" ht="15.75">
      <c r="E172" s="439" t="s">
        <v>729</v>
      </c>
      <c r="I172" s="168">
        <f>SUM(I152:I171)</f>
        <v>4148.0612499999997</v>
      </c>
    </row>
    <row r="174" spans="1:10" ht="13.75" customHeight="1">
      <c r="A174" s="997" t="s">
        <v>68</v>
      </c>
      <c r="B174" s="997"/>
      <c r="C174" s="997"/>
      <c r="D174" s="997"/>
      <c r="E174" s="997"/>
    </row>
    <row r="175" spans="1:10">
      <c r="A175" s="17">
        <v>1</v>
      </c>
      <c r="B175" s="17" t="s">
        <v>517</v>
      </c>
      <c r="E175" s="17" t="s">
        <v>730</v>
      </c>
      <c r="F175" s="403">
        <v>500</v>
      </c>
      <c r="H175" s="403">
        <f t="shared" si="15"/>
        <v>500</v>
      </c>
      <c r="I175" s="403">
        <f t="shared" ref="I175:I177" si="18">A175*H175</f>
        <v>500</v>
      </c>
    </row>
    <row r="176" spans="1:10" ht="55.65">
      <c r="A176" s="17">
        <v>0</v>
      </c>
      <c r="B176" s="17" t="s">
        <v>517</v>
      </c>
      <c r="C176" s="204" t="s">
        <v>708</v>
      </c>
      <c r="E176" s="204" t="s">
        <v>731</v>
      </c>
      <c r="F176" s="403">
        <f>460/2</f>
        <v>230</v>
      </c>
      <c r="H176" s="403">
        <f t="shared" si="15"/>
        <v>230</v>
      </c>
      <c r="I176" s="403">
        <f t="shared" si="18"/>
        <v>0</v>
      </c>
    </row>
    <row r="177" spans="1:9" ht="55.65">
      <c r="A177" s="17">
        <v>0</v>
      </c>
      <c r="B177" s="17" t="s">
        <v>517</v>
      </c>
      <c r="C177" s="204" t="s">
        <v>711</v>
      </c>
      <c r="E177" s="204" t="s">
        <v>732</v>
      </c>
      <c r="F177" s="403">
        <f>320/2</f>
        <v>160</v>
      </c>
      <c r="H177" s="403">
        <f t="shared" si="15"/>
        <v>160</v>
      </c>
      <c r="I177" s="403">
        <f t="shared" si="18"/>
        <v>0</v>
      </c>
    </row>
    <row r="179" spans="1:9" ht="15.75">
      <c r="E179" s="439" t="s">
        <v>733</v>
      </c>
      <c r="I179" s="168">
        <f>SUM(I174:I178)</f>
        <v>500</v>
      </c>
    </row>
    <row r="180" spans="1:9">
      <c r="E180" s="439"/>
    </row>
  </sheetData>
  <mergeCells count="13">
    <mergeCell ref="B1:F1"/>
    <mergeCell ref="A2:G2"/>
    <mergeCell ref="J23:L23"/>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7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287</v>
      </c>
      <c r="C1" s="1053"/>
      <c r="D1" s="1053"/>
      <c r="E1" s="1053"/>
      <c r="F1" s="1053"/>
      <c r="H1" s="405" t="s">
        <v>493</v>
      </c>
      <c r="I1" s="406">
        <v>370</v>
      </c>
      <c r="J1" s="17" t="s">
        <v>494</v>
      </c>
      <c r="K1" s="17" t="s">
        <v>495</v>
      </c>
      <c r="L1" s="58">
        <f>A4*I1</f>
        <v>55500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13">
        <v>150</v>
      </c>
      <c r="B4" s="407" t="s">
        <v>505</v>
      </c>
      <c r="C4" s="420" t="s">
        <v>1306</v>
      </c>
      <c r="D4" s="413"/>
      <c r="E4" s="420" t="s">
        <v>1308</v>
      </c>
      <c r="F4" s="421">
        <v>90.8</v>
      </c>
      <c r="G4" s="410"/>
      <c r="H4" s="409">
        <f t="shared" ref="H4:H9" si="0">F4*(1-G4)</f>
        <v>90.8</v>
      </c>
      <c r="I4" s="409">
        <f t="shared" ref="I4:I9" si="1">A4*H4</f>
        <v>13620</v>
      </c>
      <c r="J4" s="417">
        <f>F4/I1</f>
        <v>0.2454054054054054</v>
      </c>
      <c r="K4" s="403"/>
      <c r="L4" s="404"/>
      <c r="M4" s="437">
        <f>I4</f>
        <v>13620</v>
      </c>
      <c r="N4" s="437"/>
      <c r="O4" s="437"/>
      <c r="P4" s="437"/>
      <c r="Q4" s="437"/>
      <c r="R4" s="418"/>
      <c r="S4" s="437"/>
    </row>
    <row r="5" spans="1:19" ht="55.65">
      <c r="A5" s="413">
        <v>0</v>
      </c>
      <c r="B5" s="407" t="s">
        <v>505</v>
      </c>
      <c r="C5" s="408" t="s">
        <v>817</v>
      </c>
      <c r="D5" s="407" t="s">
        <v>818</v>
      </c>
      <c r="E5" s="408" t="s">
        <v>819</v>
      </c>
      <c r="F5" s="409">
        <v>267.5</v>
      </c>
      <c r="G5" s="410"/>
      <c r="H5" s="409">
        <f t="shared" si="0"/>
        <v>267.5</v>
      </c>
      <c r="I5" s="409">
        <f t="shared" si="1"/>
        <v>0</v>
      </c>
      <c r="J5" s="417"/>
      <c r="K5" s="403"/>
      <c r="L5" s="404"/>
      <c r="M5" s="437"/>
      <c r="N5" s="437"/>
      <c r="O5" s="437"/>
      <c r="P5" s="437"/>
      <c r="Q5" s="437"/>
      <c r="R5" s="418"/>
      <c r="S5" s="437"/>
    </row>
    <row r="6" spans="1:19" ht="33.4">
      <c r="A6" s="413">
        <f>A4+A5</f>
        <v>150</v>
      </c>
      <c r="B6" s="413" t="s">
        <v>505</v>
      </c>
      <c r="C6" s="420" t="s">
        <v>1502</v>
      </c>
      <c r="D6" s="413"/>
      <c r="E6" s="420" t="s">
        <v>1503</v>
      </c>
      <c r="F6" s="421">
        <f>1611.2*1.1/A6</f>
        <v>11.815466666666667</v>
      </c>
      <c r="G6" s="422"/>
      <c r="H6" s="421">
        <f t="shared" si="0"/>
        <v>11.815466666666667</v>
      </c>
      <c r="I6" s="421">
        <f t="shared" si="1"/>
        <v>1772.3200000000002</v>
      </c>
      <c r="J6" s="417">
        <f>F6/$I$1</f>
        <v>3.1933693693693699E-2</v>
      </c>
      <c r="K6" s="417" t="s">
        <v>1504</v>
      </c>
      <c r="M6" s="437">
        <f>I6</f>
        <v>1772.3200000000002</v>
      </c>
      <c r="N6" s="437"/>
      <c r="O6" s="437"/>
      <c r="P6" s="437"/>
      <c r="Q6" s="437"/>
      <c r="R6" s="418"/>
      <c r="S6" s="437"/>
    </row>
    <row r="7" spans="1:19" ht="22.25">
      <c r="A7" s="423">
        <v>1</v>
      </c>
      <c r="B7" s="423" t="s">
        <v>522</v>
      </c>
      <c r="C7" s="424" t="s">
        <v>531</v>
      </c>
      <c r="D7" s="413"/>
      <c r="E7" s="420" t="s">
        <v>1213</v>
      </c>
      <c r="F7" s="421">
        <v>900</v>
      </c>
      <c r="G7" s="410"/>
      <c r="H7" s="409">
        <f t="shared" si="0"/>
        <v>900</v>
      </c>
      <c r="I7" s="409">
        <f t="shared" si="1"/>
        <v>900</v>
      </c>
      <c r="J7" s="204"/>
      <c r="K7" s="17" t="s">
        <v>1484</v>
      </c>
      <c r="M7" s="437"/>
      <c r="N7" s="437"/>
      <c r="O7" s="437"/>
      <c r="P7" s="437"/>
      <c r="Q7" s="437"/>
      <c r="R7" s="418">
        <f t="shared" ref="R7:R9" si="2">I7</f>
        <v>900</v>
      </c>
      <c r="S7" s="437"/>
    </row>
    <row r="8" spans="1:19">
      <c r="A8" s="413">
        <v>2</v>
      </c>
      <c r="B8" s="413"/>
      <c r="C8" s="413" t="s">
        <v>751</v>
      </c>
      <c r="D8" s="413"/>
      <c r="E8" s="420" t="s">
        <v>1505</v>
      </c>
      <c r="F8" s="421">
        <v>464.44</v>
      </c>
      <c r="G8" s="410"/>
      <c r="H8" s="409">
        <f t="shared" si="0"/>
        <v>464.44</v>
      </c>
      <c r="I8" s="409">
        <f t="shared" si="1"/>
        <v>928.88</v>
      </c>
      <c r="J8" s="204"/>
      <c r="M8" s="437"/>
      <c r="N8" s="437"/>
      <c r="O8" s="437"/>
      <c r="P8" s="437"/>
      <c r="Q8" s="437"/>
      <c r="R8" s="418">
        <f t="shared" si="2"/>
        <v>928.88</v>
      </c>
      <c r="S8" s="437"/>
    </row>
    <row r="9" spans="1:19">
      <c r="A9" s="413"/>
      <c r="B9" s="413"/>
      <c r="C9" s="413"/>
      <c r="D9" s="413"/>
      <c r="E9" s="420"/>
      <c r="F9" s="421"/>
      <c r="G9" s="410"/>
      <c r="H9" s="409">
        <f t="shared" si="0"/>
        <v>0</v>
      </c>
      <c r="I9" s="409">
        <f t="shared" si="1"/>
        <v>0</v>
      </c>
      <c r="J9" s="204"/>
      <c r="M9" s="437"/>
      <c r="N9" s="437"/>
      <c r="O9" s="437"/>
      <c r="P9" s="437"/>
      <c r="Q9" s="437"/>
      <c r="R9" s="418">
        <f t="shared" si="2"/>
        <v>0</v>
      </c>
      <c r="S9" s="437"/>
    </row>
    <row r="10" spans="1:19" ht="22.25">
      <c r="A10" s="413">
        <v>0</v>
      </c>
      <c r="B10" s="413" t="s">
        <v>530</v>
      </c>
      <c r="C10" s="420" t="s">
        <v>531</v>
      </c>
      <c r="D10" s="413"/>
      <c r="E10" s="413" t="s">
        <v>532</v>
      </c>
      <c r="F10" s="421">
        <v>500</v>
      </c>
      <c r="G10" s="410"/>
      <c r="H10" s="409">
        <f t="shared" ref="H10:H62" si="3">F10*(1-G10)</f>
        <v>500</v>
      </c>
      <c r="I10" s="409">
        <f t="shared" ref="I10:I31" si="4">A10*H10</f>
        <v>0</v>
      </c>
      <c r="J10" s="204"/>
      <c r="M10" s="437"/>
      <c r="N10" s="437"/>
      <c r="O10" s="437"/>
      <c r="P10" s="437"/>
      <c r="Q10" s="437"/>
      <c r="R10" s="418">
        <f t="shared" ref="R10:R23" si="5">I10</f>
        <v>0</v>
      </c>
      <c r="S10" s="437"/>
    </row>
    <row r="11" spans="1:19" ht="22.25">
      <c r="A11" s="413">
        <v>0</v>
      </c>
      <c r="B11" s="413" t="s">
        <v>505</v>
      </c>
      <c r="C11" s="420" t="s">
        <v>534</v>
      </c>
      <c r="D11" s="413"/>
      <c r="E11" s="420" t="s">
        <v>535</v>
      </c>
      <c r="F11" s="421">
        <v>3.71</v>
      </c>
      <c r="G11" s="410"/>
      <c r="H11" s="409">
        <f t="shared" si="3"/>
        <v>3.71</v>
      </c>
      <c r="I11" s="409">
        <f t="shared" si="4"/>
        <v>0</v>
      </c>
      <c r="J11" s="204" t="s">
        <v>536</v>
      </c>
      <c r="M11" s="437"/>
      <c r="N11" s="437"/>
      <c r="O11" s="437"/>
      <c r="P11" s="437"/>
      <c r="Q11" s="437"/>
      <c r="R11" s="418">
        <f t="shared" si="5"/>
        <v>0</v>
      </c>
      <c r="S11" s="437"/>
    </row>
    <row r="12" spans="1:19" ht="22.25">
      <c r="A12" s="413">
        <v>0</v>
      </c>
      <c r="B12" s="413" t="s">
        <v>505</v>
      </c>
      <c r="C12" s="420" t="s">
        <v>534</v>
      </c>
      <c r="D12" s="413"/>
      <c r="E12" s="420" t="s">
        <v>537</v>
      </c>
      <c r="F12" s="421">
        <v>3.81</v>
      </c>
      <c r="G12" s="410"/>
      <c r="H12" s="409">
        <f t="shared" si="3"/>
        <v>3.81</v>
      </c>
      <c r="I12" s="409">
        <f t="shared" si="4"/>
        <v>0</v>
      </c>
      <c r="J12" s="204" t="s">
        <v>538</v>
      </c>
      <c r="M12" s="437"/>
      <c r="N12" s="437"/>
      <c r="O12" s="437"/>
      <c r="P12" s="437"/>
      <c r="Q12" s="437"/>
      <c r="R12" s="418">
        <f t="shared" si="5"/>
        <v>0</v>
      </c>
      <c r="S12" s="437"/>
    </row>
    <row r="13" spans="1:19" ht="55.65">
      <c r="A13" s="413">
        <f>10*20+5*20</f>
        <v>300</v>
      </c>
      <c r="B13" s="413" t="s">
        <v>539</v>
      </c>
      <c r="C13" s="420" t="s">
        <v>987</v>
      </c>
      <c r="D13" s="413" t="s">
        <v>541</v>
      </c>
      <c r="E13" s="420" t="s">
        <v>542</v>
      </c>
      <c r="F13" s="421">
        <f t="shared" ref="F13:F14" si="6">328.33/500</f>
        <v>0.65666000000000002</v>
      </c>
      <c r="G13" s="410"/>
      <c r="H13" s="409">
        <f t="shared" si="3"/>
        <v>0.65666000000000002</v>
      </c>
      <c r="I13" s="409">
        <f t="shared" si="4"/>
        <v>196.99800000000002</v>
      </c>
      <c r="J13" s="491" t="s">
        <v>756</v>
      </c>
      <c r="M13" s="437"/>
      <c r="N13" s="437"/>
      <c r="O13" s="418">
        <f t="shared" ref="O13:O26" si="7">I13</f>
        <v>196.99800000000002</v>
      </c>
      <c r="P13" s="418"/>
      <c r="Q13" s="418"/>
      <c r="R13" s="437"/>
      <c r="S13" s="437"/>
    </row>
    <row r="14" spans="1:19" ht="55.65">
      <c r="A14" s="413">
        <f>A13+A6*1.7+20*1</f>
        <v>575</v>
      </c>
      <c r="B14" s="413" t="s">
        <v>539</v>
      </c>
      <c r="C14" s="420" t="s">
        <v>987</v>
      </c>
      <c r="D14" s="413" t="s">
        <v>543</v>
      </c>
      <c r="E14" s="420" t="s">
        <v>544</v>
      </c>
      <c r="F14" s="421">
        <f t="shared" si="6"/>
        <v>0.65666000000000002</v>
      </c>
      <c r="G14" s="410"/>
      <c r="H14" s="409">
        <f t="shared" si="3"/>
        <v>0.65666000000000002</v>
      </c>
      <c r="I14" s="409">
        <f t="shared" si="4"/>
        <v>377.5795</v>
      </c>
      <c r="J14" s="204"/>
      <c r="M14" s="437"/>
      <c r="N14" s="437"/>
      <c r="O14" s="418">
        <f t="shared" si="7"/>
        <v>377.5795</v>
      </c>
      <c r="P14" s="418"/>
      <c r="Q14" s="418"/>
      <c r="R14" s="437"/>
      <c r="S14" s="437"/>
    </row>
    <row r="15" spans="1:19" ht="22.25">
      <c r="A15" s="413">
        <f>10*4</f>
        <v>40</v>
      </c>
      <c r="B15" s="413" t="s">
        <v>522</v>
      </c>
      <c r="C15" s="420" t="s">
        <v>1074</v>
      </c>
      <c r="D15" s="413"/>
      <c r="E15" s="420" t="s">
        <v>1079</v>
      </c>
      <c r="F15" s="421">
        <v>1.3</v>
      </c>
      <c r="G15" s="410"/>
      <c r="H15" s="409">
        <f t="shared" si="3"/>
        <v>1.3</v>
      </c>
      <c r="I15" s="409">
        <f t="shared" si="4"/>
        <v>52</v>
      </c>
      <c r="J15" s="204"/>
      <c r="M15" s="437"/>
      <c r="N15" s="437"/>
      <c r="O15" s="418">
        <f t="shared" si="7"/>
        <v>52</v>
      </c>
      <c r="P15" s="437"/>
      <c r="Q15" s="437"/>
      <c r="R15" s="418"/>
      <c r="S15" s="437"/>
    </row>
    <row r="16" spans="1:19" ht="22.25">
      <c r="A16" s="413">
        <f>A15</f>
        <v>40</v>
      </c>
      <c r="B16" s="413" t="s">
        <v>522</v>
      </c>
      <c r="C16" s="420" t="s">
        <v>1074</v>
      </c>
      <c r="D16" s="413"/>
      <c r="E16" s="420" t="s">
        <v>1080</v>
      </c>
      <c r="F16" s="421">
        <v>0.98</v>
      </c>
      <c r="G16" s="410"/>
      <c r="H16" s="409">
        <f t="shared" si="3"/>
        <v>0.98</v>
      </c>
      <c r="I16" s="409">
        <f t="shared" si="4"/>
        <v>39.200000000000003</v>
      </c>
      <c r="J16" s="204"/>
      <c r="M16" s="437"/>
      <c r="N16" s="437"/>
      <c r="O16" s="418">
        <f t="shared" si="7"/>
        <v>39.200000000000003</v>
      </c>
      <c r="P16" s="437"/>
      <c r="Q16" s="437"/>
      <c r="R16" s="418"/>
      <c r="S16" s="437"/>
    </row>
    <row r="17" spans="1:19" ht="33.4">
      <c r="A17" s="413">
        <v>1</v>
      </c>
      <c r="B17" s="413" t="s">
        <v>522</v>
      </c>
      <c r="C17" s="413" t="s">
        <v>1223</v>
      </c>
      <c r="D17" s="413"/>
      <c r="E17" s="420" t="s">
        <v>1225</v>
      </c>
      <c r="F17" s="421">
        <v>4332.5</v>
      </c>
      <c r="G17" s="428"/>
      <c r="H17" s="430">
        <v>4332.5</v>
      </c>
      <c r="I17" s="409">
        <f t="shared" si="4"/>
        <v>4332.5</v>
      </c>
      <c r="J17" s="204"/>
      <c r="K17" s="204" t="s">
        <v>1506</v>
      </c>
      <c r="M17" s="437"/>
      <c r="N17" s="418">
        <f t="shared" ref="N17:N20" si="8">I17</f>
        <v>4332.5</v>
      </c>
      <c r="O17" s="437"/>
      <c r="P17" s="437"/>
      <c r="Q17" s="437"/>
      <c r="R17" s="437"/>
      <c r="S17" s="437"/>
    </row>
    <row r="18" spans="1:19">
      <c r="A18" s="413"/>
      <c r="B18" s="413"/>
      <c r="C18" s="413"/>
      <c r="D18" s="413"/>
      <c r="E18" s="420"/>
      <c r="F18" s="421"/>
      <c r="G18" s="410"/>
      <c r="H18" s="409">
        <f t="shared" si="3"/>
        <v>0</v>
      </c>
      <c r="I18" s="409">
        <f t="shared" si="4"/>
        <v>0</v>
      </c>
      <c r="J18" s="204"/>
      <c r="M18" s="437"/>
      <c r="N18" s="418">
        <f t="shared" si="8"/>
        <v>0</v>
      </c>
      <c r="O18" s="437"/>
      <c r="P18" s="437"/>
      <c r="Q18" s="437"/>
      <c r="R18" s="437"/>
      <c r="S18" s="437"/>
    </row>
    <row r="19" spans="1:19">
      <c r="A19" s="407">
        <v>0</v>
      </c>
      <c r="B19" s="407" t="s">
        <v>505</v>
      </c>
      <c r="C19" s="408"/>
      <c r="D19" s="407"/>
      <c r="E19" s="408"/>
      <c r="F19" s="409">
        <v>40.799999999999997</v>
      </c>
      <c r="G19" s="410"/>
      <c r="H19" s="409">
        <f t="shared" si="3"/>
        <v>40.799999999999997</v>
      </c>
      <c r="I19" s="409">
        <f t="shared" si="4"/>
        <v>0</v>
      </c>
      <c r="J19" s="204"/>
      <c r="M19" s="437"/>
      <c r="N19" s="418">
        <f t="shared" si="8"/>
        <v>0</v>
      </c>
      <c r="O19" s="437"/>
      <c r="P19" s="437"/>
      <c r="Q19" s="437"/>
      <c r="R19" s="437"/>
      <c r="S19" s="437"/>
    </row>
    <row r="20" spans="1:19">
      <c r="A20" s="407">
        <v>0</v>
      </c>
      <c r="B20" s="407" t="s">
        <v>505</v>
      </c>
      <c r="C20" s="408"/>
      <c r="D20" s="407"/>
      <c r="E20" s="408"/>
      <c r="F20" s="409">
        <v>36.619999999999997</v>
      </c>
      <c r="G20" s="410"/>
      <c r="H20" s="409">
        <f t="shared" si="3"/>
        <v>36.619999999999997</v>
      </c>
      <c r="I20" s="409">
        <f t="shared" si="4"/>
        <v>0</v>
      </c>
      <c r="J20" s="204"/>
      <c r="M20" s="437"/>
      <c r="N20" s="418">
        <f t="shared" si="8"/>
        <v>0</v>
      </c>
      <c r="O20" s="437"/>
      <c r="P20" s="437"/>
      <c r="Q20" s="437"/>
      <c r="R20" s="437"/>
      <c r="S20" s="437"/>
    </row>
    <row r="21" spans="1:19" ht="55.65">
      <c r="A21" s="413">
        <v>20</v>
      </c>
      <c r="B21" s="413" t="s">
        <v>522</v>
      </c>
      <c r="C21" s="420" t="s">
        <v>987</v>
      </c>
      <c r="D21" s="413" t="s">
        <v>761</v>
      </c>
      <c r="E21" s="420" t="s">
        <v>762</v>
      </c>
      <c r="F21" s="421">
        <v>2.5</v>
      </c>
      <c r="G21" s="410"/>
      <c r="H21" s="409">
        <f t="shared" si="3"/>
        <v>2.5</v>
      </c>
      <c r="I21" s="409">
        <f t="shared" si="4"/>
        <v>50</v>
      </c>
      <c r="J21" s="204"/>
      <c r="M21" s="437"/>
      <c r="N21" s="437"/>
      <c r="O21" s="437"/>
      <c r="P21" s="437"/>
      <c r="Q21" s="437"/>
      <c r="R21" s="418">
        <f t="shared" si="5"/>
        <v>50</v>
      </c>
      <c r="S21" s="437"/>
    </row>
    <row r="22" spans="1:19" ht="35.049999999999997" customHeight="1">
      <c r="A22" s="413">
        <v>1</v>
      </c>
      <c r="B22" s="413" t="s">
        <v>522</v>
      </c>
      <c r="C22" s="420" t="s">
        <v>1479</v>
      </c>
      <c r="D22" s="413"/>
      <c r="E22" s="420" t="s">
        <v>803</v>
      </c>
      <c r="F22" s="421">
        <v>564.44000000000005</v>
      </c>
      <c r="G22" s="410"/>
      <c r="H22" s="409">
        <f t="shared" si="3"/>
        <v>564.44000000000005</v>
      </c>
      <c r="I22" s="409">
        <f t="shared" si="4"/>
        <v>564.44000000000005</v>
      </c>
      <c r="J22" s="1054" t="s">
        <v>1507</v>
      </c>
      <c r="K22" s="1054"/>
      <c r="L22" s="1054"/>
      <c r="M22" s="437"/>
      <c r="N22" s="437"/>
      <c r="O22" s="437"/>
      <c r="P22" s="437"/>
      <c r="Q22" s="437"/>
      <c r="R22" s="418">
        <f t="shared" si="5"/>
        <v>564.44000000000005</v>
      </c>
      <c r="S22" s="437"/>
    </row>
    <row r="23" spans="1:19">
      <c r="A23" s="407"/>
      <c r="B23" s="407"/>
      <c r="C23" s="408"/>
      <c r="D23" s="407"/>
      <c r="E23" s="408"/>
      <c r="F23" s="409"/>
      <c r="G23" s="410"/>
      <c r="H23" s="409">
        <f t="shared" si="3"/>
        <v>0</v>
      </c>
      <c r="I23" s="409">
        <f t="shared" si="4"/>
        <v>0</v>
      </c>
      <c r="J23" s="204"/>
      <c r="M23" s="437"/>
      <c r="N23" s="437"/>
      <c r="O23" s="437"/>
      <c r="P23" s="437"/>
      <c r="Q23" s="437"/>
      <c r="R23" s="418">
        <f t="shared" si="5"/>
        <v>0</v>
      </c>
      <c r="S23" s="437"/>
    </row>
    <row r="24" spans="1:19" ht="22.25">
      <c r="A24" s="413">
        <v>1</v>
      </c>
      <c r="B24" s="413" t="s">
        <v>522</v>
      </c>
      <c r="C24" s="420"/>
      <c r="D24" s="413"/>
      <c r="E24" s="420" t="s">
        <v>695</v>
      </c>
      <c r="F24" s="421">
        <v>100</v>
      </c>
      <c r="G24" s="410"/>
      <c r="H24" s="409">
        <f t="shared" si="3"/>
        <v>100</v>
      </c>
      <c r="I24" s="409">
        <f t="shared" si="4"/>
        <v>100</v>
      </c>
      <c r="J24" s="204" t="s">
        <v>696</v>
      </c>
      <c r="M24" s="437"/>
      <c r="N24" s="437"/>
      <c r="O24" s="418">
        <f t="shared" si="7"/>
        <v>100</v>
      </c>
      <c r="P24" s="437"/>
      <c r="Q24" s="437"/>
      <c r="R24" s="418"/>
      <c r="S24" s="437"/>
    </row>
    <row r="25" spans="1:19" ht="44.55">
      <c r="A25" s="413">
        <v>1</v>
      </c>
      <c r="B25" s="413" t="s">
        <v>505</v>
      </c>
      <c r="C25" s="420" t="s">
        <v>751</v>
      </c>
      <c r="D25" s="413"/>
      <c r="E25" s="420" t="s">
        <v>1212</v>
      </c>
      <c r="F25" s="421">
        <v>787.5</v>
      </c>
      <c r="G25" s="422"/>
      <c r="H25" s="409">
        <f t="shared" si="3"/>
        <v>787.5</v>
      </c>
      <c r="I25" s="409">
        <f t="shared" si="4"/>
        <v>787.5</v>
      </c>
      <c r="J25" s="204"/>
      <c r="M25" s="418">
        <f>F25</f>
        <v>787.5</v>
      </c>
      <c r="N25" s="437"/>
      <c r="O25" s="437"/>
      <c r="P25" s="437"/>
      <c r="Q25" s="437"/>
      <c r="R25" s="437"/>
      <c r="S25" s="437"/>
    </row>
    <row r="26" spans="1:19" ht="44.55">
      <c r="A26" s="413">
        <v>30</v>
      </c>
      <c r="B26" s="413" t="s">
        <v>539</v>
      </c>
      <c r="C26" s="420" t="s">
        <v>690</v>
      </c>
      <c r="D26" s="413"/>
      <c r="E26" s="413" t="s">
        <v>835</v>
      </c>
      <c r="F26" s="421">
        <v>9.32</v>
      </c>
      <c r="G26" s="428"/>
      <c r="H26" s="409">
        <f t="shared" si="3"/>
        <v>9.32</v>
      </c>
      <c r="I26" s="409">
        <f t="shared" si="4"/>
        <v>279.60000000000002</v>
      </c>
      <c r="J26" s="491" t="s">
        <v>756</v>
      </c>
      <c r="M26" s="418"/>
      <c r="N26" s="437"/>
      <c r="O26" s="418">
        <f t="shared" si="7"/>
        <v>279.60000000000002</v>
      </c>
      <c r="P26" s="437"/>
      <c r="Q26" s="437"/>
      <c r="R26" s="437"/>
      <c r="S26" s="437"/>
    </row>
    <row r="27" spans="1:19" ht="44.55">
      <c r="A27" s="413">
        <v>1</v>
      </c>
      <c r="B27" s="413" t="s">
        <v>517</v>
      </c>
      <c r="C27" s="420" t="s">
        <v>569</v>
      </c>
      <c r="D27" s="413" t="s">
        <v>570</v>
      </c>
      <c r="E27" s="420" t="s">
        <v>571</v>
      </c>
      <c r="F27" s="421">
        <v>1040</v>
      </c>
      <c r="G27" s="495">
        <v>0.48</v>
      </c>
      <c r="H27" s="425">
        <f t="shared" si="3"/>
        <v>540.80000000000007</v>
      </c>
      <c r="I27" s="409">
        <f t="shared" si="4"/>
        <v>540.80000000000007</v>
      </c>
      <c r="J27" s="204"/>
      <c r="M27" s="418"/>
      <c r="N27" s="437"/>
      <c r="O27" s="437"/>
      <c r="P27" s="437"/>
      <c r="Q27" s="437"/>
      <c r="R27" s="437"/>
      <c r="S27" s="437">
        <f t="shared" ref="S27:S31" si="9">I27</f>
        <v>540.80000000000007</v>
      </c>
    </row>
    <row r="28" spans="1:19" ht="44.55">
      <c r="A28" s="407">
        <v>0</v>
      </c>
      <c r="B28" s="407" t="s">
        <v>517</v>
      </c>
      <c r="C28" s="492" t="s">
        <v>569</v>
      </c>
      <c r="D28" s="487" t="s">
        <v>572</v>
      </c>
      <c r="E28" s="492" t="s">
        <v>573</v>
      </c>
      <c r="F28" s="430">
        <v>1190</v>
      </c>
      <c r="G28" s="429">
        <v>0.48</v>
      </c>
      <c r="H28" s="430">
        <f t="shared" si="3"/>
        <v>618.80000000000007</v>
      </c>
      <c r="I28" s="409">
        <f t="shared" si="4"/>
        <v>0</v>
      </c>
      <c r="J28" s="204"/>
      <c r="M28" s="418"/>
      <c r="N28" s="437"/>
      <c r="O28" s="437"/>
      <c r="P28" s="437"/>
      <c r="Q28" s="437"/>
      <c r="R28" s="437"/>
      <c r="S28" s="437">
        <f t="shared" si="9"/>
        <v>0</v>
      </c>
    </row>
    <row r="29" spans="1:19">
      <c r="A29" s="407">
        <v>0</v>
      </c>
      <c r="B29" s="407" t="s">
        <v>517</v>
      </c>
      <c r="C29" s="408" t="s">
        <v>574</v>
      </c>
      <c r="D29" s="407" t="s">
        <v>575</v>
      </c>
      <c r="E29" s="407" t="s">
        <v>576</v>
      </c>
      <c r="F29" s="409">
        <v>36.700000000000003</v>
      </c>
      <c r="G29" s="410"/>
      <c r="H29" s="409">
        <f t="shared" si="3"/>
        <v>36.700000000000003</v>
      </c>
      <c r="I29" s="409">
        <f t="shared" si="4"/>
        <v>0</v>
      </c>
      <c r="J29" s="204"/>
      <c r="M29" s="418"/>
      <c r="N29" s="437"/>
      <c r="O29" s="437"/>
      <c r="P29" s="437"/>
      <c r="Q29" s="437"/>
      <c r="R29" s="437"/>
      <c r="S29" s="437">
        <f t="shared" si="9"/>
        <v>0</v>
      </c>
    </row>
    <row r="30" spans="1:19">
      <c r="A30" s="413">
        <v>5</v>
      </c>
      <c r="B30" s="413" t="s">
        <v>517</v>
      </c>
      <c r="C30" s="420" t="s">
        <v>574</v>
      </c>
      <c r="D30" s="413" t="s">
        <v>577</v>
      </c>
      <c r="E30" s="413" t="s">
        <v>578</v>
      </c>
      <c r="F30" s="421">
        <v>75</v>
      </c>
      <c r="G30" s="410"/>
      <c r="H30" s="409">
        <f t="shared" si="3"/>
        <v>75</v>
      </c>
      <c r="I30" s="409">
        <f t="shared" si="4"/>
        <v>375</v>
      </c>
      <c r="J30" s="204"/>
      <c r="M30" s="418"/>
      <c r="N30" s="437"/>
      <c r="O30" s="437"/>
      <c r="P30" s="437"/>
      <c r="Q30" s="437"/>
      <c r="R30" s="437"/>
      <c r="S30" s="437">
        <f t="shared" si="9"/>
        <v>375</v>
      </c>
    </row>
    <row r="31" spans="1:19">
      <c r="A31" s="413">
        <v>1</v>
      </c>
      <c r="B31" s="413" t="s">
        <v>517</v>
      </c>
      <c r="C31" s="420" t="s">
        <v>574</v>
      </c>
      <c r="D31" s="413"/>
      <c r="E31" s="413" t="s">
        <v>579</v>
      </c>
      <c r="F31" s="421">
        <f>35/4</f>
        <v>8.75</v>
      </c>
      <c r="G31" s="410"/>
      <c r="H31" s="409">
        <f t="shared" si="3"/>
        <v>8.75</v>
      </c>
      <c r="I31" s="409">
        <f t="shared" si="4"/>
        <v>8.75</v>
      </c>
      <c r="J31" s="204"/>
      <c r="M31" s="418"/>
      <c r="N31" s="437"/>
      <c r="O31" s="437"/>
      <c r="P31" s="437"/>
      <c r="Q31" s="437"/>
      <c r="R31" s="437"/>
      <c r="S31" s="437">
        <f t="shared" si="9"/>
        <v>8.75</v>
      </c>
    </row>
    <row r="32" spans="1:19" ht="12.45">
      <c r="A32" s="407"/>
      <c r="B32" s="407"/>
      <c r="C32" s="408"/>
      <c r="D32" s="407"/>
      <c r="E32" s="431"/>
      <c r="F32" s="409"/>
      <c r="G32" s="410"/>
      <c r="H32" s="409"/>
      <c r="I32" s="409"/>
      <c r="J32" s="204"/>
      <c r="M32" s="418"/>
      <c r="N32" s="437"/>
      <c r="O32" s="437"/>
      <c r="P32" s="437"/>
      <c r="Q32" s="437"/>
      <c r="R32" s="437"/>
      <c r="S32" s="437"/>
    </row>
    <row r="33" spans="1:19">
      <c r="A33" s="407"/>
      <c r="B33" s="407"/>
      <c r="C33" s="408"/>
      <c r="D33" s="407"/>
      <c r="E33" s="407"/>
      <c r="F33" s="409"/>
      <c r="G33" s="410"/>
      <c r="H33" s="409"/>
      <c r="I33" s="409"/>
      <c r="J33" s="204"/>
      <c r="M33" s="437"/>
      <c r="N33" s="437"/>
      <c r="O33" s="437"/>
      <c r="P33" s="437"/>
      <c r="Q33" s="437"/>
      <c r="R33" s="437"/>
      <c r="S33" s="437"/>
    </row>
    <row r="34" spans="1:19">
      <c r="A34" s="407"/>
      <c r="B34" s="407"/>
      <c r="C34" s="408"/>
      <c r="D34" s="407"/>
      <c r="E34" s="432" t="s">
        <v>580</v>
      </c>
      <c r="F34" s="409"/>
      <c r="G34" s="410"/>
      <c r="H34" s="409"/>
      <c r="I34" s="421">
        <f>SUM(I4:I32)</f>
        <v>24925.567499999997</v>
      </c>
      <c r="J34" s="204"/>
      <c r="M34" s="418">
        <f>SUM(M4:M32)</f>
        <v>16179.82</v>
      </c>
      <c r="N34" s="418">
        <f>SUM(N4:N32)</f>
        <v>4332.5</v>
      </c>
      <c r="O34" s="418">
        <f>SUM(O4:O32)</f>
        <v>1045.3775000000001</v>
      </c>
      <c r="P34" s="418"/>
      <c r="Q34" s="418"/>
      <c r="R34" s="418">
        <f>SUM(R4:R32)</f>
        <v>2443.3200000000002</v>
      </c>
      <c r="S34" s="418">
        <f>SUM(S4:S32)</f>
        <v>924.55000000000007</v>
      </c>
    </row>
    <row r="35" spans="1:19">
      <c r="A35" s="407"/>
      <c r="B35" s="407"/>
      <c r="C35" s="408"/>
      <c r="D35" s="407"/>
      <c r="E35" s="413" t="s">
        <v>581</v>
      </c>
      <c r="F35" s="409"/>
      <c r="G35" s="410">
        <v>0.25</v>
      </c>
      <c r="H35" s="409"/>
      <c r="I35" s="421"/>
      <c r="J35" s="204"/>
      <c r="M35" s="418"/>
      <c r="N35" s="418"/>
      <c r="O35" s="418"/>
      <c r="P35" s="418"/>
      <c r="Q35" s="418"/>
      <c r="R35" s="418"/>
      <c r="S35" s="418"/>
    </row>
    <row r="36" spans="1:19" ht="15.75">
      <c r="E36" s="433" t="s">
        <v>582</v>
      </c>
      <c r="F36" s="418"/>
      <c r="G36" s="434"/>
      <c r="H36" s="418"/>
      <c r="I36" s="435">
        <f>I34*(1+$G$35)</f>
        <v>31156.959374999999</v>
      </c>
      <c r="J36" s="436"/>
      <c r="K36" s="437"/>
      <c r="L36" s="437"/>
      <c r="M36" s="165">
        <f>M34*(1+$G$35)</f>
        <v>20224.775000000001</v>
      </c>
      <c r="N36" s="165">
        <f>N34*(1+$G$35)</f>
        <v>5415.625</v>
      </c>
      <c r="O36" s="165">
        <f>O34*(1+$G$35)</f>
        <v>1306.7218750000002</v>
      </c>
      <c r="P36" s="165">
        <f>P65</f>
        <v>11880</v>
      </c>
      <c r="Q36" s="165">
        <f>Q126</f>
        <v>0</v>
      </c>
      <c r="R36" s="165">
        <f>R34*(1+$G$35)</f>
        <v>3054.15</v>
      </c>
      <c r="S36" s="165">
        <f>S34*(1+$G$35)</f>
        <v>1155.6875</v>
      </c>
    </row>
    <row r="39" spans="1:19">
      <c r="E39" s="439" t="s">
        <v>585</v>
      </c>
    </row>
    <row r="40" spans="1:19">
      <c r="A40" s="441">
        <v>8</v>
      </c>
      <c r="B40" s="17" t="s">
        <v>619</v>
      </c>
      <c r="E40" s="17" t="s">
        <v>586</v>
      </c>
      <c r="F40" s="403">
        <f t="shared" ref="F40:F56" si="10">F$60</f>
        <v>55</v>
      </c>
      <c r="H40" s="403">
        <f t="shared" si="3"/>
        <v>55</v>
      </c>
      <c r="I40" s="403">
        <f t="shared" ref="I40:I62" si="11">A40*H40</f>
        <v>440</v>
      </c>
    </row>
    <row r="41" spans="1:19">
      <c r="A41" s="441">
        <f>A6/120*8*2</f>
        <v>20</v>
      </c>
      <c r="B41" s="17" t="s">
        <v>619</v>
      </c>
      <c r="E41" s="17" t="s">
        <v>589</v>
      </c>
      <c r="F41" s="403">
        <f t="shared" si="10"/>
        <v>55</v>
      </c>
      <c r="H41" s="403">
        <f t="shared" si="3"/>
        <v>55</v>
      </c>
      <c r="I41" s="403">
        <f t="shared" si="11"/>
        <v>1100</v>
      </c>
      <c r="J41" s="17" t="s">
        <v>592</v>
      </c>
    </row>
    <row r="42" spans="1:19">
      <c r="A42" s="441">
        <v>4</v>
      </c>
      <c r="B42" s="17" t="s">
        <v>619</v>
      </c>
      <c r="E42" s="17" t="s">
        <v>1426</v>
      </c>
      <c r="F42" s="403">
        <f t="shared" si="10"/>
        <v>55</v>
      </c>
      <c r="H42" s="403">
        <f t="shared" si="3"/>
        <v>55</v>
      </c>
      <c r="I42" s="403">
        <f t="shared" si="11"/>
        <v>220</v>
      </c>
    </row>
    <row r="43" spans="1:19">
      <c r="A43" s="441">
        <f>1.37*A6-SUM(A40:A42)-SUM(A44:A55)</f>
        <v>132.50000000000003</v>
      </c>
      <c r="B43" s="17" t="s">
        <v>619</v>
      </c>
      <c r="E43" s="17" t="s">
        <v>591</v>
      </c>
      <c r="F43" s="403">
        <f t="shared" si="10"/>
        <v>55</v>
      </c>
      <c r="H43" s="403">
        <f t="shared" si="3"/>
        <v>55</v>
      </c>
      <c r="I43" s="403">
        <f t="shared" si="11"/>
        <v>7287.5000000000018</v>
      </c>
      <c r="J43" s="17" t="s">
        <v>1480</v>
      </c>
    </row>
    <row r="44" spans="1:19">
      <c r="A44" s="441">
        <v>4</v>
      </c>
      <c r="B44" s="17" t="s">
        <v>619</v>
      </c>
      <c r="E44" s="17" t="s">
        <v>1428</v>
      </c>
      <c r="F44" s="403">
        <f t="shared" si="10"/>
        <v>55</v>
      </c>
      <c r="H44" s="403">
        <f t="shared" si="3"/>
        <v>55</v>
      </c>
      <c r="I44" s="403">
        <f t="shared" si="11"/>
        <v>220</v>
      </c>
    </row>
    <row r="45" spans="1:19">
      <c r="A45" s="441">
        <v>4</v>
      </c>
      <c r="B45" s="17" t="s">
        <v>619</v>
      </c>
      <c r="E45" s="17" t="s">
        <v>1429</v>
      </c>
      <c r="F45" s="403">
        <f t="shared" si="10"/>
        <v>55</v>
      </c>
      <c r="H45" s="403">
        <f t="shared" si="3"/>
        <v>55</v>
      </c>
      <c r="I45" s="403">
        <f t="shared" si="11"/>
        <v>220</v>
      </c>
    </row>
    <row r="46" spans="1:19">
      <c r="A46" s="441">
        <v>2</v>
      </c>
      <c r="B46" s="17" t="s">
        <v>619</v>
      </c>
      <c r="E46" s="17" t="s">
        <v>605</v>
      </c>
      <c r="F46" s="403">
        <f t="shared" si="10"/>
        <v>55</v>
      </c>
      <c r="H46" s="403">
        <f t="shared" si="3"/>
        <v>55</v>
      </c>
      <c r="I46" s="403">
        <f t="shared" si="11"/>
        <v>110</v>
      </c>
    </row>
    <row r="47" spans="1:19">
      <c r="A47" s="441">
        <v>2</v>
      </c>
      <c r="B47" s="17" t="s">
        <v>619</v>
      </c>
      <c r="E47" s="17" t="s">
        <v>607</v>
      </c>
      <c r="F47" s="403">
        <f t="shared" si="10"/>
        <v>55</v>
      </c>
      <c r="H47" s="403">
        <f t="shared" si="3"/>
        <v>55</v>
      </c>
      <c r="I47" s="403">
        <f t="shared" si="11"/>
        <v>110</v>
      </c>
      <c r="J47" s="17" t="s">
        <v>608</v>
      </c>
    </row>
    <row r="48" spans="1:19">
      <c r="A48" s="441">
        <v>1</v>
      </c>
      <c r="B48" s="17" t="s">
        <v>619</v>
      </c>
      <c r="E48" s="17" t="s">
        <v>609</v>
      </c>
      <c r="F48" s="403">
        <f t="shared" si="10"/>
        <v>55</v>
      </c>
      <c r="H48" s="403">
        <f t="shared" si="3"/>
        <v>55</v>
      </c>
      <c r="I48" s="403">
        <f t="shared" si="11"/>
        <v>55</v>
      </c>
    </row>
    <row r="49" spans="1:10">
      <c r="A49" s="441">
        <v>8</v>
      </c>
      <c r="B49" s="17" t="s">
        <v>619</v>
      </c>
      <c r="E49" s="17" t="s">
        <v>610</v>
      </c>
      <c r="F49" s="403">
        <f t="shared" si="10"/>
        <v>55</v>
      </c>
      <c r="H49" s="403">
        <f t="shared" si="3"/>
        <v>55</v>
      </c>
      <c r="I49" s="403">
        <f t="shared" si="11"/>
        <v>440</v>
      </c>
    </row>
    <row r="50" spans="1:10">
      <c r="A50" s="441">
        <v>1</v>
      </c>
      <c r="B50" s="17" t="s">
        <v>619</v>
      </c>
      <c r="E50" s="17" t="s">
        <v>611</v>
      </c>
      <c r="F50" s="403">
        <f t="shared" si="10"/>
        <v>55</v>
      </c>
      <c r="H50" s="403">
        <f t="shared" si="3"/>
        <v>55</v>
      </c>
      <c r="I50" s="403">
        <f t="shared" si="11"/>
        <v>55</v>
      </c>
    </row>
    <row r="51" spans="1:10">
      <c r="A51" s="441">
        <v>1</v>
      </c>
      <c r="B51" s="17" t="s">
        <v>619</v>
      </c>
      <c r="E51" s="17" t="s">
        <v>1431</v>
      </c>
      <c r="F51" s="403">
        <f t="shared" si="10"/>
        <v>55</v>
      </c>
      <c r="H51" s="403">
        <f t="shared" si="3"/>
        <v>55</v>
      </c>
      <c r="I51" s="403">
        <f t="shared" si="11"/>
        <v>55</v>
      </c>
    </row>
    <row r="52" spans="1:10">
      <c r="A52" s="441">
        <f>3*2</f>
        <v>6</v>
      </c>
      <c r="B52" s="17" t="s">
        <v>619</v>
      </c>
      <c r="E52" s="17" t="s">
        <v>612</v>
      </c>
      <c r="F52" s="403">
        <f t="shared" si="10"/>
        <v>55</v>
      </c>
      <c r="H52" s="403">
        <f t="shared" si="3"/>
        <v>55</v>
      </c>
      <c r="I52" s="403">
        <f t="shared" si="11"/>
        <v>330</v>
      </c>
      <c r="J52" s="17" t="s">
        <v>613</v>
      </c>
    </row>
    <row r="53" spans="1:10">
      <c r="A53" s="441">
        <v>8</v>
      </c>
      <c r="B53" s="17" t="s">
        <v>619</v>
      </c>
      <c r="E53" s="17" t="s">
        <v>614</v>
      </c>
      <c r="F53" s="403">
        <f t="shared" si="10"/>
        <v>55</v>
      </c>
      <c r="H53" s="403">
        <f t="shared" si="3"/>
        <v>55</v>
      </c>
      <c r="I53" s="403">
        <f t="shared" si="11"/>
        <v>440</v>
      </c>
    </row>
    <row r="54" spans="1:10">
      <c r="A54" s="441">
        <v>0</v>
      </c>
      <c r="B54" s="17" t="s">
        <v>619</v>
      </c>
      <c r="E54" s="17" t="s">
        <v>615</v>
      </c>
      <c r="F54" s="403">
        <f t="shared" si="10"/>
        <v>55</v>
      </c>
      <c r="H54" s="403">
        <f t="shared" si="3"/>
        <v>55</v>
      </c>
      <c r="I54" s="403">
        <f t="shared" si="11"/>
        <v>0</v>
      </c>
    </row>
    <row r="55" spans="1:10">
      <c r="A55" s="441">
        <v>4</v>
      </c>
      <c r="B55" s="17" t="s">
        <v>619</v>
      </c>
      <c r="E55" s="17" t="s">
        <v>616</v>
      </c>
      <c r="F55" s="403">
        <f t="shared" si="10"/>
        <v>55</v>
      </c>
      <c r="H55" s="403">
        <f t="shared" si="3"/>
        <v>55</v>
      </c>
      <c r="I55" s="403">
        <f t="shared" si="11"/>
        <v>220</v>
      </c>
    </row>
    <row r="56" spans="1:10">
      <c r="A56" s="441">
        <v>0</v>
      </c>
      <c r="B56" s="442" t="s">
        <v>619</v>
      </c>
      <c r="C56" s="446"/>
      <c r="D56" s="442"/>
      <c r="E56" s="17" t="s">
        <v>617</v>
      </c>
      <c r="F56" s="443">
        <f t="shared" si="10"/>
        <v>55</v>
      </c>
      <c r="G56" s="444"/>
      <c r="H56" s="443">
        <f t="shared" si="3"/>
        <v>55</v>
      </c>
      <c r="I56" s="443">
        <f t="shared" si="11"/>
        <v>0</v>
      </c>
      <c r="J56" s="17" t="s">
        <v>618</v>
      </c>
    </row>
    <row r="58" spans="1:10">
      <c r="A58" s="17">
        <f>SUM(A40:A57)</f>
        <v>205.50000000000003</v>
      </c>
      <c r="B58" s="17" t="s">
        <v>619</v>
      </c>
      <c r="E58" s="17" t="s">
        <v>620</v>
      </c>
    </row>
    <row r="59" spans="1:10">
      <c r="A59" s="441">
        <v>3</v>
      </c>
      <c r="B59" s="17" t="s">
        <v>517</v>
      </c>
      <c r="E59" s="17" t="s">
        <v>621</v>
      </c>
    </row>
    <row r="60" spans="1:10">
      <c r="A60" s="17">
        <v>1</v>
      </c>
      <c r="B60" s="17" t="s">
        <v>517</v>
      </c>
      <c r="E60" s="17" t="s">
        <v>622</v>
      </c>
      <c r="F60" s="445">
        <v>55</v>
      </c>
      <c r="H60" s="403">
        <f t="shared" si="3"/>
        <v>55</v>
      </c>
      <c r="I60" s="403">
        <f t="shared" si="11"/>
        <v>55</v>
      </c>
      <c r="J60" s="17" t="s">
        <v>623</v>
      </c>
    </row>
    <row r="61" spans="1:10">
      <c r="A61" s="17">
        <f>ROUNDUP(A58/8/A59,0)</f>
        <v>9</v>
      </c>
      <c r="B61" s="17" t="s">
        <v>624</v>
      </c>
      <c r="E61" s="17" t="s">
        <v>625</v>
      </c>
      <c r="F61" s="403">
        <f>A59*8*F60</f>
        <v>1320</v>
      </c>
      <c r="H61" s="403">
        <f t="shared" si="3"/>
        <v>1320</v>
      </c>
      <c r="I61" s="403">
        <f t="shared" si="11"/>
        <v>11880</v>
      </c>
    </row>
    <row r="62" spans="1:10">
      <c r="A62" s="441">
        <v>0</v>
      </c>
      <c r="B62" s="442" t="s">
        <v>517</v>
      </c>
      <c r="C62" s="446"/>
      <c r="D62" s="442"/>
      <c r="E62" s="442" t="s">
        <v>626</v>
      </c>
      <c r="F62" s="447"/>
      <c r="G62" s="444"/>
      <c r="H62" s="403">
        <f t="shared" si="3"/>
        <v>0</v>
      </c>
      <c r="I62" s="403">
        <f t="shared" si="11"/>
        <v>0</v>
      </c>
      <c r="J62" s="442"/>
    </row>
    <row r="63" spans="1:10">
      <c r="A63" s="441"/>
      <c r="F63" s="447"/>
      <c r="H63" s="403"/>
      <c r="I63" s="403"/>
    </row>
    <row r="64" spans="1:10">
      <c r="A64" s="441"/>
      <c r="F64" s="447"/>
      <c r="H64" s="403"/>
      <c r="I64" s="403"/>
    </row>
    <row r="65" spans="3:16" ht="15.75">
      <c r="E65" s="439" t="s">
        <v>628</v>
      </c>
      <c r="I65" s="443">
        <f>SUM(I61:I64)</f>
        <v>11880</v>
      </c>
      <c r="P65" s="165">
        <f>I65</f>
        <v>11880</v>
      </c>
    </row>
    <row r="76" spans="3:16" ht="55">
      <c r="C76" s="448" t="s">
        <v>629</v>
      </c>
      <c r="D76" s="448"/>
      <c r="E76" s="449" t="s">
        <v>630</v>
      </c>
    </row>
    <row r="77" spans="3:16">
      <c r="D77" s="448"/>
      <c r="E77" s="449" t="s">
        <v>631</v>
      </c>
    </row>
    <row r="78" spans="3:16">
      <c r="D78" s="17" t="s">
        <v>632</v>
      </c>
      <c r="E78" s="450" t="s">
        <v>633</v>
      </c>
      <c r="G78" s="451">
        <v>0.4</v>
      </c>
    </row>
    <row r="79" spans="3:16">
      <c r="D79" s="17" t="s">
        <v>517</v>
      </c>
      <c r="E79" s="450" t="s">
        <v>634</v>
      </c>
      <c r="G79" s="451">
        <f>G78</f>
        <v>0.4</v>
      </c>
    </row>
    <row r="80" spans="3:16">
      <c r="D80" s="448"/>
      <c r="E80" s="449"/>
    </row>
    <row r="81" spans="1:11">
      <c r="E81" s="449" t="s">
        <v>635</v>
      </c>
    </row>
    <row r="82" spans="1:11" ht="24.9">
      <c r="A82" s="452">
        <v>0</v>
      </c>
      <c r="B82" s="453" t="s">
        <v>517</v>
      </c>
      <c r="C82" s="454" t="s">
        <v>538</v>
      </c>
      <c r="D82" s="455" t="s">
        <v>636</v>
      </c>
      <c r="E82" s="453" t="s">
        <v>637</v>
      </c>
      <c r="F82" s="456">
        <v>1849</v>
      </c>
      <c r="G82" s="457"/>
      <c r="H82" s="458">
        <f>F82*(1-$G$78)</f>
        <v>1109.3999999999999</v>
      </c>
      <c r="I82" s="458">
        <f t="shared" ref="I82:I97" si="12">A82*H82</f>
        <v>0</v>
      </c>
      <c r="J82" s="459" t="s">
        <v>638</v>
      </c>
      <c r="K82" s="460" t="s">
        <v>639</v>
      </c>
    </row>
    <row r="83" spans="1:11" ht="12.8" customHeight="1">
      <c r="A83" s="461">
        <v>0</v>
      </c>
      <c r="B83" s="453" t="s">
        <v>517</v>
      </c>
      <c r="C83" s="453" t="s">
        <v>538</v>
      </c>
      <c r="D83" s="462" t="s">
        <v>640</v>
      </c>
      <c r="E83" s="453" t="s">
        <v>641</v>
      </c>
      <c r="F83" s="463">
        <v>1949</v>
      </c>
      <c r="G83" s="457"/>
      <c r="H83" s="458">
        <f t="shared" ref="H83:H97" si="13">F83*(1-$G$77)</f>
        <v>1949</v>
      </c>
      <c r="I83" s="458">
        <f t="shared" si="12"/>
        <v>0</v>
      </c>
      <c r="J83" s="459" t="s">
        <v>638</v>
      </c>
      <c r="K83" s="1051" t="s">
        <v>642</v>
      </c>
    </row>
    <row r="84" spans="1:11" ht="24.9">
      <c r="A84" s="452">
        <v>0</v>
      </c>
      <c r="B84" s="453" t="s">
        <v>539</v>
      </c>
      <c r="C84" s="453" t="s">
        <v>538</v>
      </c>
      <c r="D84" s="462" t="s">
        <v>643</v>
      </c>
      <c r="E84" s="453" t="s">
        <v>641</v>
      </c>
      <c r="F84" s="463">
        <v>80</v>
      </c>
      <c r="G84" s="457"/>
      <c r="H84" s="458">
        <f t="shared" si="13"/>
        <v>80</v>
      </c>
      <c r="I84" s="458">
        <f t="shared" si="12"/>
        <v>0</v>
      </c>
      <c r="J84" s="459" t="s">
        <v>638</v>
      </c>
      <c r="K84" s="1051"/>
    </row>
    <row r="85" spans="1:11" ht="12.8" customHeight="1">
      <c r="A85" s="461">
        <v>0</v>
      </c>
      <c r="B85" s="453" t="s">
        <v>517</v>
      </c>
      <c r="C85" s="453" t="s">
        <v>538</v>
      </c>
      <c r="D85" s="464" t="s">
        <v>644</v>
      </c>
      <c r="E85" s="453" t="s">
        <v>645</v>
      </c>
      <c r="F85" s="463">
        <v>10051</v>
      </c>
      <c r="G85" s="457"/>
      <c r="H85" s="458">
        <f t="shared" si="13"/>
        <v>10051</v>
      </c>
      <c r="I85" s="458">
        <f t="shared" si="12"/>
        <v>0</v>
      </c>
      <c r="J85" s="459" t="s">
        <v>638</v>
      </c>
      <c r="K85" s="1052" t="s">
        <v>646</v>
      </c>
    </row>
    <row r="86" spans="1:11" ht="24.9">
      <c r="A86" s="461">
        <v>0</v>
      </c>
      <c r="B86" s="453" t="s">
        <v>517</v>
      </c>
      <c r="C86" s="453" t="s">
        <v>538</v>
      </c>
      <c r="D86" s="464" t="s">
        <v>644</v>
      </c>
      <c r="E86" s="453" t="s">
        <v>647</v>
      </c>
      <c r="F86" s="463">
        <v>17412</v>
      </c>
      <c r="G86" s="457"/>
      <c r="H86" s="458">
        <f t="shared" si="13"/>
        <v>17412</v>
      </c>
      <c r="I86" s="458">
        <f t="shared" si="12"/>
        <v>0</v>
      </c>
      <c r="J86" s="459" t="s">
        <v>638</v>
      </c>
      <c r="K86" s="1052"/>
    </row>
    <row r="87" spans="1:11" ht="12.8" customHeight="1">
      <c r="A87" s="461">
        <v>0</v>
      </c>
      <c r="B87" s="453" t="s">
        <v>517</v>
      </c>
      <c r="C87" s="453" t="s">
        <v>538</v>
      </c>
      <c r="D87" s="465" t="s">
        <v>644</v>
      </c>
      <c r="E87" s="453" t="s">
        <v>648</v>
      </c>
      <c r="F87" s="466">
        <v>2345</v>
      </c>
      <c r="G87" s="457"/>
      <c r="H87" s="458">
        <f t="shared" si="13"/>
        <v>2345</v>
      </c>
      <c r="I87" s="458">
        <f t="shared" si="12"/>
        <v>0</v>
      </c>
      <c r="J87" s="453" t="s">
        <v>649</v>
      </c>
      <c r="K87" s="1049" t="s">
        <v>650</v>
      </c>
    </row>
    <row r="88" spans="1:11" ht="24.9">
      <c r="A88" s="461">
        <v>0</v>
      </c>
      <c r="B88" s="453" t="s">
        <v>517</v>
      </c>
      <c r="C88" s="453" t="s">
        <v>538</v>
      </c>
      <c r="D88" s="465" t="s">
        <v>644</v>
      </c>
      <c r="E88" s="453" t="s">
        <v>651</v>
      </c>
      <c r="F88" s="466">
        <v>3258</v>
      </c>
      <c r="G88" s="457"/>
      <c r="H88" s="458">
        <f t="shared" si="13"/>
        <v>3258</v>
      </c>
      <c r="I88" s="458">
        <f t="shared" si="12"/>
        <v>0</v>
      </c>
      <c r="J88" s="453" t="s">
        <v>649</v>
      </c>
      <c r="K88" s="1049"/>
    </row>
    <row r="89" spans="1:11" ht="24.9">
      <c r="A89" s="461">
        <v>0</v>
      </c>
      <c r="B89" s="453" t="s">
        <v>517</v>
      </c>
      <c r="C89" s="453" t="s">
        <v>538</v>
      </c>
      <c r="D89" s="465" t="s">
        <v>644</v>
      </c>
      <c r="E89" s="453" t="s">
        <v>652</v>
      </c>
      <c r="F89" s="463">
        <v>5649</v>
      </c>
      <c r="G89" s="457"/>
      <c r="H89" s="458">
        <f t="shared" si="13"/>
        <v>5649</v>
      </c>
      <c r="I89" s="458">
        <f t="shared" si="12"/>
        <v>0</v>
      </c>
      <c r="J89" s="453" t="s">
        <v>649</v>
      </c>
      <c r="K89" s="1049"/>
    </row>
    <row r="90" spans="1:11" ht="24.9">
      <c r="A90" s="461">
        <v>0</v>
      </c>
      <c r="B90" s="453" t="s">
        <v>517</v>
      </c>
      <c r="C90" s="453" t="s">
        <v>538</v>
      </c>
      <c r="D90" s="465" t="s">
        <v>644</v>
      </c>
      <c r="E90" s="453" t="s">
        <v>653</v>
      </c>
      <c r="F90" s="463">
        <v>1488</v>
      </c>
      <c r="G90" s="457"/>
      <c r="H90" s="458">
        <f t="shared" si="13"/>
        <v>1488</v>
      </c>
      <c r="I90" s="458">
        <f t="shared" si="12"/>
        <v>0</v>
      </c>
      <c r="J90" s="453" t="s">
        <v>649</v>
      </c>
      <c r="K90" s="1049"/>
    </row>
    <row r="91" spans="1:11" ht="24.9">
      <c r="A91" s="461">
        <v>0</v>
      </c>
      <c r="B91" s="453" t="s">
        <v>517</v>
      </c>
      <c r="C91" s="453" t="s">
        <v>538</v>
      </c>
      <c r="D91" s="465" t="s">
        <v>644</v>
      </c>
      <c r="E91" s="453" t="s">
        <v>654</v>
      </c>
      <c r="F91" s="463">
        <v>5269</v>
      </c>
      <c r="G91" s="457"/>
      <c r="H91" s="458">
        <f t="shared" si="13"/>
        <v>5269</v>
      </c>
      <c r="I91" s="458">
        <f t="shared" si="12"/>
        <v>0</v>
      </c>
      <c r="J91" s="453" t="s">
        <v>649</v>
      </c>
      <c r="K91" s="1049"/>
    </row>
    <row r="92" spans="1:11" ht="24.9">
      <c r="A92" s="461">
        <v>0</v>
      </c>
      <c r="B92" s="453" t="s">
        <v>517</v>
      </c>
      <c r="C92" s="453" t="s">
        <v>538</v>
      </c>
      <c r="D92" s="465" t="s">
        <v>644</v>
      </c>
      <c r="E92" s="453" t="s">
        <v>655</v>
      </c>
      <c r="F92" s="463">
        <v>3078</v>
      </c>
      <c r="G92" s="457"/>
      <c r="H92" s="458">
        <f t="shared" si="13"/>
        <v>3078</v>
      </c>
      <c r="I92" s="458">
        <f t="shared" si="12"/>
        <v>0</v>
      </c>
      <c r="J92" s="453" t="s">
        <v>649</v>
      </c>
      <c r="K92" s="1049"/>
    </row>
    <row r="93" spans="1:11" ht="24.9">
      <c r="A93" s="461">
        <v>0</v>
      </c>
      <c r="B93" s="453" t="s">
        <v>517</v>
      </c>
      <c r="C93" s="453" t="s">
        <v>538</v>
      </c>
      <c r="D93" s="465" t="s">
        <v>644</v>
      </c>
      <c r="E93" s="453" t="s">
        <v>656</v>
      </c>
      <c r="F93" s="463">
        <v>3489</v>
      </c>
      <c r="G93" s="457"/>
      <c r="H93" s="458">
        <f t="shared" si="13"/>
        <v>3489</v>
      </c>
      <c r="I93" s="458">
        <f t="shared" si="12"/>
        <v>0</v>
      </c>
      <c r="J93" s="453" t="s">
        <v>649</v>
      </c>
      <c r="K93" s="1049"/>
    </row>
    <row r="94" spans="1:11" ht="24.9">
      <c r="A94" s="461">
        <v>0</v>
      </c>
      <c r="B94" s="453" t="s">
        <v>517</v>
      </c>
      <c r="C94" s="453" t="s">
        <v>538</v>
      </c>
      <c r="D94" s="465" t="s">
        <v>644</v>
      </c>
      <c r="E94" s="453" t="s">
        <v>657</v>
      </c>
      <c r="F94" s="467" t="s">
        <v>658</v>
      </c>
      <c r="G94" s="457"/>
      <c r="H94" s="468"/>
      <c r="I94" s="468"/>
      <c r="J94" s="453" t="s">
        <v>649</v>
      </c>
      <c r="K94" s="1049"/>
    </row>
    <row r="95" spans="1:11" ht="24.9">
      <c r="A95" s="461">
        <v>0</v>
      </c>
      <c r="B95" s="453" t="s">
        <v>517</v>
      </c>
      <c r="C95" s="453" t="s">
        <v>538</v>
      </c>
      <c r="D95" s="465" t="s">
        <v>644</v>
      </c>
      <c r="E95" s="453" t="s">
        <v>659</v>
      </c>
      <c r="F95" s="463">
        <v>7456</v>
      </c>
      <c r="G95" s="457"/>
      <c r="H95" s="458">
        <f t="shared" si="13"/>
        <v>7456</v>
      </c>
      <c r="I95" s="458">
        <f t="shared" si="12"/>
        <v>0</v>
      </c>
      <c r="J95" s="453" t="s">
        <v>649</v>
      </c>
      <c r="K95" s="1049"/>
    </row>
    <row r="96" spans="1:11" ht="24.9">
      <c r="A96" s="461">
        <v>0</v>
      </c>
      <c r="B96" s="453" t="s">
        <v>517</v>
      </c>
      <c r="C96" s="453" t="s">
        <v>538</v>
      </c>
      <c r="D96" s="465" t="s">
        <v>644</v>
      </c>
      <c r="E96" s="453" t="s">
        <v>660</v>
      </c>
      <c r="F96" s="463">
        <v>8494</v>
      </c>
      <c r="G96" s="457"/>
      <c r="H96" s="458">
        <f t="shared" si="13"/>
        <v>8494</v>
      </c>
      <c r="I96" s="458">
        <f t="shared" si="12"/>
        <v>0</v>
      </c>
      <c r="J96" s="453" t="s">
        <v>649</v>
      </c>
      <c r="K96" s="1049"/>
    </row>
    <row r="97" spans="1:12" ht="24.9">
      <c r="A97" s="461">
        <v>0</v>
      </c>
      <c r="B97" s="453" t="s">
        <v>517</v>
      </c>
      <c r="C97" s="453" t="s">
        <v>538</v>
      </c>
      <c r="D97" s="465" t="s">
        <v>644</v>
      </c>
      <c r="E97" s="453" t="s">
        <v>661</v>
      </c>
      <c r="F97" s="463">
        <v>9434</v>
      </c>
      <c r="G97" s="457"/>
      <c r="H97" s="458">
        <f t="shared" si="13"/>
        <v>9434</v>
      </c>
      <c r="I97" s="458">
        <f t="shared" si="12"/>
        <v>0</v>
      </c>
      <c r="J97" s="453" t="s">
        <v>649</v>
      </c>
      <c r="K97" s="1049"/>
      <c r="L97" s="204"/>
    </row>
    <row r="98" spans="1:12">
      <c r="A98" s="469"/>
      <c r="B98" s="427"/>
      <c r="C98" s="427"/>
      <c r="D98" s="470"/>
      <c r="E98" s="427"/>
      <c r="F98" s="471"/>
      <c r="G98" s="471"/>
      <c r="H98" s="472"/>
      <c r="I98" s="473"/>
      <c r="J98" s="427"/>
      <c r="K98" s="427"/>
    </row>
    <row r="99" spans="1:12" ht="37.35">
      <c r="A99" s="474"/>
      <c r="B99" s="475"/>
      <c r="C99" s="475"/>
      <c r="D99" s="476"/>
      <c r="E99" s="475"/>
      <c r="F99" s="477" t="s">
        <v>662</v>
      </c>
      <c r="G99" s="478" t="s">
        <v>663</v>
      </c>
      <c r="H99" s="479"/>
      <c r="I99" s="480"/>
      <c r="J99" s="427"/>
      <c r="K99" s="475"/>
    </row>
    <row r="100" spans="1:12" ht="87.05">
      <c r="A100" s="461">
        <v>0</v>
      </c>
      <c r="B100" s="453" t="s">
        <v>539</v>
      </c>
      <c r="C100" s="453" t="s">
        <v>538</v>
      </c>
      <c r="D100" s="481" t="s">
        <v>664</v>
      </c>
      <c r="E100" s="453" t="s">
        <v>665</v>
      </c>
      <c r="F100" s="463">
        <v>108</v>
      </c>
      <c r="G100" s="463">
        <v>79</v>
      </c>
      <c r="H100" s="458">
        <f>IFERROR((MIN(A100,400)*F100+MAX(A100-400,0)*G100)*(1-G78)/A100,0)</f>
        <v>0</v>
      </c>
      <c r="I100" s="458">
        <f>A100*H100</f>
        <v>0</v>
      </c>
      <c r="J100" s="453" t="s">
        <v>638</v>
      </c>
      <c r="K100" s="482" t="s">
        <v>666</v>
      </c>
      <c r="L100" s="204"/>
    </row>
    <row r="101" spans="1:12">
      <c r="A101" s="474"/>
      <c r="B101" s="475"/>
      <c r="C101" s="475"/>
      <c r="D101" s="476"/>
      <c r="E101" s="475"/>
      <c r="F101" s="457"/>
      <c r="G101" s="457"/>
      <c r="H101" s="479"/>
      <c r="I101" s="480"/>
      <c r="J101" s="475"/>
      <c r="K101" s="475"/>
      <c r="L101" s="204"/>
    </row>
    <row r="102" spans="1:12">
      <c r="A102" s="474"/>
      <c r="B102" s="475"/>
      <c r="C102" s="475"/>
      <c r="D102" s="476"/>
      <c r="E102" s="475"/>
      <c r="F102" s="457"/>
      <c r="G102" s="457"/>
      <c r="H102" s="479"/>
      <c r="I102" s="480"/>
      <c r="J102" s="475"/>
      <c r="K102" s="475"/>
    </row>
    <row r="103" spans="1:12" ht="13.1">
      <c r="A103" s="474"/>
      <c r="B103" s="475"/>
      <c r="C103" s="475"/>
      <c r="D103" s="476"/>
      <c r="E103" s="483" t="s">
        <v>667</v>
      </c>
      <c r="F103" s="457"/>
      <c r="G103" s="457"/>
      <c r="H103" s="479"/>
      <c r="I103" s="480"/>
      <c r="J103" s="475"/>
      <c r="K103" s="475"/>
    </row>
    <row r="104" spans="1:12" ht="12.8" customHeight="1">
      <c r="A104" s="452">
        <v>1</v>
      </c>
      <c r="B104" s="453" t="s">
        <v>517</v>
      </c>
      <c r="C104" s="454" t="s">
        <v>538</v>
      </c>
      <c r="D104" s="455" t="s">
        <v>636</v>
      </c>
      <c r="E104" s="453" t="s">
        <v>668</v>
      </c>
      <c r="F104" s="463">
        <v>3732</v>
      </c>
      <c r="G104" s="457"/>
      <c r="H104" s="458">
        <f>F104*(1-G79)</f>
        <v>2239.1999999999998</v>
      </c>
      <c r="I104" s="458">
        <f t="shared" ref="I104:I125" si="14">A104*H104</f>
        <v>2239.1999999999998</v>
      </c>
      <c r="J104" s="453" t="s">
        <v>649</v>
      </c>
      <c r="K104" s="1050" t="s">
        <v>669</v>
      </c>
    </row>
    <row r="105" spans="1:12" ht="24.9">
      <c r="A105" s="452">
        <v>1</v>
      </c>
      <c r="B105" s="453" t="s">
        <v>539</v>
      </c>
      <c r="C105" s="454" t="s">
        <v>538</v>
      </c>
      <c r="D105" s="455" t="s">
        <v>670</v>
      </c>
      <c r="E105" s="453" t="s">
        <v>671</v>
      </c>
      <c r="F105" s="463">
        <v>88.7</v>
      </c>
      <c r="G105" s="457"/>
      <c r="H105" s="458">
        <f>F105*(1-G79)</f>
        <v>53.22</v>
      </c>
      <c r="I105" s="458">
        <f t="shared" si="14"/>
        <v>53.22</v>
      </c>
      <c r="J105" s="453" t="s">
        <v>649</v>
      </c>
      <c r="K105" s="1050"/>
      <c r="L105" s="17" t="s">
        <v>672</v>
      </c>
    </row>
    <row r="106" spans="1:12" ht="12.8" customHeight="1">
      <c r="A106" s="461">
        <v>1</v>
      </c>
      <c r="B106" s="453" t="s">
        <v>517</v>
      </c>
      <c r="C106" s="453" t="s">
        <v>538</v>
      </c>
      <c r="D106" s="462" t="s">
        <v>640</v>
      </c>
      <c r="E106" s="453" t="s">
        <v>673</v>
      </c>
      <c r="F106" s="463">
        <v>1968</v>
      </c>
      <c r="G106" s="457"/>
      <c r="H106" s="458">
        <f t="shared" ref="H106:H120" si="15">F106*(1-$G$77)</f>
        <v>1968</v>
      </c>
      <c r="I106" s="458">
        <f t="shared" si="14"/>
        <v>1968</v>
      </c>
      <c r="J106" s="459" t="s">
        <v>638</v>
      </c>
      <c r="K106" s="1051" t="s">
        <v>642</v>
      </c>
    </row>
    <row r="107" spans="1:12" ht="24.9">
      <c r="A107" s="452">
        <v>7</v>
      </c>
      <c r="B107" s="453" t="s">
        <v>539</v>
      </c>
      <c r="C107" s="453" t="s">
        <v>538</v>
      </c>
      <c r="D107" s="462" t="s">
        <v>643</v>
      </c>
      <c r="E107" s="453" t="s">
        <v>673</v>
      </c>
      <c r="F107" s="463">
        <v>87.9</v>
      </c>
      <c r="G107" s="457"/>
      <c r="H107" s="458">
        <f t="shared" si="15"/>
        <v>87.9</v>
      </c>
      <c r="I107" s="458">
        <f t="shared" si="14"/>
        <v>615.30000000000007</v>
      </c>
      <c r="J107" s="459" t="s">
        <v>638</v>
      </c>
      <c r="K107" s="1051"/>
    </row>
    <row r="108" spans="1:12" ht="12.8" customHeight="1">
      <c r="A108" s="452">
        <v>0</v>
      </c>
      <c r="B108" s="453" t="s">
        <v>517</v>
      </c>
      <c r="C108" s="453" t="s">
        <v>538</v>
      </c>
      <c r="D108" s="464" t="s">
        <v>644</v>
      </c>
      <c r="E108" s="453" t="s">
        <v>645</v>
      </c>
      <c r="F108" s="463">
        <v>10051</v>
      </c>
      <c r="G108" s="457"/>
      <c r="H108" s="458">
        <f t="shared" si="15"/>
        <v>10051</v>
      </c>
      <c r="I108" s="458">
        <f t="shared" si="14"/>
        <v>0</v>
      </c>
      <c r="J108" s="459" t="s">
        <v>638</v>
      </c>
      <c r="K108" s="1052" t="s">
        <v>646</v>
      </c>
    </row>
    <row r="109" spans="1:12" ht="24.9">
      <c r="A109" s="461">
        <v>0</v>
      </c>
      <c r="B109" s="453" t="s">
        <v>517</v>
      </c>
      <c r="C109" s="453" t="s">
        <v>538</v>
      </c>
      <c r="D109" s="464" t="s">
        <v>644</v>
      </c>
      <c r="E109" s="453" t="s">
        <v>647</v>
      </c>
      <c r="F109" s="463">
        <v>17412</v>
      </c>
      <c r="G109" s="457"/>
      <c r="H109" s="458">
        <f t="shared" si="15"/>
        <v>17412</v>
      </c>
      <c r="I109" s="458">
        <f t="shared" si="14"/>
        <v>0</v>
      </c>
      <c r="J109" s="459" t="s">
        <v>638</v>
      </c>
      <c r="K109" s="1052"/>
    </row>
    <row r="110" spans="1:12" ht="12.8" customHeight="1">
      <c r="A110" s="461">
        <v>0</v>
      </c>
      <c r="B110" s="453" t="s">
        <v>517</v>
      </c>
      <c r="C110" s="453" t="s">
        <v>538</v>
      </c>
      <c r="D110" s="465" t="s">
        <v>644</v>
      </c>
      <c r="E110" s="453" t="s">
        <v>648</v>
      </c>
      <c r="F110" s="463">
        <v>2345</v>
      </c>
      <c r="G110" s="457"/>
      <c r="H110" s="458">
        <f t="shared" si="15"/>
        <v>2345</v>
      </c>
      <c r="I110" s="458">
        <f t="shared" si="14"/>
        <v>0</v>
      </c>
      <c r="J110" s="453" t="s">
        <v>649</v>
      </c>
      <c r="K110" s="1049" t="s">
        <v>650</v>
      </c>
    </row>
    <row r="111" spans="1:12" ht="24.9">
      <c r="A111" s="461">
        <v>0</v>
      </c>
      <c r="B111" s="453" t="s">
        <v>517</v>
      </c>
      <c r="C111" s="453" t="s">
        <v>538</v>
      </c>
      <c r="D111" s="465" t="s">
        <v>644</v>
      </c>
      <c r="E111" s="453" t="s">
        <v>651</v>
      </c>
      <c r="F111" s="463">
        <v>3258</v>
      </c>
      <c r="G111" s="457"/>
      <c r="H111" s="458">
        <f t="shared" si="15"/>
        <v>3258</v>
      </c>
      <c r="I111" s="458">
        <f t="shared" si="14"/>
        <v>0</v>
      </c>
      <c r="J111" s="453" t="s">
        <v>649</v>
      </c>
      <c r="K111" s="1049"/>
    </row>
    <row r="112" spans="1:12" ht="24.9">
      <c r="A112" s="461">
        <v>0</v>
      </c>
      <c r="B112" s="453" t="s">
        <v>517</v>
      </c>
      <c r="C112" s="453" t="s">
        <v>538</v>
      </c>
      <c r="D112" s="465" t="s">
        <v>644</v>
      </c>
      <c r="E112" s="453" t="s">
        <v>652</v>
      </c>
      <c r="F112" s="463">
        <v>5649</v>
      </c>
      <c r="G112" s="457"/>
      <c r="H112" s="458">
        <f t="shared" si="15"/>
        <v>5649</v>
      </c>
      <c r="I112" s="458">
        <f t="shared" si="14"/>
        <v>0</v>
      </c>
      <c r="J112" s="453" t="s">
        <v>649</v>
      </c>
      <c r="K112" s="1049"/>
    </row>
    <row r="113" spans="1:17" ht="24.9">
      <c r="A113" s="461">
        <v>0</v>
      </c>
      <c r="B113" s="453" t="s">
        <v>517</v>
      </c>
      <c r="C113" s="453" t="s">
        <v>538</v>
      </c>
      <c r="D113" s="465" t="s">
        <v>644</v>
      </c>
      <c r="E113" s="453" t="s">
        <v>653</v>
      </c>
      <c r="F113" s="463">
        <v>1488</v>
      </c>
      <c r="G113" s="457"/>
      <c r="H113" s="458">
        <f t="shared" si="15"/>
        <v>1488</v>
      </c>
      <c r="I113" s="458">
        <f t="shared" si="14"/>
        <v>0</v>
      </c>
      <c r="J113" s="453" t="s">
        <v>649</v>
      </c>
      <c r="K113" s="1049"/>
    </row>
    <row r="114" spans="1:17" ht="24.9">
      <c r="A114" s="461">
        <v>0</v>
      </c>
      <c r="B114" s="453" t="s">
        <v>517</v>
      </c>
      <c r="C114" s="453" t="s">
        <v>538</v>
      </c>
      <c r="D114" s="465" t="s">
        <v>644</v>
      </c>
      <c r="E114" s="453" t="s">
        <v>654</v>
      </c>
      <c r="F114" s="463">
        <v>5269</v>
      </c>
      <c r="G114" s="457"/>
      <c r="H114" s="458">
        <f t="shared" si="15"/>
        <v>5269</v>
      </c>
      <c r="I114" s="458">
        <f t="shared" si="14"/>
        <v>0</v>
      </c>
      <c r="J114" s="453" t="s">
        <v>649</v>
      </c>
      <c r="K114" s="1049"/>
    </row>
    <row r="115" spans="1:17" ht="24.9">
      <c r="A115" s="461">
        <v>0</v>
      </c>
      <c r="B115" s="453" t="s">
        <v>517</v>
      </c>
      <c r="C115" s="453" t="s">
        <v>538</v>
      </c>
      <c r="D115" s="465" t="s">
        <v>644</v>
      </c>
      <c r="E115" s="453" t="s">
        <v>655</v>
      </c>
      <c r="F115" s="463">
        <v>3078</v>
      </c>
      <c r="G115" s="457"/>
      <c r="H115" s="458">
        <f t="shared" si="15"/>
        <v>3078</v>
      </c>
      <c r="I115" s="458">
        <f t="shared" si="14"/>
        <v>0</v>
      </c>
      <c r="J115" s="453" t="s">
        <v>649</v>
      </c>
      <c r="K115" s="1049"/>
    </row>
    <row r="116" spans="1:17" ht="24.9">
      <c r="A116" s="461">
        <v>0</v>
      </c>
      <c r="B116" s="453" t="s">
        <v>517</v>
      </c>
      <c r="C116" s="453" t="s">
        <v>538</v>
      </c>
      <c r="D116" s="465" t="s">
        <v>644</v>
      </c>
      <c r="E116" s="453" t="s">
        <v>656</v>
      </c>
      <c r="F116" s="463">
        <v>3489</v>
      </c>
      <c r="G116" s="457"/>
      <c r="H116" s="458">
        <f t="shared" si="15"/>
        <v>3489</v>
      </c>
      <c r="I116" s="458">
        <f t="shared" si="14"/>
        <v>0</v>
      </c>
      <c r="J116" s="453" t="s">
        <v>649</v>
      </c>
      <c r="K116" s="1049"/>
    </row>
    <row r="117" spans="1:17" ht="24.9">
      <c r="A117" s="461">
        <v>0</v>
      </c>
      <c r="B117" s="453" t="s">
        <v>517</v>
      </c>
      <c r="C117" s="453" t="s">
        <v>538</v>
      </c>
      <c r="D117" s="465" t="s">
        <v>644</v>
      </c>
      <c r="E117" s="453" t="s">
        <v>657</v>
      </c>
      <c r="F117" s="467" t="s">
        <v>658</v>
      </c>
      <c r="G117" s="457"/>
      <c r="H117" s="468"/>
      <c r="I117" s="484"/>
      <c r="J117" s="453" t="s">
        <v>649</v>
      </c>
      <c r="K117" s="1049"/>
    </row>
    <row r="118" spans="1:17" ht="24.9">
      <c r="A118" s="461">
        <v>0</v>
      </c>
      <c r="B118" s="453" t="s">
        <v>517</v>
      </c>
      <c r="C118" s="453" t="s">
        <v>538</v>
      </c>
      <c r="D118" s="465" t="s">
        <v>644</v>
      </c>
      <c r="E118" s="453" t="s">
        <v>659</v>
      </c>
      <c r="F118" s="463">
        <v>7456</v>
      </c>
      <c r="G118" s="457"/>
      <c r="H118" s="458">
        <f t="shared" si="15"/>
        <v>7456</v>
      </c>
      <c r="I118" s="458">
        <f t="shared" si="14"/>
        <v>0</v>
      </c>
      <c r="J118" s="453" t="s">
        <v>649</v>
      </c>
      <c r="K118" s="1049"/>
    </row>
    <row r="119" spans="1:17" ht="24.9">
      <c r="A119" s="461">
        <v>0</v>
      </c>
      <c r="B119" s="453" t="s">
        <v>517</v>
      </c>
      <c r="C119" s="453" t="s">
        <v>538</v>
      </c>
      <c r="D119" s="465" t="s">
        <v>644</v>
      </c>
      <c r="E119" s="453" t="s">
        <v>660</v>
      </c>
      <c r="F119" s="463">
        <v>8494</v>
      </c>
      <c r="G119" s="457"/>
      <c r="H119" s="458">
        <f t="shared" si="15"/>
        <v>8494</v>
      </c>
      <c r="I119" s="458">
        <f t="shared" si="14"/>
        <v>0</v>
      </c>
      <c r="J119" s="453" t="s">
        <v>649</v>
      </c>
      <c r="K119" s="1049"/>
    </row>
    <row r="120" spans="1:17" ht="24.9">
      <c r="A120" s="461">
        <v>0</v>
      </c>
      <c r="B120" s="453" t="s">
        <v>517</v>
      </c>
      <c r="C120" s="453" t="s">
        <v>538</v>
      </c>
      <c r="D120" s="465" t="s">
        <v>644</v>
      </c>
      <c r="E120" s="453" t="s">
        <v>661</v>
      </c>
      <c r="F120" s="463">
        <v>9434</v>
      </c>
      <c r="G120" s="457"/>
      <c r="H120" s="458">
        <f t="shared" si="15"/>
        <v>9434</v>
      </c>
      <c r="I120" s="458">
        <f t="shared" si="14"/>
        <v>0</v>
      </c>
      <c r="J120" s="453" t="s">
        <v>649</v>
      </c>
      <c r="K120" s="1049"/>
    </row>
    <row r="121" spans="1:17">
      <c r="A121" s="469"/>
      <c r="B121" s="427"/>
      <c r="C121" s="427"/>
      <c r="D121" s="470"/>
      <c r="E121" s="427"/>
      <c r="F121" s="472"/>
      <c r="G121" s="471"/>
      <c r="H121" s="472"/>
      <c r="I121" s="473"/>
      <c r="J121" s="427"/>
      <c r="K121" s="427"/>
    </row>
    <row r="122" spans="1:17" ht="37.35">
      <c r="A122" s="474"/>
      <c r="B122" s="475"/>
      <c r="C122" s="475"/>
      <c r="D122" s="476"/>
      <c r="E122" s="475"/>
      <c r="F122" s="477" t="s">
        <v>662</v>
      </c>
      <c r="G122" s="478" t="s">
        <v>663</v>
      </c>
      <c r="H122" s="479"/>
      <c r="I122" s="480"/>
      <c r="J122" s="427"/>
      <c r="K122" s="475"/>
    </row>
    <row r="123" spans="1:17" ht="87.05">
      <c r="A123" s="461">
        <v>0</v>
      </c>
      <c r="B123" s="453" t="s">
        <v>539</v>
      </c>
      <c r="C123" s="453" t="s">
        <v>538</v>
      </c>
      <c r="D123" s="481" t="s">
        <v>664</v>
      </c>
      <c r="E123" s="453" t="s">
        <v>665</v>
      </c>
      <c r="F123" s="463">
        <v>108</v>
      </c>
      <c r="G123" s="463">
        <v>79</v>
      </c>
      <c r="H123" s="458">
        <f>IFERROR((MIN(A123,400)*F123+MAX(A123-400,0)*G123)*(1-G78)/A123,0)</f>
        <v>0</v>
      </c>
      <c r="I123" s="458">
        <f t="shared" si="14"/>
        <v>0</v>
      </c>
      <c r="J123" s="453" t="s">
        <v>638</v>
      </c>
      <c r="K123" s="482" t="s">
        <v>666</v>
      </c>
    </row>
    <row r="124" spans="1:17">
      <c r="A124" s="204"/>
      <c r="F124" s="204"/>
      <c r="H124" s="403"/>
      <c r="I124" s="403"/>
    </row>
    <row r="125" spans="1:17" ht="33.4">
      <c r="A125" s="204">
        <v>1</v>
      </c>
      <c r="B125" s="17" t="s">
        <v>517</v>
      </c>
      <c r="C125" s="204" t="s">
        <v>674</v>
      </c>
      <c r="E125" s="17" t="s">
        <v>675</v>
      </c>
      <c r="F125" s="496">
        <v>161.44</v>
      </c>
      <c r="G125" s="404">
        <v>0</v>
      </c>
      <c r="H125" s="458">
        <f>F125*(1-G125)</f>
        <v>161.44</v>
      </c>
      <c r="I125" s="458">
        <f t="shared" si="14"/>
        <v>161.44</v>
      </c>
    </row>
    <row r="126" spans="1:17" ht="15.75">
      <c r="A126" s="204"/>
      <c r="F126" s="485"/>
      <c r="H126" s="403"/>
      <c r="I126" s="403"/>
      <c r="Q126" s="165">
        <f>I126</f>
        <v>0</v>
      </c>
    </row>
    <row r="127" spans="1:17" ht="13.1">
      <c r="E127" s="439" t="s">
        <v>676</v>
      </c>
      <c r="I127" s="486">
        <f>SUM(I82:I125)</f>
        <v>5037.16</v>
      </c>
    </row>
    <row r="128" spans="1:17" ht="13.75" customHeight="1">
      <c r="A128" s="986" t="s">
        <v>100</v>
      </c>
      <c r="B128" s="986"/>
      <c r="C128" s="986"/>
      <c r="D128" s="986"/>
      <c r="E128" s="986"/>
    </row>
    <row r="130" spans="1:10">
      <c r="E130" s="442" t="s">
        <v>677</v>
      </c>
      <c r="J130" s="403"/>
    </row>
    <row r="131" spans="1:10" ht="22.25">
      <c r="A131" s="407">
        <v>1</v>
      </c>
      <c r="B131" s="407" t="s">
        <v>522</v>
      </c>
      <c r="C131" s="408" t="s">
        <v>678</v>
      </c>
      <c r="D131" s="407" t="s">
        <v>679</v>
      </c>
      <c r="E131" s="408" t="s">
        <v>680</v>
      </c>
      <c r="F131" s="409">
        <v>2801.13</v>
      </c>
      <c r="G131" s="410"/>
      <c r="H131" s="409">
        <f t="shared" ref="H131:H140" si="16">F131*(1-G131)</f>
        <v>2801.13</v>
      </c>
      <c r="I131" s="409"/>
    </row>
    <row r="132" spans="1:10" ht="33.4">
      <c r="A132" s="407">
        <v>1</v>
      </c>
      <c r="B132" s="407" t="s">
        <v>522</v>
      </c>
      <c r="C132" s="408" t="s">
        <v>678</v>
      </c>
      <c r="D132" s="407" t="s">
        <v>681</v>
      </c>
      <c r="E132" s="408" t="s">
        <v>682</v>
      </c>
      <c r="F132" s="409">
        <v>772.15</v>
      </c>
      <c r="G132" s="410"/>
      <c r="H132" s="409">
        <f t="shared" si="16"/>
        <v>772.15</v>
      </c>
      <c r="I132" s="409"/>
    </row>
    <row r="133" spans="1:10" ht="33.4">
      <c r="A133" s="407">
        <v>1</v>
      </c>
      <c r="B133" s="407" t="s">
        <v>522</v>
      </c>
      <c r="C133" s="408" t="s">
        <v>678</v>
      </c>
      <c r="D133" s="407" t="s">
        <v>683</v>
      </c>
      <c r="E133" s="408" t="s">
        <v>684</v>
      </c>
      <c r="F133" s="409">
        <v>150.26</v>
      </c>
      <c r="G133" s="410"/>
      <c r="H133" s="409">
        <f t="shared" si="16"/>
        <v>150.26</v>
      </c>
      <c r="I133" s="409"/>
    </row>
    <row r="134" spans="1:10" ht="33.4">
      <c r="A134" s="407">
        <v>1</v>
      </c>
      <c r="B134" s="407" t="s">
        <v>522</v>
      </c>
      <c r="C134" s="408" t="s">
        <v>678</v>
      </c>
      <c r="D134" s="407" t="s">
        <v>685</v>
      </c>
      <c r="E134" s="408" t="s">
        <v>686</v>
      </c>
      <c r="F134" s="409">
        <v>10.58</v>
      </c>
      <c r="G134" s="410"/>
      <c r="H134" s="409">
        <f t="shared" si="16"/>
        <v>10.58</v>
      </c>
      <c r="I134" s="409"/>
    </row>
    <row r="135" spans="1:10" ht="22.25">
      <c r="A135" s="407">
        <v>0</v>
      </c>
      <c r="B135" s="407" t="s">
        <v>522</v>
      </c>
      <c r="C135" s="408" t="s">
        <v>678</v>
      </c>
      <c r="D135" s="407" t="s">
        <v>687</v>
      </c>
      <c r="E135" s="408" t="s">
        <v>688</v>
      </c>
      <c r="F135" s="409">
        <v>69.78</v>
      </c>
      <c r="G135" s="410"/>
      <c r="H135" s="409">
        <f t="shared" si="16"/>
        <v>69.78</v>
      </c>
      <c r="I135" s="409"/>
      <c r="J135" s="17" t="s">
        <v>689</v>
      </c>
    </row>
    <row r="136" spans="1:10" ht="22.25">
      <c r="A136" s="487">
        <v>10</v>
      </c>
      <c r="B136" s="407" t="s">
        <v>539</v>
      </c>
      <c r="C136" s="408" t="s">
        <v>690</v>
      </c>
      <c r="D136" s="407"/>
      <c r="E136" s="407" t="s">
        <v>691</v>
      </c>
      <c r="F136" s="409">
        <v>7.58</v>
      </c>
      <c r="G136" s="410"/>
      <c r="H136" s="409">
        <f t="shared" si="16"/>
        <v>7.58</v>
      </c>
      <c r="I136" s="409"/>
      <c r="J136" s="17" t="s">
        <v>692</v>
      </c>
    </row>
    <row r="137" spans="1:10" ht="22.25">
      <c r="A137" s="487">
        <v>10</v>
      </c>
      <c r="B137" s="407" t="s">
        <v>539</v>
      </c>
      <c r="C137" s="408" t="s">
        <v>690</v>
      </c>
      <c r="D137" s="407"/>
      <c r="E137" s="407" t="s">
        <v>693</v>
      </c>
      <c r="F137" s="409">
        <v>2.04</v>
      </c>
      <c r="G137" s="410"/>
      <c r="H137" s="409">
        <f t="shared" si="16"/>
        <v>2.04</v>
      </c>
      <c r="I137" s="409"/>
      <c r="J137" s="17" t="s">
        <v>694</v>
      </c>
    </row>
    <row r="138" spans="1:10" ht="22.25">
      <c r="A138" s="407">
        <v>1</v>
      </c>
      <c r="B138" s="407" t="s">
        <v>522</v>
      </c>
      <c r="C138" s="408"/>
      <c r="D138" s="407"/>
      <c r="E138" s="408" t="s">
        <v>695</v>
      </c>
      <c r="F138" s="409">
        <v>50</v>
      </c>
      <c r="G138" s="410"/>
      <c r="H138" s="409">
        <f t="shared" si="16"/>
        <v>50</v>
      </c>
      <c r="I138" s="409"/>
      <c r="J138" s="204" t="s">
        <v>696</v>
      </c>
    </row>
    <row r="139" spans="1:10">
      <c r="A139" s="407">
        <v>16</v>
      </c>
      <c r="B139" s="407" t="s">
        <v>619</v>
      </c>
      <c r="C139" s="408"/>
      <c r="D139" s="407"/>
      <c r="E139" s="408" t="s">
        <v>697</v>
      </c>
      <c r="F139" s="409">
        <f>F60</f>
        <v>55</v>
      </c>
      <c r="G139" s="410"/>
      <c r="H139" s="409">
        <f t="shared" si="16"/>
        <v>55</v>
      </c>
      <c r="I139" s="409"/>
    </row>
    <row r="140" spans="1:10" ht="66.8">
      <c r="A140" s="407">
        <v>1</v>
      </c>
      <c r="B140" s="407" t="s">
        <v>517</v>
      </c>
      <c r="C140" s="408" t="s">
        <v>698</v>
      </c>
      <c r="D140" s="407" t="s">
        <v>636</v>
      </c>
      <c r="E140" s="408" t="s">
        <v>637</v>
      </c>
      <c r="F140" s="409">
        <v>1809</v>
      </c>
      <c r="G140" s="410">
        <v>0.75</v>
      </c>
      <c r="H140" s="409">
        <f t="shared" si="16"/>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9">
      <c r="A145" s="407"/>
      <c r="B145" s="407"/>
      <c r="C145" s="408"/>
      <c r="D145" s="407"/>
      <c r="E145" s="408"/>
      <c r="F145" s="409"/>
      <c r="G145" s="410"/>
      <c r="H145" s="409"/>
      <c r="I145" s="409"/>
    </row>
    <row r="146" spans="1:19">
      <c r="E146" s="442" t="s">
        <v>1508</v>
      </c>
      <c r="M146" s="403"/>
      <c r="N146" s="403"/>
      <c r="O146" s="403"/>
      <c r="P146" s="403"/>
      <c r="Q146" s="403"/>
      <c r="R146" s="403"/>
      <c r="S146" s="403"/>
    </row>
    <row r="147" spans="1:19">
      <c r="A147" s="407"/>
      <c r="B147" s="407"/>
      <c r="C147" s="408"/>
      <c r="D147" s="407"/>
      <c r="E147" s="408"/>
      <c r="F147" s="409"/>
      <c r="G147" s="410"/>
      <c r="H147" s="409"/>
      <c r="I147" s="409"/>
      <c r="M147" s="403"/>
      <c r="N147" s="403"/>
      <c r="O147" s="403"/>
      <c r="P147" s="403"/>
      <c r="Q147" s="403"/>
      <c r="R147" s="403"/>
      <c r="S147" s="403"/>
    </row>
    <row r="148" spans="1:19" ht="33.4">
      <c r="A148" s="407">
        <f>10.08*(20*1.7+2.09+1)</f>
        <v>373.86720000000003</v>
      </c>
      <c r="B148" s="407" t="s">
        <v>1289</v>
      </c>
      <c r="C148" s="408" t="s">
        <v>1509</v>
      </c>
      <c r="D148" s="407"/>
      <c r="E148" s="749" t="s">
        <v>1510</v>
      </c>
      <c r="F148" s="409">
        <v>71239</v>
      </c>
      <c r="G148" s="410"/>
      <c r="H148" s="409">
        <f>F148*(A148/900)^0.8</f>
        <v>35277.491779343633</v>
      </c>
      <c r="I148" s="421">
        <f>H148</f>
        <v>35277.491779343633</v>
      </c>
      <c r="J148" s="403">
        <f>I148/A148</f>
        <v>94.358349112582303</v>
      </c>
      <c r="K148" s="17" t="s">
        <v>1511</v>
      </c>
      <c r="M148" s="403"/>
      <c r="N148" s="403"/>
      <c r="O148" s="403"/>
      <c r="P148" s="403"/>
      <c r="Q148" s="403"/>
      <c r="R148" s="403"/>
      <c r="S148" s="403"/>
    </row>
    <row r="149" spans="1:19">
      <c r="A149" s="407"/>
      <c r="B149" s="407"/>
      <c r="C149" s="408"/>
      <c r="D149" s="407"/>
      <c r="E149" s="408"/>
      <c r="F149" s="409"/>
      <c r="G149" s="410"/>
      <c r="H149" s="409"/>
      <c r="I149" s="409"/>
      <c r="M149" s="403"/>
      <c r="N149" s="403"/>
      <c r="O149" s="403"/>
      <c r="P149" s="403"/>
      <c r="Q149" s="403"/>
      <c r="R149" s="403"/>
      <c r="S149" s="403"/>
    </row>
    <row r="150" spans="1:19">
      <c r="A150" s="407"/>
      <c r="B150" s="407"/>
      <c r="C150" s="408"/>
      <c r="D150" s="407"/>
      <c r="E150" s="408"/>
      <c r="F150" s="409"/>
      <c r="G150" s="410"/>
      <c r="H150" s="409"/>
      <c r="I150" s="409"/>
    </row>
    <row r="151" spans="1:19">
      <c r="A151" s="407"/>
      <c r="B151" s="407"/>
      <c r="C151" s="408"/>
      <c r="D151" s="407"/>
      <c r="E151" s="408"/>
      <c r="F151" s="409"/>
      <c r="G151" s="410"/>
      <c r="H151" s="409"/>
      <c r="I151" s="409"/>
    </row>
    <row r="152" spans="1:19">
      <c r="A152" s="204"/>
      <c r="F152" s="485"/>
      <c r="H152" s="403"/>
      <c r="I152" s="403"/>
    </row>
    <row r="153" spans="1:19">
      <c r="E153" s="439" t="s">
        <v>702</v>
      </c>
      <c r="I153" s="443">
        <f>SUM(I131:I152)</f>
        <v>35277.491779343633</v>
      </c>
    </row>
    <row r="155" spans="1:19" ht="15.05" customHeight="1">
      <c r="A155" s="1002" t="s">
        <v>90</v>
      </c>
      <c r="B155" s="1002"/>
      <c r="C155" s="1002"/>
      <c r="D155" s="1002"/>
      <c r="E155" s="1002"/>
    </row>
    <row r="157" spans="1:19">
      <c r="A157" s="17">
        <v>1</v>
      </c>
      <c r="B157" s="17" t="s">
        <v>517</v>
      </c>
      <c r="E157" s="17" t="s">
        <v>703</v>
      </c>
      <c r="F157" s="403">
        <v>800</v>
      </c>
      <c r="H157" s="403">
        <f t="shared" ref="H157:H172" si="17">F157*(1-G157)</f>
        <v>800</v>
      </c>
      <c r="I157" s="403">
        <f t="shared" ref="I157:I163" si="18">A157*H157</f>
        <v>800</v>
      </c>
      <c r="J157" s="17" t="s">
        <v>704</v>
      </c>
    </row>
    <row r="158" spans="1:19">
      <c r="A158" s="17">
        <v>1</v>
      </c>
      <c r="B158" s="17" t="s">
        <v>517</v>
      </c>
      <c r="E158" s="17" t="s">
        <v>705</v>
      </c>
      <c r="F158" s="403">
        <v>500</v>
      </c>
      <c r="H158" s="403">
        <f t="shared" si="17"/>
        <v>500</v>
      </c>
      <c r="I158" s="403">
        <f t="shared" si="18"/>
        <v>500</v>
      </c>
      <c r="J158" s="17" t="s">
        <v>704</v>
      </c>
    </row>
    <row r="159" spans="1:19">
      <c r="A159" s="17">
        <v>1</v>
      </c>
      <c r="B159" s="17" t="s">
        <v>517</v>
      </c>
      <c r="E159" s="17" t="s">
        <v>706</v>
      </c>
      <c r="F159" s="403">
        <v>40</v>
      </c>
      <c r="H159" s="403">
        <f t="shared" si="17"/>
        <v>40</v>
      </c>
      <c r="I159" s="403">
        <f t="shared" si="18"/>
        <v>40</v>
      </c>
    </row>
    <row r="160" spans="1:19">
      <c r="A160" s="17">
        <v>1</v>
      </c>
      <c r="B160" s="17" t="s">
        <v>517</v>
      </c>
      <c r="E160" s="17" t="s">
        <v>707</v>
      </c>
      <c r="F160" s="403">
        <v>1500</v>
      </c>
      <c r="H160" s="403">
        <f t="shared" si="17"/>
        <v>1500</v>
      </c>
      <c r="I160" s="403">
        <f t="shared" si="18"/>
        <v>1500</v>
      </c>
    </row>
    <row r="161" spans="1:10" ht="55.65">
      <c r="A161" s="17">
        <v>1</v>
      </c>
      <c r="B161" s="17" t="s">
        <v>517</v>
      </c>
      <c r="C161" s="204" t="s">
        <v>708</v>
      </c>
      <c r="E161" s="204" t="s">
        <v>709</v>
      </c>
      <c r="F161" s="403">
        <v>460</v>
      </c>
      <c r="H161" s="403">
        <f t="shared" si="17"/>
        <v>460</v>
      </c>
      <c r="I161" s="403">
        <f t="shared" si="18"/>
        <v>460</v>
      </c>
    </row>
    <row r="162" spans="1:10" ht="55.65">
      <c r="A162" s="17">
        <v>0</v>
      </c>
      <c r="B162" s="17" t="s">
        <v>517</v>
      </c>
      <c r="C162" s="204" t="s">
        <v>711</v>
      </c>
      <c r="E162" s="204" t="s">
        <v>712</v>
      </c>
      <c r="F162" s="403">
        <v>320</v>
      </c>
      <c r="H162" s="403">
        <f t="shared" si="17"/>
        <v>320</v>
      </c>
      <c r="I162" s="403">
        <f t="shared" si="18"/>
        <v>0</v>
      </c>
    </row>
    <row r="163" spans="1:10" ht="55.65">
      <c r="A163" s="17">
        <v>1</v>
      </c>
      <c r="B163" s="17" t="s">
        <v>517</v>
      </c>
      <c r="C163" s="17" t="s">
        <v>713</v>
      </c>
      <c r="D163" s="17" t="s">
        <v>714</v>
      </c>
      <c r="E163" s="204" t="s">
        <v>715</v>
      </c>
      <c r="F163" s="403">
        <v>2725</v>
      </c>
      <c r="H163" s="403">
        <f t="shared" si="17"/>
        <v>2725</v>
      </c>
      <c r="I163" s="403">
        <f t="shared" si="18"/>
        <v>2725</v>
      </c>
    </row>
    <row r="165" spans="1:10" ht="15.75">
      <c r="E165" s="439" t="s">
        <v>729</v>
      </c>
      <c r="I165" s="168">
        <f>SUM(I155:I164)</f>
        <v>6025</v>
      </c>
    </row>
    <row r="167" spans="1:10" ht="13.75" customHeight="1">
      <c r="A167" s="997" t="s">
        <v>68</v>
      </c>
      <c r="B167" s="997"/>
      <c r="C167" s="997"/>
      <c r="D167" s="997"/>
      <c r="E167" s="997"/>
    </row>
    <row r="168" spans="1:10">
      <c r="A168" s="442">
        <v>0</v>
      </c>
      <c r="B168" s="17" t="s">
        <v>517</v>
      </c>
      <c r="E168" s="17" t="s">
        <v>1433</v>
      </c>
      <c r="F168" s="403">
        <v>187.5</v>
      </c>
      <c r="H168" s="403">
        <f t="shared" si="17"/>
        <v>187.5</v>
      </c>
      <c r="I168" s="403">
        <f t="shared" ref="I168:I172" si="19">A168*H168</f>
        <v>0</v>
      </c>
      <c r="J168" s="17" t="s">
        <v>1434</v>
      </c>
    </row>
    <row r="169" spans="1:10">
      <c r="A169" s="442">
        <v>1</v>
      </c>
      <c r="B169" s="17" t="s">
        <v>517</v>
      </c>
      <c r="E169" s="17" t="s">
        <v>1435</v>
      </c>
      <c r="F169" s="403">
        <v>250</v>
      </c>
      <c r="H169" s="403">
        <f t="shared" si="17"/>
        <v>250</v>
      </c>
      <c r="I169" s="403">
        <f t="shared" si="19"/>
        <v>250</v>
      </c>
    </row>
    <row r="170" spans="1:10">
      <c r="A170" s="442">
        <v>0</v>
      </c>
      <c r="B170" s="17" t="s">
        <v>505</v>
      </c>
      <c r="E170" s="17" t="s">
        <v>1436</v>
      </c>
      <c r="F170" s="403">
        <v>500</v>
      </c>
      <c r="H170" s="403">
        <f t="shared" si="17"/>
        <v>500</v>
      </c>
      <c r="I170" s="403">
        <f t="shared" si="19"/>
        <v>0</v>
      </c>
    </row>
    <row r="171" spans="1:10" ht="55.65">
      <c r="A171" s="17">
        <v>0</v>
      </c>
      <c r="B171" s="17" t="s">
        <v>517</v>
      </c>
      <c r="C171" s="204" t="s">
        <v>708</v>
      </c>
      <c r="E171" s="204" t="s">
        <v>731</v>
      </c>
      <c r="F171" s="403">
        <f>460/2</f>
        <v>230</v>
      </c>
      <c r="H171" s="403">
        <f t="shared" si="17"/>
        <v>230</v>
      </c>
      <c r="I171" s="403">
        <f t="shared" si="19"/>
        <v>0</v>
      </c>
    </row>
    <row r="172" spans="1:10" ht="55.65">
      <c r="A172" s="17">
        <v>0</v>
      </c>
      <c r="B172" s="17" t="s">
        <v>517</v>
      </c>
      <c r="C172" s="204" t="s">
        <v>711</v>
      </c>
      <c r="E172" s="204" t="s">
        <v>732</v>
      </c>
      <c r="F172" s="403">
        <f>320/2</f>
        <v>160</v>
      </c>
      <c r="H172" s="403">
        <f t="shared" si="17"/>
        <v>160</v>
      </c>
      <c r="I172" s="403">
        <f t="shared" si="19"/>
        <v>0</v>
      </c>
    </row>
    <row r="174" spans="1:10" ht="15.75">
      <c r="E174" s="439" t="s">
        <v>733</v>
      </c>
      <c r="I174" s="168">
        <f>SUM(I167:I173)</f>
        <v>250</v>
      </c>
    </row>
    <row r="175" spans="1:10">
      <c r="E175" s="439"/>
    </row>
  </sheetData>
  <mergeCells count="13">
    <mergeCell ref="B1:F1"/>
    <mergeCell ref="A2:G2"/>
    <mergeCell ref="J22:L22"/>
    <mergeCell ref="K83:K84"/>
    <mergeCell ref="K85:K86"/>
    <mergeCell ref="A128:E128"/>
    <mergeCell ref="A155:E155"/>
    <mergeCell ref="A167:E167"/>
    <mergeCell ref="K87:K97"/>
    <mergeCell ref="K104:K105"/>
    <mergeCell ref="K106:K107"/>
    <mergeCell ref="K108:K109"/>
    <mergeCell ref="K110:K120"/>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7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287</v>
      </c>
      <c r="C1" s="1053"/>
      <c r="D1" s="1053"/>
      <c r="E1" s="1053"/>
      <c r="F1" s="1053"/>
      <c r="H1" s="405" t="s">
        <v>493</v>
      </c>
      <c r="I1" s="406">
        <v>375</v>
      </c>
      <c r="J1" s="17" t="s">
        <v>494</v>
      </c>
      <c r="K1" s="17" t="s">
        <v>495</v>
      </c>
      <c r="L1" s="58">
        <f>A4*I1</f>
        <v>60000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13">
        <v>160</v>
      </c>
      <c r="B4" s="407" t="s">
        <v>505</v>
      </c>
      <c r="C4" s="413" t="s">
        <v>810</v>
      </c>
      <c r="D4" s="413"/>
      <c r="E4" s="420" t="s">
        <v>1318</v>
      </c>
      <c r="F4" s="421">
        <f>20700/160</f>
        <v>129.375</v>
      </c>
      <c r="G4" s="410"/>
      <c r="H4" s="409">
        <f t="shared" ref="H4:H9" si="0">F4*(1-G4)</f>
        <v>129.375</v>
      </c>
      <c r="I4" s="409">
        <f t="shared" ref="I4:I9" si="1">A4*H4</f>
        <v>20700</v>
      </c>
      <c r="J4" s="417">
        <f>F4/I1</f>
        <v>0.34499999999999997</v>
      </c>
      <c r="K4" s="403"/>
      <c r="L4" s="404"/>
      <c r="M4" s="437">
        <f>I4</f>
        <v>20700</v>
      </c>
      <c r="N4" s="437"/>
      <c r="O4" s="437"/>
      <c r="P4" s="437"/>
      <c r="Q4" s="437"/>
      <c r="R4" s="418"/>
      <c r="S4" s="437"/>
    </row>
    <row r="5" spans="1:19" ht="55.65">
      <c r="A5" s="413">
        <v>0</v>
      </c>
      <c r="B5" s="407" t="s">
        <v>505</v>
      </c>
      <c r="C5" s="408" t="s">
        <v>817</v>
      </c>
      <c r="D5" s="407" t="s">
        <v>818</v>
      </c>
      <c r="E5" s="408" t="s">
        <v>819</v>
      </c>
      <c r="F5" s="409">
        <v>267.5</v>
      </c>
      <c r="G5" s="410"/>
      <c r="H5" s="409">
        <f t="shared" si="0"/>
        <v>267.5</v>
      </c>
      <c r="I5" s="409">
        <f t="shared" si="1"/>
        <v>0</v>
      </c>
      <c r="J5" s="417"/>
      <c r="K5" s="403"/>
      <c r="L5" s="404"/>
      <c r="M5" s="437"/>
      <c r="N5" s="437"/>
      <c r="O5" s="437"/>
      <c r="P5" s="437"/>
      <c r="Q5" s="437"/>
      <c r="R5" s="418"/>
      <c r="S5" s="437"/>
    </row>
    <row r="6" spans="1:19">
      <c r="A6" s="413">
        <f>A4+A5</f>
        <v>160</v>
      </c>
      <c r="B6" s="413" t="s">
        <v>505</v>
      </c>
      <c r="C6" s="423" t="s">
        <v>810</v>
      </c>
      <c r="D6" s="487"/>
      <c r="E6" s="424" t="s">
        <v>1319</v>
      </c>
      <c r="F6" s="425">
        <v>49.375</v>
      </c>
      <c r="G6" s="422"/>
      <c r="H6" s="421">
        <f t="shared" si="0"/>
        <v>49.375</v>
      </c>
      <c r="I6" s="421">
        <f t="shared" si="1"/>
        <v>7900</v>
      </c>
      <c r="J6" s="417">
        <f t="shared" ref="J6:J8" si="2">F6/$I$1</f>
        <v>0.13166666666666665</v>
      </c>
      <c r="K6" s="417"/>
      <c r="M6" s="437">
        <f t="shared" ref="M6:M9" si="3">I6</f>
        <v>7900</v>
      </c>
      <c r="N6" s="437"/>
      <c r="O6" s="437"/>
      <c r="P6" s="437"/>
      <c r="Q6" s="437"/>
      <c r="R6" s="418"/>
      <c r="S6" s="437"/>
    </row>
    <row r="7" spans="1:19" ht="15.75">
      <c r="A7" s="413">
        <f>10*(16+16+1)/3</f>
        <v>110</v>
      </c>
      <c r="B7" s="413" t="s">
        <v>517</v>
      </c>
      <c r="C7" s="420" t="s">
        <v>1512</v>
      </c>
      <c r="D7" s="413"/>
      <c r="E7" s="750" t="s">
        <v>1513</v>
      </c>
      <c r="F7" s="421">
        <v>64</v>
      </c>
      <c r="G7" s="422"/>
      <c r="H7" s="421">
        <f t="shared" si="0"/>
        <v>64</v>
      </c>
      <c r="I7" s="421">
        <f t="shared" si="1"/>
        <v>7040</v>
      </c>
      <c r="J7" s="417">
        <f t="shared" si="2"/>
        <v>0.17066666666666666</v>
      </c>
      <c r="K7" s="417"/>
      <c r="M7" s="437">
        <f t="shared" si="3"/>
        <v>7040</v>
      </c>
      <c r="N7" s="437"/>
      <c r="O7" s="437"/>
      <c r="P7" s="437"/>
      <c r="Q7" s="437"/>
      <c r="R7" s="418"/>
      <c r="S7" s="437"/>
    </row>
    <row r="8" spans="1:19" ht="122.4">
      <c r="A8" s="413">
        <f>A7*3/0.5*1.1</f>
        <v>726.00000000000011</v>
      </c>
      <c r="B8" s="413" t="s">
        <v>517</v>
      </c>
      <c r="C8" s="751" t="s">
        <v>1514</v>
      </c>
      <c r="D8" s="413"/>
      <c r="E8" s="750" t="s">
        <v>1515</v>
      </c>
      <c r="F8" s="421">
        <v>1.02</v>
      </c>
      <c r="G8" s="422"/>
      <c r="H8" s="421">
        <f t="shared" si="0"/>
        <v>1.02</v>
      </c>
      <c r="I8" s="421">
        <f t="shared" si="1"/>
        <v>740.5200000000001</v>
      </c>
      <c r="J8" s="417">
        <f t="shared" si="2"/>
        <v>2.7200000000000002E-3</v>
      </c>
      <c r="K8" s="417"/>
      <c r="M8" s="437">
        <f t="shared" si="3"/>
        <v>740.5200000000001</v>
      </c>
      <c r="N8" s="437"/>
      <c r="O8" s="437"/>
      <c r="P8" s="437"/>
      <c r="Q8" s="437"/>
      <c r="R8" s="418"/>
      <c r="S8" s="437"/>
    </row>
    <row r="9" spans="1:19" ht="189.2">
      <c r="A9" s="407">
        <v>0</v>
      </c>
      <c r="B9" s="413"/>
      <c r="C9" s="751" t="s">
        <v>1516</v>
      </c>
      <c r="D9" s="413"/>
      <c r="E9" s="750" t="s">
        <v>1517</v>
      </c>
      <c r="F9" s="421">
        <v>382.5</v>
      </c>
      <c r="G9" s="422"/>
      <c r="H9" s="421">
        <f t="shared" si="0"/>
        <v>382.5</v>
      </c>
      <c r="I9" s="421">
        <f t="shared" si="1"/>
        <v>0</v>
      </c>
      <c r="J9" s="417">
        <f>I9/A4/$I$1</f>
        <v>0</v>
      </c>
      <c r="K9" s="417" t="s">
        <v>1518</v>
      </c>
      <c r="M9" s="437">
        <f t="shared" si="3"/>
        <v>0</v>
      </c>
      <c r="N9" s="437"/>
      <c r="O9" s="437"/>
      <c r="P9" s="437"/>
      <c r="Q9" s="437"/>
      <c r="R9" s="418"/>
      <c r="S9" s="437"/>
    </row>
    <row r="10" spans="1:19">
      <c r="A10" s="407">
        <v>160</v>
      </c>
      <c r="B10" s="413" t="s">
        <v>517</v>
      </c>
      <c r="C10" s="407" t="s">
        <v>810</v>
      </c>
      <c r="D10" s="407"/>
      <c r="E10" s="408" t="s">
        <v>1320</v>
      </c>
      <c r="F10" s="409">
        <f>280/160</f>
        <v>1.75</v>
      </c>
      <c r="G10" s="410"/>
      <c r="H10" s="421">
        <f t="shared" ref="H10:H64" si="4">F10*(1-G10)</f>
        <v>1.75</v>
      </c>
      <c r="I10" s="421">
        <f t="shared" ref="I10:I33" si="5">A10*H10</f>
        <v>280</v>
      </c>
      <c r="J10" s="417"/>
      <c r="K10" s="417"/>
      <c r="M10" s="437">
        <f t="shared" ref="M10:M11" si="6">I10</f>
        <v>280</v>
      </c>
      <c r="N10" s="437"/>
      <c r="O10" s="437"/>
      <c r="P10" s="437"/>
      <c r="Q10" s="437"/>
      <c r="R10" s="418"/>
      <c r="S10" s="437"/>
    </row>
    <row r="11" spans="1:19" ht="22.25">
      <c r="A11" s="413">
        <f>4*(8*1.15+2*0.3)+20*1.75*2</f>
        <v>109.19999999999999</v>
      </c>
      <c r="B11" s="413" t="s">
        <v>539</v>
      </c>
      <c r="C11" s="413" t="s">
        <v>531</v>
      </c>
      <c r="D11" s="413"/>
      <c r="E11" s="420" t="s">
        <v>1519</v>
      </c>
      <c r="F11" s="421">
        <v>25</v>
      </c>
      <c r="G11" s="410"/>
      <c r="H11" s="421">
        <f t="shared" si="4"/>
        <v>25</v>
      </c>
      <c r="I11" s="421">
        <f t="shared" si="5"/>
        <v>2729.9999999999995</v>
      </c>
      <c r="J11" s="417"/>
      <c r="K11" s="417"/>
      <c r="M11" s="437">
        <f t="shared" si="6"/>
        <v>2729.9999999999995</v>
      </c>
      <c r="N11" s="437"/>
      <c r="O11" s="437"/>
      <c r="P11" s="437"/>
      <c r="Q11" s="437"/>
      <c r="R11" s="418"/>
      <c r="S11" s="437"/>
    </row>
    <row r="12" spans="1:19" ht="15.75">
      <c r="A12" s="407"/>
      <c r="B12" s="413"/>
      <c r="C12" s="420"/>
      <c r="D12" s="413"/>
      <c r="E12" s="750"/>
      <c r="F12" s="421"/>
      <c r="G12" s="422"/>
      <c r="H12" s="421"/>
      <c r="I12" s="421"/>
      <c r="J12" s="417"/>
      <c r="K12" s="417"/>
      <c r="M12" s="437"/>
      <c r="N12" s="437"/>
      <c r="O12" s="437"/>
      <c r="P12" s="437"/>
      <c r="Q12" s="437"/>
      <c r="R12" s="418"/>
      <c r="S12" s="437"/>
    </row>
    <row r="13" spans="1:19" ht="22.25">
      <c r="A13" s="423">
        <v>1</v>
      </c>
      <c r="B13" s="423" t="s">
        <v>522</v>
      </c>
      <c r="C13" s="413" t="s">
        <v>810</v>
      </c>
      <c r="D13" s="413"/>
      <c r="E13" s="420" t="s">
        <v>1323</v>
      </c>
      <c r="F13" s="421">
        <v>750</v>
      </c>
      <c r="G13" s="410"/>
      <c r="H13" s="409">
        <f t="shared" si="4"/>
        <v>750</v>
      </c>
      <c r="I13" s="409">
        <f t="shared" si="5"/>
        <v>750</v>
      </c>
      <c r="J13" s="204"/>
      <c r="M13" s="437"/>
      <c r="N13" s="437"/>
      <c r="O13" s="437"/>
      <c r="P13" s="437"/>
      <c r="Q13" s="437"/>
      <c r="R13" s="418">
        <f t="shared" ref="R13:R25" si="7">I13</f>
        <v>750</v>
      </c>
      <c r="S13" s="437"/>
    </row>
    <row r="14" spans="1:19">
      <c r="A14" s="413">
        <v>0</v>
      </c>
      <c r="B14" s="413"/>
      <c r="C14" s="413" t="s">
        <v>751</v>
      </c>
      <c r="D14" s="413"/>
      <c r="E14" s="420" t="s">
        <v>1505</v>
      </c>
      <c r="F14" s="421">
        <v>464.44</v>
      </c>
      <c r="G14" s="410"/>
      <c r="H14" s="409">
        <f t="shared" si="4"/>
        <v>464.44</v>
      </c>
      <c r="I14" s="409">
        <f t="shared" si="5"/>
        <v>0</v>
      </c>
      <c r="J14" s="204"/>
      <c r="M14" s="437"/>
      <c r="N14" s="437"/>
      <c r="O14" s="437"/>
      <c r="P14" s="437"/>
      <c r="Q14" s="437"/>
      <c r="R14" s="418">
        <f t="shared" si="7"/>
        <v>0</v>
      </c>
      <c r="S14" s="437"/>
    </row>
    <row r="15" spans="1:19" ht="22.25">
      <c r="A15" s="413">
        <v>0</v>
      </c>
      <c r="B15" s="413" t="s">
        <v>530</v>
      </c>
      <c r="C15" s="420" t="s">
        <v>531</v>
      </c>
      <c r="D15" s="413"/>
      <c r="E15" s="413" t="s">
        <v>532</v>
      </c>
      <c r="F15" s="421">
        <v>500</v>
      </c>
      <c r="G15" s="410"/>
      <c r="H15" s="409">
        <f t="shared" si="4"/>
        <v>500</v>
      </c>
      <c r="I15" s="409">
        <f t="shared" si="5"/>
        <v>0</v>
      </c>
      <c r="J15" s="204"/>
      <c r="M15" s="437"/>
      <c r="N15" s="437"/>
      <c r="O15" s="437"/>
      <c r="P15" s="437"/>
      <c r="Q15" s="437"/>
      <c r="R15" s="418">
        <f t="shared" si="7"/>
        <v>0</v>
      </c>
      <c r="S15" s="437"/>
    </row>
    <row r="16" spans="1:19" ht="22.25">
      <c r="A16" s="413">
        <v>0</v>
      </c>
      <c r="B16" s="413" t="s">
        <v>505</v>
      </c>
      <c r="C16" s="420" t="s">
        <v>534</v>
      </c>
      <c r="D16" s="413"/>
      <c r="E16" s="420" t="s">
        <v>535</v>
      </c>
      <c r="F16" s="421">
        <v>3.71</v>
      </c>
      <c r="G16" s="410"/>
      <c r="H16" s="409">
        <f t="shared" si="4"/>
        <v>3.71</v>
      </c>
      <c r="I16" s="409">
        <f t="shared" si="5"/>
        <v>0</v>
      </c>
      <c r="J16" s="204" t="s">
        <v>536</v>
      </c>
      <c r="M16" s="437"/>
      <c r="N16" s="437"/>
      <c r="O16" s="437"/>
      <c r="P16" s="437"/>
      <c r="Q16" s="437"/>
      <c r="R16" s="418">
        <f t="shared" si="7"/>
        <v>0</v>
      </c>
      <c r="S16" s="437"/>
    </row>
    <row r="17" spans="1:19" ht="22.25">
      <c r="A17" s="413">
        <v>0</v>
      </c>
      <c r="B17" s="413" t="s">
        <v>505</v>
      </c>
      <c r="C17" s="420" t="s">
        <v>534</v>
      </c>
      <c r="D17" s="413"/>
      <c r="E17" s="420" t="s">
        <v>537</v>
      </c>
      <c r="F17" s="421">
        <v>3.81</v>
      </c>
      <c r="G17" s="410"/>
      <c r="H17" s="409">
        <f t="shared" si="4"/>
        <v>3.81</v>
      </c>
      <c r="I17" s="409">
        <f t="shared" si="5"/>
        <v>0</v>
      </c>
      <c r="J17" s="204" t="s">
        <v>538</v>
      </c>
      <c r="M17" s="437"/>
      <c r="N17" s="437"/>
      <c r="O17" s="437"/>
      <c r="P17" s="437"/>
      <c r="Q17" s="437"/>
      <c r="R17" s="418">
        <f t="shared" si="7"/>
        <v>0</v>
      </c>
      <c r="S17" s="437"/>
    </row>
    <row r="18" spans="1:19" ht="55.65">
      <c r="A18" s="413">
        <f>10*20+5*20</f>
        <v>300</v>
      </c>
      <c r="B18" s="413" t="s">
        <v>539</v>
      </c>
      <c r="C18" s="420" t="s">
        <v>987</v>
      </c>
      <c r="D18" s="413" t="s">
        <v>541</v>
      </c>
      <c r="E18" s="420" t="s">
        <v>542</v>
      </c>
      <c r="F18" s="421">
        <f t="shared" ref="F18:F19" si="8">328.33/500</f>
        <v>0.65666000000000002</v>
      </c>
      <c r="G18" s="410"/>
      <c r="H18" s="409">
        <f t="shared" si="4"/>
        <v>0.65666000000000002</v>
      </c>
      <c r="I18" s="409">
        <f t="shared" si="5"/>
        <v>196.99800000000002</v>
      </c>
      <c r="J18" s="491" t="s">
        <v>756</v>
      </c>
      <c r="M18" s="437"/>
      <c r="N18" s="437"/>
      <c r="O18" s="418">
        <f t="shared" ref="O18:O28" si="9">I18</f>
        <v>196.99800000000002</v>
      </c>
      <c r="P18" s="418"/>
      <c r="Q18" s="418"/>
      <c r="R18" s="437"/>
      <c r="S18" s="437"/>
    </row>
    <row r="19" spans="1:19" ht="55.65">
      <c r="A19" s="413">
        <f>A18+A6*1.7+20*1</f>
        <v>592</v>
      </c>
      <c r="B19" s="413" t="s">
        <v>539</v>
      </c>
      <c r="C19" s="420" t="s">
        <v>987</v>
      </c>
      <c r="D19" s="413" t="s">
        <v>543</v>
      </c>
      <c r="E19" s="420" t="s">
        <v>544</v>
      </c>
      <c r="F19" s="421">
        <f t="shared" si="8"/>
        <v>0.65666000000000002</v>
      </c>
      <c r="G19" s="410"/>
      <c r="H19" s="409">
        <f t="shared" si="4"/>
        <v>0.65666000000000002</v>
      </c>
      <c r="I19" s="409">
        <f t="shared" si="5"/>
        <v>388.74272000000002</v>
      </c>
      <c r="J19" s="204"/>
      <c r="M19" s="437"/>
      <c r="N19" s="437"/>
      <c r="O19" s="418">
        <f t="shared" si="9"/>
        <v>388.74272000000002</v>
      </c>
      <c r="P19" s="418"/>
      <c r="Q19" s="418"/>
      <c r="R19" s="437"/>
      <c r="S19" s="437"/>
    </row>
    <row r="20" spans="1:19" ht="22.25">
      <c r="A20" s="413">
        <v>10</v>
      </c>
      <c r="B20" s="413" t="s">
        <v>522</v>
      </c>
      <c r="C20" s="420" t="s">
        <v>1074</v>
      </c>
      <c r="D20" s="413"/>
      <c r="E20" s="420" t="s">
        <v>1079</v>
      </c>
      <c r="F20" s="421">
        <v>1.3</v>
      </c>
      <c r="G20" s="410"/>
      <c r="H20" s="409">
        <f t="shared" si="4"/>
        <v>1.3</v>
      </c>
      <c r="I20" s="409">
        <f t="shared" si="5"/>
        <v>13</v>
      </c>
      <c r="J20" s="204"/>
      <c r="K20" s="17" t="s">
        <v>1520</v>
      </c>
      <c r="M20" s="437"/>
      <c r="N20" s="437"/>
      <c r="O20" s="418">
        <f t="shared" si="9"/>
        <v>13</v>
      </c>
      <c r="P20" s="437"/>
      <c r="Q20" s="437"/>
      <c r="R20" s="418"/>
      <c r="S20" s="437"/>
    </row>
    <row r="21" spans="1:19" ht="22.25">
      <c r="A21" s="413">
        <f>A20</f>
        <v>10</v>
      </c>
      <c r="B21" s="413" t="s">
        <v>522</v>
      </c>
      <c r="C21" s="420" t="s">
        <v>1074</v>
      </c>
      <c r="D21" s="413"/>
      <c r="E21" s="420" t="s">
        <v>1080</v>
      </c>
      <c r="F21" s="421">
        <v>0.98</v>
      </c>
      <c r="G21" s="410"/>
      <c r="H21" s="409">
        <f t="shared" si="4"/>
        <v>0.98</v>
      </c>
      <c r="I21" s="409">
        <f t="shared" si="5"/>
        <v>9.8000000000000007</v>
      </c>
      <c r="J21" s="204"/>
      <c r="M21" s="437"/>
      <c r="N21" s="437"/>
      <c r="O21" s="418">
        <f t="shared" si="9"/>
        <v>9.8000000000000007</v>
      </c>
      <c r="P21" s="437"/>
      <c r="Q21" s="437"/>
      <c r="R21" s="418"/>
      <c r="S21" s="437"/>
    </row>
    <row r="22" spans="1:19" ht="33.4">
      <c r="A22" s="413">
        <v>1</v>
      </c>
      <c r="B22" s="413" t="s">
        <v>522</v>
      </c>
      <c r="C22" s="413" t="s">
        <v>1223</v>
      </c>
      <c r="D22" s="413"/>
      <c r="E22" s="420" t="s">
        <v>1225</v>
      </c>
      <c r="F22" s="421">
        <v>4332.5</v>
      </c>
      <c r="G22" s="428"/>
      <c r="H22" s="430">
        <v>4332.5</v>
      </c>
      <c r="I22" s="409">
        <f t="shared" si="5"/>
        <v>4332.5</v>
      </c>
      <c r="J22" s="204"/>
      <c r="K22" s="204" t="s">
        <v>1506</v>
      </c>
      <c r="M22" s="437"/>
      <c r="N22" s="418">
        <f>I22</f>
        <v>4332.5</v>
      </c>
      <c r="O22" s="437"/>
      <c r="P22" s="437"/>
      <c r="Q22" s="437"/>
      <c r="R22" s="437"/>
      <c r="S22" s="437"/>
    </row>
    <row r="23" spans="1:19" ht="55.65">
      <c r="A23" s="413">
        <v>0</v>
      </c>
      <c r="B23" s="413" t="s">
        <v>522</v>
      </c>
      <c r="C23" s="420" t="s">
        <v>987</v>
      </c>
      <c r="D23" s="413" t="s">
        <v>761</v>
      </c>
      <c r="E23" s="420" t="s">
        <v>762</v>
      </c>
      <c r="F23" s="421">
        <v>2.5</v>
      </c>
      <c r="G23" s="410"/>
      <c r="H23" s="409">
        <f t="shared" si="4"/>
        <v>2.5</v>
      </c>
      <c r="I23" s="409">
        <f t="shared" si="5"/>
        <v>0</v>
      </c>
      <c r="J23" s="204"/>
      <c r="M23" s="437"/>
      <c r="N23" s="437"/>
      <c r="O23" s="437"/>
      <c r="P23" s="437"/>
      <c r="Q23" s="437"/>
      <c r="R23" s="418">
        <f t="shared" si="7"/>
        <v>0</v>
      </c>
      <c r="S23" s="437"/>
    </row>
    <row r="24" spans="1:19">
      <c r="A24" s="413">
        <v>1</v>
      </c>
      <c r="B24" s="413" t="s">
        <v>522</v>
      </c>
      <c r="C24" s="413" t="s">
        <v>810</v>
      </c>
      <c r="D24" s="413"/>
      <c r="E24" s="420" t="s">
        <v>1324</v>
      </c>
      <c r="F24" s="421">
        <v>475</v>
      </c>
      <c r="G24" s="410"/>
      <c r="H24" s="409">
        <f t="shared" si="4"/>
        <v>475</v>
      </c>
      <c r="I24" s="409">
        <f t="shared" si="5"/>
        <v>475</v>
      </c>
      <c r="J24" s="1054"/>
      <c r="K24" s="1054"/>
      <c r="L24" s="1054"/>
      <c r="M24" s="437"/>
      <c r="N24" s="437"/>
      <c r="O24" s="437"/>
      <c r="P24" s="437"/>
      <c r="Q24" s="437"/>
      <c r="R24" s="418">
        <f t="shared" si="7"/>
        <v>475</v>
      </c>
      <c r="S24" s="437"/>
    </row>
    <row r="25" spans="1:19">
      <c r="A25" s="407"/>
      <c r="B25" s="407"/>
      <c r="C25" s="408"/>
      <c r="D25" s="407"/>
      <c r="E25" s="408"/>
      <c r="F25" s="409"/>
      <c r="G25" s="410"/>
      <c r="H25" s="409">
        <f t="shared" si="4"/>
        <v>0</v>
      </c>
      <c r="I25" s="409">
        <f t="shared" si="5"/>
        <v>0</v>
      </c>
      <c r="J25" s="204"/>
      <c r="M25" s="437"/>
      <c r="N25" s="437"/>
      <c r="O25" s="437"/>
      <c r="P25" s="437"/>
      <c r="Q25" s="437"/>
      <c r="R25" s="418">
        <f t="shared" si="7"/>
        <v>0</v>
      </c>
      <c r="S25" s="437"/>
    </row>
    <row r="26" spans="1:19" ht="22.25">
      <c r="A26" s="413">
        <v>1</v>
      </c>
      <c r="B26" s="413" t="s">
        <v>522</v>
      </c>
      <c r="C26" s="420"/>
      <c r="D26" s="413"/>
      <c r="E26" s="420" t="s">
        <v>695</v>
      </c>
      <c r="F26" s="421">
        <v>100</v>
      </c>
      <c r="G26" s="410"/>
      <c r="H26" s="409">
        <f t="shared" si="4"/>
        <v>100</v>
      </c>
      <c r="I26" s="409">
        <f t="shared" si="5"/>
        <v>100</v>
      </c>
      <c r="J26" s="204" t="s">
        <v>696</v>
      </c>
      <c r="M26" s="437"/>
      <c r="N26" s="437"/>
      <c r="O26" s="418">
        <f t="shared" si="9"/>
        <v>100</v>
      </c>
      <c r="P26" s="437"/>
      <c r="Q26" s="437"/>
      <c r="R26" s="418"/>
      <c r="S26" s="437"/>
    </row>
    <row r="27" spans="1:19" ht="44.55">
      <c r="A27" s="413">
        <v>1</v>
      </c>
      <c r="B27" s="413" t="s">
        <v>505</v>
      </c>
      <c r="C27" s="420" t="s">
        <v>751</v>
      </c>
      <c r="D27" s="413"/>
      <c r="E27" s="420" t="s">
        <v>1212</v>
      </c>
      <c r="F27" s="421">
        <v>787.5</v>
      </c>
      <c r="G27" s="422"/>
      <c r="H27" s="409">
        <f t="shared" si="4"/>
        <v>787.5</v>
      </c>
      <c r="I27" s="409">
        <f t="shared" si="5"/>
        <v>787.5</v>
      </c>
      <c r="J27" s="204"/>
      <c r="M27" s="418">
        <f>F27</f>
        <v>787.5</v>
      </c>
      <c r="N27" s="437"/>
      <c r="O27" s="437"/>
      <c r="P27" s="437"/>
      <c r="Q27" s="437"/>
      <c r="R27" s="437"/>
      <c r="S27" s="437"/>
    </row>
    <row r="28" spans="1:19" ht="44.55">
      <c r="A28" s="413">
        <v>30</v>
      </c>
      <c r="B28" s="413" t="s">
        <v>539</v>
      </c>
      <c r="C28" s="420" t="s">
        <v>690</v>
      </c>
      <c r="D28" s="413"/>
      <c r="E28" s="413" t="s">
        <v>835</v>
      </c>
      <c r="F28" s="421">
        <v>9.32</v>
      </c>
      <c r="G28" s="428"/>
      <c r="H28" s="409">
        <f t="shared" si="4"/>
        <v>9.32</v>
      </c>
      <c r="I28" s="409">
        <f t="shared" si="5"/>
        <v>279.60000000000002</v>
      </c>
      <c r="J28" s="491" t="s">
        <v>756</v>
      </c>
      <c r="M28" s="418"/>
      <c r="N28" s="437"/>
      <c r="O28" s="418">
        <f t="shared" si="9"/>
        <v>279.60000000000002</v>
      </c>
      <c r="P28" s="437"/>
      <c r="Q28" s="437"/>
      <c r="R28" s="437"/>
      <c r="S28" s="437"/>
    </row>
    <row r="29" spans="1:19" ht="44.55">
      <c r="A29" s="413">
        <v>1</v>
      </c>
      <c r="B29" s="413" t="s">
        <v>517</v>
      </c>
      <c r="C29" s="420" t="s">
        <v>569</v>
      </c>
      <c r="D29" s="413" t="s">
        <v>570</v>
      </c>
      <c r="E29" s="420" t="s">
        <v>571</v>
      </c>
      <c r="F29" s="421">
        <v>1040</v>
      </c>
      <c r="G29" s="495">
        <v>0.48</v>
      </c>
      <c r="H29" s="425">
        <f t="shared" si="4"/>
        <v>540.80000000000007</v>
      </c>
      <c r="I29" s="409">
        <f t="shared" si="5"/>
        <v>540.80000000000007</v>
      </c>
      <c r="J29" s="204"/>
      <c r="M29" s="418"/>
      <c r="N29" s="437"/>
      <c r="O29" s="437"/>
      <c r="P29" s="437"/>
      <c r="Q29" s="437"/>
      <c r="R29" s="437"/>
      <c r="S29" s="437">
        <f t="shared" ref="S29:S33" si="10">I29</f>
        <v>540.80000000000007</v>
      </c>
    </row>
    <row r="30" spans="1:19" ht="44.55">
      <c r="A30" s="407">
        <v>0</v>
      </c>
      <c r="B30" s="407" t="s">
        <v>517</v>
      </c>
      <c r="C30" s="492" t="s">
        <v>569</v>
      </c>
      <c r="D30" s="487" t="s">
        <v>572</v>
      </c>
      <c r="E30" s="492" t="s">
        <v>573</v>
      </c>
      <c r="F30" s="430">
        <v>1190</v>
      </c>
      <c r="G30" s="429">
        <v>0.48</v>
      </c>
      <c r="H30" s="430">
        <f t="shared" si="4"/>
        <v>618.80000000000007</v>
      </c>
      <c r="I30" s="409">
        <f t="shared" si="5"/>
        <v>0</v>
      </c>
      <c r="J30" s="204"/>
      <c r="M30" s="418"/>
      <c r="N30" s="437"/>
      <c r="O30" s="437"/>
      <c r="P30" s="437"/>
      <c r="Q30" s="437"/>
      <c r="R30" s="437"/>
      <c r="S30" s="437">
        <f t="shared" si="10"/>
        <v>0</v>
      </c>
    </row>
    <row r="31" spans="1:19">
      <c r="A31" s="407">
        <v>0</v>
      </c>
      <c r="B31" s="407" t="s">
        <v>517</v>
      </c>
      <c r="C31" s="408" t="s">
        <v>574</v>
      </c>
      <c r="D31" s="407" t="s">
        <v>575</v>
      </c>
      <c r="E31" s="407" t="s">
        <v>576</v>
      </c>
      <c r="F31" s="409">
        <v>36.700000000000003</v>
      </c>
      <c r="G31" s="410"/>
      <c r="H31" s="409">
        <f t="shared" si="4"/>
        <v>36.700000000000003</v>
      </c>
      <c r="I31" s="409">
        <f t="shared" si="5"/>
        <v>0</v>
      </c>
      <c r="J31" s="204"/>
      <c r="M31" s="418"/>
      <c r="N31" s="437"/>
      <c r="O31" s="437"/>
      <c r="P31" s="437"/>
      <c r="Q31" s="437"/>
      <c r="R31" s="437"/>
      <c r="S31" s="437">
        <f t="shared" si="10"/>
        <v>0</v>
      </c>
    </row>
    <row r="32" spans="1:19">
      <c r="A32" s="413">
        <v>5</v>
      </c>
      <c r="B32" s="413" t="s">
        <v>517</v>
      </c>
      <c r="C32" s="420" t="s">
        <v>574</v>
      </c>
      <c r="D32" s="413" t="s">
        <v>577</v>
      </c>
      <c r="E32" s="413" t="s">
        <v>578</v>
      </c>
      <c r="F32" s="421">
        <v>75</v>
      </c>
      <c r="G32" s="410"/>
      <c r="H32" s="409">
        <f t="shared" si="4"/>
        <v>75</v>
      </c>
      <c r="I32" s="409">
        <f t="shared" si="5"/>
        <v>375</v>
      </c>
      <c r="J32" s="204"/>
      <c r="M32" s="418"/>
      <c r="N32" s="437"/>
      <c r="O32" s="437"/>
      <c r="P32" s="437"/>
      <c r="Q32" s="437"/>
      <c r="R32" s="437"/>
      <c r="S32" s="437">
        <f t="shared" si="10"/>
        <v>375</v>
      </c>
    </row>
    <row r="33" spans="1:19">
      <c r="A33" s="413">
        <v>1</v>
      </c>
      <c r="B33" s="413" t="s">
        <v>517</v>
      </c>
      <c r="C33" s="420" t="s">
        <v>574</v>
      </c>
      <c r="D33" s="413"/>
      <c r="E33" s="413" t="s">
        <v>579</v>
      </c>
      <c r="F33" s="421">
        <f>35/4</f>
        <v>8.75</v>
      </c>
      <c r="G33" s="410"/>
      <c r="H33" s="409">
        <f t="shared" si="4"/>
        <v>8.75</v>
      </c>
      <c r="I33" s="409">
        <f t="shared" si="5"/>
        <v>8.75</v>
      </c>
      <c r="J33" s="204"/>
      <c r="M33" s="418"/>
      <c r="N33" s="437"/>
      <c r="O33" s="437"/>
      <c r="P33" s="437"/>
      <c r="Q33" s="437"/>
      <c r="R33" s="437"/>
      <c r="S33" s="437">
        <f t="shared" si="10"/>
        <v>8.75</v>
      </c>
    </row>
    <row r="34" spans="1:19" ht="12.45">
      <c r="A34" s="407"/>
      <c r="B34" s="407"/>
      <c r="C34" s="408"/>
      <c r="D34" s="407"/>
      <c r="E34" s="431"/>
      <c r="F34" s="409"/>
      <c r="G34" s="410"/>
      <c r="H34" s="409"/>
      <c r="I34" s="409"/>
      <c r="J34" s="204"/>
      <c r="M34" s="418"/>
      <c r="N34" s="437"/>
      <c r="O34" s="437"/>
      <c r="P34" s="437"/>
      <c r="Q34" s="437"/>
      <c r="R34" s="437"/>
      <c r="S34" s="437"/>
    </row>
    <row r="35" spans="1:19">
      <c r="A35" s="407"/>
      <c r="B35" s="407"/>
      <c r="C35" s="408"/>
      <c r="D35" s="407"/>
      <c r="E35" s="407"/>
      <c r="F35" s="409"/>
      <c r="G35" s="410"/>
      <c r="H35" s="409"/>
      <c r="I35" s="409"/>
      <c r="J35" s="204"/>
      <c r="M35" s="437"/>
      <c r="N35" s="437"/>
      <c r="O35" s="437"/>
      <c r="P35" s="437"/>
      <c r="Q35" s="437"/>
      <c r="R35" s="437"/>
      <c r="S35" s="437"/>
    </row>
    <row r="36" spans="1:19">
      <c r="A36" s="407"/>
      <c r="B36" s="407"/>
      <c r="C36" s="408"/>
      <c r="D36" s="407"/>
      <c r="E36" s="432" t="s">
        <v>580</v>
      </c>
      <c r="F36" s="409"/>
      <c r="G36" s="410"/>
      <c r="H36" s="409"/>
      <c r="I36" s="421">
        <f>SUM(I4:I34)</f>
        <v>47648.210720000003</v>
      </c>
      <c r="J36" s="204"/>
      <c r="M36" s="418">
        <f>SUM(M4:M34)</f>
        <v>40178.019999999997</v>
      </c>
      <c r="N36" s="418">
        <f>SUM(N4:N34)</f>
        <v>4332.5</v>
      </c>
      <c r="O36" s="418">
        <f>SUM(O4:O34)</f>
        <v>988.14071999999999</v>
      </c>
      <c r="P36" s="418"/>
      <c r="Q36" s="418"/>
      <c r="R36" s="418">
        <f>SUM(R4:R34)</f>
        <v>1225</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59560.263400000003</v>
      </c>
      <c r="J38" s="436"/>
      <c r="K38" s="437"/>
      <c r="L38" s="437"/>
      <c r="M38" s="165">
        <f>M36*(1+$G$37)</f>
        <v>50222.524999999994</v>
      </c>
      <c r="N38" s="165">
        <f>N36*(1+$G$37)</f>
        <v>5415.625</v>
      </c>
      <c r="O38" s="165">
        <f>O36*(1+$G$37)</f>
        <v>1235.1759</v>
      </c>
      <c r="P38" s="165">
        <f>P67</f>
        <v>13200</v>
      </c>
      <c r="Q38" s="165">
        <f>Q126</f>
        <v>4003.8399999999992</v>
      </c>
      <c r="R38" s="165">
        <f>R36*(1+$G$37)</f>
        <v>1531.25</v>
      </c>
      <c r="S38" s="165">
        <f>S36*(1+$G$37)</f>
        <v>1155.6875</v>
      </c>
    </row>
    <row r="41" spans="1:19">
      <c r="E41" s="439" t="s">
        <v>585</v>
      </c>
    </row>
    <row r="42" spans="1:19">
      <c r="A42" s="441">
        <v>8</v>
      </c>
      <c r="B42" s="17" t="s">
        <v>619</v>
      </c>
      <c r="E42" s="17" t="s">
        <v>586</v>
      </c>
      <c r="F42" s="403">
        <f t="shared" ref="F42:F58" si="11">F$62</f>
        <v>55</v>
      </c>
      <c r="H42" s="403">
        <f t="shared" si="4"/>
        <v>55</v>
      </c>
      <c r="I42" s="403">
        <f t="shared" ref="I42:I64" si="12">A42*H42</f>
        <v>440</v>
      </c>
    </row>
    <row r="43" spans="1:19">
      <c r="A43" s="441">
        <f>A6/120*8*2</f>
        <v>21.333333333333332</v>
      </c>
      <c r="B43" s="17" t="s">
        <v>619</v>
      </c>
      <c r="E43" s="17" t="s">
        <v>589</v>
      </c>
      <c r="F43" s="403">
        <f t="shared" si="11"/>
        <v>55</v>
      </c>
      <c r="H43" s="403">
        <f t="shared" si="4"/>
        <v>55</v>
      </c>
      <c r="I43" s="403">
        <f t="shared" si="12"/>
        <v>1173.3333333333333</v>
      </c>
      <c r="J43" s="17" t="s">
        <v>592</v>
      </c>
    </row>
    <row r="44" spans="1:19">
      <c r="A44" s="441">
        <v>4</v>
      </c>
      <c r="B44" s="17" t="s">
        <v>619</v>
      </c>
      <c r="E44" s="17" t="s">
        <v>1426</v>
      </c>
      <c r="F44" s="403">
        <f t="shared" si="11"/>
        <v>55</v>
      </c>
      <c r="H44" s="403">
        <f t="shared" si="4"/>
        <v>55</v>
      </c>
      <c r="I44" s="403">
        <f t="shared" si="12"/>
        <v>220</v>
      </c>
    </row>
    <row r="45" spans="1:19">
      <c r="A45" s="441">
        <f>1.37*A6-SUM(A42:A44)-SUM(A46:A57)</f>
        <v>144.86666666666667</v>
      </c>
      <c r="B45" s="17" t="s">
        <v>619</v>
      </c>
      <c r="E45" s="17" t="s">
        <v>591</v>
      </c>
      <c r="F45" s="403">
        <f t="shared" si="11"/>
        <v>55</v>
      </c>
      <c r="H45" s="403">
        <f t="shared" si="4"/>
        <v>55</v>
      </c>
      <c r="I45" s="403">
        <f t="shared" si="12"/>
        <v>7967.666666666667</v>
      </c>
      <c r="J45" s="17" t="s">
        <v>1480</v>
      </c>
    </row>
    <row r="46" spans="1:19">
      <c r="A46" s="441">
        <v>4</v>
      </c>
      <c r="B46" s="17" t="s">
        <v>619</v>
      </c>
      <c r="E46" s="17" t="s">
        <v>1428</v>
      </c>
      <c r="F46" s="403">
        <f t="shared" si="11"/>
        <v>55</v>
      </c>
      <c r="H46" s="403">
        <f t="shared" si="4"/>
        <v>55</v>
      </c>
      <c r="I46" s="403">
        <f t="shared" si="12"/>
        <v>220</v>
      </c>
    </row>
    <row r="47" spans="1:19">
      <c r="A47" s="441">
        <v>4</v>
      </c>
      <c r="B47" s="17" t="s">
        <v>619</v>
      </c>
      <c r="E47" s="17" t="s">
        <v>1429</v>
      </c>
      <c r="F47" s="403">
        <f t="shared" si="11"/>
        <v>55</v>
      </c>
      <c r="H47" s="403">
        <f t="shared" si="4"/>
        <v>55</v>
      </c>
      <c r="I47" s="403">
        <f t="shared" si="12"/>
        <v>220</v>
      </c>
    </row>
    <row r="48" spans="1:19">
      <c r="A48" s="441">
        <v>2</v>
      </c>
      <c r="B48" s="17" t="s">
        <v>619</v>
      </c>
      <c r="E48" s="17" t="s">
        <v>605</v>
      </c>
      <c r="F48" s="403">
        <f t="shared" si="11"/>
        <v>55</v>
      </c>
      <c r="H48" s="403">
        <f t="shared" si="4"/>
        <v>55</v>
      </c>
      <c r="I48" s="403">
        <f t="shared" si="12"/>
        <v>110</v>
      </c>
    </row>
    <row r="49" spans="1:10">
      <c r="A49" s="441">
        <v>2</v>
      </c>
      <c r="B49" s="17" t="s">
        <v>619</v>
      </c>
      <c r="E49" s="17" t="s">
        <v>607</v>
      </c>
      <c r="F49" s="403">
        <f t="shared" si="11"/>
        <v>55</v>
      </c>
      <c r="H49" s="403">
        <f t="shared" si="4"/>
        <v>55</v>
      </c>
      <c r="I49" s="403">
        <f t="shared" si="12"/>
        <v>110</v>
      </c>
      <c r="J49" s="17" t="s">
        <v>608</v>
      </c>
    </row>
    <row r="50" spans="1:10">
      <c r="A50" s="441">
        <v>1</v>
      </c>
      <c r="B50" s="17" t="s">
        <v>619</v>
      </c>
      <c r="E50" s="17" t="s">
        <v>609</v>
      </c>
      <c r="F50" s="403">
        <f t="shared" si="11"/>
        <v>55</v>
      </c>
      <c r="H50" s="403">
        <f t="shared" si="4"/>
        <v>55</v>
      </c>
      <c r="I50" s="403">
        <f t="shared" si="12"/>
        <v>55</v>
      </c>
    </row>
    <row r="51" spans="1:10">
      <c r="A51" s="441">
        <v>8</v>
      </c>
      <c r="B51" s="17" t="s">
        <v>619</v>
      </c>
      <c r="E51" s="17" t="s">
        <v>610</v>
      </c>
      <c r="F51" s="403">
        <f t="shared" si="11"/>
        <v>55</v>
      </c>
      <c r="H51" s="403">
        <f t="shared" si="4"/>
        <v>55</v>
      </c>
      <c r="I51" s="403">
        <f t="shared" si="12"/>
        <v>440</v>
      </c>
    </row>
    <row r="52" spans="1:10">
      <c r="A52" s="441">
        <v>1</v>
      </c>
      <c r="B52" s="17" t="s">
        <v>619</v>
      </c>
      <c r="E52" s="17" t="s">
        <v>611</v>
      </c>
      <c r="F52" s="403">
        <f t="shared" si="11"/>
        <v>55</v>
      </c>
      <c r="H52" s="403">
        <f t="shared" si="4"/>
        <v>55</v>
      </c>
      <c r="I52" s="403">
        <f t="shared" si="12"/>
        <v>55</v>
      </c>
    </row>
    <row r="53" spans="1:10">
      <c r="A53" s="441">
        <v>1</v>
      </c>
      <c r="B53" s="17" t="s">
        <v>619</v>
      </c>
      <c r="E53" s="17" t="s">
        <v>1431</v>
      </c>
      <c r="F53" s="403">
        <f t="shared" si="11"/>
        <v>55</v>
      </c>
      <c r="H53" s="403">
        <f t="shared" si="4"/>
        <v>55</v>
      </c>
      <c r="I53" s="403">
        <f t="shared" si="12"/>
        <v>55</v>
      </c>
    </row>
    <row r="54" spans="1:10">
      <c r="A54" s="441">
        <f>3*2</f>
        <v>6</v>
      </c>
      <c r="B54" s="17" t="s">
        <v>619</v>
      </c>
      <c r="E54" s="17" t="s">
        <v>612</v>
      </c>
      <c r="F54" s="403">
        <f t="shared" si="11"/>
        <v>55</v>
      </c>
      <c r="H54" s="403">
        <f t="shared" si="4"/>
        <v>55</v>
      </c>
      <c r="I54" s="403">
        <f t="shared" si="12"/>
        <v>330</v>
      </c>
      <c r="J54" s="17" t="s">
        <v>613</v>
      </c>
    </row>
    <row r="55" spans="1:10">
      <c r="A55" s="441">
        <v>8</v>
      </c>
      <c r="B55" s="17" t="s">
        <v>619</v>
      </c>
      <c r="E55" s="17" t="s">
        <v>614</v>
      </c>
      <c r="F55" s="403">
        <f t="shared" si="11"/>
        <v>55</v>
      </c>
      <c r="H55" s="403">
        <f t="shared" si="4"/>
        <v>55</v>
      </c>
      <c r="I55" s="403">
        <f t="shared" si="12"/>
        <v>440</v>
      </c>
    </row>
    <row r="56" spans="1:10">
      <c r="A56" s="441">
        <v>0</v>
      </c>
      <c r="B56" s="17" t="s">
        <v>619</v>
      </c>
      <c r="E56" s="17" t="s">
        <v>615</v>
      </c>
      <c r="F56" s="403">
        <f t="shared" si="11"/>
        <v>55</v>
      </c>
      <c r="H56" s="403">
        <f t="shared" si="4"/>
        <v>55</v>
      </c>
      <c r="I56" s="403">
        <f t="shared" si="12"/>
        <v>0</v>
      </c>
    </row>
    <row r="57" spans="1:10">
      <c r="A57" s="441">
        <v>4</v>
      </c>
      <c r="B57" s="17" t="s">
        <v>619</v>
      </c>
      <c r="E57" s="17" t="s">
        <v>616</v>
      </c>
      <c r="F57" s="403">
        <f t="shared" si="11"/>
        <v>55</v>
      </c>
      <c r="H57" s="403">
        <f t="shared" si="4"/>
        <v>55</v>
      </c>
      <c r="I57" s="403">
        <f t="shared" si="12"/>
        <v>220</v>
      </c>
    </row>
    <row r="58" spans="1:10">
      <c r="A58" s="441">
        <v>0</v>
      </c>
      <c r="B58" s="442" t="s">
        <v>619</v>
      </c>
      <c r="C58" s="446"/>
      <c r="D58" s="442"/>
      <c r="E58" s="17" t="s">
        <v>617</v>
      </c>
      <c r="F58" s="443">
        <f t="shared" si="11"/>
        <v>55</v>
      </c>
      <c r="G58" s="444"/>
      <c r="H58" s="443">
        <f t="shared" si="4"/>
        <v>55</v>
      </c>
      <c r="I58" s="443">
        <f t="shared" si="12"/>
        <v>0</v>
      </c>
      <c r="J58" s="17" t="s">
        <v>618</v>
      </c>
    </row>
    <row r="60" spans="1:10">
      <c r="A60" s="17">
        <f>SUM(A42:A59)</f>
        <v>219.2</v>
      </c>
      <c r="B60" s="17" t="s">
        <v>619</v>
      </c>
      <c r="E60" s="17" t="s">
        <v>620</v>
      </c>
    </row>
    <row r="61" spans="1:10">
      <c r="A61" s="441">
        <v>3</v>
      </c>
      <c r="B61" s="17" t="s">
        <v>517</v>
      </c>
      <c r="E61" s="17" t="s">
        <v>621</v>
      </c>
    </row>
    <row r="62" spans="1:10">
      <c r="A62" s="17">
        <v>1</v>
      </c>
      <c r="B62" s="17" t="s">
        <v>517</v>
      </c>
      <c r="E62" s="17" t="s">
        <v>622</v>
      </c>
      <c r="F62" s="445">
        <v>55</v>
      </c>
      <c r="H62" s="403">
        <f t="shared" si="4"/>
        <v>55</v>
      </c>
      <c r="I62" s="403">
        <f t="shared" si="12"/>
        <v>55</v>
      </c>
      <c r="J62" s="17" t="s">
        <v>623</v>
      </c>
    </row>
    <row r="63" spans="1:10">
      <c r="A63" s="17">
        <f>ROUNDUP(A60/8/A61,0)</f>
        <v>10</v>
      </c>
      <c r="B63" s="17" t="s">
        <v>624</v>
      </c>
      <c r="E63" s="17" t="s">
        <v>625</v>
      </c>
      <c r="F63" s="403">
        <f>A61*8*F62</f>
        <v>1320</v>
      </c>
      <c r="H63" s="403">
        <f t="shared" si="4"/>
        <v>1320</v>
      </c>
      <c r="I63" s="403">
        <f t="shared" si="12"/>
        <v>13200</v>
      </c>
    </row>
    <row r="64" spans="1:10">
      <c r="A64" s="441">
        <v>0</v>
      </c>
      <c r="B64" s="442" t="s">
        <v>517</v>
      </c>
      <c r="C64" s="446"/>
      <c r="D64" s="442"/>
      <c r="E64" s="442" t="s">
        <v>626</v>
      </c>
      <c r="F64" s="447"/>
      <c r="G64" s="444"/>
      <c r="H64" s="403">
        <f t="shared" si="4"/>
        <v>0</v>
      </c>
      <c r="I64" s="403">
        <f t="shared" si="12"/>
        <v>0</v>
      </c>
      <c r="J64" s="442"/>
    </row>
    <row r="65" spans="1:16">
      <c r="A65" s="441"/>
      <c r="F65" s="447"/>
      <c r="H65" s="403"/>
      <c r="I65" s="403"/>
    </row>
    <row r="66" spans="1:16">
      <c r="A66" s="441"/>
      <c r="F66" s="447"/>
      <c r="H66" s="403"/>
      <c r="I66" s="403"/>
    </row>
    <row r="67" spans="1:16" ht="15.75">
      <c r="E67" s="439" t="s">
        <v>628</v>
      </c>
      <c r="I67" s="443">
        <f>SUM(I63:I66)</f>
        <v>13200</v>
      </c>
      <c r="P67" s="165">
        <f>I67</f>
        <v>13200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3">A81*H81</f>
        <v>0</v>
      </c>
      <c r="J81" s="459" t="s">
        <v>638</v>
      </c>
      <c r="K81" s="460" t="s">
        <v>639</v>
      </c>
    </row>
    <row r="82" spans="1:12" ht="12.8" customHeight="1">
      <c r="A82" s="461">
        <v>0</v>
      </c>
      <c r="B82" s="453" t="s">
        <v>517</v>
      </c>
      <c r="C82" s="453" t="s">
        <v>538</v>
      </c>
      <c r="D82" s="462" t="s">
        <v>640</v>
      </c>
      <c r="E82" s="453" t="s">
        <v>641</v>
      </c>
      <c r="F82" s="463">
        <v>1949</v>
      </c>
      <c r="G82" s="457"/>
      <c r="H82" s="458">
        <f t="shared" ref="H82:H96" si="14">F82*(1-$G$77)</f>
        <v>1169.3999999999999</v>
      </c>
      <c r="I82" s="458">
        <f t="shared" si="13"/>
        <v>0</v>
      </c>
      <c r="J82" s="459" t="s">
        <v>638</v>
      </c>
      <c r="K82" s="1051" t="s">
        <v>642</v>
      </c>
    </row>
    <row r="83" spans="1:12" ht="24.9">
      <c r="A83" s="452">
        <v>0</v>
      </c>
      <c r="B83" s="453" t="s">
        <v>539</v>
      </c>
      <c r="C83" s="453" t="s">
        <v>538</v>
      </c>
      <c r="D83" s="462" t="s">
        <v>643</v>
      </c>
      <c r="E83" s="453" t="s">
        <v>641</v>
      </c>
      <c r="F83" s="463">
        <v>80</v>
      </c>
      <c r="G83" s="457"/>
      <c r="H83" s="458">
        <f t="shared" si="14"/>
        <v>48</v>
      </c>
      <c r="I83" s="458">
        <f t="shared" si="13"/>
        <v>0</v>
      </c>
      <c r="J83" s="459" t="s">
        <v>638</v>
      </c>
      <c r="K83" s="1051"/>
    </row>
    <row r="84" spans="1:12" ht="12.8" customHeight="1">
      <c r="A84" s="461">
        <v>0</v>
      </c>
      <c r="B84" s="453" t="s">
        <v>517</v>
      </c>
      <c r="C84" s="453" t="s">
        <v>538</v>
      </c>
      <c r="D84" s="464" t="s">
        <v>644</v>
      </c>
      <c r="E84" s="453" t="s">
        <v>645</v>
      </c>
      <c r="F84" s="463">
        <v>10051</v>
      </c>
      <c r="G84" s="457"/>
      <c r="H84" s="458">
        <f t="shared" si="14"/>
        <v>6030.5999999999995</v>
      </c>
      <c r="I84" s="458">
        <f t="shared" si="13"/>
        <v>0</v>
      </c>
      <c r="J84" s="459" t="s">
        <v>638</v>
      </c>
      <c r="K84" s="1052" t="s">
        <v>646</v>
      </c>
    </row>
    <row r="85" spans="1:12" ht="24.9">
      <c r="A85" s="461">
        <v>0</v>
      </c>
      <c r="B85" s="453" t="s">
        <v>517</v>
      </c>
      <c r="C85" s="453" t="s">
        <v>538</v>
      </c>
      <c r="D85" s="464" t="s">
        <v>644</v>
      </c>
      <c r="E85" s="453" t="s">
        <v>647</v>
      </c>
      <c r="F85" s="463">
        <v>17412</v>
      </c>
      <c r="G85" s="457"/>
      <c r="H85" s="458">
        <f t="shared" si="14"/>
        <v>10447.199999999999</v>
      </c>
      <c r="I85" s="458">
        <f t="shared" si="13"/>
        <v>0</v>
      </c>
      <c r="J85" s="459" t="s">
        <v>638</v>
      </c>
      <c r="K85" s="1052"/>
    </row>
    <row r="86" spans="1:12" ht="12.8" customHeight="1">
      <c r="A86" s="461">
        <v>0</v>
      </c>
      <c r="B86" s="453" t="s">
        <v>517</v>
      </c>
      <c r="C86" s="453" t="s">
        <v>538</v>
      </c>
      <c r="D86" s="465" t="s">
        <v>644</v>
      </c>
      <c r="E86" s="453" t="s">
        <v>648</v>
      </c>
      <c r="F86" s="466">
        <v>2345</v>
      </c>
      <c r="G86" s="457"/>
      <c r="H86" s="458">
        <f t="shared" si="14"/>
        <v>1407</v>
      </c>
      <c r="I86" s="458">
        <f t="shared" si="13"/>
        <v>0</v>
      </c>
      <c r="J86" s="453" t="s">
        <v>649</v>
      </c>
      <c r="K86" s="1049" t="s">
        <v>650</v>
      </c>
    </row>
    <row r="87" spans="1:12" ht="24.9">
      <c r="A87" s="461">
        <v>0</v>
      </c>
      <c r="B87" s="453" t="s">
        <v>517</v>
      </c>
      <c r="C87" s="453" t="s">
        <v>538</v>
      </c>
      <c r="D87" s="465" t="s">
        <v>644</v>
      </c>
      <c r="E87" s="453" t="s">
        <v>651</v>
      </c>
      <c r="F87" s="466">
        <v>3258</v>
      </c>
      <c r="G87" s="457"/>
      <c r="H87" s="458">
        <f t="shared" si="14"/>
        <v>1954.8</v>
      </c>
      <c r="I87" s="458">
        <f t="shared" si="13"/>
        <v>0</v>
      </c>
      <c r="J87" s="453" t="s">
        <v>649</v>
      </c>
      <c r="K87" s="1049"/>
    </row>
    <row r="88" spans="1:12" ht="24.9">
      <c r="A88" s="461">
        <v>0</v>
      </c>
      <c r="B88" s="453" t="s">
        <v>517</v>
      </c>
      <c r="C88" s="453" t="s">
        <v>538</v>
      </c>
      <c r="D88" s="465" t="s">
        <v>644</v>
      </c>
      <c r="E88" s="453" t="s">
        <v>652</v>
      </c>
      <c r="F88" s="463">
        <v>5649</v>
      </c>
      <c r="G88" s="457"/>
      <c r="H88" s="458">
        <f t="shared" si="14"/>
        <v>3389.4</v>
      </c>
      <c r="I88" s="458">
        <f t="shared" si="13"/>
        <v>0</v>
      </c>
      <c r="J88" s="453" t="s">
        <v>649</v>
      </c>
      <c r="K88" s="1049"/>
    </row>
    <row r="89" spans="1:12" ht="24.9">
      <c r="A89" s="461">
        <v>0</v>
      </c>
      <c r="B89" s="453" t="s">
        <v>517</v>
      </c>
      <c r="C89" s="453" t="s">
        <v>538</v>
      </c>
      <c r="D89" s="465" t="s">
        <v>644</v>
      </c>
      <c r="E89" s="453" t="s">
        <v>653</v>
      </c>
      <c r="F89" s="463">
        <v>1488</v>
      </c>
      <c r="G89" s="457"/>
      <c r="H89" s="458">
        <f t="shared" si="14"/>
        <v>892.8</v>
      </c>
      <c r="I89" s="458">
        <f t="shared" si="13"/>
        <v>0</v>
      </c>
      <c r="J89" s="453" t="s">
        <v>649</v>
      </c>
      <c r="K89" s="1049"/>
    </row>
    <row r="90" spans="1:12" ht="24.9">
      <c r="A90" s="461">
        <v>0</v>
      </c>
      <c r="B90" s="453" t="s">
        <v>517</v>
      </c>
      <c r="C90" s="453" t="s">
        <v>538</v>
      </c>
      <c r="D90" s="465" t="s">
        <v>644</v>
      </c>
      <c r="E90" s="453" t="s">
        <v>654</v>
      </c>
      <c r="F90" s="463">
        <v>5269</v>
      </c>
      <c r="G90" s="457"/>
      <c r="H90" s="458">
        <f t="shared" si="14"/>
        <v>3161.4</v>
      </c>
      <c r="I90" s="458">
        <f t="shared" si="13"/>
        <v>0</v>
      </c>
      <c r="J90" s="453" t="s">
        <v>649</v>
      </c>
      <c r="K90" s="1049"/>
    </row>
    <row r="91" spans="1:12" ht="24.9">
      <c r="A91" s="461">
        <v>0</v>
      </c>
      <c r="B91" s="453" t="s">
        <v>517</v>
      </c>
      <c r="C91" s="453" t="s">
        <v>538</v>
      </c>
      <c r="D91" s="465" t="s">
        <v>644</v>
      </c>
      <c r="E91" s="453" t="s">
        <v>655</v>
      </c>
      <c r="F91" s="463">
        <v>3078</v>
      </c>
      <c r="G91" s="457"/>
      <c r="H91" s="458">
        <f t="shared" si="14"/>
        <v>1846.8</v>
      </c>
      <c r="I91" s="458">
        <f t="shared" si="13"/>
        <v>0</v>
      </c>
      <c r="J91" s="453" t="s">
        <v>649</v>
      </c>
      <c r="K91" s="1049"/>
    </row>
    <row r="92" spans="1:12" ht="24.9">
      <c r="A92" s="461">
        <v>0</v>
      </c>
      <c r="B92" s="453" t="s">
        <v>517</v>
      </c>
      <c r="C92" s="453" t="s">
        <v>538</v>
      </c>
      <c r="D92" s="465" t="s">
        <v>644</v>
      </c>
      <c r="E92" s="453" t="s">
        <v>656</v>
      </c>
      <c r="F92" s="463">
        <v>3489</v>
      </c>
      <c r="G92" s="457"/>
      <c r="H92" s="458">
        <f t="shared" si="14"/>
        <v>2093.4</v>
      </c>
      <c r="I92" s="458">
        <f t="shared" si="13"/>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4"/>
        <v>4473.5999999999995</v>
      </c>
      <c r="I94" s="458">
        <f t="shared" si="13"/>
        <v>0</v>
      </c>
      <c r="J94" s="453" t="s">
        <v>649</v>
      </c>
      <c r="K94" s="1049"/>
    </row>
    <row r="95" spans="1:12" ht="24.9">
      <c r="A95" s="461">
        <v>0</v>
      </c>
      <c r="B95" s="453" t="s">
        <v>517</v>
      </c>
      <c r="C95" s="453" t="s">
        <v>538</v>
      </c>
      <c r="D95" s="465" t="s">
        <v>644</v>
      </c>
      <c r="E95" s="453" t="s">
        <v>660</v>
      </c>
      <c r="F95" s="463">
        <v>8494</v>
      </c>
      <c r="G95" s="457"/>
      <c r="H95" s="458">
        <f t="shared" si="14"/>
        <v>5096.3999999999996</v>
      </c>
      <c r="I95" s="458">
        <f t="shared" si="13"/>
        <v>0</v>
      </c>
      <c r="J95" s="453" t="s">
        <v>649</v>
      </c>
      <c r="K95" s="1049"/>
    </row>
    <row r="96" spans="1:12" ht="24.9">
      <c r="A96" s="461">
        <v>0</v>
      </c>
      <c r="B96" s="453" t="s">
        <v>517</v>
      </c>
      <c r="C96" s="453" t="s">
        <v>538</v>
      </c>
      <c r="D96" s="465" t="s">
        <v>644</v>
      </c>
      <c r="E96" s="453" t="s">
        <v>661</v>
      </c>
      <c r="F96" s="463">
        <v>9434</v>
      </c>
      <c r="G96" s="457"/>
      <c r="H96" s="458">
        <f t="shared" si="14"/>
        <v>5660.4</v>
      </c>
      <c r="I96" s="458">
        <f t="shared" si="13"/>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3"/>
        <v>0</v>
      </c>
      <c r="J99" s="453" t="s">
        <v>638</v>
      </c>
      <c r="K99" s="482" t="s">
        <v>666</v>
      </c>
      <c r="L99" s="204"/>
    </row>
    <row r="100" spans="1:12">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1</v>
      </c>
      <c r="B103" s="453" t="s">
        <v>517</v>
      </c>
      <c r="C103" s="454" t="s">
        <v>538</v>
      </c>
      <c r="D103" s="455" t="s">
        <v>636</v>
      </c>
      <c r="E103" s="453" t="s">
        <v>668</v>
      </c>
      <c r="F103" s="463">
        <v>3732</v>
      </c>
      <c r="G103" s="457"/>
      <c r="H103" s="458">
        <f>F103*(1-G78)</f>
        <v>2239.1999999999998</v>
      </c>
      <c r="I103" s="458">
        <f t="shared" ref="I103:I124" si="15">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5"/>
        <v>53.22</v>
      </c>
      <c r="J104" s="453" t="s">
        <v>649</v>
      </c>
      <c r="K104" s="1050"/>
      <c r="L104" s="17" t="s">
        <v>672</v>
      </c>
    </row>
    <row r="105" spans="1:12" ht="12.8" customHeight="1">
      <c r="A105" s="461">
        <v>1</v>
      </c>
      <c r="B105" s="453" t="s">
        <v>517</v>
      </c>
      <c r="C105" s="453" t="s">
        <v>538</v>
      </c>
      <c r="D105" s="462" t="s">
        <v>640</v>
      </c>
      <c r="E105" s="453" t="s">
        <v>673</v>
      </c>
      <c r="F105" s="463">
        <v>1968</v>
      </c>
      <c r="G105" s="457"/>
      <c r="H105" s="458">
        <f t="shared" ref="H105:H119" si="16">F105*(1-$G$77)</f>
        <v>1180.8</v>
      </c>
      <c r="I105" s="458">
        <f t="shared" si="15"/>
        <v>1180.8</v>
      </c>
      <c r="J105" s="459" t="s">
        <v>638</v>
      </c>
      <c r="K105" s="1051" t="s">
        <v>642</v>
      </c>
    </row>
    <row r="106" spans="1:12" ht="24.9">
      <c r="A106" s="452">
        <v>7</v>
      </c>
      <c r="B106" s="453" t="s">
        <v>539</v>
      </c>
      <c r="C106" s="453" t="s">
        <v>538</v>
      </c>
      <c r="D106" s="462" t="s">
        <v>643</v>
      </c>
      <c r="E106" s="453" t="s">
        <v>673</v>
      </c>
      <c r="F106" s="463">
        <v>87.9</v>
      </c>
      <c r="G106" s="457"/>
      <c r="H106" s="458">
        <f t="shared" si="16"/>
        <v>52.74</v>
      </c>
      <c r="I106" s="458">
        <f t="shared" si="15"/>
        <v>369.18</v>
      </c>
      <c r="J106" s="459" t="s">
        <v>638</v>
      </c>
      <c r="K106" s="1051"/>
    </row>
    <row r="107" spans="1:12" ht="12.8" customHeight="1">
      <c r="A107" s="452">
        <v>0</v>
      </c>
      <c r="B107" s="453" t="s">
        <v>517</v>
      </c>
      <c r="C107" s="453" t="s">
        <v>538</v>
      </c>
      <c r="D107" s="464" t="s">
        <v>644</v>
      </c>
      <c r="E107" s="453" t="s">
        <v>645</v>
      </c>
      <c r="F107" s="463">
        <v>10051</v>
      </c>
      <c r="G107" s="457"/>
      <c r="H107" s="458">
        <f t="shared" si="16"/>
        <v>6030.5999999999995</v>
      </c>
      <c r="I107" s="458">
        <f t="shared" si="15"/>
        <v>0</v>
      </c>
      <c r="J107" s="459" t="s">
        <v>638</v>
      </c>
      <c r="K107" s="1052" t="s">
        <v>646</v>
      </c>
    </row>
    <row r="108" spans="1:12" ht="24.9">
      <c r="A108" s="461">
        <v>0</v>
      </c>
      <c r="B108" s="453" t="s">
        <v>517</v>
      </c>
      <c r="C108" s="453" t="s">
        <v>538</v>
      </c>
      <c r="D108" s="464" t="s">
        <v>644</v>
      </c>
      <c r="E108" s="453" t="s">
        <v>647</v>
      </c>
      <c r="F108" s="463">
        <v>17412</v>
      </c>
      <c r="G108" s="457"/>
      <c r="H108" s="458">
        <f t="shared" si="16"/>
        <v>10447.199999999999</v>
      </c>
      <c r="I108" s="458">
        <f t="shared" si="15"/>
        <v>0</v>
      </c>
      <c r="J108" s="459" t="s">
        <v>638</v>
      </c>
      <c r="K108" s="1052"/>
    </row>
    <row r="109" spans="1:12" ht="12.8" customHeight="1">
      <c r="A109" s="461">
        <v>0</v>
      </c>
      <c r="B109" s="453" t="s">
        <v>517</v>
      </c>
      <c r="C109" s="453" t="s">
        <v>538</v>
      </c>
      <c r="D109" s="465" t="s">
        <v>644</v>
      </c>
      <c r="E109" s="453" t="s">
        <v>648</v>
      </c>
      <c r="F109" s="463">
        <v>2345</v>
      </c>
      <c r="G109" s="457"/>
      <c r="H109" s="458">
        <f t="shared" si="16"/>
        <v>1407</v>
      </c>
      <c r="I109" s="458">
        <f t="shared" si="15"/>
        <v>0</v>
      </c>
      <c r="J109" s="453" t="s">
        <v>649</v>
      </c>
      <c r="K109" s="1049" t="s">
        <v>650</v>
      </c>
    </row>
    <row r="110" spans="1:12" ht="24.9">
      <c r="A110" s="461">
        <v>0</v>
      </c>
      <c r="B110" s="453" t="s">
        <v>517</v>
      </c>
      <c r="C110" s="453" t="s">
        <v>538</v>
      </c>
      <c r="D110" s="465" t="s">
        <v>644</v>
      </c>
      <c r="E110" s="453" t="s">
        <v>651</v>
      </c>
      <c r="F110" s="463">
        <v>3258</v>
      </c>
      <c r="G110" s="457"/>
      <c r="H110" s="458">
        <f t="shared" si="16"/>
        <v>1954.8</v>
      </c>
      <c r="I110" s="458">
        <f t="shared" si="15"/>
        <v>0</v>
      </c>
      <c r="J110" s="453" t="s">
        <v>649</v>
      </c>
      <c r="K110" s="1049"/>
    </row>
    <row r="111" spans="1:12" ht="24.9">
      <c r="A111" s="461">
        <v>0</v>
      </c>
      <c r="B111" s="453" t="s">
        <v>517</v>
      </c>
      <c r="C111" s="453" t="s">
        <v>538</v>
      </c>
      <c r="D111" s="465" t="s">
        <v>644</v>
      </c>
      <c r="E111" s="453" t="s">
        <v>652</v>
      </c>
      <c r="F111" s="463">
        <v>5649</v>
      </c>
      <c r="G111" s="457"/>
      <c r="H111" s="458">
        <f t="shared" si="16"/>
        <v>3389.4</v>
      </c>
      <c r="I111" s="458">
        <f t="shared" si="15"/>
        <v>0</v>
      </c>
      <c r="J111" s="453" t="s">
        <v>649</v>
      </c>
      <c r="K111" s="1049"/>
    </row>
    <row r="112" spans="1:12" ht="24.9">
      <c r="A112" s="461">
        <v>0</v>
      </c>
      <c r="B112" s="453" t="s">
        <v>517</v>
      </c>
      <c r="C112" s="453" t="s">
        <v>538</v>
      </c>
      <c r="D112" s="465" t="s">
        <v>644</v>
      </c>
      <c r="E112" s="453" t="s">
        <v>653</v>
      </c>
      <c r="F112" s="463">
        <v>1488</v>
      </c>
      <c r="G112" s="457"/>
      <c r="H112" s="458">
        <f t="shared" si="16"/>
        <v>892.8</v>
      </c>
      <c r="I112" s="458">
        <f t="shared" si="15"/>
        <v>0</v>
      </c>
      <c r="J112" s="453" t="s">
        <v>649</v>
      </c>
      <c r="K112" s="1049"/>
    </row>
    <row r="113" spans="1:17" ht="24.9">
      <c r="A113" s="461">
        <v>0</v>
      </c>
      <c r="B113" s="453" t="s">
        <v>517</v>
      </c>
      <c r="C113" s="453" t="s">
        <v>538</v>
      </c>
      <c r="D113" s="465" t="s">
        <v>644</v>
      </c>
      <c r="E113" s="453" t="s">
        <v>654</v>
      </c>
      <c r="F113" s="463">
        <v>5269</v>
      </c>
      <c r="G113" s="457"/>
      <c r="H113" s="458">
        <f t="shared" si="16"/>
        <v>3161.4</v>
      </c>
      <c r="I113" s="458">
        <f t="shared" si="15"/>
        <v>0</v>
      </c>
      <c r="J113" s="453" t="s">
        <v>649</v>
      </c>
      <c r="K113" s="1049"/>
    </row>
    <row r="114" spans="1:17" ht="24.9">
      <c r="A114" s="461">
        <v>0</v>
      </c>
      <c r="B114" s="453" t="s">
        <v>517</v>
      </c>
      <c r="C114" s="453" t="s">
        <v>538</v>
      </c>
      <c r="D114" s="465" t="s">
        <v>644</v>
      </c>
      <c r="E114" s="453" t="s">
        <v>655</v>
      </c>
      <c r="F114" s="463">
        <v>3078</v>
      </c>
      <c r="G114" s="457"/>
      <c r="H114" s="458">
        <f t="shared" si="16"/>
        <v>1846.8</v>
      </c>
      <c r="I114" s="458">
        <f t="shared" si="15"/>
        <v>0</v>
      </c>
      <c r="J114" s="453" t="s">
        <v>649</v>
      </c>
      <c r="K114" s="1049"/>
    </row>
    <row r="115" spans="1:17" ht="24.9">
      <c r="A115" s="461">
        <v>0</v>
      </c>
      <c r="B115" s="453" t="s">
        <v>517</v>
      </c>
      <c r="C115" s="453" t="s">
        <v>538</v>
      </c>
      <c r="D115" s="465" t="s">
        <v>644</v>
      </c>
      <c r="E115" s="453" t="s">
        <v>656</v>
      </c>
      <c r="F115" s="463">
        <v>3489</v>
      </c>
      <c r="G115" s="457"/>
      <c r="H115" s="458">
        <f t="shared" si="16"/>
        <v>2093.4</v>
      </c>
      <c r="I115" s="458">
        <f t="shared" si="15"/>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6"/>
        <v>4473.5999999999995</v>
      </c>
      <c r="I117" s="458">
        <f t="shared" si="15"/>
        <v>0</v>
      </c>
      <c r="J117" s="453" t="s">
        <v>649</v>
      </c>
      <c r="K117" s="1049"/>
    </row>
    <row r="118" spans="1:17" ht="24.9">
      <c r="A118" s="461">
        <v>0</v>
      </c>
      <c r="B118" s="453" t="s">
        <v>517</v>
      </c>
      <c r="C118" s="453" t="s">
        <v>538</v>
      </c>
      <c r="D118" s="465" t="s">
        <v>644</v>
      </c>
      <c r="E118" s="453" t="s">
        <v>660</v>
      </c>
      <c r="F118" s="463">
        <v>8494</v>
      </c>
      <c r="G118" s="457"/>
      <c r="H118" s="458">
        <f t="shared" si="16"/>
        <v>5096.3999999999996</v>
      </c>
      <c r="I118" s="458">
        <f t="shared" si="15"/>
        <v>0</v>
      </c>
      <c r="J118" s="453" t="s">
        <v>649</v>
      </c>
      <c r="K118" s="1049"/>
    </row>
    <row r="119" spans="1:17" ht="24.9">
      <c r="A119" s="461">
        <v>0</v>
      </c>
      <c r="B119" s="453" t="s">
        <v>517</v>
      </c>
      <c r="C119" s="453" t="s">
        <v>538</v>
      </c>
      <c r="D119" s="465" t="s">
        <v>644</v>
      </c>
      <c r="E119" s="453" t="s">
        <v>661</v>
      </c>
      <c r="F119" s="463">
        <v>9434</v>
      </c>
      <c r="G119" s="457"/>
      <c r="H119" s="458">
        <f t="shared" si="16"/>
        <v>5660.4</v>
      </c>
      <c r="I119" s="458">
        <f t="shared" si="15"/>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5"/>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5"/>
        <v>161.44</v>
      </c>
    </row>
    <row r="125" spans="1:17">
      <c r="A125" s="204"/>
      <c r="F125" s="485"/>
      <c r="H125" s="403"/>
      <c r="I125" s="403"/>
    </row>
    <row r="126" spans="1:17" ht="15.75">
      <c r="E126" s="439" t="s">
        <v>676</v>
      </c>
      <c r="I126" s="486">
        <f>SUM(I81:I124)</f>
        <v>4003.8399999999992</v>
      </c>
      <c r="Q126" s="165">
        <f>I126</f>
        <v>4003.8399999999992</v>
      </c>
    </row>
    <row r="128" spans="1:17" ht="13.75" customHeight="1">
      <c r="A128" s="986" t="s">
        <v>100</v>
      </c>
      <c r="B128" s="986"/>
      <c r="C128" s="986"/>
      <c r="D128" s="986"/>
      <c r="E128" s="986"/>
    </row>
    <row r="130" spans="1:10">
      <c r="E130" s="442" t="s">
        <v>677</v>
      </c>
      <c r="J130" s="403"/>
    </row>
    <row r="131" spans="1:10" ht="22.25">
      <c r="A131" s="407">
        <v>1</v>
      </c>
      <c r="B131" s="407" t="s">
        <v>522</v>
      </c>
      <c r="C131" s="408" t="s">
        <v>678</v>
      </c>
      <c r="D131" s="407" t="s">
        <v>679</v>
      </c>
      <c r="E131" s="408" t="s">
        <v>680</v>
      </c>
      <c r="F131" s="409">
        <v>2801.13</v>
      </c>
      <c r="G131" s="410"/>
      <c r="H131" s="409">
        <f t="shared" ref="H131:H172" si="17">F131*(1-G131)</f>
        <v>2801.13</v>
      </c>
      <c r="I131" s="409"/>
    </row>
    <row r="132" spans="1:10" ht="33.4">
      <c r="A132" s="407">
        <v>1</v>
      </c>
      <c r="B132" s="407" t="s">
        <v>522</v>
      </c>
      <c r="C132" s="408" t="s">
        <v>678</v>
      </c>
      <c r="D132" s="407" t="s">
        <v>681</v>
      </c>
      <c r="E132" s="408" t="s">
        <v>682</v>
      </c>
      <c r="F132" s="409">
        <v>772.15</v>
      </c>
      <c r="G132" s="410"/>
      <c r="H132" s="409">
        <f t="shared" si="17"/>
        <v>772.15</v>
      </c>
      <c r="I132" s="409"/>
    </row>
    <row r="133" spans="1:10" ht="33.4">
      <c r="A133" s="407">
        <v>1</v>
      </c>
      <c r="B133" s="407" t="s">
        <v>522</v>
      </c>
      <c r="C133" s="408" t="s">
        <v>678</v>
      </c>
      <c r="D133" s="407" t="s">
        <v>683</v>
      </c>
      <c r="E133" s="408" t="s">
        <v>684</v>
      </c>
      <c r="F133" s="409">
        <v>150.26</v>
      </c>
      <c r="G133" s="410"/>
      <c r="H133" s="409">
        <f t="shared" si="17"/>
        <v>150.26</v>
      </c>
      <c r="I133" s="409"/>
    </row>
    <row r="134" spans="1:10" ht="33.4">
      <c r="A134" s="407">
        <v>1</v>
      </c>
      <c r="B134" s="407" t="s">
        <v>522</v>
      </c>
      <c r="C134" s="408" t="s">
        <v>678</v>
      </c>
      <c r="D134" s="407" t="s">
        <v>685</v>
      </c>
      <c r="E134" s="408" t="s">
        <v>686</v>
      </c>
      <c r="F134" s="409">
        <v>10.58</v>
      </c>
      <c r="G134" s="410"/>
      <c r="H134" s="409">
        <f t="shared" si="17"/>
        <v>10.58</v>
      </c>
      <c r="I134" s="409"/>
    </row>
    <row r="135" spans="1:10" ht="22.25">
      <c r="A135" s="407">
        <v>0</v>
      </c>
      <c r="B135" s="407" t="s">
        <v>522</v>
      </c>
      <c r="C135" s="408" t="s">
        <v>678</v>
      </c>
      <c r="D135" s="407" t="s">
        <v>687</v>
      </c>
      <c r="E135" s="408" t="s">
        <v>688</v>
      </c>
      <c r="F135" s="409">
        <v>69.78</v>
      </c>
      <c r="G135" s="410"/>
      <c r="H135" s="409">
        <f t="shared" si="17"/>
        <v>69.78</v>
      </c>
      <c r="I135" s="409"/>
      <c r="J135" s="17" t="s">
        <v>689</v>
      </c>
    </row>
    <row r="136" spans="1:10" ht="22.25">
      <c r="A136" s="487">
        <v>10</v>
      </c>
      <c r="B136" s="407" t="s">
        <v>539</v>
      </c>
      <c r="C136" s="408" t="s">
        <v>690</v>
      </c>
      <c r="D136" s="407"/>
      <c r="E136" s="407" t="s">
        <v>691</v>
      </c>
      <c r="F136" s="409">
        <v>7.58</v>
      </c>
      <c r="G136" s="410"/>
      <c r="H136" s="409">
        <f t="shared" si="17"/>
        <v>7.58</v>
      </c>
      <c r="I136" s="409"/>
      <c r="J136" s="17" t="s">
        <v>692</v>
      </c>
    </row>
    <row r="137" spans="1:10" ht="22.25">
      <c r="A137" s="487">
        <v>10</v>
      </c>
      <c r="B137" s="407" t="s">
        <v>539</v>
      </c>
      <c r="C137" s="408" t="s">
        <v>690</v>
      </c>
      <c r="D137" s="407"/>
      <c r="E137" s="407" t="s">
        <v>693</v>
      </c>
      <c r="F137" s="409">
        <v>2.04</v>
      </c>
      <c r="G137" s="410"/>
      <c r="H137" s="409">
        <f t="shared" si="17"/>
        <v>2.04</v>
      </c>
      <c r="I137" s="409"/>
      <c r="J137" s="17" t="s">
        <v>694</v>
      </c>
    </row>
    <row r="138" spans="1:10" ht="22.25">
      <c r="A138" s="407">
        <v>1</v>
      </c>
      <c r="B138" s="407" t="s">
        <v>522</v>
      </c>
      <c r="C138" s="408"/>
      <c r="D138" s="407"/>
      <c r="E138" s="408" t="s">
        <v>695</v>
      </c>
      <c r="F138" s="409">
        <v>50</v>
      </c>
      <c r="G138" s="410"/>
      <c r="H138" s="409">
        <f t="shared" si="17"/>
        <v>50</v>
      </c>
      <c r="I138" s="409"/>
      <c r="J138" s="204" t="s">
        <v>696</v>
      </c>
    </row>
    <row r="139" spans="1:10">
      <c r="A139" s="407">
        <v>16</v>
      </c>
      <c r="B139" s="407" t="s">
        <v>619</v>
      </c>
      <c r="C139" s="408"/>
      <c r="D139" s="407"/>
      <c r="E139" s="408" t="s">
        <v>697</v>
      </c>
      <c r="F139" s="409">
        <f>F62</f>
        <v>55</v>
      </c>
      <c r="G139" s="410"/>
      <c r="H139" s="409">
        <f t="shared" si="17"/>
        <v>55</v>
      </c>
      <c r="I139" s="409"/>
    </row>
    <row r="140" spans="1:10" ht="66.8">
      <c r="A140" s="407">
        <v>1</v>
      </c>
      <c r="B140" s="407" t="s">
        <v>517</v>
      </c>
      <c r="C140" s="408" t="s">
        <v>698</v>
      </c>
      <c r="D140" s="407" t="s">
        <v>636</v>
      </c>
      <c r="E140" s="408" t="s">
        <v>637</v>
      </c>
      <c r="F140" s="409">
        <v>1809</v>
      </c>
      <c r="G140" s="410">
        <v>0.75</v>
      </c>
      <c r="H140" s="409">
        <f t="shared" si="17"/>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9">
      <c r="A145" s="407"/>
      <c r="B145" s="407"/>
      <c r="C145" s="408"/>
      <c r="D145" s="407"/>
      <c r="E145" s="408"/>
      <c r="F145" s="409"/>
      <c r="G145" s="410"/>
      <c r="H145" s="409"/>
      <c r="I145" s="409"/>
    </row>
    <row r="146" spans="1:19">
      <c r="E146" s="442"/>
      <c r="M146" s="403"/>
      <c r="N146" s="403"/>
      <c r="O146" s="403"/>
      <c r="P146" s="403"/>
      <c r="Q146" s="403"/>
      <c r="R146" s="403"/>
      <c r="S146" s="403"/>
    </row>
    <row r="147" spans="1:19">
      <c r="A147" s="407"/>
      <c r="B147" s="407"/>
      <c r="C147" s="408"/>
      <c r="D147" s="407"/>
      <c r="E147" s="408"/>
      <c r="F147" s="409"/>
      <c r="G147" s="410"/>
      <c r="H147" s="409"/>
      <c r="I147" s="409"/>
      <c r="M147" s="403"/>
      <c r="N147" s="403"/>
      <c r="O147" s="403"/>
      <c r="P147" s="403"/>
      <c r="Q147" s="403"/>
      <c r="R147" s="403"/>
      <c r="S147" s="403"/>
    </row>
    <row r="148" spans="1:19" ht="15.75">
      <c r="A148" s="407"/>
      <c r="B148" s="407"/>
      <c r="C148" s="408"/>
      <c r="D148" s="407"/>
      <c r="E148" s="749"/>
      <c r="F148" s="409"/>
      <c r="G148" s="410"/>
      <c r="H148" s="409">
        <f t="shared" si="17"/>
        <v>0</v>
      </c>
      <c r="I148" s="421">
        <f>A148*H148</f>
        <v>0</v>
      </c>
      <c r="J148" s="403"/>
      <c r="M148" s="403"/>
      <c r="N148" s="403"/>
      <c r="O148" s="403"/>
      <c r="P148" s="403"/>
      <c r="Q148" s="403"/>
      <c r="R148" s="403"/>
      <c r="S148" s="403"/>
    </row>
    <row r="149" spans="1:19">
      <c r="A149" s="407"/>
      <c r="B149" s="407"/>
      <c r="C149" s="408"/>
      <c r="D149" s="407"/>
      <c r="E149" s="408"/>
      <c r="F149" s="409"/>
      <c r="G149" s="410"/>
      <c r="H149" s="409"/>
      <c r="I149" s="409"/>
      <c r="M149" s="403"/>
      <c r="N149" s="403"/>
      <c r="O149" s="403"/>
      <c r="P149" s="403"/>
      <c r="Q149" s="403"/>
      <c r="R149" s="403"/>
      <c r="S149" s="403"/>
    </row>
    <row r="150" spans="1:19">
      <c r="A150" s="407"/>
      <c r="B150" s="407"/>
      <c r="C150" s="408"/>
      <c r="D150" s="407"/>
      <c r="E150" s="408"/>
      <c r="F150" s="409"/>
      <c r="G150" s="410"/>
      <c r="H150" s="409"/>
      <c r="I150" s="409"/>
    </row>
    <row r="151" spans="1:19">
      <c r="A151" s="407"/>
      <c r="B151" s="407"/>
      <c r="C151" s="408"/>
      <c r="D151" s="407"/>
      <c r="E151" s="408"/>
      <c r="F151" s="409"/>
      <c r="G151" s="410"/>
      <c r="H151" s="409"/>
      <c r="I151" s="409"/>
    </row>
    <row r="152" spans="1:19">
      <c r="A152" s="204"/>
      <c r="F152" s="485"/>
      <c r="H152" s="403"/>
      <c r="I152" s="403"/>
    </row>
    <row r="153" spans="1:19">
      <c r="E153" s="439" t="s">
        <v>702</v>
      </c>
      <c r="I153" s="443">
        <f>SUM(I131:I152)</f>
        <v>0</v>
      </c>
    </row>
    <row r="155" spans="1:19" ht="15.05" customHeight="1">
      <c r="A155" s="1002" t="s">
        <v>90</v>
      </c>
      <c r="B155" s="1002"/>
      <c r="C155" s="1002"/>
      <c r="D155" s="1002"/>
      <c r="E155" s="1002"/>
    </row>
    <row r="157" spans="1:19">
      <c r="A157" s="17">
        <v>1</v>
      </c>
      <c r="B157" s="17" t="s">
        <v>517</v>
      </c>
      <c r="E157" s="17" t="s">
        <v>703</v>
      </c>
      <c r="F157" s="403">
        <v>800</v>
      </c>
      <c r="H157" s="403">
        <f t="shared" si="17"/>
        <v>800</v>
      </c>
      <c r="I157" s="403">
        <f t="shared" ref="I157:I163" si="18">A157*H157</f>
        <v>800</v>
      </c>
      <c r="J157" s="17" t="s">
        <v>704</v>
      </c>
    </row>
    <row r="158" spans="1:19">
      <c r="A158" s="17">
        <v>1</v>
      </c>
      <c r="B158" s="17" t="s">
        <v>517</v>
      </c>
      <c r="E158" s="17" t="s">
        <v>705</v>
      </c>
      <c r="F158" s="403">
        <v>500</v>
      </c>
      <c r="H158" s="403">
        <f t="shared" si="17"/>
        <v>500</v>
      </c>
      <c r="I158" s="403">
        <f t="shared" si="18"/>
        <v>500</v>
      </c>
      <c r="J158" s="17" t="s">
        <v>704</v>
      </c>
    </row>
    <row r="159" spans="1:19">
      <c r="A159" s="17">
        <v>1</v>
      </c>
      <c r="B159" s="17" t="s">
        <v>517</v>
      </c>
      <c r="E159" s="17" t="s">
        <v>706</v>
      </c>
      <c r="F159" s="403">
        <v>40</v>
      </c>
      <c r="H159" s="403">
        <f t="shared" si="17"/>
        <v>40</v>
      </c>
      <c r="I159" s="403">
        <f t="shared" si="18"/>
        <v>40</v>
      </c>
    </row>
    <row r="160" spans="1:19">
      <c r="A160" s="17">
        <v>1</v>
      </c>
      <c r="B160" s="17" t="s">
        <v>517</v>
      </c>
      <c r="E160" s="17" t="s">
        <v>707</v>
      </c>
      <c r="F160" s="403">
        <v>1500</v>
      </c>
      <c r="H160" s="403">
        <f t="shared" si="17"/>
        <v>1500</v>
      </c>
      <c r="I160" s="403">
        <f t="shared" si="18"/>
        <v>1500</v>
      </c>
    </row>
    <row r="161" spans="1:10" ht="55.65">
      <c r="A161" s="17">
        <v>1</v>
      </c>
      <c r="B161" s="17" t="s">
        <v>517</v>
      </c>
      <c r="C161" s="204" t="s">
        <v>708</v>
      </c>
      <c r="E161" s="204" t="s">
        <v>709</v>
      </c>
      <c r="F161" s="403">
        <v>460</v>
      </c>
      <c r="H161" s="403">
        <f t="shared" si="17"/>
        <v>460</v>
      </c>
      <c r="I161" s="403">
        <f t="shared" si="18"/>
        <v>460</v>
      </c>
    </row>
    <row r="162" spans="1:10" ht="55.65">
      <c r="A162" s="17">
        <v>0</v>
      </c>
      <c r="B162" s="17" t="s">
        <v>517</v>
      </c>
      <c r="C162" s="204" t="s">
        <v>711</v>
      </c>
      <c r="E162" s="204" t="s">
        <v>712</v>
      </c>
      <c r="F162" s="403">
        <v>320</v>
      </c>
      <c r="H162" s="403">
        <f t="shared" si="17"/>
        <v>320</v>
      </c>
      <c r="I162" s="403">
        <f t="shared" si="18"/>
        <v>0</v>
      </c>
    </row>
    <row r="163" spans="1:10" ht="55.65">
      <c r="A163" s="17">
        <v>1</v>
      </c>
      <c r="B163" s="17" t="s">
        <v>517</v>
      </c>
      <c r="C163" s="17" t="s">
        <v>713</v>
      </c>
      <c r="D163" s="17" t="s">
        <v>714</v>
      </c>
      <c r="E163" s="204" t="s">
        <v>715</v>
      </c>
      <c r="F163" s="403">
        <v>2725</v>
      </c>
      <c r="H163" s="403">
        <f t="shared" si="17"/>
        <v>2725</v>
      </c>
      <c r="I163" s="403">
        <f t="shared" si="18"/>
        <v>2725</v>
      </c>
    </row>
    <row r="165" spans="1:10" ht="15.75">
      <c r="E165" s="439" t="s">
        <v>729</v>
      </c>
      <c r="I165" s="168">
        <f>SUM(I155:I164)</f>
        <v>6025</v>
      </c>
    </row>
    <row r="167" spans="1:10" ht="13.75" customHeight="1">
      <c r="A167" s="997" t="s">
        <v>68</v>
      </c>
      <c r="B167" s="997"/>
      <c r="C167" s="997"/>
      <c r="D167" s="997"/>
      <c r="E167" s="997"/>
    </row>
    <row r="168" spans="1:10">
      <c r="A168" s="442">
        <v>0</v>
      </c>
      <c r="B168" s="17" t="s">
        <v>517</v>
      </c>
      <c r="E168" s="17" t="s">
        <v>1433</v>
      </c>
      <c r="F168" s="403">
        <v>187.5</v>
      </c>
      <c r="H168" s="403">
        <f t="shared" si="17"/>
        <v>187.5</v>
      </c>
      <c r="I168" s="403">
        <f t="shared" ref="I168:I172" si="19">A168*H168</f>
        <v>0</v>
      </c>
      <c r="J168" s="17" t="s">
        <v>1434</v>
      </c>
    </row>
    <row r="169" spans="1:10">
      <c r="A169" s="442">
        <v>1</v>
      </c>
      <c r="B169" s="17" t="s">
        <v>517</v>
      </c>
      <c r="E169" s="17" t="s">
        <v>1435</v>
      </c>
      <c r="F169" s="403">
        <v>250</v>
      </c>
      <c r="H169" s="403">
        <f t="shared" si="17"/>
        <v>250</v>
      </c>
      <c r="I169" s="403">
        <f t="shared" si="19"/>
        <v>250</v>
      </c>
    </row>
    <row r="170" spans="1:10">
      <c r="A170" s="442">
        <v>0</v>
      </c>
      <c r="B170" s="17" t="s">
        <v>505</v>
      </c>
      <c r="E170" s="17" t="s">
        <v>1436</v>
      </c>
      <c r="F170" s="403">
        <v>500</v>
      </c>
      <c r="H170" s="403">
        <f t="shared" si="17"/>
        <v>500</v>
      </c>
      <c r="I170" s="403">
        <f t="shared" si="19"/>
        <v>0</v>
      </c>
    </row>
    <row r="171" spans="1:10" ht="55.65">
      <c r="A171" s="17">
        <v>0</v>
      </c>
      <c r="B171" s="17" t="s">
        <v>517</v>
      </c>
      <c r="C171" s="204" t="s">
        <v>708</v>
      </c>
      <c r="E171" s="204" t="s">
        <v>731</v>
      </c>
      <c r="F171" s="403">
        <f>460/2</f>
        <v>230</v>
      </c>
      <c r="H171" s="403">
        <f t="shared" si="17"/>
        <v>230</v>
      </c>
      <c r="I171" s="403">
        <f t="shared" si="19"/>
        <v>0</v>
      </c>
    </row>
    <row r="172" spans="1:10" ht="55.65">
      <c r="A172" s="17">
        <v>0</v>
      </c>
      <c r="B172" s="17" t="s">
        <v>517</v>
      </c>
      <c r="C172" s="204" t="s">
        <v>711</v>
      </c>
      <c r="E172" s="204" t="s">
        <v>732</v>
      </c>
      <c r="F172" s="403">
        <f>320/2</f>
        <v>160</v>
      </c>
      <c r="H172" s="403">
        <f t="shared" si="17"/>
        <v>160</v>
      </c>
      <c r="I172" s="403">
        <f t="shared" si="19"/>
        <v>0</v>
      </c>
    </row>
    <row r="174" spans="1:10" ht="15.75">
      <c r="E174" s="439" t="s">
        <v>733</v>
      </c>
      <c r="I174" s="168">
        <f>SUM(I167:I173)</f>
        <v>250</v>
      </c>
    </row>
    <row r="175" spans="1:10">
      <c r="E175" s="439"/>
    </row>
  </sheetData>
  <mergeCells count="13">
    <mergeCell ref="B1:F1"/>
    <mergeCell ref="A2:G2"/>
    <mergeCell ref="J24:L24"/>
    <mergeCell ref="K82:K83"/>
    <mergeCell ref="K84:K85"/>
    <mergeCell ref="A128:E128"/>
    <mergeCell ref="A155:E155"/>
    <mergeCell ref="A167:E167"/>
    <mergeCell ref="K86:K96"/>
    <mergeCell ref="K103:K104"/>
    <mergeCell ref="K105:K106"/>
    <mergeCell ref="K107:K108"/>
    <mergeCell ref="K109:K119"/>
  </mergeCells>
  <hyperlinks>
    <hyperlink ref="C8" r:id="rId1"/>
    <hyperlink ref="C9" r:id="rId2"/>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7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287</v>
      </c>
      <c r="C1" s="1053"/>
      <c r="D1" s="1053"/>
      <c r="E1" s="1053"/>
      <c r="F1" s="1053"/>
      <c r="H1" s="405" t="s">
        <v>493</v>
      </c>
      <c r="I1" s="406">
        <v>375</v>
      </c>
      <c r="J1" s="17" t="s">
        <v>494</v>
      </c>
      <c r="K1" s="17" t="s">
        <v>495</v>
      </c>
      <c r="L1" s="58">
        <f>A4*I1</f>
        <v>60000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13">
        <v>160</v>
      </c>
      <c r="B4" s="407" t="s">
        <v>505</v>
      </c>
      <c r="C4" s="413" t="s">
        <v>810</v>
      </c>
      <c r="D4" s="413"/>
      <c r="E4" s="420" t="s">
        <v>1318</v>
      </c>
      <c r="F4" s="421">
        <f>20700/160</f>
        <v>129.375</v>
      </c>
      <c r="G4" s="410"/>
      <c r="H4" s="409">
        <f t="shared" ref="H4:H9" si="0">F4*(1-G4)</f>
        <v>129.375</v>
      </c>
      <c r="I4" s="409">
        <f t="shared" ref="I4:I9" si="1">A4*H4</f>
        <v>20700</v>
      </c>
      <c r="J4" s="417">
        <f>F4/I1</f>
        <v>0.34499999999999997</v>
      </c>
      <c r="K4" s="403"/>
      <c r="L4" s="404"/>
      <c r="M4" s="437">
        <f>I4</f>
        <v>20700</v>
      </c>
      <c r="N4" s="437"/>
      <c r="O4" s="437"/>
      <c r="P4" s="437"/>
      <c r="Q4" s="437"/>
      <c r="R4" s="418"/>
      <c r="S4" s="437"/>
    </row>
    <row r="5" spans="1:19" ht="55.65">
      <c r="A5" s="413">
        <v>0</v>
      </c>
      <c r="B5" s="407" t="s">
        <v>505</v>
      </c>
      <c r="C5" s="408" t="s">
        <v>817</v>
      </c>
      <c r="D5" s="407" t="s">
        <v>818</v>
      </c>
      <c r="E5" s="408" t="s">
        <v>819</v>
      </c>
      <c r="F5" s="409">
        <v>267.5</v>
      </c>
      <c r="G5" s="410"/>
      <c r="H5" s="409">
        <f t="shared" si="0"/>
        <v>267.5</v>
      </c>
      <c r="I5" s="409">
        <f t="shared" si="1"/>
        <v>0</v>
      </c>
      <c r="J5" s="417"/>
      <c r="K5" s="403"/>
      <c r="L5" s="404"/>
      <c r="M5" s="437"/>
      <c r="N5" s="437"/>
      <c r="O5" s="437"/>
      <c r="P5" s="437"/>
      <c r="Q5" s="437"/>
      <c r="R5" s="418"/>
      <c r="S5" s="437"/>
    </row>
    <row r="6" spans="1:19">
      <c r="A6" s="413">
        <f>A4+A5</f>
        <v>160</v>
      </c>
      <c r="B6" s="413" t="s">
        <v>505</v>
      </c>
      <c r="C6" s="423" t="s">
        <v>810</v>
      </c>
      <c r="D6" s="487"/>
      <c r="E6" s="424" t="s">
        <v>1319</v>
      </c>
      <c r="F6" s="425">
        <v>49.375</v>
      </c>
      <c r="G6" s="422"/>
      <c r="H6" s="421">
        <f t="shared" si="0"/>
        <v>49.375</v>
      </c>
      <c r="I6" s="421">
        <f t="shared" si="1"/>
        <v>7900</v>
      </c>
      <c r="J6" s="417">
        <f t="shared" ref="J6:J8" si="2">F6/$I$1</f>
        <v>0.13166666666666665</v>
      </c>
      <c r="K6" s="417"/>
      <c r="M6" s="437">
        <f t="shared" ref="M6:M9" si="3">I6</f>
        <v>7900</v>
      </c>
      <c r="N6" s="437"/>
      <c r="O6" s="437"/>
      <c r="P6" s="437"/>
      <c r="Q6" s="437"/>
      <c r="R6" s="418"/>
      <c r="S6" s="437"/>
    </row>
    <row r="7" spans="1:19" ht="15.75">
      <c r="A7" s="413">
        <f>10*(16+16+1)/3</f>
        <v>110</v>
      </c>
      <c r="B7" s="413" t="s">
        <v>517</v>
      </c>
      <c r="C7" s="420" t="s">
        <v>1512</v>
      </c>
      <c r="D7" s="413"/>
      <c r="E7" s="750" t="s">
        <v>1513</v>
      </c>
      <c r="F7" s="421">
        <v>64</v>
      </c>
      <c r="G7" s="422"/>
      <c r="H7" s="421">
        <f t="shared" si="0"/>
        <v>64</v>
      </c>
      <c r="I7" s="421">
        <f t="shared" si="1"/>
        <v>7040</v>
      </c>
      <c r="J7" s="417">
        <f t="shared" si="2"/>
        <v>0.17066666666666666</v>
      </c>
      <c r="K7" s="417"/>
      <c r="M7" s="437">
        <f t="shared" si="3"/>
        <v>7040</v>
      </c>
      <c r="N7" s="437"/>
      <c r="O7" s="437"/>
      <c r="P7" s="437"/>
      <c r="Q7" s="437"/>
      <c r="R7" s="418"/>
      <c r="S7" s="437"/>
    </row>
    <row r="8" spans="1:19" ht="122.4">
      <c r="A8" s="413">
        <f>A7*3/0.5*1.1</f>
        <v>726.00000000000011</v>
      </c>
      <c r="B8" s="413" t="s">
        <v>517</v>
      </c>
      <c r="C8" s="751" t="s">
        <v>1514</v>
      </c>
      <c r="D8" s="413"/>
      <c r="E8" s="750" t="s">
        <v>1515</v>
      </c>
      <c r="F8" s="421">
        <v>1.02</v>
      </c>
      <c r="G8" s="422"/>
      <c r="H8" s="421">
        <f t="shared" si="0"/>
        <v>1.02</v>
      </c>
      <c r="I8" s="421">
        <f t="shared" si="1"/>
        <v>740.5200000000001</v>
      </c>
      <c r="J8" s="417">
        <f t="shared" si="2"/>
        <v>2.7200000000000002E-3</v>
      </c>
      <c r="K8" s="417"/>
      <c r="M8" s="437">
        <f t="shared" si="3"/>
        <v>740.5200000000001</v>
      </c>
      <c r="N8" s="437"/>
      <c r="O8" s="437"/>
      <c r="P8" s="437"/>
      <c r="Q8" s="437"/>
      <c r="R8" s="418"/>
      <c r="S8" s="437"/>
    </row>
    <row r="9" spans="1:19" ht="189.2">
      <c r="A9" s="407">
        <v>0</v>
      </c>
      <c r="B9" s="413"/>
      <c r="C9" s="751" t="s">
        <v>1516</v>
      </c>
      <c r="D9" s="413"/>
      <c r="E9" s="750" t="s">
        <v>1517</v>
      </c>
      <c r="F9" s="421">
        <v>382.5</v>
      </c>
      <c r="G9" s="422"/>
      <c r="H9" s="421">
        <f t="shared" si="0"/>
        <v>382.5</v>
      </c>
      <c r="I9" s="421">
        <f t="shared" si="1"/>
        <v>0</v>
      </c>
      <c r="J9" s="417">
        <f>I9/A4/$I$1</f>
        <v>0</v>
      </c>
      <c r="K9" s="417" t="s">
        <v>1518</v>
      </c>
      <c r="M9" s="437">
        <f t="shared" si="3"/>
        <v>0</v>
      </c>
      <c r="N9" s="437"/>
      <c r="O9" s="437"/>
      <c r="P9" s="437"/>
      <c r="Q9" s="437"/>
      <c r="R9" s="418"/>
      <c r="S9" s="437"/>
    </row>
    <row r="10" spans="1:19">
      <c r="A10" s="407">
        <v>160</v>
      </c>
      <c r="B10" s="413" t="s">
        <v>517</v>
      </c>
      <c r="C10" s="407" t="s">
        <v>810</v>
      </c>
      <c r="D10" s="407"/>
      <c r="E10" s="408" t="s">
        <v>1320</v>
      </c>
      <c r="F10" s="409">
        <f>280/160</f>
        <v>1.75</v>
      </c>
      <c r="G10" s="410"/>
      <c r="H10" s="421">
        <f t="shared" ref="H10:H64" si="4">F10*(1-G10)</f>
        <v>1.75</v>
      </c>
      <c r="I10" s="421">
        <f t="shared" ref="I10:I33" si="5">A10*H10</f>
        <v>280</v>
      </c>
      <c r="J10" s="417"/>
      <c r="K10" s="417"/>
      <c r="M10" s="437">
        <f t="shared" ref="M10:M11" si="6">I10</f>
        <v>280</v>
      </c>
      <c r="N10" s="437"/>
      <c r="O10" s="437"/>
      <c r="P10" s="437"/>
      <c r="Q10" s="437"/>
      <c r="R10" s="418"/>
      <c r="S10" s="437"/>
    </row>
    <row r="11" spans="1:19" ht="22.25">
      <c r="A11" s="413">
        <f>4*(8*1.15+2*0.3)+20*1.75*2</f>
        <v>109.19999999999999</v>
      </c>
      <c r="B11" s="413" t="s">
        <v>539</v>
      </c>
      <c r="C11" s="413" t="s">
        <v>531</v>
      </c>
      <c r="D11" s="413"/>
      <c r="E11" s="420" t="s">
        <v>727</v>
      </c>
      <c r="F11" s="421">
        <v>25</v>
      </c>
      <c r="G11" s="410"/>
      <c r="H11" s="421">
        <f t="shared" si="4"/>
        <v>25</v>
      </c>
      <c r="I11" s="421">
        <f t="shared" si="5"/>
        <v>2729.9999999999995</v>
      </c>
      <c r="J11" s="417"/>
      <c r="K11" s="417"/>
      <c r="M11" s="437">
        <f t="shared" si="6"/>
        <v>2729.9999999999995</v>
      </c>
      <c r="N11" s="437"/>
      <c r="O11" s="437"/>
      <c r="P11" s="437"/>
      <c r="Q11" s="437"/>
      <c r="R11" s="418"/>
      <c r="S11" s="437"/>
    </row>
    <row r="12" spans="1:19" ht="15.75">
      <c r="A12" s="407"/>
      <c r="B12" s="413"/>
      <c r="C12" s="420"/>
      <c r="D12" s="413"/>
      <c r="E12" s="750"/>
      <c r="F12" s="421"/>
      <c r="G12" s="422"/>
      <c r="H12" s="421"/>
      <c r="I12" s="421"/>
      <c r="J12" s="417"/>
      <c r="K12" s="417"/>
      <c r="M12" s="437"/>
      <c r="N12" s="437"/>
      <c r="O12" s="437"/>
      <c r="P12" s="437"/>
      <c r="Q12" s="437"/>
      <c r="R12" s="418"/>
      <c r="S12" s="437"/>
    </row>
    <row r="13" spans="1:19" ht="22.25">
      <c r="A13" s="423">
        <v>1</v>
      </c>
      <c r="B13" s="423" t="s">
        <v>522</v>
      </c>
      <c r="C13" s="413" t="s">
        <v>810</v>
      </c>
      <c r="D13" s="413"/>
      <c r="E13" s="420" t="s">
        <v>1323</v>
      </c>
      <c r="F13" s="421">
        <v>750</v>
      </c>
      <c r="G13" s="410"/>
      <c r="H13" s="409">
        <f t="shared" si="4"/>
        <v>750</v>
      </c>
      <c r="I13" s="409">
        <f t="shared" si="5"/>
        <v>750</v>
      </c>
      <c r="J13" s="204"/>
      <c r="M13" s="437"/>
      <c r="N13" s="437"/>
      <c r="O13" s="437"/>
      <c r="P13" s="437"/>
      <c r="Q13" s="437"/>
      <c r="R13" s="418">
        <f t="shared" ref="R13:R25" si="7">I13</f>
        <v>750</v>
      </c>
      <c r="S13" s="437"/>
    </row>
    <row r="14" spans="1:19">
      <c r="A14" s="413">
        <v>0</v>
      </c>
      <c r="B14" s="413"/>
      <c r="C14" s="413" t="s">
        <v>751</v>
      </c>
      <c r="D14" s="413"/>
      <c r="E14" s="420" t="s">
        <v>1505</v>
      </c>
      <c r="F14" s="421">
        <v>464.44</v>
      </c>
      <c r="G14" s="410"/>
      <c r="H14" s="409">
        <f t="shared" si="4"/>
        <v>464.44</v>
      </c>
      <c r="I14" s="409">
        <f t="shared" si="5"/>
        <v>0</v>
      </c>
      <c r="J14" s="204"/>
      <c r="M14" s="437"/>
      <c r="N14" s="437"/>
      <c r="O14" s="437"/>
      <c r="P14" s="437"/>
      <c r="Q14" s="437"/>
      <c r="R14" s="418">
        <f t="shared" si="7"/>
        <v>0</v>
      </c>
      <c r="S14" s="437"/>
    </row>
    <row r="15" spans="1:19" ht="22.25">
      <c r="A15" s="413">
        <v>0</v>
      </c>
      <c r="B15" s="413" t="s">
        <v>530</v>
      </c>
      <c r="C15" s="420" t="s">
        <v>531</v>
      </c>
      <c r="D15" s="413"/>
      <c r="E15" s="413" t="s">
        <v>532</v>
      </c>
      <c r="F15" s="421">
        <v>500</v>
      </c>
      <c r="G15" s="410"/>
      <c r="H15" s="409">
        <f t="shared" si="4"/>
        <v>500</v>
      </c>
      <c r="I15" s="409">
        <f t="shared" si="5"/>
        <v>0</v>
      </c>
      <c r="J15" s="204"/>
      <c r="M15" s="437"/>
      <c r="N15" s="437"/>
      <c r="O15" s="437"/>
      <c r="P15" s="437"/>
      <c r="Q15" s="437"/>
      <c r="R15" s="418">
        <f t="shared" si="7"/>
        <v>0</v>
      </c>
      <c r="S15" s="437"/>
    </row>
    <row r="16" spans="1:19" ht="22.25">
      <c r="A16" s="413">
        <v>0</v>
      </c>
      <c r="B16" s="413" t="s">
        <v>505</v>
      </c>
      <c r="C16" s="420" t="s">
        <v>534</v>
      </c>
      <c r="D16" s="413"/>
      <c r="E16" s="420" t="s">
        <v>535</v>
      </c>
      <c r="F16" s="421">
        <v>3.71</v>
      </c>
      <c r="G16" s="410"/>
      <c r="H16" s="409">
        <f t="shared" si="4"/>
        <v>3.71</v>
      </c>
      <c r="I16" s="409">
        <f t="shared" si="5"/>
        <v>0</v>
      </c>
      <c r="J16" s="204" t="s">
        <v>536</v>
      </c>
      <c r="M16" s="437"/>
      <c r="N16" s="437"/>
      <c r="O16" s="437"/>
      <c r="P16" s="437"/>
      <c r="Q16" s="437"/>
      <c r="R16" s="418">
        <f t="shared" si="7"/>
        <v>0</v>
      </c>
      <c r="S16" s="437"/>
    </row>
    <row r="17" spans="1:19" ht="22.25">
      <c r="A17" s="413">
        <v>0</v>
      </c>
      <c r="B17" s="413" t="s">
        <v>505</v>
      </c>
      <c r="C17" s="420" t="s">
        <v>534</v>
      </c>
      <c r="D17" s="413"/>
      <c r="E17" s="420" t="s">
        <v>537</v>
      </c>
      <c r="F17" s="421">
        <v>3.81</v>
      </c>
      <c r="G17" s="410"/>
      <c r="H17" s="409">
        <f t="shared" si="4"/>
        <v>3.81</v>
      </c>
      <c r="I17" s="409">
        <f t="shared" si="5"/>
        <v>0</v>
      </c>
      <c r="J17" s="204" t="s">
        <v>538</v>
      </c>
      <c r="M17" s="437"/>
      <c r="N17" s="437"/>
      <c r="O17" s="437"/>
      <c r="P17" s="437"/>
      <c r="Q17" s="437"/>
      <c r="R17" s="418">
        <f t="shared" si="7"/>
        <v>0</v>
      </c>
      <c r="S17" s="437"/>
    </row>
    <row r="18" spans="1:19" ht="55.65">
      <c r="A18" s="413">
        <f>10*20+5*20</f>
        <v>300</v>
      </c>
      <c r="B18" s="413" t="s">
        <v>539</v>
      </c>
      <c r="C18" s="420" t="s">
        <v>987</v>
      </c>
      <c r="D18" s="413" t="s">
        <v>541</v>
      </c>
      <c r="E18" s="420" t="s">
        <v>542</v>
      </c>
      <c r="F18" s="421">
        <f t="shared" ref="F18:F19" si="8">328.33/500</f>
        <v>0.65666000000000002</v>
      </c>
      <c r="G18" s="410"/>
      <c r="H18" s="409">
        <f t="shared" si="4"/>
        <v>0.65666000000000002</v>
      </c>
      <c r="I18" s="409">
        <f t="shared" si="5"/>
        <v>196.99800000000002</v>
      </c>
      <c r="J18" s="491" t="s">
        <v>756</v>
      </c>
      <c r="M18" s="437"/>
      <c r="N18" s="437"/>
      <c r="O18" s="418">
        <f t="shared" ref="O18:O28" si="9">I18</f>
        <v>196.99800000000002</v>
      </c>
      <c r="P18" s="418"/>
      <c r="Q18" s="418"/>
      <c r="R18" s="437"/>
      <c r="S18" s="437"/>
    </row>
    <row r="19" spans="1:19" ht="55.65">
      <c r="A19" s="413">
        <f>A18+A6*1.7+20*1</f>
        <v>592</v>
      </c>
      <c r="B19" s="413" t="s">
        <v>539</v>
      </c>
      <c r="C19" s="420" t="s">
        <v>987</v>
      </c>
      <c r="D19" s="413" t="s">
        <v>543</v>
      </c>
      <c r="E19" s="420" t="s">
        <v>544</v>
      </c>
      <c r="F19" s="421">
        <f t="shared" si="8"/>
        <v>0.65666000000000002</v>
      </c>
      <c r="G19" s="410"/>
      <c r="H19" s="409">
        <f t="shared" si="4"/>
        <v>0.65666000000000002</v>
      </c>
      <c r="I19" s="409">
        <f t="shared" si="5"/>
        <v>388.74272000000002</v>
      </c>
      <c r="J19" s="204"/>
      <c r="M19" s="437"/>
      <c r="N19" s="437"/>
      <c r="O19" s="418">
        <f t="shared" si="9"/>
        <v>388.74272000000002</v>
      </c>
      <c r="P19" s="418"/>
      <c r="Q19" s="418"/>
      <c r="R19" s="437"/>
      <c r="S19" s="437"/>
    </row>
    <row r="20" spans="1:19" ht="22.25">
      <c r="A20" s="413">
        <v>10</v>
      </c>
      <c r="B20" s="413" t="s">
        <v>522</v>
      </c>
      <c r="C20" s="420" t="s">
        <v>1074</v>
      </c>
      <c r="D20" s="413"/>
      <c r="E20" s="420" t="s">
        <v>1079</v>
      </c>
      <c r="F20" s="421">
        <v>1.3</v>
      </c>
      <c r="G20" s="410"/>
      <c r="H20" s="409">
        <f t="shared" si="4"/>
        <v>1.3</v>
      </c>
      <c r="I20" s="409">
        <f t="shared" si="5"/>
        <v>13</v>
      </c>
      <c r="J20" s="204"/>
      <c r="K20" s="17" t="s">
        <v>1520</v>
      </c>
      <c r="M20" s="437"/>
      <c r="N20" s="437"/>
      <c r="O20" s="418">
        <f t="shared" si="9"/>
        <v>13</v>
      </c>
      <c r="P20" s="437"/>
      <c r="Q20" s="437"/>
      <c r="R20" s="418"/>
      <c r="S20" s="437"/>
    </row>
    <row r="21" spans="1:19" ht="22.25">
      <c r="A21" s="413">
        <f>A20</f>
        <v>10</v>
      </c>
      <c r="B21" s="413" t="s">
        <v>522</v>
      </c>
      <c r="C21" s="420" t="s">
        <v>1074</v>
      </c>
      <c r="D21" s="413"/>
      <c r="E21" s="420" t="s">
        <v>1080</v>
      </c>
      <c r="F21" s="421">
        <v>0.98</v>
      </c>
      <c r="G21" s="410"/>
      <c r="H21" s="409">
        <f t="shared" si="4"/>
        <v>0.98</v>
      </c>
      <c r="I21" s="409">
        <f t="shared" si="5"/>
        <v>9.8000000000000007</v>
      </c>
      <c r="J21" s="204"/>
      <c r="M21" s="437"/>
      <c r="N21" s="437"/>
      <c r="O21" s="418">
        <f t="shared" si="9"/>
        <v>9.8000000000000007</v>
      </c>
      <c r="P21" s="437"/>
      <c r="Q21" s="437"/>
      <c r="R21" s="418"/>
      <c r="S21" s="437"/>
    </row>
    <row r="22" spans="1:19">
      <c r="A22" s="413">
        <v>1</v>
      </c>
      <c r="B22" s="413" t="s">
        <v>522</v>
      </c>
      <c r="C22" s="413" t="s">
        <v>810</v>
      </c>
      <c r="D22" s="413"/>
      <c r="E22" s="420" t="s">
        <v>811</v>
      </c>
      <c r="F22" s="421">
        <v>3420</v>
      </c>
      <c r="G22" s="428"/>
      <c r="H22" s="430">
        <v>4332.5</v>
      </c>
      <c r="I22" s="409">
        <f t="shared" si="5"/>
        <v>4332.5</v>
      </c>
      <c r="J22" s="204"/>
      <c r="K22" s="17" t="s">
        <v>1521</v>
      </c>
      <c r="M22" s="437"/>
      <c r="N22" s="418">
        <f t="shared" ref="N22:N23" si="10">I22</f>
        <v>4332.5</v>
      </c>
      <c r="O22" s="437"/>
      <c r="P22" s="437"/>
      <c r="Q22" s="437"/>
      <c r="R22" s="437"/>
      <c r="S22" s="437"/>
    </row>
    <row r="23" spans="1:19">
      <c r="A23" s="413">
        <v>80</v>
      </c>
      <c r="B23" s="413" t="s">
        <v>522</v>
      </c>
      <c r="C23" s="413" t="s">
        <v>810</v>
      </c>
      <c r="D23" s="413"/>
      <c r="E23" s="420" t="s">
        <v>1321</v>
      </c>
      <c r="F23" s="421">
        <v>57</v>
      </c>
      <c r="G23" s="410"/>
      <c r="H23" s="409">
        <f t="shared" si="4"/>
        <v>57</v>
      </c>
      <c r="I23" s="409">
        <f t="shared" si="5"/>
        <v>4560</v>
      </c>
      <c r="J23" s="204"/>
      <c r="M23" s="437"/>
      <c r="N23" s="418">
        <f t="shared" si="10"/>
        <v>4560</v>
      </c>
      <c r="O23" s="437"/>
      <c r="P23" s="437"/>
      <c r="Q23" s="437"/>
      <c r="R23" s="437"/>
      <c r="S23" s="437"/>
    </row>
    <row r="24" spans="1:19" ht="55.65">
      <c r="A24" s="413">
        <v>0</v>
      </c>
      <c r="B24" s="413" t="s">
        <v>522</v>
      </c>
      <c r="C24" s="420" t="s">
        <v>987</v>
      </c>
      <c r="D24" s="413" t="s">
        <v>761</v>
      </c>
      <c r="E24" s="420" t="s">
        <v>762</v>
      </c>
      <c r="F24" s="421">
        <v>2.5</v>
      </c>
      <c r="G24" s="410"/>
      <c r="H24" s="409">
        <f t="shared" si="4"/>
        <v>2.5</v>
      </c>
      <c r="I24" s="409">
        <f t="shared" si="5"/>
        <v>0</v>
      </c>
      <c r="J24" s="204"/>
      <c r="M24" s="437"/>
      <c r="N24" s="437"/>
      <c r="O24" s="437"/>
      <c r="P24" s="437"/>
      <c r="Q24" s="437"/>
      <c r="R24" s="418">
        <f t="shared" si="7"/>
        <v>0</v>
      </c>
      <c r="S24" s="437"/>
    </row>
    <row r="25" spans="1:19">
      <c r="A25" s="413">
        <v>1</v>
      </c>
      <c r="B25" s="413" t="s">
        <v>522</v>
      </c>
      <c r="C25" s="413" t="s">
        <v>810</v>
      </c>
      <c r="D25" s="413"/>
      <c r="E25" s="420" t="s">
        <v>1324</v>
      </c>
      <c r="F25" s="421">
        <v>475</v>
      </c>
      <c r="G25" s="410"/>
      <c r="H25" s="409">
        <f t="shared" si="4"/>
        <v>475</v>
      </c>
      <c r="I25" s="409">
        <f t="shared" si="5"/>
        <v>475</v>
      </c>
      <c r="J25" s="1054"/>
      <c r="K25" s="1054"/>
      <c r="L25" s="1054"/>
      <c r="M25" s="437"/>
      <c r="N25" s="437"/>
      <c r="O25" s="437"/>
      <c r="P25" s="437"/>
      <c r="Q25" s="437"/>
      <c r="R25" s="418">
        <f t="shared" si="7"/>
        <v>475</v>
      </c>
      <c r="S25" s="437"/>
    </row>
    <row r="26" spans="1:19" ht="22.25">
      <c r="A26" s="413">
        <v>1</v>
      </c>
      <c r="B26" s="413" t="s">
        <v>522</v>
      </c>
      <c r="C26" s="420"/>
      <c r="D26" s="413"/>
      <c r="E26" s="420" t="s">
        <v>695</v>
      </c>
      <c r="F26" s="421">
        <v>100</v>
      </c>
      <c r="G26" s="410"/>
      <c r="H26" s="409">
        <f t="shared" si="4"/>
        <v>100</v>
      </c>
      <c r="I26" s="409">
        <f t="shared" si="5"/>
        <v>100</v>
      </c>
      <c r="J26" s="204" t="s">
        <v>696</v>
      </c>
      <c r="M26" s="437"/>
      <c r="N26" s="437"/>
      <c r="O26" s="418">
        <f t="shared" si="9"/>
        <v>100</v>
      </c>
      <c r="P26" s="437"/>
      <c r="Q26" s="437"/>
      <c r="R26" s="418"/>
      <c r="S26" s="437"/>
    </row>
    <row r="27" spans="1:19" ht="44.55">
      <c r="A27" s="413">
        <v>1</v>
      </c>
      <c r="B27" s="413" t="s">
        <v>505</v>
      </c>
      <c r="C27" s="420" t="s">
        <v>751</v>
      </c>
      <c r="D27" s="413"/>
      <c r="E27" s="420" t="s">
        <v>1212</v>
      </c>
      <c r="F27" s="421">
        <v>787.5</v>
      </c>
      <c r="G27" s="422"/>
      <c r="H27" s="409">
        <f t="shared" si="4"/>
        <v>787.5</v>
      </c>
      <c r="I27" s="409">
        <f t="shared" si="5"/>
        <v>787.5</v>
      </c>
      <c r="J27" s="204"/>
      <c r="M27" s="418">
        <f>F27</f>
        <v>787.5</v>
      </c>
      <c r="N27" s="437"/>
      <c r="O27" s="437"/>
      <c r="P27" s="437"/>
      <c r="Q27" s="437"/>
      <c r="R27" s="437"/>
      <c r="S27" s="437"/>
    </row>
    <row r="28" spans="1:19" ht="44.55">
      <c r="A28" s="413">
        <v>30</v>
      </c>
      <c r="B28" s="413" t="s">
        <v>539</v>
      </c>
      <c r="C28" s="420" t="s">
        <v>690</v>
      </c>
      <c r="D28" s="413"/>
      <c r="E28" s="413" t="s">
        <v>835</v>
      </c>
      <c r="F28" s="421">
        <v>9.32</v>
      </c>
      <c r="G28" s="428"/>
      <c r="H28" s="409">
        <f t="shared" si="4"/>
        <v>9.32</v>
      </c>
      <c r="I28" s="409">
        <f t="shared" si="5"/>
        <v>279.60000000000002</v>
      </c>
      <c r="J28" s="491" t="s">
        <v>756</v>
      </c>
      <c r="M28" s="418"/>
      <c r="N28" s="437"/>
      <c r="O28" s="418">
        <f t="shared" si="9"/>
        <v>279.60000000000002</v>
      </c>
      <c r="P28" s="437"/>
      <c r="Q28" s="437"/>
      <c r="R28" s="437"/>
      <c r="S28" s="437"/>
    </row>
    <row r="29" spans="1:19" ht="44.55">
      <c r="A29" s="413">
        <v>1</v>
      </c>
      <c r="B29" s="413" t="s">
        <v>517</v>
      </c>
      <c r="C29" s="420" t="s">
        <v>569</v>
      </c>
      <c r="D29" s="413" t="s">
        <v>570</v>
      </c>
      <c r="E29" s="420" t="s">
        <v>571</v>
      </c>
      <c r="F29" s="421">
        <v>1040</v>
      </c>
      <c r="G29" s="495">
        <v>0.48</v>
      </c>
      <c r="H29" s="425">
        <f t="shared" si="4"/>
        <v>540.80000000000007</v>
      </c>
      <c r="I29" s="409">
        <f t="shared" si="5"/>
        <v>540.80000000000007</v>
      </c>
      <c r="J29" s="204"/>
      <c r="M29" s="418"/>
      <c r="N29" s="437"/>
      <c r="O29" s="437"/>
      <c r="P29" s="437"/>
      <c r="Q29" s="437"/>
      <c r="R29" s="437"/>
      <c r="S29" s="437">
        <f t="shared" ref="S29:S33" si="11">I29</f>
        <v>540.80000000000007</v>
      </c>
    </row>
    <row r="30" spans="1:19" ht="44.55">
      <c r="A30" s="407">
        <v>0</v>
      </c>
      <c r="B30" s="407" t="s">
        <v>517</v>
      </c>
      <c r="C30" s="492" t="s">
        <v>569</v>
      </c>
      <c r="D30" s="487" t="s">
        <v>572</v>
      </c>
      <c r="E30" s="492" t="s">
        <v>573</v>
      </c>
      <c r="F30" s="430">
        <v>1190</v>
      </c>
      <c r="G30" s="429">
        <v>0.48</v>
      </c>
      <c r="H30" s="430">
        <f t="shared" si="4"/>
        <v>618.80000000000007</v>
      </c>
      <c r="I30" s="409">
        <f t="shared" si="5"/>
        <v>0</v>
      </c>
      <c r="J30" s="204"/>
      <c r="M30" s="418"/>
      <c r="N30" s="437"/>
      <c r="O30" s="437"/>
      <c r="P30" s="437"/>
      <c r="Q30" s="437"/>
      <c r="R30" s="437"/>
      <c r="S30" s="437">
        <f t="shared" si="11"/>
        <v>0</v>
      </c>
    </row>
    <row r="31" spans="1:19">
      <c r="A31" s="407">
        <v>0</v>
      </c>
      <c r="B31" s="407" t="s">
        <v>517</v>
      </c>
      <c r="C31" s="408" t="s">
        <v>574</v>
      </c>
      <c r="D31" s="407" t="s">
        <v>575</v>
      </c>
      <c r="E31" s="407" t="s">
        <v>576</v>
      </c>
      <c r="F31" s="409">
        <v>36.700000000000003</v>
      </c>
      <c r="G31" s="410"/>
      <c r="H31" s="409">
        <f t="shared" si="4"/>
        <v>36.700000000000003</v>
      </c>
      <c r="I31" s="409">
        <f t="shared" si="5"/>
        <v>0</v>
      </c>
      <c r="J31" s="204"/>
      <c r="M31" s="418"/>
      <c r="N31" s="437"/>
      <c r="O31" s="437"/>
      <c r="P31" s="437"/>
      <c r="Q31" s="437"/>
      <c r="R31" s="437"/>
      <c r="S31" s="437">
        <f t="shared" si="11"/>
        <v>0</v>
      </c>
    </row>
    <row r="32" spans="1:19">
      <c r="A32" s="413">
        <v>5</v>
      </c>
      <c r="B32" s="413" t="s">
        <v>517</v>
      </c>
      <c r="C32" s="420" t="s">
        <v>574</v>
      </c>
      <c r="D32" s="413" t="s">
        <v>577</v>
      </c>
      <c r="E32" s="413" t="s">
        <v>578</v>
      </c>
      <c r="F32" s="421">
        <v>75</v>
      </c>
      <c r="G32" s="410"/>
      <c r="H32" s="409">
        <f t="shared" si="4"/>
        <v>75</v>
      </c>
      <c r="I32" s="409">
        <f t="shared" si="5"/>
        <v>375</v>
      </c>
      <c r="J32" s="204"/>
      <c r="M32" s="418"/>
      <c r="N32" s="437"/>
      <c r="O32" s="437"/>
      <c r="P32" s="437"/>
      <c r="Q32" s="437"/>
      <c r="R32" s="437"/>
      <c r="S32" s="437">
        <f t="shared" si="11"/>
        <v>375</v>
      </c>
    </row>
    <row r="33" spans="1:19">
      <c r="A33" s="413">
        <v>1</v>
      </c>
      <c r="B33" s="413" t="s">
        <v>517</v>
      </c>
      <c r="C33" s="420" t="s">
        <v>574</v>
      </c>
      <c r="D33" s="413"/>
      <c r="E33" s="413" t="s">
        <v>579</v>
      </c>
      <c r="F33" s="421">
        <f>35/4</f>
        <v>8.75</v>
      </c>
      <c r="G33" s="410"/>
      <c r="H33" s="409">
        <f t="shared" si="4"/>
        <v>8.75</v>
      </c>
      <c r="I33" s="409">
        <f t="shared" si="5"/>
        <v>8.75</v>
      </c>
      <c r="J33" s="204"/>
      <c r="M33" s="418"/>
      <c r="N33" s="437"/>
      <c r="O33" s="437"/>
      <c r="P33" s="437"/>
      <c r="Q33" s="437"/>
      <c r="R33" s="437"/>
      <c r="S33" s="437">
        <f t="shared" si="11"/>
        <v>8.75</v>
      </c>
    </row>
    <row r="34" spans="1:19" ht="12.45">
      <c r="A34" s="407"/>
      <c r="B34" s="407"/>
      <c r="C34" s="408"/>
      <c r="D34" s="407"/>
      <c r="E34" s="431"/>
      <c r="F34" s="409"/>
      <c r="G34" s="410"/>
      <c r="H34" s="409"/>
      <c r="I34" s="409"/>
      <c r="J34" s="204"/>
      <c r="M34" s="418"/>
      <c r="N34" s="437"/>
      <c r="O34" s="437"/>
      <c r="P34" s="437"/>
      <c r="Q34" s="437"/>
      <c r="R34" s="437"/>
      <c r="S34" s="437"/>
    </row>
    <row r="35" spans="1:19">
      <c r="A35" s="407"/>
      <c r="B35" s="407"/>
      <c r="C35" s="408"/>
      <c r="D35" s="407"/>
      <c r="E35" s="407"/>
      <c r="F35" s="409"/>
      <c r="G35" s="410"/>
      <c r="H35" s="409"/>
      <c r="I35" s="409"/>
      <c r="J35" s="204"/>
      <c r="M35" s="437"/>
      <c r="N35" s="437"/>
      <c r="O35" s="437"/>
      <c r="P35" s="437"/>
      <c r="Q35" s="437"/>
      <c r="R35" s="437"/>
      <c r="S35" s="437"/>
    </row>
    <row r="36" spans="1:19">
      <c r="A36" s="407"/>
      <c r="B36" s="407"/>
      <c r="C36" s="408"/>
      <c r="D36" s="407"/>
      <c r="E36" s="432" t="s">
        <v>580</v>
      </c>
      <c r="F36" s="409"/>
      <c r="G36" s="410"/>
      <c r="H36" s="409"/>
      <c r="I36" s="421">
        <f>SUM(I4:I34)</f>
        <v>52208.210720000003</v>
      </c>
      <c r="J36" s="204"/>
      <c r="M36" s="418">
        <f>SUM(M4:M34)</f>
        <v>40178.019999999997</v>
      </c>
      <c r="N36" s="418">
        <f>SUM(N4:N34)</f>
        <v>8892.5</v>
      </c>
      <c r="O36" s="418">
        <f>SUM(O4:O34)</f>
        <v>988.14071999999999</v>
      </c>
      <c r="P36" s="418"/>
      <c r="Q36" s="418"/>
      <c r="R36" s="418">
        <f>SUM(R4:R34)</f>
        <v>1225</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65260.263400000003</v>
      </c>
      <c r="J38" s="436"/>
      <c r="K38" s="437"/>
      <c r="L38" s="437"/>
      <c r="M38" s="165">
        <f>M36*(1+$G$37)</f>
        <v>50222.524999999994</v>
      </c>
      <c r="N38" s="165">
        <f>N36*(1+$G$37)</f>
        <v>11115.625</v>
      </c>
      <c r="O38" s="165">
        <f>O36*(1+$G$37)</f>
        <v>1235.1759</v>
      </c>
      <c r="P38" s="165">
        <f>P67</f>
        <v>13200</v>
      </c>
      <c r="Q38" s="165">
        <f>Q126</f>
        <v>4003.8399999999992</v>
      </c>
      <c r="R38" s="165">
        <f>R36*(1+$G$37)</f>
        <v>1531.25</v>
      </c>
      <c r="S38" s="165">
        <f>S36*(1+$G$37)</f>
        <v>1155.6875</v>
      </c>
    </row>
    <row r="41" spans="1:19">
      <c r="E41" s="439" t="s">
        <v>585</v>
      </c>
    </row>
    <row r="42" spans="1:19">
      <c r="A42" s="441">
        <v>8</v>
      </c>
      <c r="B42" s="17" t="s">
        <v>619</v>
      </c>
      <c r="E42" s="17" t="s">
        <v>586</v>
      </c>
      <c r="F42" s="403">
        <f t="shared" ref="F42:F58" si="12">F$62</f>
        <v>55</v>
      </c>
      <c r="H42" s="403">
        <f t="shared" si="4"/>
        <v>55</v>
      </c>
      <c r="I42" s="403">
        <f t="shared" ref="I42:I64" si="13">A42*H42</f>
        <v>440</v>
      </c>
    </row>
    <row r="43" spans="1:19">
      <c r="A43" s="441">
        <f>A6/120*8*2</f>
        <v>21.333333333333332</v>
      </c>
      <c r="B43" s="17" t="s">
        <v>619</v>
      </c>
      <c r="E43" s="17" t="s">
        <v>589</v>
      </c>
      <c r="F43" s="403">
        <f t="shared" si="12"/>
        <v>55</v>
      </c>
      <c r="H43" s="403">
        <f t="shared" si="4"/>
        <v>55</v>
      </c>
      <c r="I43" s="403">
        <f t="shared" si="13"/>
        <v>1173.3333333333333</v>
      </c>
      <c r="J43" s="17" t="s">
        <v>592</v>
      </c>
    </row>
    <row r="44" spans="1:19">
      <c r="A44" s="441">
        <v>4</v>
      </c>
      <c r="B44" s="17" t="s">
        <v>619</v>
      </c>
      <c r="E44" s="17" t="s">
        <v>1426</v>
      </c>
      <c r="F44" s="403">
        <f t="shared" si="12"/>
        <v>55</v>
      </c>
      <c r="H44" s="403">
        <f t="shared" si="4"/>
        <v>55</v>
      </c>
      <c r="I44" s="403">
        <f t="shared" si="13"/>
        <v>220</v>
      </c>
    </row>
    <row r="45" spans="1:19">
      <c r="A45" s="441">
        <f>1.37*A6-SUM(A42:A44)-SUM(A46:A57)</f>
        <v>144.86666666666667</v>
      </c>
      <c r="B45" s="17" t="s">
        <v>619</v>
      </c>
      <c r="E45" s="17" t="s">
        <v>591</v>
      </c>
      <c r="F45" s="403">
        <f t="shared" si="12"/>
        <v>55</v>
      </c>
      <c r="H45" s="403">
        <f t="shared" si="4"/>
        <v>55</v>
      </c>
      <c r="I45" s="403">
        <f t="shared" si="13"/>
        <v>7967.666666666667</v>
      </c>
      <c r="J45" s="17" t="s">
        <v>1480</v>
      </c>
    </row>
    <row r="46" spans="1:19">
      <c r="A46" s="441">
        <v>4</v>
      </c>
      <c r="B46" s="17" t="s">
        <v>619</v>
      </c>
      <c r="E46" s="17" t="s">
        <v>1428</v>
      </c>
      <c r="F46" s="403">
        <f t="shared" si="12"/>
        <v>55</v>
      </c>
      <c r="H46" s="403">
        <f t="shared" si="4"/>
        <v>55</v>
      </c>
      <c r="I46" s="403">
        <f t="shared" si="13"/>
        <v>220</v>
      </c>
    </row>
    <row r="47" spans="1:19">
      <c r="A47" s="441">
        <v>4</v>
      </c>
      <c r="B47" s="17" t="s">
        <v>619</v>
      </c>
      <c r="E47" s="17" t="s">
        <v>1429</v>
      </c>
      <c r="F47" s="403">
        <f t="shared" si="12"/>
        <v>55</v>
      </c>
      <c r="H47" s="403">
        <f t="shared" si="4"/>
        <v>55</v>
      </c>
      <c r="I47" s="403">
        <f t="shared" si="13"/>
        <v>220</v>
      </c>
    </row>
    <row r="48" spans="1:19">
      <c r="A48" s="441">
        <v>2</v>
      </c>
      <c r="B48" s="17" t="s">
        <v>619</v>
      </c>
      <c r="E48" s="17" t="s">
        <v>605</v>
      </c>
      <c r="F48" s="403">
        <f t="shared" si="12"/>
        <v>55</v>
      </c>
      <c r="H48" s="403">
        <f t="shared" si="4"/>
        <v>55</v>
      </c>
      <c r="I48" s="403">
        <f t="shared" si="13"/>
        <v>110</v>
      </c>
    </row>
    <row r="49" spans="1:10">
      <c r="A49" s="441">
        <v>2</v>
      </c>
      <c r="B49" s="17" t="s">
        <v>619</v>
      </c>
      <c r="E49" s="17" t="s">
        <v>607</v>
      </c>
      <c r="F49" s="403">
        <f t="shared" si="12"/>
        <v>55</v>
      </c>
      <c r="H49" s="403">
        <f t="shared" si="4"/>
        <v>55</v>
      </c>
      <c r="I49" s="403">
        <f t="shared" si="13"/>
        <v>110</v>
      </c>
      <c r="J49" s="17" t="s">
        <v>608</v>
      </c>
    </row>
    <row r="50" spans="1:10">
      <c r="A50" s="441">
        <v>1</v>
      </c>
      <c r="B50" s="17" t="s">
        <v>619</v>
      </c>
      <c r="E50" s="17" t="s">
        <v>609</v>
      </c>
      <c r="F50" s="403">
        <f t="shared" si="12"/>
        <v>55</v>
      </c>
      <c r="H50" s="403">
        <f t="shared" si="4"/>
        <v>55</v>
      </c>
      <c r="I50" s="403">
        <f t="shared" si="13"/>
        <v>55</v>
      </c>
    </row>
    <row r="51" spans="1:10">
      <c r="A51" s="441">
        <v>8</v>
      </c>
      <c r="B51" s="17" t="s">
        <v>619</v>
      </c>
      <c r="E51" s="17" t="s">
        <v>610</v>
      </c>
      <c r="F51" s="403">
        <f t="shared" si="12"/>
        <v>55</v>
      </c>
      <c r="H51" s="403">
        <f t="shared" si="4"/>
        <v>55</v>
      </c>
      <c r="I51" s="403">
        <f t="shared" si="13"/>
        <v>440</v>
      </c>
    </row>
    <row r="52" spans="1:10">
      <c r="A52" s="441">
        <v>1</v>
      </c>
      <c r="B52" s="17" t="s">
        <v>619</v>
      </c>
      <c r="E52" s="17" t="s">
        <v>611</v>
      </c>
      <c r="F52" s="403">
        <f t="shared" si="12"/>
        <v>55</v>
      </c>
      <c r="H52" s="403">
        <f t="shared" si="4"/>
        <v>55</v>
      </c>
      <c r="I52" s="403">
        <f t="shared" si="13"/>
        <v>55</v>
      </c>
    </row>
    <row r="53" spans="1:10">
      <c r="A53" s="441">
        <v>1</v>
      </c>
      <c r="B53" s="17" t="s">
        <v>619</v>
      </c>
      <c r="E53" s="17" t="s">
        <v>1431</v>
      </c>
      <c r="F53" s="403">
        <f t="shared" si="12"/>
        <v>55</v>
      </c>
      <c r="H53" s="403">
        <f t="shared" si="4"/>
        <v>55</v>
      </c>
      <c r="I53" s="403">
        <f t="shared" si="13"/>
        <v>55</v>
      </c>
    </row>
    <row r="54" spans="1:10">
      <c r="A54" s="441">
        <f>3*2</f>
        <v>6</v>
      </c>
      <c r="B54" s="17" t="s">
        <v>619</v>
      </c>
      <c r="E54" s="17" t="s">
        <v>612</v>
      </c>
      <c r="F54" s="403">
        <f t="shared" si="12"/>
        <v>55</v>
      </c>
      <c r="H54" s="403">
        <f t="shared" si="4"/>
        <v>55</v>
      </c>
      <c r="I54" s="403">
        <f t="shared" si="13"/>
        <v>330</v>
      </c>
      <c r="J54" s="17" t="s">
        <v>613</v>
      </c>
    </row>
    <row r="55" spans="1:10">
      <c r="A55" s="441">
        <v>8</v>
      </c>
      <c r="B55" s="17" t="s">
        <v>619</v>
      </c>
      <c r="E55" s="17" t="s">
        <v>614</v>
      </c>
      <c r="F55" s="403">
        <f t="shared" si="12"/>
        <v>55</v>
      </c>
      <c r="H55" s="403">
        <f t="shared" si="4"/>
        <v>55</v>
      </c>
      <c r="I55" s="403">
        <f t="shared" si="13"/>
        <v>440</v>
      </c>
    </row>
    <row r="56" spans="1:10">
      <c r="A56" s="441">
        <v>0</v>
      </c>
      <c r="B56" s="17" t="s">
        <v>619</v>
      </c>
      <c r="E56" s="17" t="s">
        <v>615</v>
      </c>
      <c r="F56" s="403">
        <f t="shared" si="12"/>
        <v>55</v>
      </c>
      <c r="H56" s="403">
        <f t="shared" si="4"/>
        <v>55</v>
      </c>
      <c r="I56" s="403">
        <f t="shared" si="13"/>
        <v>0</v>
      </c>
    </row>
    <row r="57" spans="1:10">
      <c r="A57" s="441">
        <v>4</v>
      </c>
      <c r="B57" s="17" t="s">
        <v>619</v>
      </c>
      <c r="E57" s="17" t="s">
        <v>616</v>
      </c>
      <c r="F57" s="403">
        <f t="shared" si="12"/>
        <v>55</v>
      </c>
      <c r="H57" s="403">
        <f t="shared" si="4"/>
        <v>55</v>
      </c>
      <c r="I57" s="403">
        <f t="shared" si="13"/>
        <v>220</v>
      </c>
    </row>
    <row r="58" spans="1:10">
      <c r="A58" s="441">
        <v>0</v>
      </c>
      <c r="B58" s="442" t="s">
        <v>619</v>
      </c>
      <c r="C58" s="446"/>
      <c r="D58" s="442"/>
      <c r="E58" s="17" t="s">
        <v>617</v>
      </c>
      <c r="F58" s="443">
        <f t="shared" si="12"/>
        <v>55</v>
      </c>
      <c r="G58" s="444"/>
      <c r="H58" s="443">
        <f t="shared" si="4"/>
        <v>55</v>
      </c>
      <c r="I58" s="443">
        <f t="shared" si="13"/>
        <v>0</v>
      </c>
      <c r="J58" s="17" t="s">
        <v>618</v>
      </c>
    </row>
    <row r="60" spans="1:10">
      <c r="A60" s="17">
        <f>SUM(A42:A59)</f>
        <v>219.2</v>
      </c>
      <c r="B60" s="17" t="s">
        <v>619</v>
      </c>
      <c r="E60" s="17" t="s">
        <v>620</v>
      </c>
    </row>
    <row r="61" spans="1:10">
      <c r="A61" s="441">
        <v>3</v>
      </c>
      <c r="B61" s="17" t="s">
        <v>517</v>
      </c>
      <c r="E61" s="17" t="s">
        <v>621</v>
      </c>
    </row>
    <row r="62" spans="1:10">
      <c r="A62" s="17">
        <v>1</v>
      </c>
      <c r="B62" s="17" t="s">
        <v>517</v>
      </c>
      <c r="E62" s="17" t="s">
        <v>622</v>
      </c>
      <c r="F62" s="445">
        <v>55</v>
      </c>
      <c r="H62" s="403">
        <f t="shared" si="4"/>
        <v>55</v>
      </c>
      <c r="I62" s="403">
        <f t="shared" si="13"/>
        <v>55</v>
      </c>
      <c r="J62" s="17" t="s">
        <v>623</v>
      </c>
    </row>
    <row r="63" spans="1:10">
      <c r="A63" s="17">
        <f>ROUNDUP(A60/8/A61,0)</f>
        <v>10</v>
      </c>
      <c r="B63" s="17" t="s">
        <v>624</v>
      </c>
      <c r="E63" s="17" t="s">
        <v>625</v>
      </c>
      <c r="F63" s="403">
        <f>A61*8*F62</f>
        <v>1320</v>
      </c>
      <c r="H63" s="403">
        <f t="shared" si="4"/>
        <v>1320</v>
      </c>
      <c r="I63" s="403">
        <f t="shared" si="13"/>
        <v>13200</v>
      </c>
    </row>
    <row r="64" spans="1:10">
      <c r="A64" s="441">
        <v>0</v>
      </c>
      <c r="B64" s="442" t="s">
        <v>517</v>
      </c>
      <c r="C64" s="446"/>
      <c r="D64" s="442"/>
      <c r="E64" s="442" t="s">
        <v>626</v>
      </c>
      <c r="F64" s="447"/>
      <c r="G64" s="444"/>
      <c r="H64" s="403">
        <f t="shared" si="4"/>
        <v>0</v>
      </c>
      <c r="I64" s="403">
        <f t="shared" si="13"/>
        <v>0</v>
      </c>
      <c r="J64" s="442"/>
    </row>
    <row r="65" spans="1:16">
      <c r="A65" s="441"/>
      <c r="F65" s="447"/>
      <c r="H65" s="403"/>
      <c r="I65" s="403"/>
    </row>
    <row r="66" spans="1:16">
      <c r="A66" s="441"/>
      <c r="F66" s="447"/>
      <c r="H66" s="403"/>
      <c r="I66" s="403"/>
    </row>
    <row r="67" spans="1:16" ht="15.75">
      <c r="E67" s="439" t="s">
        <v>628</v>
      </c>
      <c r="I67" s="443">
        <f>SUM(I63:I66)</f>
        <v>13200</v>
      </c>
      <c r="P67" s="165">
        <f>I67</f>
        <v>13200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4">A81*H81</f>
        <v>0</v>
      </c>
      <c r="J81" s="459" t="s">
        <v>638</v>
      </c>
      <c r="K81" s="460" t="s">
        <v>639</v>
      </c>
    </row>
    <row r="82" spans="1:12" ht="12.8" customHeight="1">
      <c r="A82" s="461">
        <v>0</v>
      </c>
      <c r="B82" s="453" t="s">
        <v>517</v>
      </c>
      <c r="C82" s="453" t="s">
        <v>538</v>
      </c>
      <c r="D82" s="462" t="s">
        <v>640</v>
      </c>
      <c r="E82" s="453" t="s">
        <v>641</v>
      </c>
      <c r="F82" s="463">
        <v>1949</v>
      </c>
      <c r="G82" s="457"/>
      <c r="H82" s="458">
        <f t="shared" ref="H82:H96" si="15">F82*(1-$G$77)</f>
        <v>1169.3999999999999</v>
      </c>
      <c r="I82" s="458">
        <f t="shared" si="14"/>
        <v>0</v>
      </c>
      <c r="J82" s="459" t="s">
        <v>638</v>
      </c>
      <c r="K82" s="1051" t="s">
        <v>642</v>
      </c>
    </row>
    <row r="83" spans="1:12" ht="24.9">
      <c r="A83" s="452">
        <v>0</v>
      </c>
      <c r="B83" s="453" t="s">
        <v>539</v>
      </c>
      <c r="C83" s="453" t="s">
        <v>538</v>
      </c>
      <c r="D83" s="462" t="s">
        <v>643</v>
      </c>
      <c r="E83" s="453" t="s">
        <v>641</v>
      </c>
      <c r="F83" s="463">
        <v>80</v>
      </c>
      <c r="G83" s="457"/>
      <c r="H83" s="458">
        <f t="shared" si="15"/>
        <v>48</v>
      </c>
      <c r="I83" s="458">
        <f t="shared" si="14"/>
        <v>0</v>
      </c>
      <c r="J83" s="459" t="s">
        <v>638</v>
      </c>
      <c r="K83" s="1051"/>
    </row>
    <row r="84" spans="1:12" ht="12.8" customHeight="1">
      <c r="A84" s="461">
        <v>0</v>
      </c>
      <c r="B84" s="453" t="s">
        <v>517</v>
      </c>
      <c r="C84" s="453" t="s">
        <v>538</v>
      </c>
      <c r="D84" s="464" t="s">
        <v>644</v>
      </c>
      <c r="E84" s="453" t="s">
        <v>645</v>
      </c>
      <c r="F84" s="463">
        <v>10051</v>
      </c>
      <c r="G84" s="457"/>
      <c r="H84" s="458">
        <f t="shared" si="15"/>
        <v>6030.5999999999995</v>
      </c>
      <c r="I84" s="458">
        <f t="shared" si="14"/>
        <v>0</v>
      </c>
      <c r="J84" s="459" t="s">
        <v>638</v>
      </c>
      <c r="K84" s="1052" t="s">
        <v>646</v>
      </c>
    </row>
    <row r="85" spans="1:12" ht="24.9">
      <c r="A85" s="461">
        <v>0</v>
      </c>
      <c r="B85" s="453" t="s">
        <v>517</v>
      </c>
      <c r="C85" s="453" t="s">
        <v>538</v>
      </c>
      <c r="D85" s="464" t="s">
        <v>644</v>
      </c>
      <c r="E85" s="453" t="s">
        <v>647</v>
      </c>
      <c r="F85" s="463">
        <v>17412</v>
      </c>
      <c r="G85" s="457"/>
      <c r="H85" s="458">
        <f t="shared" si="15"/>
        <v>10447.199999999999</v>
      </c>
      <c r="I85" s="458">
        <f t="shared" si="14"/>
        <v>0</v>
      </c>
      <c r="J85" s="459" t="s">
        <v>638</v>
      </c>
      <c r="K85" s="1052"/>
    </row>
    <row r="86" spans="1:12" ht="12.8" customHeight="1">
      <c r="A86" s="461">
        <v>0</v>
      </c>
      <c r="B86" s="453" t="s">
        <v>517</v>
      </c>
      <c r="C86" s="453" t="s">
        <v>538</v>
      </c>
      <c r="D86" s="465" t="s">
        <v>644</v>
      </c>
      <c r="E86" s="453" t="s">
        <v>648</v>
      </c>
      <c r="F86" s="466">
        <v>2345</v>
      </c>
      <c r="G86" s="457"/>
      <c r="H86" s="458">
        <f t="shared" si="15"/>
        <v>1407</v>
      </c>
      <c r="I86" s="458">
        <f t="shared" si="14"/>
        <v>0</v>
      </c>
      <c r="J86" s="453" t="s">
        <v>649</v>
      </c>
      <c r="K86" s="1049" t="s">
        <v>650</v>
      </c>
    </row>
    <row r="87" spans="1:12" ht="24.9">
      <c r="A87" s="461">
        <v>0</v>
      </c>
      <c r="B87" s="453" t="s">
        <v>517</v>
      </c>
      <c r="C87" s="453" t="s">
        <v>538</v>
      </c>
      <c r="D87" s="465" t="s">
        <v>644</v>
      </c>
      <c r="E87" s="453" t="s">
        <v>651</v>
      </c>
      <c r="F87" s="466">
        <v>3258</v>
      </c>
      <c r="G87" s="457"/>
      <c r="H87" s="458">
        <f t="shared" si="15"/>
        <v>1954.8</v>
      </c>
      <c r="I87" s="458">
        <f t="shared" si="14"/>
        <v>0</v>
      </c>
      <c r="J87" s="453" t="s">
        <v>649</v>
      </c>
      <c r="K87" s="1049"/>
    </row>
    <row r="88" spans="1:12" ht="24.9">
      <c r="A88" s="461">
        <v>0</v>
      </c>
      <c r="B88" s="453" t="s">
        <v>517</v>
      </c>
      <c r="C88" s="453" t="s">
        <v>538</v>
      </c>
      <c r="D88" s="465" t="s">
        <v>644</v>
      </c>
      <c r="E88" s="453" t="s">
        <v>652</v>
      </c>
      <c r="F88" s="463">
        <v>5649</v>
      </c>
      <c r="G88" s="457"/>
      <c r="H88" s="458">
        <f t="shared" si="15"/>
        <v>3389.4</v>
      </c>
      <c r="I88" s="458">
        <f t="shared" si="14"/>
        <v>0</v>
      </c>
      <c r="J88" s="453" t="s">
        <v>649</v>
      </c>
      <c r="K88" s="1049"/>
    </row>
    <row r="89" spans="1:12" ht="24.9">
      <c r="A89" s="461">
        <v>0</v>
      </c>
      <c r="B89" s="453" t="s">
        <v>517</v>
      </c>
      <c r="C89" s="453" t="s">
        <v>538</v>
      </c>
      <c r="D89" s="465" t="s">
        <v>644</v>
      </c>
      <c r="E89" s="453" t="s">
        <v>653</v>
      </c>
      <c r="F89" s="463">
        <v>1488</v>
      </c>
      <c r="G89" s="457"/>
      <c r="H89" s="458">
        <f t="shared" si="15"/>
        <v>892.8</v>
      </c>
      <c r="I89" s="458">
        <f t="shared" si="14"/>
        <v>0</v>
      </c>
      <c r="J89" s="453" t="s">
        <v>649</v>
      </c>
      <c r="K89" s="1049"/>
    </row>
    <row r="90" spans="1:12" ht="24.9">
      <c r="A90" s="461">
        <v>0</v>
      </c>
      <c r="B90" s="453" t="s">
        <v>517</v>
      </c>
      <c r="C90" s="453" t="s">
        <v>538</v>
      </c>
      <c r="D90" s="465" t="s">
        <v>644</v>
      </c>
      <c r="E90" s="453" t="s">
        <v>654</v>
      </c>
      <c r="F90" s="463">
        <v>5269</v>
      </c>
      <c r="G90" s="457"/>
      <c r="H90" s="458">
        <f t="shared" si="15"/>
        <v>3161.4</v>
      </c>
      <c r="I90" s="458">
        <f t="shared" si="14"/>
        <v>0</v>
      </c>
      <c r="J90" s="453" t="s">
        <v>649</v>
      </c>
      <c r="K90" s="1049"/>
    </row>
    <row r="91" spans="1:12" ht="24.9">
      <c r="A91" s="461">
        <v>0</v>
      </c>
      <c r="B91" s="453" t="s">
        <v>517</v>
      </c>
      <c r="C91" s="453" t="s">
        <v>538</v>
      </c>
      <c r="D91" s="465" t="s">
        <v>644</v>
      </c>
      <c r="E91" s="453" t="s">
        <v>655</v>
      </c>
      <c r="F91" s="463">
        <v>3078</v>
      </c>
      <c r="G91" s="457"/>
      <c r="H91" s="458">
        <f t="shared" si="15"/>
        <v>1846.8</v>
      </c>
      <c r="I91" s="458">
        <f t="shared" si="14"/>
        <v>0</v>
      </c>
      <c r="J91" s="453" t="s">
        <v>649</v>
      </c>
      <c r="K91" s="1049"/>
    </row>
    <row r="92" spans="1:12" ht="24.9">
      <c r="A92" s="461">
        <v>0</v>
      </c>
      <c r="B92" s="453" t="s">
        <v>517</v>
      </c>
      <c r="C92" s="453" t="s">
        <v>538</v>
      </c>
      <c r="D92" s="465" t="s">
        <v>644</v>
      </c>
      <c r="E92" s="453" t="s">
        <v>656</v>
      </c>
      <c r="F92" s="463">
        <v>3489</v>
      </c>
      <c r="G92" s="457"/>
      <c r="H92" s="458">
        <f t="shared" si="15"/>
        <v>2093.4</v>
      </c>
      <c r="I92" s="458">
        <f t="shared" si="14"/>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5"/>
        <v>4473.5999999999995</v>
      </c>
      <c r="I94" s="458">
        <f t="shared" si="14"/>
        <v>0</v>
      </c>
      <c r="J94" s="453" t="s">
        <v>649</v>
      </c>
      <c r="K94" s="1049"/>
    </row>
    <row r="95" spans="1:12" ht="24.9">
      <c r="A95" s="461">
        <v>0</v>
      </c>
      <c r="B95" s="453" t="s">
        <v>517</v>
      </c>
      <c r="C95" s="453" t="s">
        <v>538</v>
      </c>
      <c r="D95" s="465" t="s">
        <v>644</v>
      </c>
      <c r="E95" s="453" t="s">
        <v>660</v>
      </c>
      <c r="F95" s="463">
        <v>8494</v>
      </c>
      <c r="G95" s="457"/>
      <c r="H95" s="458">
        <f t="shared" si="15"/>
        <v>5096.3999999999996</v>
      </c>
      <c r="I95" s="458">
        <f t="shared" si="14"/>
        <v>0</v>
      </c>
      <c r="J95" s="453" t="s">
        <v>649</v>
      </c>
      <c r="K95" s="1049"/>
    </row>
    <row r="96" spans="1:12" ht="24.9">
      <c r="A96" s="461">
        <v>0</v>
      </c>
      <c r="B96" s="453" t="s">
        <v>517</v>
      </c>
      <c r="C96" s="453" t="s">
        <v>538</v>
      </c>
      <c r="D96" s="465" t="s">
        <v>644</v>
      </c>
      <c r="E96" s="453" t="s">
        <v>661</v>
      </c>
      <c r="F96" s="463">
        <v>9434</v>
      </c>
      <c r="G96" s="457"/>
      <c r="H96" s="458">
        <f t="shared" si="15"/>
        <v>5660.4</v>
      </c>
      <c r="I96" s="458">
        <f t="shared" si="14"/>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4"/>
        <v>0</v>
      </c>
      <c r="J99" s="453" t="s">
        <v>638</v>
      </c>
      <c r="K99" s="482" t="s">
        <v>666</v>
      </c>
      <c r="L99" s="204"/>
    </row>
    <row r="100" spans="1:12">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1</v>
      </c>
      <c r="B103" s="453" t="s">
        <v>517</v>
      </c>
      <c r="C103" s="454" t="s">
        <v>538</v>
      </c>
      <c r="D103" s="455" t="s">
        <v>636</v>
      </c>
      <c r="E103" s="453" t="s">
        <v>668</v>
      </c>
      <c r="F103" s="463">
        <v>3732</v>
      </c>
      <c r="G103" s="457"/>
      <c r="H103" s="458">
        <f>F103*(1-G78)</f>
        <v>2239.1999999999998</v>
      </c>
      <c r="I103" s="458">
        <f t="shared" ref="I103:I124" si="16">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6"/>
        <v>53.22</v>
      </c>
      <c r="J104" s="453" t="s">
        <v>649</v>
      </c>
      <c r="K104" s="1050"/>
      <c r="L104" s="17" t="s">
        <v>672</v>
      </c>
    </row>
    <row r="105" spans="1:12" ht="12.8" customHeight="1">
      <c r="A105" s="461">
        <v>1</v>
      </c>
      <c r="B105" s="453" t="s">
        <v>517</v>
      </c>
      <c r="C105" s="453" t="s">
        <v>538</v>
      </c>
      <c r="D105" s="462" t="s">
        <v>640</v>
      </c>
      <c r="E105" s="453" t="s">
        <v>673</v>
      </c>
      <c r="F105" s="463">
        <v>1968</v>
      </c>
      <c r="G105" s="457"/>
      <c r="H105" s="458">
        <f t="shared" ref="H105:H119" si="17">F105*(1-$G$77)</f>
        <v>1180.8</v>
      </c>
      <c r="I105" s="458">
        <f t="shared" si="16"/>
        <v>1180.8</v>
      </c>
      <c r="J105" s="459" t="s">
        <v>638</v>
      </c>
      <c r="K105" s="1051" t="s">
        <v>642</v>
      </c>
    </row>
    <row r="106" spans="1:12" ht="24.9">
      <c r="A106" s="452">
        <v>7</v>
      </c>
      <c r="B106" s="453" t="s">
        <v>539</v>
      </c>
      <c r="C106" s="453" t="s">
        <v>538</v>
      </c>
      <c r="D106" s="462" t="s">
        <v>643</v>
      </c>
      <c r="E106" s="453" t="s">
        <v>673</v>
      </c>
      <c r="F106" s="463">
        <v>87.9</v>
      </c>
      <c r="G106" s="457"/>
      <c r="H106" s="458">
        <f t="shared" si="17"/>
        <v>52.74</v>
      </c>
      <c r="I106" s="458">
        <f t="shared" si="16"/>
        <v>369.18</v>
      </c>
      <c r="J106" s="459" t="s">
        <v>638</v>
      </c>
      <c r="K106" s="1051"/>
    </row>
    <row r="107" spans="1:12" ht="12.8" customHeight="1">
      <c r="A107" s="452">
        <v>0</v>
      </c>
      <c r="B107" s="453" t="s">
        <v>517</v>
      </c>
      <c r="C107" s="453" t="s">
        <v>538</v>
      </c>
      <c r="D107" s="464" t="s">
        <v>644</v>
      </c>
      <c r="E107" s="453" t="s">
        <v>645</v>
      </c>
      <c r="F107" s="463">
        <v>10051</v>
      </c>
      <c r="G107" s="457"/>
      <c r="H107" s="458">
        <f t="shared" si="17"/>
        <v>6030.5999999999995</v>
      </c>
      <c r="I107" s="458">
        <f t="shared" si="16"/>
        <v>0</v>
      </c>
      <c r="J107" s="459" t="s">
        <v>638</v>
      </c>
      <c r="K107" s="1052" t="s">
        <v>646</v>
      </c>
    </row>
    <row r="108" spans="1:12" ht="24.9">
      <c r="A108" s="461">
        <v>0</v>
      </c>
      <c r="B108" s="453" t="s">
        <v>517</v>
      </c>
      <c r="C108" s="453" t="s">
        <v>538</v>
      </c>
      <c r="D108" s="464" t="s">
        <v>644</v>
      </c>
      <c r="E108" s="453" t="s">
        <v>647</v>
      </c>
      <c r="F108" s="463">
        <v>17412</v>
      </c>
      <c r="G108" s="457"/>
      <c r="H108" s="458">
        <f t="shared" si="17"/>
        <v>10447.199999999999</v>
      </c>
      <c r="I108" s="458">
        <f t="shared" si="16"/>
        <v>0</v>
      </c>
      <c r="J108" s="459" t="s">
        <v>638</v>
      </c>
      <c r="K108" s="1052"/>
    </row>
    <row r="109" spans="1:12" ht="12.8" customHeight="1">
      <c r="A109" s="461">
        <v>0</v>
      </c>
      <c r="B109" s="453" t="s">
        <v>517</v>
      </c>
      <c r="C109" s="453" t="s">
        <v>538</v>
      </c>
      <c r="D109" s="465" t="s">
        <v>644</v>
      </c>
      <c r="E109" s="453" t="s">
        <v>648</v>
      </c>
      <c r="F109" s="463">
        <v>2345</v>
      </c>
      <c r="G109" s="457"/>
      <c r="H109" s="458">
        <f t="shared" si="17"/>
        <v>1407</v>
      </c>
      <c r="I109" s="458">
        <f t="shared" si="16"/>
        <v>0</v>
      </c>
      <c r="J109" s="453" t="s">
        <v>649</v>
      </c>
      <c r="K109" s="1049" t="s">
        <v>650</v>
      </c>
    </row>
    <row r="110" spans="1:12" ht="24.9">
      <c r="A110" s="461">
        <v>0</v>
      </c>
      <c r="B110" s="453" t="s">
        <v>517</v>
      </c>
      <c r="C110" s="453" t="s">
        <v>538</v>
      </c>
      <c r="D110" s="465" t="s">
        <v>644</v>
      </c>
      <c r="E110" s="453" t="s">
        <v>651</v>
      </c>
      <c r="F110" s="463">
        <v>3258</v>
      </c>
      <c r="G110" s="457"/>
      <c r="H110" s="458">
        <f t="shared" si="17"/>
        <v>1954.8</v>
      </c>
      <c r="I110" s="458">
        <f t="shared" si="16"/>
        <v>0</v>
      </c>
      <c r="J110" s="453" t="s">
        <v>649</v>
      </c>
      <c r="K110" s="1049"/>
    </row>
    <row r="111" spans="1:12" ht="24.9">
      <c r="A111" s="461">
        <v>0</v>
      </c>
      <c r="B111" s="453" t="s">
        <v>517</v>
      </c>
      <c r="C111" s="453" t="s">
        <v>538</v>
      </c>
      <c r="D111" s="465" t="s">
        <v>644</v>
      </c>
      <c r="E111" s="453" t="s">
        <v>652</v>
      </c>
      <c r="F111" s="463">
        <v>5649</v>
      </c>
      <c r="G111" s="457"/>
      <c r="H111" s="458">
        <f t="shared" si="17"/>
        <v>3389.4</v>
      </c>
      <c r="I111" s="458">
        <f t="shared" si="16"/>
        <v>0</v>
      </c>
      <c r="J111" s="453" t="s">
        <v>649</v>
      </c>
      <c r="K111" s="1049"/>
    </row>
    <row r="112" spans="1:12" ht="24.9">
      <c r="A112" s="461">
        <v>0</v>
      </c>
      <c r="B112" s="453" t="s">
        <v>517</v>
      </c>
      <c r="C112" s="453" t="s">
        <v>538</v>
      </c>
      <c r="D112" s="465" t="s">
        <v>644</v>
      </c>
      <c r="E112" s="453" t="s">
        <v>653</v>
      </c>
      <c r="F112" s="463">
        <v>1488</v>
      </c>
      <c r="G112" s="457"/>
      <c r="H112" s="458">
        <f t="shared" si="17"/>
        <v>892.8</v>
      </c>
      <c r="I112" s="458">
        <f t="shared" si="16"/>
        <v>0</v>
      </c>
      <c r="J112" s="453" t="s">
        <v>649</v>
      </c>
      <c r="K112" s="1049"/>
    </row>
    <row r="113" spans="1:17" ht="24.9">
      <c r="A113" s="461">
        <v>0</v>
      </c>
      <c r="B113" s="453" t="s">
        <v>517</v>
      </c>
      <c r="C113" s="453" t="s">
        <v>538</v>
      </c>
      <c r="D113" s="465" t="s">
        <v>644</v>
      </c>
      <c r="E113" s="453" t="s">
        <v>654</v>
      </c>
      <c r="F113" s="463">
        <v>5269</v>
      </c>
      <c r="G113" s="457"/>
      <c r="H113" s="458">
        <f t="shared" si="17"/>
        <v>3161.4</v>
      </c>
      <c r="I113" s="458">
        <f t="shared" si="16"/>
        <v>0</v>
      </c>
      <c r="J113" s="453" t="s">
        <v>649</v>
      </c>
      <c r="K113" s="1049"/>
    </row>
    <row r="114" spans="1:17" ht="24.9">
      <c r="A114" s="461">
        <v>0</v>
      </c>
      <c r="B114" s="453" t="s">
        <v>517</v>
      </c>
      <c r="C114" s="453" t="s">
        <v>538</v>
      </c>
      <c r="D114" s="465" t="s">
        <v>644</v>
      </c>
      <c r="E114" s="453" t="s">
        <v>655</v>
      </c>
      <c r="F114" s="463">
        <v>3078</v>
      </c>
      <c r="G114" s="457"/>
      <c r="H114" s="458">
        <f t="shared" si="17"/>
        <v>1846.8</v>
      </c>
      <c r="I114" s="458">
        <f t="shared" si="16"/>
        <v>0</v>
      </c>
      <c r="J114" s="453" t="s">
        <v>649</v>
      </c>
      <c r="K114" s="1049"/>
    </row>
    <row r="115" spans="1:17" ht="24.9">
      <c r="A115" s="461">
        <v>0</v>
      </c>
      <c r="B115" s="453" t="s">
        <v>517</v>
      </c>
      <c r="C115" s="453" t="s">
        <v>538</v>
      </c>
      <c r="D115" s="465" t="s">
        <v>644</v>
      </c>
      <c r="E115" s="453" t="s">
        <v>656</v>
      </c>
      <c r="F115" s="463">
        <v>3489</v>
      </c>
      <c r="G115" s="457"/>
      <c r="H115" s="458">
        <f t="shared" si="17"/>
        <v>2093.4</v>
      </c>
      <c r="I115" s="458">
        <f t="shared" si="16"/>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7"/>
        <v>4473.5999999999995</v>
      </c>
      <c r="I117" s="458">
        <f t="shared" si="16"/>
        <v>0</v>
      </c>
      <c r="J117" s="453" t="s">
        <v>649</v>
      </c>
      <c r="K117" s="1049"/>
    </row>
    <row r="118" spans="1:17" ht="24.9">
      <c r="A118" s="461">
        <v>0</v>
      </c>
      <c r="B118" s="453" t="s">
        <v>517</v>
      </c>
      <c r="C118" s="453" t="s">
        <v>538</v>
      </c>
      <c r="D118" s="465" t="s">
        <v>644</v>
      </c>
      <c r="E118" s="453" t="s">
        <v>660</v>
      </c>
      <c r="F118" s="463">
        <v>8494</v>
      </c>
      <c r="G118" s="457"/>
      <c r="H118" s="458">
        <f t="shared" si="17"/>
        <v>5096.3999999999996</v>
      </c>
      <c r="I118" s="458">
        <f t="shared" si="16"/>
        <v>0</v>
      </c>
      <c r="J118" s="453" t="s">
        <v>649</v>
      </c>
      <c r="K118" s="1049"/>
    </row>
    <row r="119" spans="1:17" ht="24.9">
      <c r="A119" s="461">
        <v>0</v>
      </c>
      <c r="B119" s="453" t="s">
        <v>517</v>
      </c>
      <c r="C119" s="453" t="s">
        <v>538</v>
      </c>
      <c r="D119" s="465" t="s">
        <v>644</v>
      </c>
      <c r="E119" s="453" t="s">
        <v>661</v>
      </c>
      <c r="F119" s="463">
        <v>9434</v>
      </c>
      <c r="G119" s="457"/>
      <c r="H119" s="458">
        <f t="shared" si="17"/>
        <v>5660.4</v>
      </c>
      <c r="I119" s="458">
        <f t="shared" si="16"/>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6"/>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6"/>
        <v>161.44</v>
      </c>
    </row>
    <row r="125" spans="1:17">
      <c r="A125" s="204"/>
      <c r="F125" s="485"/>
      <c r="H125" s="403"/>
      <c r="I125" s="403"/>
    </row>
    <row r="126" spans="1:17" ht="15.75">
      <c r="E126" s="439" t="s">
        <v>676</v>
      </c>
      <c r="I126" s="486">
        <f>SUM(I81:I124)</f>
        <v>4003.8399999999992</v>
      </c>
      <c r="Q126" s="165">
        <f>I126</f>
        <v>4003.8399999999992</v>
      </c>
    </row>
    <row r="128" spans="1:17" ht="13.75" customHeight="1">
      <c r="A128" s="986" t="s">
        <v>100</v>
      </c>
      <c r="B128" s="986"/>
      <c r="C128" s="986"/>
      <c r="D128" s="986"/>
      <c r="E128" s="986"/>
    </row>
    <row r="130" spans="1:10">
      <c r="E130" s="442" t="s">
        <v>677</v>
      </c>
      <c r="J130" s="403"/>
    </row>
    <row r="131" spans="1:10" ht="22.25">
      <c r="A131" s="407">
        <v>1</v>
      </c>
      <c r="B131" s="407" t="s">
        <v>522</v>
      </c>
      <c r="C131" s="408" t="s">
        <v>678</v>
      </c>
      <c r="D131" s="407" t="s">
        <v>679</v>
      </c>
      <c r="E131" s="408" t="s">
        <v>680</v>
      </c>
      <c r="F131" s="409">
        <v>2801.13</v>
      </c>
      <c r="G131" s="410"/>
      <c r="H131" s="409">
        <f t="shared" ref="H131:H172" si="18">F131*(1-G131)</f>
        <v>2801.13</v>
      </c>
      <c r="I131" s="409"/>
    </row>
    <row r="132" spans="1:10" ht="33.4">
      <c r="A132" s="407">
        <v>1</v>
      </c>
      <c r="B132" s="407" t="s">
        <v>522</v>
      </c>
      <c r="C132" s="408" t="s">
        <v>678</v>
      </c>
      <c r="D132" s="407" t="s">
        <v>681</v>
      </c>
      <c r="E132" s="408" t="s">
        <v>682</v>
      </c>
      <c r="F132" s="409">
        <v>772.15</v>
      </c>
      <c r="G132" s="410"/>
      <c r="H132" s="409">
        <f t="shared" si="18"/>
        <v>772.15</v>
      </c>
      <c r="I132" s="409"/>
    </row>
    <row r="133" spans="1:10" ht="33.4">
      <c r="A133" s="407">
        <v>1</v>
      </c>
      <c r="B133" s="407" t="s">
        <v>522</v>
      </c>
      <c r="C133" s="408" t="s">
        <v>678</v>
      </c>
      <c r="D133" s="407" t="s">
        <v>683</v>
      </c>
      <c r="E133" s="408" t="s">
        <v>684</v>
      </c>
      <c r="F133" s="409">
        <v>150.26</v>
      </c>
      <c r="G133" s="410"/>
      <c r="H133" s="409">
        <f t="shared" si="18"/>
        <v>150.26</v>
      </c>
      <c r="I133" s="409"/>
    </row>
    <row r="134" spans="1:10" ht="33.4">
      <c r="A134" s="407">
        <v>1</v>
      </c>
      <c r="B134" s="407" t="s">
        <v>522</v>
      </c>
      <c r="C134" s="408" t="s">
        <v>678</v>
      </c>
      <c r="D134" s="407" t="s">
        <v>685</v>
      </c>
      <c r="E134" s="408" t="s">
        <v>686</v>
      </c>
      <c r="F134" s="409">
        <v>10.58</v>
      </c>
      <c r="G134" s="410"/>
      <c r="H134" s="409">
        <f t="shared" si="18"/>
        <v>10.58</v>
      </c>
      <c r="I134" s="409"/>
    </row>
    <row r="135" spans="1:10" ht="22.25">
      <c r="A135" s="407">
        <v>0</v>
      </c>
      <c r="B135" s="407" t="s">
        <v>522</v>
      </c>
      <c r="C135" s="408" t="s">
        <v>678</v>
      </c>
      <c r="D135" s="407" t="s">
        <v>687</v>
      </c>
      <c r="E135" s="408" t="s">
        <v>688</v>
      </c>
      <c r="F135" s="409">
        <v>69.78</v>
      </c>
      <c r="G135" s="410"/>
      <c r="H135" s="409">
        <f t="shared" si="18"/>
        <v>69.78</v>
      </c>
      <c r="I135" s="409"/>
      <c r="J135" s="17" t="s">
        <v>689</v>
      </c>
    </row>
    <row r="136" spans="1:10" ht="22.25">
      <c r="A136" s="487">
        <v>10</v>
      </c>
      <c r="B136" s="407" t="s">
        <v>539</v>
      </c>
      <c r="C136" s="408" t="s">
        <v>690</v>
      </c>
      <c r="D136" s="407"/>
      <c r="E136" s="407" t="s">
        <v>691</v>
      </c>
      <c r="F136" s="409">
        <v>7.58</v>
      </c>
      <c r="G136" s="410"/>
      <c r="H136" s="409">
        <f t="shared" si="18"/>
        <v>7.58</v>
      </c>
      <c r="I136" s="409"/>
      <c r="J136" s="17" t="s">
        <v>692</v>
      </c>
    </row>
    <row r="137" spans="1:10" ht="22.25">
      <c r="A137" s="487">
        <v>10</v>
      </c>
      <c r="B137" s="407" t="s">
        <v>539</v>
      </c>
      <c r="C137" s="408" t="s">
        <v>690</v>
      </c>
      <c r="D137" s="407"/>
      <c r="E137" s="407" t="s">
        <v>693</v>
      </c>
      <c r="F137" s="409">
        <v>2.04</v>
      </c>
      <c r="G137" s="410"/>
      <c r="H137" s="409">
        <f t="shared" si="18"/>
        <v>2.04</v>
      </c>
      <c r="I137" s="409"/>
      <c r="J137" s="17" t="s">
        <v>694</v>
      </c>
    </row>
    <row r="138" spans="1:10" ht="22.25">
      <c r="A138" s="407">
        <v>1</v>
      </c>
      <c r="B138" s="407" t="s">
        <v>522</v>
      </c>
      <c r="C138" s="408"/>
      <c r="D138" s="407"/>
      <c r="E138" s="408" t="s">
        <v>695</v>
      </c>
      <c r="F138" s="409">
        <v>50</v>
      </c>
      <c r="G138" s="410"/>
      <c r="H138" s="409">
        <f t="shared" si="18"/>
        <v>50</v>
      </c>
      <c r="I138" s="409"/>
      <c r="J138" s="204" t="s">
        <v>696</v>
      </c>
    </row>
    <row r="139" spans="1:10">
      <c r="A139" s="407">
        <v>16</v>
      </c>
      <c r="B139" s="407" t="s">
        <v>619</v>
      </c>
      <c r="C139" s="408"/>
      <c r="D139" s="407"/>
      <c r="E139" s="408" t="s">
        <v>697</v>
      </c>
      <c r="F139" s="409">
        <f>F62</f>
        <v>55</v>
      </c>
      <c r="G139" s="410"/>
      <c r="H139" s="409">
        <f t="shared" si="18"/>
        <v>55</v>
      </c>
      <c r="I139" s="409"/>
    </row>
    <row r="140" spans="1:10" ht="66.8">
      <c r="A140" s="407">
        <v>1</v>
      </c>
      <c r="B140" s="407" t="s">
        <v>517</v>
      </c>
      <c r="C140" s="408" t="s">
        <v>698</v>
      </c>
      <c r="D140" s="407" t="s">
        <v>636</v>
      </c>
      <c r="E140" s="408" t="s">
        <v>637</v>
      </c>
      <c r="F140" s="409">
        <v>1809</v>
      </c>
      <c r="G140" s="410">
        <v>0.75</v>
      </c>
      <c r="H140" s="409">
        <f t="shared" si="18"/>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9">
      <c r="A145" s="407"/>
      <c r="B145" s="407"/>
      <c r="C145" s="408"/>
      <c r="D145" s="407"/>
      <c r="E145" s="408"/>
      <c r="F145" s="409"/>
      <c r="G145" s="410"/>
      <c r="H145" s="409"/>
      <c r="I145" s="409"/>
    </row>
    <row r="146" spans="1:19">
      <c r="E146" s="442"/>
      <c r="M146" s="403"/>
      <c r="N146" s="403"/>
      <c r="O146" s="403"/>
      <c r="P146" s="403"/>
      <c r="Q146" s="403"/>
      <c r="R146" s="403"/>
      <c r="S146" s="403"/>
    </row>
    <row r="147" spans="1:19">
      <c r="A147" s="407"/>
      <c r="B147" s="407"/>
      <c r="C147" s="408"/>
      <c r="D147" s="407"/>
      <c r="E147" s="408"/>
      <c r="F147" s="409"/>
      <c r="G147" s="410"/>
      <c r="H147" s="409"/>
      <c r="I147" s="409"/>
      <c r="M147" s="403"/>
      <c r="N147" s="403"/>
      <c r="O147" s="403"/>
      <c r="P147" s="403"/>
      <c r="Q147" s="403"/>
      <c r="R147" s="403"/>
      <c r="S147" s="403"/>
    </row>
    <row r="148" spans="1:19" ht="15.75">
      <c r="A148" s="407"/>
      <c r="B148" s="407"/>
      <c r="C148" s="408"/>
      <c r="D148" s="407"/>
      <c r="E148" s="749"/>
      <c r="F148" s="409"/>
      <c r="G148" s="410"/>
      <c r="H148" s="409">
        <f t="shared" si="18"/>
        <v>0</v>
      </c>
      <c r="I148" s="421">
        <f>A148*H148</f>
        <v>0</v>
      </c>
      <c r="J148" s="403"/>
      <c r="M148" s="403"/>
      <c r="N148" s="403"/>
      <c r="O148" s="403"/>
      <c r="P148" s="403"/>
      <c r="Q148" s="403"/>
      <c r="R148" s="403"/>
      <c r="S148" s="403"/>
    </row>
    <row r="149" spans="1:19">
      <c r="A149" s="407"/>
      <c r="B149" s="407"/>
      <c r="C149" s="408"/>
      <c r="D149" s="407"/>
      <c r="E149" s="408"/>
      <c r="F149" s="409"/>
      <c r="G149" s="410"/>
      <c r="H149" s="409"/>
      <c r="I149" s="409"/>
      <c r="M149" s="403"/>
      <c r="N149" s="403"/>
      <c r="O149" s="403"/>
      <c r="P149" s="403"/>
      <c r="Q149" s="403"/>
      <c r="R149" s="403"/>
      <c r="S149" s="403"/>
    </row>
    <row r="150" spans="1:19">
      <c r="A150" s="407"/>
      <c r="B150" s="407"/>
      <c r="C150" s="408"/>
      <c r="D150" s="407"/>
      <c r="E150" s="408"/>
      <c r="F150" s="409"/>
      <c r="G150" s="410"/>
      <c r="H150" s="409"/>
      <c r="I150" s="409"/>
    </row>
    <row r="151" spans="1:19">
      <c r="A151" s="407"/>
      <c r="B151" s="407"/>
      <c r="C151" s="408"/>
      <c r="D151" s="407"/>
      <c r="E151" s="408"/>
      <c r="F151" s="409"/>
      <c r="G151" s="410"/>
      <c r="H151" s="409"/>
      <c r="I151" s="409"/>
    </row>
    <row r="152" spans="1:19">
      <c r="A152" s="204"/>
      <c r="F152" s="485"/>
      <c r="H152" s="403"/>
      <c r="I152" s="403"/>
    </row>
    <row r="153" spans="1:19">
      <c r="E153" s="439" t="s">
        <v>702</v>
      </c>
      <c r="I153" s="443">
        <f>SUM(I131:I152)</f>
        <v>0</v>
      </c>
    </row>
    <row r="155" spans="1:19" ht="15.05" customHeight="1">
      <c r="A155" s="1002" t="s">
        <v>90</v>
      </c>
      <c r="B155" s="1002"/>
      <c r="C155" s="1002"/>
      <c r="D155" s="1002"/>
      <c r="E155" s="1002"/>
    </row>
    <row r="157" spans="1:19">
      <c r="A157" s="17">
        <v>1</v>
      </c>
      <c r="B157" s="17" t="s">
        <v>517</v>
      </c>
      <c r="E157" s="17" t="s">
        <v>703</v>
      </c>
      <c r="F157" s="403">
        <v>800</v>
      </c>
      <c r="H157" s="403">
        <f t="shared" si="18"/>
        <v>800</v>
      </c>
      <c r="I157" s="403">
        <f t="shared" ref="I157:I163" si="19">A157*H157</f>
        <v>800</v>
      </c>
      <c r="J157" s="17" t="s">
        <v>704</v>
      </c>
    </row>
    <row r="158" spans="1:19">
      <c r="A158" s="17">
        <v>1</v>
      </c>
      <c r="B158" s="17" t="s">
        <v>517</v>
      </c>
      <c r="E158" s="17" t="s">
        <v>705</v>
      </c>
      <c r="F158" s="403">
        <v>500</v>
      </c>
      <c r="H158" s="403">
        <f t="shared" si="18"/>
        <v>500</v>
      </c>
      <c r="I158" s="403">
        <f t="shared" si="19"/>
        <v>500</v>
      </c>
      <c r="J158" s="17" t="s">
        <v>704</v>
      </c>
    </row>
    <row r="159" spans="1:19">
      <c r="A159" s="17">
        <v>1</v>
      </c>
      <c r="B159" s="17" t="s">
        <v>517</v>
      </c>
      <c r="E159" s="17" t="s">
        <v>706</v>
      </c>
      <c r="F159" s="403">
        <v>40</v>
      </c>
      <c r="H159" s="403">
        <f t="shared" si="18"/>
        <v>40</v>
      </c>
      <c r="I159" s="403">
        <f t="shared" si="19"/>
        <v>40</v>
      </c>
    </row>
    <row r="160" spans="1:19">
      <c r="A160" s="17">
        <v>1</v>
      </c>
      <c r="B160" s="17" t="s">
        <v>517</v>
      </c>
      <c r="E160" s="17" t="s">
        <v>707</v>
      </c>
      <c r="F160" s="403">
        <v>1500</v>
      </c>
      <c r="H160" s="403">
        <f t="shared" si="18"/>
        <v>1500</v>
      </c>
      <c r="I160" s="403">
        <f t="shared" si="19"/>
        <v>1500</v>
      </c>
    </row>
    <row r="161" spans="1:10" ht="55.65">
      <c r="A161" s="17">
        <v>1</v>
      </c>
      <c r="B161" s="17" t="s">
        <v>517</v>
      </c>
      <c r="C161" s="204" t="s">
        <v>708</v>
      </c>
      <c r="E161" s="204" t="s">
        <v>709</v>
      </c>
      <c r="F161" s="403">
        <v>460</v>
      </c>
      <c r="H161" s="403">
        <f t="shared" si="18"/>
        <v>460</v>
      </c>
      <c r="I161" s="403">
        <f t="shared" si="19"/>
        <v>460</v>
      </c>
    </row>
    <row r="162" spans="1:10" ht="55.65">
      <c r="A162" s="17">
        <v>0</v>
      </c>
      <c r="B162" s="17" t="s">
        <v>517</v>
      </c>
      <c r="C162" s="204" t="s">
        <v>711</v>
      </c>
      <c r="E162" s="204" t="s">
        <v>712</v>
      </c>
      <c r="F162" s="403">
        <v>320</v>
      </c>
      <c r="H162" s="403">
        <f t="shared" si="18"/>
        <v>320</v>
      </c>
      <c r="I162" s="403">
        <f t="shared" si="19"/>
        <v>0</v>
      </c>
    </row>
    <row r="163" spans="1:10" ht="55.65">
      <c r="A163" s="17">
        <v>1</v>
      </c>
      <c r="B163" s="17" t="s">
        <v>517</v>
      </c>
      <c r="C163" s="17" t="s">
        <v>713</v>
      </c>
      <c r="D163" s="17" t="s">
        <v>714</v>
      </c>
      <c r="E163" s="204" t="s">
        <v>715</v>
      </c>
      <c r="F163" s="403">
        <v>2725</v>
      </c>
      <c r="H163" s="403">
        <f t="shared" si="18"/>
        <v>2725</v>
      </c>
      <c r="I163" s="403">
        <f t="shared" si="19"/>
        <v>2725</v>
      </c>
    </row>
    <row r="165" spans="1:10" ht="15.75">
      <c r="E165" s="439" t="s">
        <v>729</v>
      </c>
      <c r="I165" s="168">
        <f>SUM(I155:I164)</f>
        <v>6025</v>
      </c>
    </row>
    <row r="167" spans="1:10" ht="13.75" customHeight="1">
      <c r="A167" s="997" t="s">
        <v>68</v>
      </c>
      <c r="B167" s="997"/>
      <c r="C167" s="997"/>
      <c r="D167" s="997"/>
      <c r="E167" s="997"/>
    </row>
    <row r="168" spans="1:10">
      <c r="A168" s="442">
        <v>0</v>
      </c>
      <c r="B168" s="17" t="s">
        <v>517</v>
      </c>
      <c r="E168" s="17" t="s">
        <v>1433</v>
      </c>
      <c r="F168" s="403">
        <v>187.5</v>
      </c>
      <c r="H168" s="403">
        <f t="shared" si="18"/>
        <v>187.5</v>
      </c>
      <c r="I168" s="403">
        <f t="shared" ref="I168:I172" si="20">A168*H168</f>
        <v>0</v>
      </c>
      <c r="J168" s="17" t="s">
        <v>1434</v>
      </c>
    </row>
    <row r="169" spans="1:10">
      <c r="A169" s="442">
        <v>1</v>
      </c>
      <c r="B169" s="17" t="s">
        <v>517</v>
      </c>
      <c r="E169" s="17" t="s">
        <v>1435</v>
      </c>
      <c r="F169" s="403">
        <v>250</v>
      </c>
      <c r="H169" s="403">
        <f t="shared" si="18"/>
        <v>250</v>
      </c>
      <c r="I169" s="403">
        <f t="shared" si="20"/>
        <v>250</v>
      </c>
    </row>
    <row r="170" spans="1:10">
      <c r="A170" s="442">
        <v>0</v>
      </c>
      <c r="B170" s="17" t="s">
        <v>505</v>
      </c>
      <c r="E170" s="17" t="s">
        <v>1436</v>
      </c>
      <c r="F170" s="403">
        <v>500</v>
      </c>
      <c r="H170" s="403">
        <f t="shared" si="18"/>
        <v>500</v>
      </c>
      <c r="I170" s="403">
        <f t="shared" si="20"/>
        <v>0</v>
      </c>
    </row>
    <row r="171" spans="1:10" ht="55.65">
      <c r="A171" s="17">
        <v>0</v>
      </c>
      <c r="B171" s="17" t="s">
        <v>517</v>
      </c>
      <c r="C171" s="204" t="s">
        <v>708</v>
      </c>
      <c r="E171" s="204" t="s">
        <v>731</v>
      </c>
      <c r="F171" s="403">
        <f>460/2</f>
        <v>230</v>
      </c>
      <c r="H171" s="403">
        <f t="shared" si="18"/>
        <v>230</v>
      </c>
      <c r="I171" s="403">
        <f t="shared" si="20"/>
        <v>0</v>
      </c>
    </row>
    <row r="172" spans="1:10" ht="55.65">
      <c r="A172" s="17">
        <v>0</v>
      </c>
      <c r="B172" s="17" t="s">
        <v>517</v>
      </c>
      <c r="C172" s="204" t="s">
        <v>711</v>
      </c>
      <c r="E172" s="204" t="s">
        <v>732</v>
      </c>
      <c r="F172" s="403">
        <f>320/2</f>
        <v>160</v>
      </c>
      <c r="H172" s="403">
        <f t="shared" si="18"/>
        <v>160</v>
      </c>
      <c r="I172" s="403">
        <f t="shared" si="20"/>
        <v>0</v>
      </c>
    </row>
    <row r="174" spans="1:10" ht="15.75">
      <c r="E174" s="439" t="s">
        <v>733</v>
      </c>
      <c r="I174" s="168">
        <f>SUM(I167:I173)</f>
        <v>250</v>
      </c>
    </row>
    <row r="175" spans="1:10">
      <c r="E175" s="439"/>
    </row>
  </sheetData>
  <mergeCells count="13">
    <mergeCell ref="B1:F1"/>
    <mergeCell ref="A2:G2"/>
    <mergeCell ref="J25:L25"/>
    <mergeCell ref="K82:K83"/>
    <mergeCell ref="K84:K85"/>
    <mergeCell ref="A128:E128"/>
    <mergeCell ref="A155:E155"/>
    <mergeCell ref="A167:E167"/>
    <mergeCell ref="K86:K96"/>
    <mergeCell ref="K103:K104"/>
    <mergeCell ref="K105:K106"/>
    <mergeCell ref="K107:K108"/>
    <mergeCell ref="K109:K119"/>
  </mergeCells>
  <hyperlinks>
    <hyperlink ref="C8" r:id="rId1"/>
    <hyperlink ref="C9" r:id="rId2"/>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7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287</v>
      </c>
      <c r="C1" s="1053"/>
      <c r="D1" s="1053"/>
      <c r="E1" s="1053"/>
      <c r="F1" s="1053"/>
      <c r="H1" s="405" t="s">
        <v>493</v>
      </c>
      <c r="I1" s="406">
        <v>370</v>
      </c>
      <c r="J1" s="17" t="s">
        <v>494</v>
      </c>
      <c r="K1" s="17" t="s">
        <v>495</v>
      </c>
      <c r="L1" s="58">
        <f>A4*I1</f>
        <v>35150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13">
        <v>95</v>
      </c>
      <c r="B4" s="407" t="s">
        <v>505</v>
      </c>
      <c r="C4" s="420" t="s">
        <v>1306</v>
      </c>
      <c r="D4" s="413"/>
      <c r="E4" s="420" t="s">
        <v>1308</v>
      </c>
      <c r="F4" s="421">
        <v>90.8</v>
      </c>
      <c r="G4" s="410"/>
      <c r="H4" s="409">
        <f t="shared" ref="H4:H9" si="0">F4*(1-G4)</f>
        <v>90.8</v>
      </c>
      <c r="I4" s="409">
        <f t="shared" ref="I4:I9" si="1">A4*H4</f>
        <v>8626</v>
      </c>
      <c r="J4" s="417">
        <f>F4/I1</f>
        <v>0.2454054054054054</v>
      </c>
      <c r="K4" s="403"/>
      <c r="L4" s="404"/>
      <c r="M4" s="437">
        <f>I4</f>
        <v>8626</v>
      </c>
      <c r="N4" s="437"/>
      <c r="O4" s="437"/>
      <c r="P4" s="437"/>
      <c r="Q4" s="437"/>
      <c r="R4" s="418"/>
      <c r="S4" s="437"/>
    </row>
    <row r="5" spans="1:19" ht="55.65">
      <c r="A5" s="413">
        <v>0</v>
      </c>
      <c r="B5" s="407" t="s">
        <v>505</v>
      </c>
      <c r="C5" s="408" t="s">
        <v>817</v>
      </c>
      <c r="D5" s="407" t="s">
        <v>818</v>
      </c>
      <c r="E5" s="408" t="s">
        <v>819</v>
      </c>
      <c r="F5" s="409">
        <v>267.5</v>
      </c>
      <c r="G5" s="410"/>
      <c r="H5" s="409">
        <f t="shared" si="0"/>
        <v>267.5</v>
      </c>
      <c r="I5" s="409">
        <f t="shared" si="1"/>
        <v>0</v>
      </c>
      <c r="J5" s="417"/>
      <c r="K5" s="403"/>
      <c r="L5" s="404"/>
      <c r="M5" s="437"/>
      <c r="N5" s="437"/>
      <c r="O5" s="437"/>
      <c r="P5" s="437"/>
      <c r="Q5" s="437"/>
      <c r="R5" s="418"/>
      <c r="S5" s="437"/>
    </row>
    <row r="6" spans="1:19" ht="44.55">
      <c r="A6" s="413">
        <f>A4+A5</f>
        <v>95</v>
      </c>
      <c r="B6" s="413" t="s">
        <v>505</v>
      </c>
      <c r="C6" s="420" t="s">
        <v>1502</v>
      </c>
      <c r="D6" s="413"/>
      <c r="E6" s="420" t="s">
        <v>1503</v>
      </c>
      <c r="F6" s="421">
        <f>1611.2*1.1/A6</f>
        <v>18.656000000000002</v>
      </c>
      <c r="G6" s="422"/>
      <c r="H6" s="421">
        <f t="shared" si="0"/>
        <v>18.656000000000002</v>
      </c>
      <c r="I6" s="421">
        <f t="shared" si="1"/>
        <v>1772.3200000000002</v>
      </c>
      <c r="J6" s="417">
        <f>F6/$I$1</f>
        <v>5.0421621621621629E-2</v>
      </c>
      <c r="K6" s="417" t="s">
        <v>1522</v>
      </c>
      <c r="M6" s="437">
        <f>I6</f>
        <v>1772.3200000000002</v>
      </c>
      <c r="N6" s="437"/>
      <c r="O6" s="437"/>
      <c r="P6" s="437"/>
      <c r="Q6" s="437"/>
      <c r="R6" s="418"/>
      <c r="S6" s="437"/>
    </row>
    <row r="7" spans="1:19" ht="189.2">
      <c r="A7" s="423">
        <v>1</v>
      </c>
      <c r="B7" s="423" t="s">
        <v>522</v>
      </c>
      <c r="C7" s="492" t="s">
        <v>965</v>
      </c>
      <c r="D7" s="413" t="s">
        <v>829</v>
      </c>
      <c r="E7" s="420" t="s">
        <v>830</v>
      </c>
      <c r="F7" s="421">
        <v>635.23</v>
      </c>
      <c r="G7" s="410"/>
      <c r="H7" s="409">
        <f t="shared" si="0"/>
        <v>635.23</v>
      </c>
      <c r="I7" s="409">
        <f t="shared" si="1"/>
        <v>635.23</v>
      </c>
      <c r="J7" s="204"/>
      <c r="K7" s="17" t="s">
        <v>1484</v>
      </c>
      <c r="M7" s="437"/>
      <c r="N7" s="437"/>
      <c r="O7" s="437"/>
      <c r="P7" s="437"/>
      <c r="Q7" s="437"/>
      <c r="R7" s="418">
        <f t="shared" ref="R7:R9" si="2">I7</f>
        <v>635.23</v>
      </c>
      <c r="S7" s="437"/>
    </row>
    <row r="8" spans="1:19" ht="55.65">
      <c r="A8" s="413">
        <v>2</v>
      </c>
      <c r="B8" s="413"/>
      <c r="C8" s="413" t="s">
        <v>540</v>
      </c>
      <c r="D8" s="413" t="s">
        <v>1217</v>
      </c>
      <c r="E8" s="420" t="s">
        <v>1437</v>
      </c>
      <c r="F8" s="421">
        <v>316.67</v>
      </c>
      <c r="G8" s="410"/>
      <c r="H8" s="409">
        <f t="shared" si="0"/>
        <v>316.67</v>
      </c>
      <c r="I8" s="409">
        <f t="shared" si="1"/>
        <v>633.34</v>
      </c>
      <c r="J8" s="204"/>
      <c r="K8" s="17" t="s">
        <v>1523</v>
      </c>
      <c r="M8" s="437"/>
      <c r="N8" s="437"/>
      <c r="O8" s="437"/>
      <c r="P8" s="437"/>
      <c r="Q8" s="437"/>
      <c r="R8" s="418">
        <f t="shared" si="2"/>
        <v>633.34</v>
      </c>
      <c r="S8" s="437"/>
    </row>
    <row r="9" spans="1:19">
      <c r="A9" s="413">
        <v>1</v>
      </c>
      <c r="B9" s="413" t="s">
        <v>517</v>
      </c>
      <c r="C9" s="413" t="s">
        <v>987</v>
      </c>
      <c r="D9" s="413" t="s">
        <v>556</v>
      </c>
      <c r="E9" s="413" t="s">
        <v>997</v>
      </c>
      <c r="F9" s="421">
        <v>387.78</v>
      </c>
      <c r="G9" s="410"/>
      <c r="H9" s="409">
        <f t="shared" si="0"/>
        <v>387.78</v>
      </c>
      <c r="I9" s="409">
        <f t="shared" si="1"/>
        <v>387.78</v>
      </c>
      <c r="J9" s="204"/>
      <c r="K9" s="17" t="s">
        <v>1524</v>
      </c>
      <c r="M9" s="437"/>
      <c r="N9" s="437"/>
      <c r="O9" s="437"/>
      <c r="P9" s="437"/>
      <c r="Q9" s="437"/>
      <c r="R9" s="418">
        <f t="shared" si="2"/>
        <v>387.78</v>
      </c>
      <c r="S9" s="437"/>
    </row>
    <row r="10" spans="1:19" ht="22.25">
      <c r="A10" s="413">
        <v>0</v>
      </c>
      <c r="B10" s="413" t="s">
        <v>530</v>
      </c>
      <c r="C10" s="420" t="s">
        <v>531</v>
      </c>
      <c r="D10" s="413"/>
      <c r="E10" s="413" t="s">
        <v>532</v>
      </c>
      <c r="F10" s="421">
        <v>500</v>
      </c>
      <c r="G10" s="410"/>
      <c r="H10" s="409">
        <f t="shared" ref="H10:H62" si="3">F10*(1-G10)</f>
        <v>500</v>
      </c>
      <c r="I10" s="409">
        <f t="shared" ref="I10:I31" si="4">A10*H10</f>
        <v>0</v>
      </c>
      <c r="J10" s="204"/>
      <c r="M10" s="437"/>
      <c r="N10" s="437"/>
      <c r="O10" s="437"/>
      <c r="P10" s="437"/>
      <c r="Q10" s="437"/>
      <c r="R10" s="418">
        <f t="shared" ref="R10:R23" si="5">I10</f>
        <v>0</v>
      </c>
      <c r="S10" s="437"/>
    </row>
    <row r="11" spans="1:19" ht="22.25">
      <c r="A11" s="413">
        <v>0</v>
      </c>
      <c r="B11" s="413" t="s">
        <v>505</v>
      </c>
      <c r="C11" s="420" t="s">
        <v>534</v>
      </c>
      <c r="D11" s="413"/>
      <c r="E11" s="420" t="s">
        <v>535</v>
      </c>
      <c r="F11" s="421">
        <v>3.71</v>
      </c>
      <c r="G11" s="410"/>
      <c r="H11" s="409">
        <f t="shared" si="3"/>
        <v>3.71</v>
      </c>
      <c r="I11" s="409">
        <f t="shared" si="4"/>
        <v>0</v>
      </c>
      <c r="J11" s="204" t="s">
        <v>536</v>
      </c>
      <c r="M11" s="437"/>
      <c r="N11" s="437"/>
      <c r="O11" s="437"/>
      <c r="P11" s="437"/>
      <c r="Q11" s="437"/>
      <c r="R11" s="418">
        <f t="shared" si="5"/>
        <v>0</v>
      </c>
      <c r="S11" s="437"/>
    </row>
    <row r="12" spans="1:19" ht="22.25">
      <c r="A12" s="413">
        <v>0</v>
      </c>
      <c r="B12" s="413" t="s">
        <v>505</v>
      </c>
      <c r="C12" s="420" t="s">
        <v>534</v>
      </c>
      <c r="D12" s="413"/>
      <c r="E12" s="420" t="s">
        <v>537</v>
      </c>
      <c r="F12" s="421">
        <v>3.81</v>
      </c>
      <c r="G12" s="410"/>
      <c r="H12" s="409">
        <f t="shared" si="3"/>
        <v>3.81</v>
      </c>
      <c r="I12" s="409">
        <f t="shared" si="4"/>
        <v>0</v>
      </c>
      <c r="J12" s="204" t="s">
        <v>538</v>
      </c>
      <c r="M12" s="437"/>
      <c r="N12" s="437"/>
      <c r="O12" s="437"/>
      <c r="P12" s="437"/>
      <c r="Q12" s="437"/>
      <c r="R12" s="418">
        <f t="shared" si="5"/>
        <v>0</v>
      </c>
      <c r="S12" s="437"/>
    </row>
    <row r="13" spans="1:19" ht="55.65">
      <c r="A13" s="413">
        <f>10*20+5*20</f>
        <v>300</v>
      </c>
      <c r="B13" s="413" t="s">
        <v>539</v>
      </c>
      <c r="C13" s="420" t="s">
        <v>987</v>
      </c>
      <c r="D13" s="413" t="s">
        <v>541</v>
      </c>
      <c r="E13" s="420" t="s">
        <v>542</v>
      </c>
      <c r="F13" s="421">
        <f t="shared" ref="F13:F14" si="6">328.33/500</f>
        <v>0.65666000000000002</v>
      </c>
      <c r="G13" s="410"/>
      <c r="H13" s="409">
        <f t="shared" si="3"/>
        <v>0.65666000000000002</v>
      </c>
      <c r="I13" s="409">
        <f t="shared" si="4"/>
        <v>196.99800000000002</v>
      </c>
      <c r="J13" s="491" t="s">
        <v>756</v>
      </c>
      <c r="M13" s="437"/>
      <c r="N13" s="437"/>
      <c r="O13" s="418">
        <f t="shared" ref="O13:O26" si="7">I13</f>
        <v>196.99800000000002</v>
      </c>
      <c r="P13" s="418"/>
      <c r="Q13" s="418"/>
      <c r="R13" s="437"/>
      <c r="S13" s="437"/>
    </row>
    <row r="14" spans="1:19" ht="55.65">
      <c r="A14" s="413">
        <f>A13+A6*1.7+20*1</f>
        <v>481.5</v>
      </c>
      <c r="B14" s="413" t="s">
        <v>539</v>
      </c>
      <c r="C14" s="420" t="s">
        <v>987</v>
      </c>
      <c r="D14" s="413" t="s">
        <v>543</v>
      </c>
      <c r="E14" s="420" t="s">
        <v>544</v>
      </c>
      <c r="F14" s="421">
        <f t="shared" si="6"/>
        <v>0.65666000000000002</v>
      </c>
      <c r="G14" s="410"/>
      <c r="H14" s="409">
        <f t="shared" si="3"/>
        <v>0.65666000000000002</v>
      </c>
      <c r="I14" s="409">
        <f t="shared" si="4"/>
        <v>316.18179000000003</v>
      </c>
      <c r="J14" s="204"/>
      <c r="M14" s="437"/>
      <c r="N14" s="437"/>
      <c r="O14" s="418">
        <f t="shared" si="7"/>
        <v>316.18179000000003</v>
      </c>
      <c r="P14" s="418"/>
      <c r="Q14" s="418"/>
      <c r="R14" s="437"/>
      <c r="S14" s="437"/>
    </row>
    <row r="15" spans="1:19" ht="22.25">
      <c r="A15" s="413">
        <f>10*4</f>
        <v>40</v>
      </c>
      <c r="B15" s="413" t="s">
        <v>522</v>
      </c>
      <c r="C15" s="420" t="s">
        <v>1074</v>
      </c>
      <c r="D15" s="413"/>
      <c r="E15" s="420" t="s">
        <v>1079</v>
      </c>
      <c r="F15" s="421">
        <v>1.3</v>
      </c>
      <c r="G15" s="410"/>
      <c r="H15" s="409">
        <f t="shared" si="3"/>
        <v>1.3</v>
      </c>
      <c r="I15" s="409">
        <f t="shared" si="4"/>
        <v>52</v>
      </c>
      <c r="J15" s="204"/>
      <c r="M15" s="437"/>
      <c r="N15" s="437"/>
      <c r="O15" s="418">
        <f t="shared" si="7"/>
        <v>52</v>
      </c>
      <c r="P15" s="437"/>
      <c r="Q15" s="437"/>
      <c r="R15" s="418"/>
      <c r="S15" s="437"/>
    </row>
    <row r="16" spans="1:19" ht="22.25">
      <c r="A16" s="413">
        <f>A15</f>
        <v>40</v>
      </c>
      <c r="B16" s="413" t="s">
        <v>522</v>
      </c>
      <c r="C16" s="420" t="s">
        <v>1074</v>
      </c>
      <c r="D16" s="413"/>
      <c r="E16" s="420" t="s">
        <v>1080</v>
      </c>
      <c r="F16" s="421">
        <v>0.98</v>
      </c>
      <c r="G16" s="410"/>
      <c r="H16" s="409">
        <f t="shared" si="3"/>
        <v>0.98</v>
      </c>
      <c r="I16" s="409">
        <f t="shared" si="4"/>
        <v>39.200000000000003</v>
      </c>
      <c r="J16" s="204"/>
      <c r="M16" s="437"/>
      <c r="N16" s="437"/>
      <c r="O16" s="418">
        <f t="shared" si="7"/>
        <v>39.200000000000003</v>
      </c>
      <c r="P16" s="437"/>
      <c r="Q16" s="437"/>
      <c r="R16" s="418"/>
      <c r="S16" s="437"/>
    </row>
    <row r="17" spans="1:19" ht="44.55">
      <c r="A17" s="413">
        <v>1</v>
      </c>
      <c r="B17" s="413" t="s">
        <v>517</v>
      </c>
      <c r="C17" s="413" t="s">
        <v>783</v>
      </c>
      <c r="D17" s="413"/>
      <c r="E17" s="420" t="s">
        <v>784</v>
      </c>
      <c r="F17" s="421">
        <v>2000</v>
      </c>
      <c r="G17" s="428"/>
      <c r="H17" s="409">
        <f t="shared" si="3"/>
        <v>2000</v>
      </c>
      <c r="I17" s="409">
        <f t="shared" si="4"/>
        <v>2000</v>
      </c>
      <c r="J17" s="204"/>
      <c r="K17" s="204" t="s">
        <v>1525</v>
      </c>
      <c r="M17" s="437"/>
      <c r="N17" s="418">
        <f t="shared" ref="N17:N20" si="8">I17</f>
        <v>2000</v>
      </c>
      <c r="O17" s="437"/>
      <c r="P17" s="437"/>
      <c r="Q17" s="437"/>
      <c r="R17" s="437"/>
      <c r="S17" s="437"/>
    </row>
    <row r="18" spans="1:19">
      <c r="A18" s="413">
        <v>1</v>
      </c>
      <c r="B18" s="413" t="s">
        <v>517</v>
      </c>
      <c r="C18" s="423" t="s">
        <v>531</v>
      </c>
      <c r="D18" s="423"/>
      <c r="E18" s="424" t="s">
        <v>1105</v>
      </c>
      <c r="F18" s="425">
        <v>1588</v>
      </c>
      <c r="G18" s="410"/>
      <c r="H18" s="409">
        <f t="shared" si="3"/>
        <v>1588</v>
      </c>
      <c r="I18" s="409">
        <f t="shared" si="4"/>
        <v>1588</v>
      </c>
      <c r="J18" s="204"/>
      <c r="K18" s="17" t="s">
        <v>1526</v>
      </c>
      <c r="M18" s="437"/>
      <c r="N18" s="418">
        <f t="shared" si="8"/>
        <v>1588</v>
      </c>
      <c r="O18" s="437"/>
      <c r="P18" s="437"/>
      <c r="Q18" s="437"/>
      <c r="R18" s="437"/>
      <c r="S18" s="437"/>
    </row>
    <row r="19" spans="1:19">
      <c r="A19" s="407">
        <v>0</v>
      </c>
      <c r="B19" s="407" t="s">
        <v>505</v>
      </c>
      <c r="C19" s="408"/>
      <c r="D19" s="407"/>
      <c r="E19" s="408"/>
      <c r="F19" s="409">
        <v>40.799999999999997</v>
      </c>
      <c r="G19" s="410"/>
      <c r="H19" s="409">
        <f t="shared" si="3"/>
        <v>40.799999999999997</v>
      </c>
      <c r="I19" s="409">
        <f t="shared" si="4"/>
        <v>0</v>
      </c>
      <c r="J19" s="204"/>
      <c r="M19" s="437"/>
      <c r="N19" s="418">
        <f t="shared" si="8"/>
        <v>0</v>
      </c>
      <c r="O19" s="437"/>
      <c r="P19" s="437"/>
      <c r="Q19" s="437"/>
      <c r="R19" s="437"/>
      <c r="S19" s="437"/>
    </row>
    <row r="20" spans="1:19">
      <c r="A20" s="407">
        <v>0</v>
      </c>
      <c r="B20" s="407" t="s">
        <v>505</v>
      </c>
      <c r="C20" s="408"/>
      <c r="D20" s="407"/>
      <c r="E20" s="408"/>
      <c r="F20" s="409">
        <v>36.619999999999997</v>
      </c>
      <c r="G20" s="410"/>
      <c r="H20" s="409">
        <f t="shared" si="3"/>
        <v>36.619999999999997</v>
      </c>
      <c r="I20" s="409">
        <f t="shared" si="4"/>
        <v>0</v>
      </c>
      <c r="J20" s="204"/>
      <c r="M20" s="437"/>
      <c r="N20" s="418">
        <f t="shared" si="8"/>
        <v>0</v>
      </c>
      <c r="O20" s="437"/>
      <c r="P20" s="437"/>
      <c r="Q20" s="437"/>
      <c r="R20" s="437"/>
      <c r="S20" s="437"/>
    </row>
    <row r="21" spans="1:19" ht="55.65">
      <c r="A21" s="413">
        <v>8</v>
      </c>
      <c r="B21" s="413" t="s">
        <v>522</v>
      </c>
      <c r="C21" s="420" t="s">
        <v>987</v>
      </c>
      <c r="D21" s="413" t="s">
        <v>761</v>
      </c>
      <c r="E21" s="420" t="s">
        <v>762</v>
      </c>
      <c r="F21" s="421">
        <v>2.5</v>
      </c>
      <c r="G21" s="410"/>
      <c r="H21" s="409">
        <f t="shared" si="3"/>
        <v>2.5</v>
      </c>
      <c r="I21" s="409">
        <f t="shared" si="4"/>
        <v>20</v>
      </c>
      <c r="J21" s="204"/>
      <c r="M21" s="437"/>
      <c r="N21" s="437"/>
      <c r="O21" s="437"/>
      <c r="P21" s="437"/>
      <c r="Q21" s="437"/>
      <c r="R21" s="418">
        <f t="shared" si="5"/>
        <v>20</v>
      </c>
      <c r="S21" s="437"/>
    </row>
    <row r="22" spans="1:19" ht="35.049999999999997" customHeight="1">
      <c r="A22" s="413">
        <v>0</v>
      </c>
      <c r="B22" s="413" t="s">
        <v>522</v>
      </c>
      <c r="C22" s="420" t="s">
        <v>1479</v>
      </c>
      <c r="D22" s="413"/>
      <c r="E22" s="420" t="s">
        <v>803</v>
      </c>
      <c r="F22" s="421">
        <v>564.44000000000005</v>
      </c>
      <c r="G22" s="410"/>
      <c r="H22" s="409">
        <f t="shared" si="3"/>
        <v>564.44000000000005</v>
      </c>
      <c r="I22" s="409">
        <f t="shared" si="4"/>
        <v>0</v>
      </c>
      <c r="J22" s="1054" t="s">
        <v>1507</v>
      </c>
      <c r="K22" s="1054"/>
      <c r="L22" s="1054"/>
      <c r="M22" s="437"/>
      <c r="N22" s="437"/>
      <c r="O22" s="437"/>
      <c r="P22" s="437"/>
      <c r="Q22" s="437"/>
      <c r="R22" s="418">
        <f t="shared" si="5"/>
        <v>0</v>
      </c>
      <c r="S22" s="437"/>
    </row>
    <row r="23" spans="1:19">
      <c r="A23" s="407"/>
      <c r="B23" s="407"/>
      <c r="C23" s="408"/>
      <c r="D23" s="407"/>
      <c r="E23" s="408"/>
      <c r="F23" s="409"/>
      <c r="G23" s="410"/>
      <c r="H23" s="409">
        <f t="shared" si="3"/>
        <v>0</v>
      </c>
      <c r="I23" s="409">
        <f t="shared" si="4"/>
        <v>0</v>
      </c>
      <c r="J23" s="204"/>
      <c r="M23" s="437"/>
      <c r="N23" s="437"/>
      <c r="O23" s="437"/>
      <c r="P23" s="437"/>
      <c r="Q23" s="437"/>
      <c r="R23" s="418">
        <f t="shared" si="5"/>
        <v>0</v>
      </c>
      <c r="S23" s="437"/>
    </row>
    <row r="24" spans="1:19" ht="22.25">
      <c r="A24" s="413">
        <v>1</v>
      </c>
      <c r="B24" s="413" t="s">
        <v>522</v>
      </c>
      <c r="C24" s="420"/>
      <c r="D24" s="413"/>
      <c r="E24" s="420" t="s">
        <v>695</v>
      </c>
      <c r="F24" s="421">
        <v>100</v>
      </c>
      <c r="G24" s="410"/>
      <c r="H24" s="409">
        <f t="shared" si="3"/>
        <v>100</v>
      </c>
      <c r="I24" s="409">
        <f t="shared" si="4"/>
        <v>100</v>
      </c>
      <c r="J24" s="204" t="s">
        <v>696</v>
      </c>
      <c r="M24" s="437"/>
      <c r="N24" s="437"/>
      <c r="O24" s="418">
        <f t="shared" si="7"/>
        <v>100</v>
      </c>
      <c r="P24" s="437"/>
      <c r="Q24" s="437"/>
      <c r="R24" s="418"/>
      <c r="S24" s="437"/>
    </row>
    <row r="25" spans="1:19" ht="44.55">
      <c r="A25" s="413">
        <v>1</v>
      </c>
      <c r="B25" s="413" t="s">
        <v>505</v>
      </c>
      <c r="C25" s="420" t="s">
        <v>751</v>
      </c>
      <c r="D25" s="413"/>
      <c r="E25" s="420" t="s">
        <v>1212</v>
      </c>
      <c r="F25" s="421">
        <v>787.5</v>
      </c>
      <c r="G25" s="422"/>
      <c r="H25" s="409">
        <f t="shared" si="3"/>
        <v>787.5</v>
      </c>
      <c r="I25" s="409">
        <f t="shared" si="4"/>
        <v>787.5</v>
      </c>
      <c r="J25" s="204"/>
      <c r="M25" s="418">
        <f>F25</f>
        <v>787.5</v>
      </c>
      <c r="N25" s="437"/>
      <c r="O25" s="437"/>
      <c r="P25" s="437"/>
      <c r="Q25" s="437"/>
      <c r="R25" s="437"/>
      <c r="S25" s="437"/>
    </row>
    <row r="26" spans="1:19" ht="44.55">
      <c r="A26" s="413">
        <v>30</v>
      </c>
      <c r="B26" s="413" t="s">
        <v>539</v>
      </c>
      <c r="C26" s="420" t="s">
        <v>690</v>
      </c>
      <c r="D26" s="413"/>
      <c r="E26" s="413" t="s">
        <v>835</v>
      </c>
      <c r="F26" s="421">
        <v>9.32</v>
      </c>
      <c r="G26" s="428"/>
      <c r="H26" s="409">
        <f t="shared" si="3"/>
        <v>9.32</v>
      </c>
      <c r="I26" s="409">
        <f t="shared" si="4"/>
        <v>279.60000000000002</v>
      </c>
      <c r="J26" s="491" t="s">
        <v>756</v>
      </c>
      <c r="K26" s="17" t="s">
        <v>1527</v>
      </c>
      <c r="M26" s="418"/>
      <c r="N26" s="437"/>
      <c r="O26" s="418">
        <f t="shared" si="7"/>
        <v>279.60000000000002</v>
      </c>
      <c r="P26" s="437"/>
      <c r="Q26" s="437"/>
      <c r="R26" s="437"/>
      <c r="S26" s="437"/>
    </row>
    <row r="27" spans="1:19" ht="44.55">
      <c r="A27" s="413">
        <v>1</v>
      </c>
      <c r="B27" s="413" t="s">
        <v>517</v>
      </c>
      <c r="C27" s="420" t="s">
        <v>569</v>
      </c>
      <c r="D27" s="413" t="s">
        <v>570</v>
      </c>
      <c r="E27" s="420" t="s">
        <v>571</v>
      </c>
      <c r="F27" s="421">
        <v>1040</v>
      </c>
      <c r="G27" s="495">
        <v>0.48</v>
      </c>
      <c r="H27" s="425">
        <f t="shared" si="3"/>
        <v>540.80000000000007</v>
      </c>
      <c r="I27" s="409">
        <f t="shared" si="4"/>
        <v>540.80000000000007</v>
      </c>
      <c r="J27" s="204"/>
      <c r="M27" s="418"/>
      <c r="N27" s="437"/>
      <c r="O27" s="437"/>
      <c r="P27" s="437"/>
      <c r="Q27" s="437"/>
      <c r="R27" s="437"/>
      <c r="S27" s="437">
        <f t="shared" ref="S27:S31" si="9">I27</f>
        <v>540.80000000000007</v>
      </c>
    </row>
    <row r="28" spans="1:19" ht="44.55">
      <c r="A28" s="407">
        <v>0</v>
      </c>
      <c r="B28" s="407" t="s">
        <v>517</v>
      </c>
      <c r="C28" s="492" t="s">
        <v>569</v>
      </c>
      <c r="D28" s="487" t="s">
        <v>572</v>
      </c>
      <c r="E28" s="492" t="s">
        <v>573</v>
      </c>
      <c r="F28" s="430">
        <v>1190</v>
      </c>
      <c r="G28" s="429">
        <v>0.48</v>
      </c>
      <c r="H28" s="430">
        <f t="shared" si="3"/>
        <v>618.80000000000007</v>
      </c>
      <c r="I28" s="409">
        <f t="shared" si="4"/>
        <v>0</v>
      </c>
      <c r="J28" s="204"/>
      <c r="M28" s="418"/>
      <c r="N28" s="437"/>
      <c r="O28" s="437"/>
      <c r="P28" s="437"/>
      <c r="Q28" s="437"/>
      <c r="R28" s="437"/>
      <c r="S28" s="437">
        <f t="shared" si="9"/>
        <v>0</v>
      </c>
    </row>
    <row r="29" spans="1:19">
      <c r="A29" s="407">
        <v>0</v>
      </c>
      <c r="B29" s="407" t="s">
        <v>517</v>
      </c>
      <c r="C29" s="408" t="s">
        <v>574</v>
      </c>
      <c r="D29" s="407" t="s">
        <v>575</v>
      </c>
      <c r="E29" s="407" t="s">
        <v>576</v>
      </c>
      <c r="F29" s="409">
        <v>36.700000000000003</v>
      </c>
      <c r="G29" s="410"/>
      <c r="H29" s="409">
        <f t="shared" si="3"/>
        <v>36.700000000000003</v>
      </c>
      <c r="I29" s="409">
        <f t="shared" si="4"/>
        <v>0</v>
      </c>
      <c r="J29" s="204"/>
      <c r="M29" s="418"/>
      <c r="N29" s="437"/>
      <c r="O29" s="437"/>
      <c r="P29" s="437"/>
      <c r="Q29" s="437"/>
      <c r="R29" s="437"/>
      <c r="S29" s="437">
        <f t="shared" si="9"/>
        <v>0</v>
      </c>
    </row>
    <row r="30" spans="1:19">
      <c r="A30" s="413">
        <v>5</v>
      </c>
      <c r="B30" s="413" t="s">
        <v>517</v>
      </c>
      <c r="C30" s="420" t="s">
        <v>574</v>
      </c>
      <c r="D30" s="413" t="s">
        <v>577</v>
      </c>
      <c r="E30" s="413" t="s">
        <v>578</v>
      </c>
      <c r="F30" s="421">
        <v>75</v>
      </c>
      <c r="G30" s="410"/>
      <c r="H30" s="409">
        <f t="shared" si="3"/>
        <v>75</v>
      </c>
      <c r="I30" s="409">
        <f t="shared" si="4"/>
        <v>375</v>
      </c>
      <c r="J30" s="204"/>
      <c r="M30" s="418"/>
      <c r="N30" s="437"/>
      <c r="O30" s="437"/>
      <c r="P30" s="437"/>
      <c r="Q30" s="437"/>
      <c r="R30" s="437"/>
      <c r="S30" s="437">
        <f t="shared" si="9"/>
        <v>375</v>
      </c>
    </row>
    <row r="31" spans="1:19">
      <c r="A31" s="413">
        <v>1</v>
      </c>
      <c r="B31" s="413" t="s">
        <v>517</v>
      </c>
      <c r="C31" s="420" t="s">
        <v>574</v>
      </c>
      <c r="D31" s="413"/>
      <c r="E31" s="413" t="s">
        <v>579</v>
      </c>
      <c r="F31" s="421">
        <f>35/4</f>
        <v>8.75</v>
      </c>
      <c r="G31" s="410"/>
      <c r="H31" s="409">
        <f t="shared" si="3"/>
        <v>8.75</v>
      </c>
      <c r="I31" s="409">
        <f t="shared" si="4"/>
        <v>8.75</v>
      </c>
      <c r="J31" s="204"/>
      <c r="M31" s="418"/>
      <c r="N31" s="437"/>
      <c r="O31" s="437"/>
      <c r="P31" s="437"/>
      <c r="Q31" s="437"/>
      <c r="R31" s="437"/>
      <c r="S31" s="437">
        <f t="shared" si="9"/>
        <v>8.75</v>
      </c>
    </row>
    <row r="32" spans="1:19" ht="12.45">
      <c r="A32" s="407"/>
      <c r="B32" s="407"/>
      <c r="C32" s="408"/>
      <c r="D32" s="407"/>
      <c r="E32" s="431"/>
      <c r="F32" s="409"/>
      <c r="G32" s="410"/>
      <c r="H32" s="409"/>
      <c r="I32" s="409"/>
      <c r="J32" s="204"/>
      <c r="M32" s="418"/>
      <c r="N32" s="437"/>
      <c r="O32" s="437"/>
      <c r="P32" s="437"/>
      <c r="Q32" s="437"/>
      <c r="R32" s="437"/>
      <c r="S32" s="437"/>
    </row>
    <row r="33" spans="1:19">
      <c r="A33" s="407"/>
      <c r="B33" s="407"/>
      <c r="C33" s="408"/>
      <c r="D33" s="407"/>
      <c r="E33" s="407"/>
      <c r="F33" s="409"/>
      <c r="G33" s="410"/>
      <c r="H33" s="409"/>
      <c r="I33" s="409"/>
      <c r="J33" s="204"/>
      <c r="M33" s="437"/>
      <c r="N33" s="437"/>
      <c r="O33" s="437"/>
      <c r="P33" s="437"/>
      <c r="Q33" s="437"/>
      <c r="R33" s="437"/>
      <c r="S33" s="437"/>
    </row>
    <row r="34" spans="1:19">
      <c r="A34" s="407"/>
      <c r="B34" s="407"/>
      <c r="C34" s="408"/>
      <c r="D34" s="407"/>
      <c r="E34" s="432" t="s">
        <v>580</v>
      </c>
      <c r="F34" s="409"/>
      <c r="G34" s="410"/>
      <c r="H34" s="409"/>
      <c r="I34" s="421">
        <f>SUM(I4:I32)</f>
        <v>18358.699789999999</v>
      </c>
      <c r="J34" s="204"/>
      <c r="M34" s="418">
        <f>SUM(M4:M32)</f>
        <v>11185.82</v>
      </c>
      <c r="N34" s="418">
        <f>SUM(N4:N32)</f>
        <v>3588</v>
      </c>
      <c r="O34" s="418">
        <f>SUM(O4:O32)</f>
        <v>983.97979000000009</v>
      </c>
      <c r="P34" s="418"/>
      <c r="Q34" s="418"/>
      <c r="R34" s="418">
        <f>SUM(R4:R32)</f>
        <v>1676.3500000000001</v>
      </c>
      <c r="S34" s="418">
        <f>SUM(S4:S32)</f>
        <v>924.55000000000007</v>
      </c>
    </row>
    <row r="35" spans="1:19">
      <c r="A35" s="407"/>
      <c r="B35" s="407"/>
      <c r="C35" s="408"/>
      <c r="D35" s="407"/>
      <c r="E35" s="413" t="s">
        <v>581</v>
      </c>
      <c r="F35" s="409"/>
      <c r="G35" s="410">
        <v>0.25</v>
      </c>
      <c r="H35" s="409"/>
      <c r="I35" s="421"/>
      <c r="J35" s="204"/>
      <c r="M35" s="418"/>
      <c r="N35" s="418"/>
      <c r="O35" s="418"/>
      <c r="P35" s="418"/>
      <c r="Q35" s="418"/>
      <c r="R35" s="418"/>
      <c r="S35" s="418"/>
    </row>
    <row r="36" spans="1:19" ht="15.75">
      <c r="E36" s="433" t="s">
        <v>582</v>
      </c>
      <c r="F36" s="418"/>
      <c r="G36" s="434"/>
      <c r="H36" s="418"/>
      <c r="I36" s="435">
        <f>I34*(1+$G$35)</f>
        <v>22948.374737499998</v>
      </c>
      <c r="J36" s="436"/>
      <c r="K36" s="437"/>
      <c r="L36" s="437"/>
      <c r="M36" s="165">
        <f>M34*(1+$G$35)</f>
        <v>13982.275</v>
      </c>
      <c r="N36" s="165">
        <f>N34*(1+$G$35)</f>
        <v>4485</v>
      </c>
      <c r="O36" s="165">
        <f>O34*(1+$G$35)</f>
        <v>1229.9747375000002</v>
      </c>
      <c r="P36" s="165">
        <f>P65</f>
        <v>7920</v>
      </c>
      <c r="Q36" s="165">
        <f>Q126</f>
        <v>1270.8399999999999</v>
      </c>
      <c r="R36" s="165">
        <f>R34*(1+$G$35)</f>
        <v>2095.4375</v>
      </c>
      <c r="S36" s="165">
        <f>S34*(1+$G$35)</f>
        <v>1155.6875</v>
      </c>
    </row>
    <row r="39" spans="1:19">
      <c r="E39" s="439" t="s">
        <v>585</v>
      </c>
    </row>
    <row r="40" spans="1:19">
      <c r="A40" s="441">
        <v>8</v>
      </c>
      <c r="B40" s="17" t="s">
        <v>619</v>
      </c>
      <c r="E40" s="17" t="s">
        <v>586</v>
      </c>
      <c r="F40" s="403">
        <f t="shared" ref="F40:F56" si="10">F$60</f>
        <v>55</v>
      </c>
      <c r="H40" s="403">
        <f t="shared" si="3"/>
        <v>55</v>
      </c>
      <c r="I40" s="403">
        <f t="shared" ref="I40:I62" si="11">A40*H40</f>
        <v>440</v>
      </c>
    </row>
    <row r="41" spans="1:19">
      <c r="A41" s="441">
        <f>A6/120*8*2</f>
        <v>12.666666666666666</v>
      </c>
      <c r="B41" s="17" t="s">
        <v>619</v>
      </c>
      <c r="E41" s="17" t="s">
        <v>589</v>
      </c>
      <c r="F41" s="403">
        <f t="shared" si="10"/>
        <v>55</v>
      </c>
      <c r="H41" s="403">
        <f t="shared" si="3"/>
        <v>55</v>
      </c>
      <c r="I41" s="403">
        <f t="shared" si="11"/>
        <v>696.66666666666663</v>
      </c>
      <c r="J41" s="17" t="s">
        <v>592</v>
      </c>
    </row>
    <row r="42" spans="1:19">
      <c r="A42" s="441">
        <v>4</v>
      </c>
      <c r="B42" s="17" t="s">
        <v>619</v>
      </c>
      <c r="E42" s="17" t="s">
        <v>1426</v>
      </c>
      <c r="F42" s="403">
        <f t="shared" si="10"/>
        <v>55</v>
      </c>
      <c r="H42" s="403">
        <f t="shared" si="3"/>
        <v>55</v>
      </c>
      <c r="I42" s="403">
        <f t="shared" si="11"/>
        <v>220</v>
      </c>
    </row>
    <row r="43" spans="1:19">
      <c r="A43" s="441">
        <f>1.37*A6-SUM(A40:A42)-SUM(A44:A55)</f>
        <v>61.483333333333348</v>
      </c>
      <c r="B43" s="17" t="s">
        <v>619</v>
      </c>
      <c r="E43" s="17" t="s">
        <v>591</v>
      </c>
      <c r="F43" s="403">
        <f t="shared" si="10"/>
        <v>55</v>
      </c>
      <c r="H43" s="403">
        <f t="shared" si="3"/>
        <v>55</v>
      </c>
      <c r="I43" s="403">
        <f t="shared" si="11"/>
        <v>3381.5833333333339</v>
      </c>
      <c r="J43" s="17" t="s">
        <v>1480</v>
      </c>
    </row>
    <row r="44" spans="1:19">
      <c r="A44" s="441">
        <v>4</v>
      </c>
      <c r="B44" s="17" t="s">
        <v>619</v>
      </c>
      <c r="E44" s="17" t="s">
        <v>1428</v>
      </c>
      <c r="F44" s="403">
        <f t="shared" si="10"/>
        <v>55</v>
      </c>
      <c r="H44" s="403">
        <f t="shared" si="3"/>
        <v>55</v>
      </c>
      <c r="I44" s="403">
        <f t="shared" si="11"/>
        <v>220</v>
      </c>
    </row>
    <row r="45" spans="1:19">
      <c r="A45" s="441">
        <v>4</v>
      </c>
      <c r="B45" s="17" t="s">
        <v>619</v>
      </c>
      <c r="E45" s="17" t="s">
        <v>1429</v>
      </c>
      <c r="F45" s="403">
        <f t="shared" si="10"/>
        <v>55</v>
      </c>
      <c r="H45" s="403">
        <f t="shared" si="3"/>
        <v>55</v>
      </c>
      <c r="I45" s="403">
        <f t="shared" si="11"/>
        <v>220</v>
      </c>
    </row>
    <row r="46" spans="1:19">
      <c r="A46" s="441">
        <v>2</v>
      </c>
      <c r="B46" s="17" t="s">
        <v>619</v>
      </c>
      <c r="E46" s="17" t="s">
        <v>605</v>
      </c>
      <c r="F46" s="403">
        <f t="shared" si="10"/>
        <v>55</v>
      </c>
      <c r="H46" s="403">
        <f t="shared" si="3"/>
        <v>55</v>
      </c>
      <c r="I46" s="403">
        <f t="shared" si="11"/>
        <v>110</v>
      </c>
    </row>
    <row r="47" spans="1:19">
      <c r="A47" s="441">
        <v>4</v>
      </c>
      <c r="B47" s="17" t="s">
        <v>619</v>
      </c>
      <c r="E47" s="17" t="s">
        <v>607</v>
      </c>
      <c r="F47" s="403">
        <f t="shared" si="10"/>
        <v>55</v>
      </c>
      <c r="H47" s="403">
        <f t="shared" si="3"/>
        <v>55</v>
      </c>
      <c r="I47" s="403">
        <f t="shared" si="11"/>
        <v>220</v>
      </c>
      <c r="J47" s="17" t="s">
        <v>608</v>
      </c>
    </row>
    <row r="48" spans="1:19">
      <c r="A48" s="441">
        <v>1</v>
      </c>
      <c r="B48" s="17" t="s">
        <v>619</v>
      </c>
      <c r="E48" s="17" t="s">
        <v>609</v>
      </c>
      <c r="F48" s="403">
        <f t="shared" si="10"/>
        <v>55</v>
      </c>
      <c r="H48" s="403">
        <f t="shared" si="3"/>
        <v>55</v>
      </c>
      <c r="I48" s="403">
        <f t="shared" si="11"/>
        <v>55</v>
      </c>
    </row>
    <row r="49" spans="1:10">
      <c r="A49" s="441">
        <v>8</v>
      </c>
      <c r="B49" s="17" t="s">
        <v>619</v>
      </c>
      <c r="E49" s="17" t="s">
        <v>610</v>
      </c>
      <c r="F49" s="403">
        <f t="shared" si="10"/>
        <v>55</v>
      </c>
      <c r="H49" s="403">
        <f t="shared" si="3"/>
        <v>55</v>
      </c>
      <c r="I49" s="403">
        <f t="shared" si="11"/>
        <v>440</v>
      </c>
    </row>
    <row r="50" spans="1:10">
      <c r="A50" s="441">
        <v>2</v>
      </c>
      <c r="B50" s="17" t="s">
        <v>619</v>
      </c>
      <c r="E50" s="17" t="s">
        <v>611</v>
      </c>
      <c r="F50" s="403">
        <f t="shared" si="10"/>
        <v>55</v>
      </c>
      <c r="H50" s="403">
        <f t="shared" si="3"/>
        <v>55</v>
      </c>
      <c r="I50" s="403">
        <f t="shared" si="11"/>
        <v>110</v>
      </c>
    </row>
    <row r="51" spans="1:10">
      <c r="A51" s="441">
        <v>1</v>
      </c>
      <c r="B51" s="17" t="s">
        <v>619</v>
      </c>
      <c r="E51" s="17" t="s">
        <v>1431</v>
      </c>
      <c r="F51" s="403">
        <f t="shared" si="10"/>
        <v>55</v>
      </c>
      <c r="H51" s="403">
        <f t="shared" si="3"/>
        <v>55</v>
      </c>
      <c r="I51" s="403">
        <f t="shared" si="11"/>
        <v>55</v>
      </c>
    </row>
    <row r="52" spans="1:10">
      <c r="A52" s="441">
        <f>3*2</f>
        <v>6</v>
      </c>
      <c r="B52" s="17" t="s">
        <v>619</v>
      </c>
      <c r="E52" s="17" t="s">
        <v>612</v>
      </c>
      <c r="F52" s="403">
        <f t="shared" si="10"/>
        <v>55</v>
      </c>
      <c r="H52" s="403">
        <f t="shared" si="3"/>
        <v>55</v>
      </c>
      <c r="I52" s="403">
        <f t="shared" si="11"/>
        <v>330</v>
      </c>
      <c r="J52" s="17" t="s">
        <v>613</v>
      </c>
    </row>
    <row r="53" spans="1:10">
      <c r="A53" s="441">
        <v>8</v>
      </c>
      <c r="B53" s="17" t="s">
        <v>619</v>
      </c>
      <c r="E53" s="17" t="s">
        <v>614</v>
      </c>
      <c r="F53" s="403">
        <f t="shared" si="10"/>
        <v>55</v>
      </c>
      <c r="H53" s="403">
        <f t="shared" si="3"/>
        <v>55</v>
      </c>
      <c r="I53" s="403">
        <f t="shared" si="11"/>
        <v>440</v>
      </c>
    </row>
    <row r="54" spans="1:10">
      <c r="A54" s="441">
        <v>0</v>
      </c>
      <c r="B54" s="17" t="s">
        <v>619</v>
      </c>
      <c r="E54" s="17" t="s">
        <v>615</v>
      </c>
      <c r="F54" s="403">
        <f t="shared" si="10"/>
        <v>55</v>
      </c>
      <c r="H54" s="403">
        <f t="shared" si="3"/>
        <v>55</v>
      </c>
      <c r="I54" s="403">
        <f t="shared" si="11"/>
        <v>0</v>
      </c>
    </row>
    <row r="55" spans="1:10">
      <c r="A55" s="441">
        <v>4</v>
      </c>
      <c r="B55" s="17" t="s">
        <v>619</v>
      </c>
      <c r="E55" s="17" t="s">
        <v>616</v>
      </c>
      <c r="F55" s="403">
        <f t="shared" si="10"/>
        <v>55</v>
      </c>
      <c r="H55" s="403">
        <f t="shared" si="3"/>
        <v>55</v>
      </c>
      <c r="I55" s="403">
        <f t="shared" si="11"/>
        <v>220</v>
      </c>
    </row>
    <row r="56" spans="1:10">
      <c r="A56" s="441">
        <v>0</v>
      </c>
      <c r="B56" s="442" t="s">
        <v>619</v>
      </c>
      <c r="C56" s="446"/>
      <c r="D56" s="442"/>
      <c r="E56" s="17" t="s">
        <v>617</v>
      </c>
      <c r="F56" s="443">
        <f t="shared" si="10"/>
        <v>55</v>
      </c>
      <c r="G56" s="444"/>
      <c r="H56" s="443">
        <f t="shared" si="3"/>
        <v>55</v>
      </c>
      <c r="I56" s="443">
        <f t="shared" si="11"/>
        <v>0</v>
      </c>
      <c r="J56" s="17" t="s">
        <v>618</v>
      </c>
    </row>
    <row r="58" spans="1:10">
      <c r="A58" s="17">
        <f>SUM(A40:A57)</f>
        <v>130.15</v>
      </c>
      <c r="B58" s="17" t="s">
        <v>619</v>
      </c>
      <c r="E58" s="17" t="s">
        <v>620</v>
      </c>
    </row>
    <row r="59" spans="1:10">
      <c r="A59" s="441">
        <v>3</v>
      </c>
      <c r="B59" s="17" t="s">
        <v>517</v>
      </c>
      <c r="E59" s="17" t="s">
        <v>621</v>
      </c>
    </row>
    <row r="60" spans="1:10">
      <c r="A60" s="17">
        <v>1</v>
      </c>
      <c r="B60" s="17" t="s">
        <v>517</v>
      </c>
      <c r="E60" s="17" t="s">
        <v>622</v>
      </c>
      <c r="F60" s="445">
        <v>55</v>
      </c>
      <c r="H60" s="403">
        <f t="shared" si="3"/>
        <v>55</v>
      </c>
      <c r="I60" s="403">
        <f t="shared" si="11"/>
        <v>55</v>
      </c>
      <c r="J60" s="17" t="s">
        <v>623</v>
      </c>
    </row>
    <row r="61" spans="1:10">
      <c r="A61" s="17">
        <f>ROUNDUP(A58/8/A59,0)</f>
        <v>6</v>
      </c>
      <c r="B61" s="17" t="s">
        <v>624</v>
      </c>
      <c r="E61" s="17" t="s">
        <v>625</v>
      </c>
      <c r="F61" s="403">
        <f>A59*8*F60</f>
        <v>1320</v>
      </c>
      <c r="H61" s="403">
        <f t="shared" si="3"/>
        <v>1320</v>
      </c>
      <c r="I61" s="403">
        <f t="shared" si="11"/>
        <v>7920</v>
      </c>
    </row>
    <row r="62" spans="1:10">
      <c r="A62" s="441">
        <v>0</v>
      </c>
      <c r="B62" s="442" t="s">
        <v>517</v>
      </c>
      <c r="C62" s="446"/>
      <c r="D62" s="442"/>
      <c r="E62" s="442" t="s">
        <v>626</v>
      </c>
      <c r="F62" s="447"/>
      <c r="G62" s="444"/>
      <c r="H62" s="403">
        <f t="shared" si="3"/>
        <v>0</v>
      </c>
      <c r="I62" s="403">
        <f t="shared" si="11"/>
        <v>0</v>
      </c>
      <c r="J62" s="442"/>
    </row>
    <row r="63" spans="1:10">
      <c r="A63" s="441"/>
      <c r="F63" s="447"/>
      <c r="H63" s="403"/>
      <c r="I63" s="403"/>
    </row>
    <row r="64" spans="1:10">
      <c r="A64" s="441"/>
      <c r="F64" s="447"/>
      <c r="H64" s="403"/>
      <c r="I64" s="403"/>
    </row>
    <row r="65" spans="3:16" ht="15.75">
      <c r="E65" s="439" t="s">
        <v>628</v>
      </c>
      <c r="I65" s="443">
        <f>SUM(I61:I64)</f>
        <v>7920</v>
      </c>
      <c r="P65" s="165">
        <f>I65</f>
        <v>7920</v>
      </c>
    </row>
    <row r="75" spans="3:16" ht="55">
      <c r="C75" s="448" t="s">
        <v>629</v>
      </c>
      <c r="D75" s="448"/>
      <c r="E75" s="449" t="s">
        <v>630</v>
      </c>
    </row>
    <row r="76" spans="3:16">
      <c r="D76" s="448"/>
      <c r="E76" s="449" t="s">
        <v>631</v>
      </c>
    </row>
    <row r="77" spans="3:16">
      <c r="D77" s="17" t="s">
        <v>632</v>
      </c>
      <c r="E77" s="450" t="s">
        <v>633</v>
      </c>
      <c r="G77" s="451">
        <v>0.4</v>
      </c>
    </row>
    <row r="78" spans="3:16">
      <c r="D78" s="17" t="s">
        <v>517</v>
      </c>
      <c r="E78" s="450" t="s">
        <v>634</v>
      </c>
      <c r="G78" s="451">
        <f>G77</f>
        <v>0.4</v>
      </c>
    </row>
    <row r="79" spans="3:16">
      <c r="D79" s="448"/>
      <c r="E79" s="449"/>
    </row>
    <row r="80" spans="3:16">
      <c r="E80" s="449" t="s">
        <v>635</v>
      </c>
    </row>
    <row r="81" spans="1:12" ht="24.9">
      <c r="A81" s="452">
        <v>1</v>
      </c>
      <c r="B81" s="453" t="s">
        <v>517</v>
      </c>
      <c r="C81" s="454" t="s">
        <v>538</v>
      </c>
      <c r="D81" s="455" t="s">
        <v>636</v>
      </c>
      <c r="E81" s="453" t="s">
        <v>637</v>
      </c>
      <c r="F81" s="456">
        <v>1849</v>
      </c>
      <c r="G81" s="457"/>
      <c r="H81" s="458">
        <f>F81*(1-$G$78)</f>
        <v>1109.3999999999999</v>
      </c>
      <c r="I81" s="458">
        <f t="shared" ref="I81:I99" si="12">A81*H81</f>
        <v>1109.3999999999999</v>
      </c>
      <c r="J81" s="459" t="s">
        <v>638</v>
      </c>
      <c r="K81" s="460" t="s">
        <v>639</v>
      </c>
    </row>
    <row r="82" spans="1:12" ht="12.8" customHeight="1">
      <c r="A82" s="461">
        <v>0</v>
      </c>
      <c r="B82" s="453" t="s">
        <v>517</v>
      </c>
      <c r="C82" s="453" t="s">
        <v>538</v>
      </c>
      <c r="D82" s="462" t="s">
        <v>640</v>
      </c>
      <c r="E82" s="453" t="s">
        <v>641</v>
      </c>
      <c r="F82" s="463">
        <v>1949</v>
      </c>
      <c r="G82" s="457"/>
      <c r="H82" s="458">
        <f t="shared" ref="H82:H96" si="13">F82*(1-$G$77)</f>
        <v>1169.3999999999999</v>
      </c>
      <c r="I82" s="458">
        <f t="shared" si="12"/>
        <v>0</v>
      </c>
      <c r="J82" s="459" t="s">
        <v>638</v>
      </c>
      <c r="K82" s="1051" t="s">
        <v>642</v>
      </c>
    </row>
    <row r="83" spans="1:12" ht="24.9">
      <c r="A83" s="452">
        <v>0</v>
      </c>
      <c r="B83" s="453" t="s">
        <v>539</v>
      </c>
      <c r="C83" s="453" t="s">
        <v>538</v>
      </c>
      <c r="D83" s="462" t="s">
        <v>643</v>
      </c>
      <c r="E83" s="453" t="s">
        <v>641</v>
      </c>
      <c r="F83" s="463">
        <v>80</v>
      </c>
      <c r="G83" s="457"/>
      <c r="H83" s="458">
        <f t="shared" si="13"/>
        <v>48</v>
      </c>
      <c r="I83" s="458">
        <f t="shared" si="12"/>
        <v>0</v>
      </c>
      <c r="J83" s="459" t="s">
        <v>638</v>
      </c>
      <c r="K83" s="1051"/>
    </row>
    <row r="84" spans="1:12" ht="12.8" customHeight="1">
      <c r="A84" s="461">
        <v>0</v>
      </c>
      <c r="B84" s="453" t="s">
        <v>517</v>
      </c>
      <c r="C84" s="453" t="s">
        <v>538</v>
      </c>
      <c r="D84" s="464" t="s">
        <v>644</v>
      </c>
      <c r="E84" s="453" t="s">
        <v>645</v>
      </c>
      <c r="F84" s="463">
        <v>10051</v>
      </c>
      <c r="G84" s="457"/>
      <c r="H84" s="458">
        <f t="shared" si="13"/>
        <v>6030.5999999999995</v>
      </c>
      <c r="I84" s="458">
        <f t="shared" si="12"/>
        <v>0</v>
      </c>
      <c r="J84" s="459" t="s">
        <v>638</v>
      </c>
      <c r="K84" s="1052" t="s">
        <v>646</v>
      </c>
    </row>
    <row r="85" spans="1:12" ht="24.9">
      <c r="A85" s="461">
        <v>0</v>
      </c>
      <c r="B85" s="453" t="s">
        <v>517</v>
      </c>
      <c r="C85" s="453" t="s">
        <v>538</v>
      </c>
      <c r="D85" s="464" t="s">
        <v>644</v>
      </c>
      <c r="E85" s="453" t="s">
        <v>647</v>
      </c>
      <c r="F85" s="463">
        <v>17412</v>
      </c>
      <c r="G85" s="457"/>
      <c r="H85" s="458">
        <f t="shared" si="13"/>
        <v>10447.199999999999</v>
      </c>
      <c r="I85" s="458">
        <f t="shared" si="12"/>
        <v>0</v>
      </c>
      <c r="J85" s="459" t="s">
        <v>638</v>
      </c>
      <c r="K85" s="1052"/>
    </row>
    <row r="86" spans="1:12" ht="12.8" customHeight="1">
      <c r="A86" s="461">
        <v>0</v>
      </c>
      <c r="B86" s="453" t="s">
        <v>517</v>
      </c>
      <c r="C86" s="453" t="s">
        <v>538</v>
      </c>
      <c r="D86" s="465" t="s">
        <v>644</v>
      </c>
      <c r="E86" s="453" t="s">
        <v>648</v>
      </c>
      <c r="F86" s="466">
        <v>2345</v>
      </c>
      <c r="G86" s="457"/>
      <c r="H86" s="458">
        <f t="shared" si="13"/>
        <v>1407</v>
      </c>
      <c r="I86" s="458">
        <f t="shared" si="12"/>
        <v>0</v>
      </c>
      <c r="J86" s="453" t="s">
        <v>649</v>
      </c>
      <c r="K86" s="1049" t="s">
        <v>650</v>
      </c>
    </row>
    <row r="87" spans="1:12" ht="24.9">
      <c r="A87" s="461">
        <v>0</v>
      </c>
      <c r="B87" s="453" t="s">
        <v>517</v>
      </c>
      <c r="C87" s="453" t="s">
        <v>538</v>
      </c>
      <c r="D87" s="465" t="s">
        <v>644</v>
      </c>
      <c r="E87" s="453" t="s">
        <v>651</v>
      </c>
      <c r="F87" s="466">
        <v>3258</v>
      </c>
      <c r="G87" s="457"/>
      <c r="H87" s="458">
        <f t="shared" si="13"/>
        <v>1954.8</v>
      </c>
      <c r="I87" s="458">
        <f t="shared" si="12"/>
        <v>0</v>
      </c>
      <c r="J87" s="453" t="s">
        <v>649</v>
      </c>
      <c r="K87" s="1049"/>
    </row>
    <row r="88" spans="1:12" ht="24.9">
      <c r="A88" s="461">
        <v>0</v>
      </c>
      <c r="B88" s="453" t="s">
        <v>517</v>
      </c>
      <c r="C88" s="453" t="s">
        <v>538</v>
      </c>
      <c r="D88" s="465" t="s">
        <v>644</v>
      </c>
      <c r="E88" s="453" t="s">
        <v>652</v>
      </c>
      <c r="F88" s="463">
        <v>5649</v>
      </c>
      <c r="G88" s="457"/>
      <c r="H88" s="458">
        <f t="shared" si="13"/>
        <v>3389.4</v>
      </c>
      <c r="I88" s="458">
        <f t="shared" si="12"/>
        <v>0</v>
      </c>
      <c r="J88" s="453" t="s">
        <v>649</v>
      </c>
      <c r="K88" s="1049"/>
    </row>
    <row r="89" spans="1:12" ht="24.9">
      <c r="A89" s="461">
        <v>0</v>
      </c>
      <c r="B89" s="453" t="s">
        <v>517</v>
      </c>
      <c r="C89" s="453" t="s">
        <v>538</v>
      </c>
      <c r="D89" s="465" t="s">
        <v>644</v>
      </c>
      <c r="E89" s="453" t="s">
        <v>653</v>
      </c>
      <c r="F89" s="463">
        <v>1488</v>
      </c>
      <c r="G89" s="457"/>
      <c r="H89" s="458">
        <f t="shared" si="13"/>
        <v>892.8</v>
      </c>
      <c r="I89" s="458">
        <f t="shared" si="12"/>
        <v>0</v>
      </c>
      <c r="J89" s="453" t="s">
        <v>649</v>
      </c>
      <c r="K89" s="1049"/>
    </row>
    <row r="90" spans="1:12" ht="24.9">
      <c r="A90" s="461">
        <v>0</v>
      </c>
      <c r="B90" s="453" t="s">
        <v>517</v>
      </c>
      <c r="C90" s="453" t="s">
        <v>538</v>
      </c>
      <c r="D90" s="465" t="s">
        <v>644</v>
      </c>
      <c r="E90" s="453" t="s">
        <v>654</v>
      </c>
      <c r="F90" s="463">
        <v>5269</v>
      </c>
      <c r="G90" s="457"/>
      <c r="H90" s="458">
        <f t="shared" si="13"/>
        <v>3161.4</v>
      </c>
      <c r="I90" s="458">
        <f t="shared" si="12"/>
        <v>0</v>
      </c>
      <c r="J90" s="453" t="s">
        <v>649</v>
      </c>
      <c r="K90" s="1049"/>
    </row>
    <row r="91" spans="1:12" ht="24.9">
      <c r="A91" s="461">
        <v>0</v>
      </c>
      <c r="B91" s="453" t="s">
        <v>517</v>
      </c>
      <c r="C91" s="453" t="s">
        <v>538</v>
      </c>
      <c r="D91" s="465" t="s">
        <v>644</v>
      </c>
      <c r="E91" s="453" t="s">
        <v>655</v>
      </c>
      <c r="F91" s="463">
        <v>3078</v>
      </c>
      <c r="G91" s="457"/>
      <c r="H91" s="458">
        <f t="shared" si="13"/>
        <v>1846.8</v>
      </c>
      <c r="I91" s="458">
        <f t="shared" si="12"/>
        <v>0</v>
      </c>
      <c r="J91" s="453" t="s">
        <v>649</v>
      </c>
      <c r="K91" s="1049"/>
    </row>
    <row r="92" spans="1:12" ht="24.9">
      <c r="A92" s="461">
        <v>0</v>
      </c>
      <c r="B92" s="453" t="s">
        <v>517</v>
      </c>
      <c r="C92" s="453" t="s">
        <v>538</v>
      </c>
      <c r="D92" s="465" t="s">
        <v>644</v>
      </c>
      <c r="E92" s="453" t="s">
        <v>656</v>
      </c>
      <c r="F92" s="463">
        <v>3489</v>
      </c>
      <c r="G92" s="457"/>
      <c r="H92" s="458">
        <f t="shared" si="13"/>
        <v>2093.4</v>
      </c>
      <c r="I92" s="458">
        <f t="shared" si="12"/>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3"/>
        <v>4473.5999999999995</v>
      </c>
      <c r="I94" s="458">
        <f t="shared" si="12"/>
        <v>0</v>
      </c>
      <c r="J94" s="453" t="s">
        <v>649</v>
      </c>
      <c r="K94" s="1049"/>
    </row>
    <row r="95" spans="1:12" ht="24.9">
      <c r="A95" s="461">
        <v>0</v>
      </c>
      <c r="B95" s="453" t="s">
        <v>517</v>
      </c>
      <c r="C95" s="453" t="s">
        <v>538</v>
      </c>
      <c r="D95" s="465" t="s">
        <v>644</v>
      </c>
      <c r="E95" s="453" t="s">
        <v>660</v>
      </c>
      <c r="F95" s="463">
        <v>8494</v>
      </c>
      <c r="G95" s="457"/>
      <c r="H95" s="458">
        <f t="shared" si="13"/>
        <v>5096.3999999999996</v>
      </c>
      <c r="I95" s="458">
        <f t="shared" si="12"/>
        <v>0</v>
      </c>
      <c r="J95" s="453" t="s">
        <v>649</v>
      </c>
      <c r="K95" s="1049"/>
    </row>
    <row r="96" spans="1:12" ht="24.9">
      <c r="A96" s="461">
        <v>0</v>
      </c>
      <c r="B96" s="453" t="s">
        <v>517</v>
      </c>
      <c r="C96" s="453" t="s">
        <v>538</v>
      </c>
      <c r="D96" s="465" t="s">
        <v>644</v>
      </c>
      <c r="E96" s="453" t="s">
        <v>661</v>
      </c>
      <c r="F96" s="463">
        <v>9434</v>
      </c>
      <c r="G96" s="457"/>
      <c r="H96" s="458">
        <f t="shared" si="13"/>
        <v>5660.4</v>
      </c>
      <c r="I96" s="458">
        <f t="shared" si="12"/>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87.05">
      <c r="A99" s="461">
        <v>0</v>
      </c>
      <c r="B99" s="453" t="s">
        <v>539</v>
      </c>
      <c r="C99" s="453" t="s">
        <v>538</v>
      </c>
      <c r="D99" s="481" t="s">
        <v>664</v>
      </c>
      <c r="E99" s="453" t="s">
        <v>665</v>
      </c>
      <c r="F99" s="463">
        <v>108</v>
      </c>
      <c r="G99" s="463">
        <v>79</v>
      </c>
      <c r="H99" s="458">
        <f>IFERROR((MIN(A99,400)*F99+MAX(A99-400,0)*G99)*(1-G77)/A99,0)</f>
        <v>0</v>
      </c>
      <c r="I99" s="458">
        <f t="shared" si="12"/>
        <v>0</v>
      </c>
      <c r="J99" s="453" t="s">
        <v>638</v>
      </c>
      <c r="K99" s="482" t="s">
        <v>666</v>
      </c>
      <c r="L99" s="204"/>
    </row>
    <row r="100" spans="1:12">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0</v>
      </c>
      <c r="B103" s="453" t="s">
        <v>517</v>
      </c>
      <c r="C103" s="454" t="s">
        <v>538</v>
      </c>
      <c r="D103" s="455" t="s">
        <v>636</v>
      </c>
      <c r="E103" s="453" t="s">
        <v>668</v>
      </c>
      <c r="F103" s="463">
        <v>3732</v>
      </c>
      <c r="G103" s="457"/>
      <c r="H103" s="458">
        <f>F103*(1-G78)</f>
        <v>2239.1999999999998</v>
      </c>
      <c r="I103" s="458">
        <f t="shared" ref="I103:I124" si="14">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4"/>
        <v>0</v>
      </c>
      <c r="J104" s="453" t="s">
        <v>649</v>
      </c>
      <c r="K104" s="1050"/>
      <c r="L104" s="17" t="s">
        <v>672</v>
      </c>
    </row>
    <row r="105" spans="1:12" ht="12.8" customHeight="1">
      <c r="A105" s="461">
        <v>0</v>
      </c>
      <c r="B105" s="453" t="s">
        <v>517</v>
      </c>
      <c r="C105" s="453" t="s">
        <v>538</v>
      </c>
      <c r="D105" s="462" t="s">
        <v>640</v>
      </c>
      <c r="E105" s="453" t="s">
        <v>673</v>
      </c>
      <c r="F105" s="463">
        <v>1968</v>
      </c>
      <c r="G105" s="457"/>
      <c r="H105" s="458">
        <f t="shared" ref="H105:H119" si="15">F105*(1-$G$77)</f>
        <v>1180.8</v>
      </c>
      <c r="I105" s="458">
        <f t="shared" si="14"/>
        <v>0</v>
      </c>
      <c r="J105" s="459" t="s">
        <v>638</v>
      </c>
      <c r="K105" s="1051" t="s">
        <v>642</v>
      </c>
    </row>
    <row r="106" spans="1:12" ht="24.9">
      <c r="A106" s="452">
        <v>0</v>
      </c>
      <c r="B106" s="453" t="s">
        <v>539</v>
      </c>
      <c r="C106" s="453" t="s">
        <v>538</v>
      </c>
      <c r="D106" s="462" t="s">
        <v>643</v>
      </c>
      <c r="E106" s="453" t="s">
        <v>673</v>
      </c>
      <c r="F106" s="463">
        <v>87.9</v>
      </c>
      <c r="G106" s="457"/>
      <c r="H106" s="458">
        <f t="shared" si="15"/>
        <v>52.74</v>
      </c>
      <c r="I106" s="458">
        <f t="shared" si="14"/>
        <v>0</v>
      </c>
      <c r="J106" s="459" t="s">
        <v>638</v>
      </c>
      <c r="K106" s="1051"/>
    </row>
    <row r="107" spans="1:12" ht="12.8" customHeight="1">
      <c r="A107" s="452">
        <v>0</v>
      </c>
      <c r="B107" s="453" t="s">
        <v>517</v>
      </c>
      <c r="C107" s="453" t="s">
        <v>538</v>
      </c>
      <c r="D107" s="464" t="s">
        <v>644</v>
      </c>
      <c r="E107" s="453" t="s">
        <v>645</v>
      </c>
      <c r="F107" s="463">
        <v>10051</v>
      </c>
      <c r="G107" s="457"/>
      <c r="H107" s="458">
        <f t="shared" si="15"/>
        <v>6030.5999999999995</v>
      </c>
      <c r="I107" s="458">
        <f t="shared" si="14"/>
        <v>0</v>
      </c>
      <c r="J107" s="459" t="s">
        <v>638</v>
      </c>
      <c r="K107" s="1052" t="s">
        <v>646</v>
      </c>
    </row>
    <row r="108" spans="1:12" ht="24.9">
      <c r="A108" s="461">
        <v>0</v>
      </c>
      <c r="B108" s="453" t="s">
        <v>517</v>
      </c>
      <c r="C108" s="453" t="s">
        <v>538</v>
      </c>
      <c r="D108" s="464" t="s">
        <v>644</v>
      </c>
      <c r="E108" s="453" t="s">
        <v>647</v>
      </c>
      <c r="F108" s="463">
        <v>17412</v>
      </c>
      <c r="G108" s="457"/>
      <c r="H108" s="458">
        <f t="shared" si="15"/>
        <v>10447.199999999999</v>
      </c>
      <c r="I108" s="458">
        <f t="shared" si="14"/>
        <v>0</v>
      </c>
      <c r="J108" s="459" t="s">
        <v>638</v>
      </c>
      <c r="K108" s="1052"/>
    </row>
    <row r="109" spans="1:12" ht="12.8" customHeight="1">
      <c r="A109" s="461">
        <v>0</v>
      </c>
      <c r="B109" s="453" t="s">
        <v>517</v>
      </c>
      <c r="C109" s="453" t="s">
        <v>538</v>
      </c>
      <c r="D109" s="465" t="s">
        <v>644</v>
      </c>
      <c r="E109" s="453" t="s">
        <v>648</v>
      </c>
      <c r="F109" s="463">
        <v>2345</v>
      </c>
      <c r="G109" s="457"/>
      <c r="H109" s="458">
        <f t="shared" si="15"/>
        <v>1407</v>
      </c>
      <c r="I109" s="458">
        <f t="shared" si="14"/>
        <v>0</v>
      </c>
      <c r="J109" s="453" t="s">
        <v>649</v>
      </c>
      <c r="K109" s="1049" t="s">
        <v>650</v>
      </c>
    </row>
    <row r="110" spans="1:12" ht="24.9">
      <c r="A110" s="461">
        <v>0</v>
      </c>
      <c r="B110" s="453" t="s">
        <v>517</v>
      </c>
      <c r="C110" s="453" t="s">
        <v>538</v>
      </c>
      <c r="D110" s="465" t="s">
        <v>644</v>
      </c>
      <c r="E110" s="453" t="s">
        <v>651</v>
      </c>
      <c r="F110" s="463">
        <v>3258</v>
      </c>
      <c r="G110" s="457"/>
      <c r="H110" s="458">
        <f t="shared" si="15"/>
        <v>1954.8</v>
      </c>
      <c r="I110" s="458">
        <f t="shared" si="14"/>
        <v>0</v>
      </c>
      <c r="J110" s="453" t="s">
        <v>649</v>
      </c>
      <c r="K110" s="1049"/>
    </row>
    <row r="111" spans="1:12" ht="24.9">
      <c r="A111" s="461">
        <v>0</v>
      </c>
      <c r="B111" s="453" t="s">
        <v>517</v>
      </c>
      <c r="C111" s="453" t="s">
        <v>538</v>
      </c>
      <c r="D111" s="465" t="s">
        <v>644</v>
      </c>
      <c r="E111" s="453" t="s">
        <v>652</v>
      </c>
      <c r="F111" s="463">
        <v>5649</v>
      </c>
      <c r="G111" s="457"/>
      <c r="H111" s="458">
        <f t="shared" si="15"/>
        <v>3389.4</v>
      </c>
      <c r="I111" s="458">
        <f t="shared" si="14"/>
        <v>0</v>
      </c>
      <c r="J111" s="453" t="s">
        <v>649</v>
      </c>
      <c r="K111" s="1049"/>
    </row>
    <row r="112" spans="1:12" ht="24.9">
      <c r="A112" s="461">
        <v>0</v>
      </c>
      <c r="B112" s="453" t="s">
        <v>517</v>
      </c>
      <c r="C112" s="453" t="s">
        <v>538</v>
      </c>
      <c r="D112" s="465" t="s">
        <v>644</v>
      </c>
      <c r="E112" s="453" t="s">
        <v>653</v>
      </c>
      <c r="F112" s="463">
        <v>1488</v>
      </c>
      <c r="G112" s="457"/>
      <c r="H112" s="458">
        <f t="shared" si="15"/>
        <v>892.8</v>
      </c>
      <c r="I112" s="458">
        <f t="shared" si="14"/>
        <v>0</v>
      </c>
      <c r="J112" s="453" t="s">
        <v>649</v>
      </c>
      <c r="K112" s="1049"/>
    </row>
    <row r="113" spans="1:17" ht="24.9">
      <c r="A113" s="461">
        <v>0</v>
      </c>
      <c r="B113" s="453" t="s">
        <v>517</v>
      </c>
      <c r="C113" s="453" t="s">
        <v>538</v>
      </c>
      <c r="D113" s="465" t="s">
        <v>644</v>
      </c>
      <c r="E113" s="453" t="s">
        <v>654</v>
      </c>
      <c r="F113" s="463">
        <v>5269</v>
      </c>
      <c r="G113" s="457"/>
      <c r="H113" s="458">
        <f t="shared" si="15"/>
        <v>3161.4</v>
      </c>
      <c r="I113" s="458">
        <f t="shared" si="14"/>
        <v>0</v>
      </c>
      <c r="J113" s="453" t="s">
        <v>649</v>
      </c>
      <c r="K113" s="1049"/>
    </row>
    <row r="114" spans="1:17" ht="24.9">
      <c r="A114" s="461">
        <v>0</v>
      </c>
      <c r="B114" s="453" t="s">
        <v>517</v>
      </c>
      <c r="C114" s="453" t="s">
        <v>538</v>
      </c>
      <c r="D114" s="465" t="s">
        <v>644</v>
      </c>
      <c r="E114" s="453" t="s">
        <v>655</v>
      </c>
      <c r="F114" s="463">
        <v>3078</v>
      </c>
      <c r="G114" s="457"/>
      <c r="H114" s="458">
        <f t="shared" si="15"/>
        <v>1846.8</v>
      </c>
      <c r="I114" s="458">
        <f t="shared" si="14"/>
        <v>0</v>
      </c>
      <c r="J114" s="453" t="s">
        <v>649</v>
      </c>
      <c r="K114" s="1049"/>
    </row>
    <row r="115" spans="1:17" ht="24.9">
      <c r="A115" s="461">
        <v>0</v>
      </c>
      <c r="B115" s="453" t="s">
        <v>517</v>
      </c>
      <c r="C115" s="453" t="s">
        <v>538</v>
      </c>
      <c r="D115" s="465" t="s">
        <v>644</v>
      </c>
      <c r="E115" s="453" t="s">
        <v>656</v>
      </c>
      <c r="F115" s="463">
        <v>3489</v>
      </c>
      <c r="G115" s="457"/>
      <c r="H115" s="458">
        <f t="shared" si="15"/>
        <v>2093.4</v>
      </c>
      <c r="I115" s="458">
        <f t="shared" si="14"/>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5"/>
        <v>4473.5999999999995</v>
      </c>
      <c r="I117" s="458">
        <f t="shared" si="14"/>
        <v>0</v>
      </c>
      <c r="J117" s="453" t="s">
        <v>649</v>
      </c>
      <c r="K117" s="1049"/>
    </row>
    <row r="118" spans="1:17" ht="24.9">
      <c r="A118" s="461">
        <v>0</v>
      </c>
      <c r="B118" s="453" t="s">
        <v>517</v>
      </c>
      <c r="C118" s="453" t="s">
        <v>538</v>
      </c>
      <c r="D118" s="465" t="s">
        <v>644</v>
      </c>
      <c r="E118" s="453" t="s">
        <v>660</v>
      </c>
      <c r="F118" s="463">
        <v>8494</v>
      </c>
      <c r="G118" s="457"/>
      <c r="H118" s="458">
        <f t="shared" si="15"/>
        <v>5096.3999999999996</v>
      </c>
      <c r="I118" s="458">
        <f t="shared" si="14"/>
        <v>0</v>
      </c>
      <c r="J118" s="453" t="s">
        <v>649</v>
      </c>
      <c r="K118" s="1049"/>
    </row>
    <row r="119" spans="1:17" ht="24.9">
      <c r="A119" s="461">
        <v>0</v>
      </c>
      <c r="B119" s="453" t="s">
        <v>517</v>
      </c>
      <c r="C119" s="453" t="s">
        <v>538</v>
      </c>
      <c r="D119" s="465" t="s">
        <v>644</v>
      </c>
      <c r="E119" s="453" t="s">
        <v>661</v>
      </c>
      <c r="F119" s="463">
        <v>9434</v>
      </c>
      <c r="G119" s="457"/>
      <c r="H119" s="458">
        <f t="shared" si="15"/>
        <v>5660.4</v>
      </c>
      <c r="I119" s="458">
        <f t="shared" si="14"/>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4"/>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4"/>
        <v>161.44</v>
      </c>
    </row>
    <row r="125" spans="1:17">
      <c r="A125" s="204"/>
      <c r="F125" s="485"/>
      <c r="H125" s="403"/>
      <c r="I125" s="403"/>
    </row>
    <row r="126" spans="1:17" ht="15.75">
      <c r="E126" s="439" t="s">
        <v>676</v>
      </c>
      <c r="I126" s="486">
        <f>SUM(I81:I124)</f>
        <v>1270.8399999999999</v>
      </c>
      <c r="Q126" s="165">
        <f>I126</f>
        <v>1270.8399999999999</v>
      </c>
    </row>
    <row r="128" spans="1:17" ht="13.75" customHeight="1">
      <c r="A128" s="986" t="s">
        <v>100</v>
      </c>
      <c r="B128" s="986"/>
      <c r="C128" s="986"/>
      <c r="D128" s="986"/>
      <c r="E128" s="986"/>
    </row>
    <row r="130" spans="1:10">
      <c r="E130" s="442" t="s">
        <v>677</v>
      </c>
      <c r="J130" s="403"/>
    </row>
    <row r="131" spans="1:10" ht="22.25">
      <c r="A131" s="407">
        <v>1</v>
      </c>
      <c r="B131" s="407" t="s">
        <v>522</v>
      </c>
      <c r="C131" s="408" t="s">
        <v>678</v>
      </c>
      <c r="D131" s="407" t="s">
        <v>679</v>
      </c>
      <c r="E131" s="408" t="s">
        <v>680</v>
      </c>
      <c r="F131" s="409">
        <v>2801.13</v>
      </c>
      <c r="G131" s="410"/>
      <c r="H131" s="409">
        <f t="shared" ref="H131:H140" si="16">F131*(1-G131)</f>
        <v>2801.13</v>
      </c>
      <c r="I131" s="409"/>
    </row>
    <row r="132" spans="1:10" ht="33.4">
      <c r="A132" s="407">
        <v>1</v>
      </c>
      <c r="B132" s="407" t="s">
        <v>522</v>
      </c>
      <c r="C132" s="408" t="s">
        <v>678</v>
      </c>
      <c r="D132" s="407" t="s">
        <v>681</v>
      </c>
      <c r="E132" s="408" t="s">
        <v>682</v>
      </c>
      <c r="F132" s="409">
        <v>772.15</v>
      </c>
      <c r="G132" s="410"/>
      <c r="H132" s="409">
        <f t="shared" si="16"/>
        <v>772.15</v>
      </c>
      <c r="I132" s="409"/>
    </row>
    <row r="133" spans="1:10" ht="33.4">
      <c r="A133" s="407">
        <v>1</v>
      </c>
      <c r="B133" s="407" t="s">
        <v>522</v>
      </c>
      <c r="C133" s="408" t="s">
        <v>678</v>
      </c>
      <c r="D133" s="407" t="s">
        <v>683</v>
      </c>
      <c r="E133" s="408" t="s">
        <v>684</v>
      </c>
      <c r="F133" s="409">
        <v>150.26</v>
      </c>
      <c r="G133" s="410"/>
      <c r="H133" s="409">
        <f t="shared" si="16"/>
        <v>150.26</v>
      </c>
      <c r="I133" s="409"/>
    </row>
    <row r="134" spans="1:10" ht="33.4">
      <c r="A134" s="407">
        <v>1</v>
      </c>
      <c r="B134" s="407" t="s">
        <v>522</v>
      </c>
      <c r="C134" s="408" t="s">
        <v>678</v>
      </c>
      <c r="D134" s="407" t="s">
        <v>685</v>
      </c>
      <c r="E134" s="408" t="s">
        <v>686</v>
      </c>
      <c r="F134" s="409">
        <v>10.58</v>
      </c>
      <c r="G134" s="410"/>
      <c r="H134" s="409">
        <f t="shared" si="16"/>
        <v>10.58</v>
      </c>
      <c r="I134" s="409"/>
    </row>
    <row r="135" spans="1:10" ht="22.25">
      <c r="A135" s="407">
        <v>0</v>
      </c>
      <c r="B135" s="407" t="s">
        <v>522</v>
      </c>
      <c r="C135" s="408" t="s">
        <v>678</v>
      </c>
      <c r="D135" s="407" t="s">
        <v>687</v>
      </c>
      <c r="E135" s="408" t="s">
        <v>688</v>
      </c>
      <c r="F135" s="409">
        <v>69.78</v>
      </c>
      <c r="G135" s="410"/>
      <c r="H135" s="409">
        <f t="shared" si="16"/>
        <v>69.78</v>
      </c>
      <c r="I135" s="409"/>
      <c r="J135" s="17" t="s">
        <v>689</v>
      </c>
    </row>
    <row r="136" spans="1:10" ht="22.25">
      <c r="A136" s="487">
        <v>10</v>
      </c>
      <c r="B136" s="407" t="s">
        <v>539</v>
      </c>
      <c r="C136" s="408" t="s">
        <v>690</v>
      </c>
      <c r="D136" s="407"/>
      <c r="E136" s="407" t="s">
        <v>691</v>
      </c>
      <c r="F136" s="409">
        <v>7.58</v>
      </c>
      <c r="G136" s="410"/>
      <c r="H136" s="409">
        <f t="shared" si="16"/>
        <v>7.58</v>
      </c>
      <c r="I136" s="409"/>
      <c r="J136" s="17" t="s">
        <v>692</v>
      </c>
    </row>
    <row r="137" spans="1:10" ht="22.25">
      <c r="A137" s="487">
        <v>10</v>
      </c>
      <c r="B137" s="407" t="s">
        <v>539</v>
      </c>
      <c r="C137" s="408" t="s">
        <v>690</v>
      </c>
      <c r="D137" s="407"/>
      <c r="E137" s="407" t="s">
        <v>693</v>
      </c>
      <c r="F137" s="409">
        <v>2.04</v>
      </c>
      <c r="G137" s="410"/>
      <c r="H137" s="409">
        <f t="shared" si="16"/>
        <v>2.04</v>
      </c>
      <c r="I137" s="409"/>
      <c r="J137" s="17" t="s">
        <v>694</v>
      </c>
    </row>
    <row r="138" spans="1:10" ht="22.25">
      <c r="A138" s="407">
        <v>1</v>
      </c>
      <c r="B138" s="407" t="s">
        <v>522</v>
      </c>
      <c r="C138" s="408"/>
      <c r="D138" s="407"/>
      <c r="E138" s="408" t="s">
        <v>695</v>
      </c>
      <c r="F138" s="409">
        <v>50</v>
      </c>
      <c r="G138" s="410"/>
      <c r="H138" s="409">
        <f t="shared" si="16"/>
        <v>50</v>
      </c>
      <c r="I138" s="409"/>
      <c r="J138" s="204" t="s">
        <v>696</v>
      </c>
    </row>
    <row r="139" spans="1:10">
      <c r="A139" s="407">
        <v>16</v>
      </c>
      <c r="B139" s="407" t="s">
        <v>619</v>
      </c>
      <c r="C139" s="408"/>
      <c r="D139" s="407"/>
      <c r="E139" s="408" t="s">
        <v>697</v>
      </c>
      <c r="F139" s="409">
        <f>F60</f>
        <v>55</v>
      </c>
      <c r="G139" s="410"/>
      <c r="H139" s="409">
        <f t="shared" si="16"/>
        <v>55</v>
      </c>
      <c r="I139" s="409"/>
    </row>
    <row r="140" spans="1:10" ht="66.8">
      <c r="A140" s="407">
        <v>1</v>
      </c>
      <c r="B140" s="407" t="s">
        <v>517</v>
      </c>
      <c r="C140" s="408" t="s">
        <v>698</v>
      </c>
      <c r="D140" s="407" t="s">
        <v>636</v>
      </c>
      <c r="E140" s="408" t="s">
        <v>637</v>
      </c>
      <c r="F140" s="409">
        <v>1809</v>
      </c>
      <c r="G140" s="410">
        <v>0.75</v>
      </c>
      <c r="H140" s="409">
        <f t="shared" si="16"/>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9">
      <c r="A145" s="407"/>
      <c r="B145" s="407"/>
      <c r="C145" s="408"/>
      <c r="D145" s="407"/>
      <c r="E145" s="408"/>
      <c r="F145" s="409"/>
      <c r="G145" s="410"/>
      <c r="H145" s="409"/>
      <c r="I145" s="409"/>
    </row>
    <row r="146" spans="1:19">
      <c r="E146" s="442" t="s">
        <v>1508</v>
      </c>
      <c r="M146" s="403"/>
      <c r="N146" s="403"/>
      <c r="O146" s="403"/>
      <c r="P146" s="403"/>
      <c r="Q146" s="403"/>
      <c r="R146" s="403"/>
      <c r="S146" s="403"/>
    </row>
    <row r="147" spans="1:19">
      <c r="A147" s="407"/>
      <c r="B147" s="407"/>
      <c r="C147" s="408"/>
      <c r="D147" s="407"/>
      <c r="E147" s="408"/>
      <c r="F147" s="409"/>
      <c r="G147" s="410"/>
      <c r="H147" s="409"/>
      <c r="I147" s="409"/>
      <c r="M147" s="403"/>
      <c r="N147" s="403"/>
      <c r="O147" s="403"/>
      <c r="P147" s="403"/>
      <c r="Q147" s="403"/>
      <c r="R147" s="403"/>
      <c r="S147" s="403"/>
    </row>
    <row r="148" spans="1:19" ht="33.4">
      <c r="A148" s="407">
        <f>10.08*20</f>
        <v>201.6</v>
      </c>
      <c r="B148" s="407" t="s">
        <v>1289</v>
      </c>
      <c r="C148" s="408" t="s">
        <v>1509</v>
      </c>
      <c r="D148" s="407"/>
      <c r="E148" s="749" t="s">
        <v>1510</v>
      </c>
      <c r="F148" s="409">
        <v>71239</v>
      </c>
      <c r="G148" s="410"/>
      <c r="H148" s="409">
        <f>F148*(A148/900)^0.8</f>
        <v>21523.665259982947</v>
      </c>
      <c r="I148" s="421">
        <f>H148</f>
        <v>21523.665259982947</v>
      </c>
      <c r="J148" s="403">
        <f>I148/A148</f>
        <v>106.76421259912176</v>
      </c>
      <c r="K148" s="17" t="s">
        <v>1511</v>
      </c>
      <c r="M148" s="403"/>
      <c r="N148" s="403"/>
      <c r="O148" s="403"/>
      <c r="P148" s="403"/>
      <c r="Q148" s="403"/>
      <c r="R148" s="403"/>
      <c r="S148" s="403"/>
    </row>
    <row r="149" spans="1:19">
      <c r="A149" s="407"/>
      <c r="B149" s="407"/>
      <c r="C149" s="408"/>
      <c r="D149" s="407"/>
      <c r="E149" s="408"/>
      <c r="F149" s="409"/>
      <c r="G149" s="410"/>
      <c r="H149" s="409"/>
      <c r="I149" s="409"/>
      <c r="M149" s="403"/>
      <c r="N149" s="403"/>
      <c r="O149" s="403"/>
      <c r="P149" s="403"/>
      <c r="Q149" s="403"/>
      <c r="R149" s="403"/>
      <c r="S149" s="403"/>
    </row>
    <row r="150" spans="1:19">
      <c r="A150" s="407"/>
      <c r="B150" s="407"/>
      <c r="C150" s="408"/>
      <c r="D150" s="407"/>
      <c r="E150" s="408"/>
      <c r="F150" s="409"/>
      <c r="G150" s="410"/>
      <c r="H150" s="409"/>
      <c r="I150" s="409"/>
    </row>
    <row r="151" spans="1:19">
      <c r="A151" s="407"/>
      <c r="B151" s="407"/>
      <c r="C151" s="408"/>
      <c r="D151" s="407"/>
      <c r="E151" s="408"/>
      <c r="F151" s="409"/>
      <c r="G151" s="410"/>
      <c r="H151" s="409"/>
      <c r="I151" s="409"/>
    </row>
    <row r="152" spans="1:19">
      <c r="A152" s="204"/>
      <c r="F152" s="485"/>
      <c r="H152" s="403"/>
      <c r="I152" s="403"/>
    </row>
    <row r="153" spans="1:19">
      <c r="E153" s="439" t="s">
        <v>702</v>
      </c>
      <c r="I153" s="443">
        <f>SUM(I131:I152)</f>
        <v>21523.665259982947</v>
      </c>
    </row>
    <row r="155" spans="1:19" ht="15.05" customHeight="1">
      <c r="A155" s="1002" t="s">
        <v>90</v>
      </c>
      <c r="B155" s="1002"/>
      <c r="C155" s="1002"/>
      <c r="D155" s="1002"/>
      <c r="E155" s="1002"/>
    </row>
    <row r="157" spans="1:19">
      <c r="A157" s="17">
        <v>1</v>
      </c>
      <c r="B157" s="17" t="s">
        <v>517</v>
      </c>
      <c r="E157" s="17" t="s">
        <v>703</v>
      </c>
      <c r="F157" s="403">
        <v>800</v>
      </c>
      <c r="H157" s="403">
        <f t="shared" ref="H157:H172" si="17">F157*(1-G157)</f>
        <v>800</v>
      </c>
      <c r="I157" s="403">
        <f t="shared" ref="I157:I163" si="18">A157*H157</f>
        <v>800</v>
      </c>
      <c r="J157" s="17" t="s">
        <v>704</v>
      </c>
    </row>
    <row r="158" spans="1:19">
      <c r="A158" s="17">
        <v>1</v>
      </c>
      <c r="B158" s="17" t="s">
        <v>517</v>
      </c>
      <c r="E158" s="17" t="s">
        <v>705</v>
      </c>
      <c r="F158" s="403">
        <v>500</v>
      </c>
      <c r="H158" s="403">
        <f t="shared" si="17"/>
        <v>500</v>
      </c>
      <c r="I158" s="403">
        <f t="shared" si="18"/>
        <v>500</v>
      </c>
      <c r="J158" s="17" t="s">
        <v>704</v>
      </c>
    </row>
    <row r="159" spans="1:19">
      <c r="A159" s="17">
        <v>1</v>
      </c>
      <c r="B159" s="17" t="s">
        <v>517</v>
      </c>
      <c r="E159" s="17" t="s">
        <v>706</v>
      </c>
      <c r="F159" s="403">
        <v>40</v>
      </c>
      <c r="H159" s="403">
        <f t="shared" si="17"/>
        <v>40</v>
      </c>
      <c r="I159" s="403">
        <f t="shared" si="18"/>
        <v>40</v>
      </c>
    </row>
    <row r="160" spans="1:19">
      <c r="A160" s="17">
        <v>1</v>
      </c>
      <c r="B160" s="17" t="s">
        <v>517</v>
      </c>
      <c r="E160" s="17" t="s">
        <v>707</v>
      </c>
      <c r="F160" s="403">
        <v>1500</v>
      </c>
      <c r="H160" s="403">
        <f t="shared" si="17"/>
        <v>1500</v>
      </c>
      <c r="I160" s="403">
        <f t="shared" si="18"/>
        <v>1500</v>
      </c>
    </row>
    <row r="161" spans="1:10" ht="55.65">
      <c r="A161" s="17">
        <v>1</v>
      </c>
      <c r="B161" s="17" t="s">
        <v>517</v>
      </c>
      <c r="C161" s="204" t="s">
        <v>708</v>
      </c>
      <c r="E161" s="204" t="s">
        <v>709</v>
      </c>
      <c r="F161" s="403">
        <v>460</v>
      </c>
      <c r="H161" s="403">
        <f t="shared" si="17"/>
        <v>460</v>
      </c>
      <c r="I161" s="403">
        <f t="shared" si="18"/>
        <v>460</v>
      </c>
    </row>
    <row r="162" spans="1:10" ht="55.65">
      <c r="A162" s="17">
        <v>0</v>
      </c>
      <c r="B162" s="17" t="s">
        <v>517</v>
      </c>
      <c r="C162" s="204" t="s">
        <v>711</v>
      </c>
      <c r="E162" s="204" t="s">
        <v>712</v>
      </c>
      <c r="F162" s="403">
        <v>320</v>
      </c>
      <c r="H162" s="403">
        <f t="shared" si="17"/>
        <v>320</v>
      </c>
      <c r="I162" s="403">
        <f t="shared" si="18"/>
        <v>0</v>
      </c>
    </row>
    <row r="163" spans="1:10" ht="55.65">
      <c r="A163" s="17">
        <v>1</v>
      </c>
      <c r="B163" s="17" t="s">
        <v>517</v>
      </c>
      <c r="C163" s="17" t="s">
        <v>713</v>
      </c>
      <c r="D163" s="17" t="s">
        <v>714</v>
      </c>
      <c r="E163" s="204" t="s">
        <v>715</v>
      </c>
      <c r="F163" s="403">
        <v>2725</v>
      </c>
      <c r="H163" s="403">
        <f t="shared" si="17"/>
        <v>2725</v>
      </c>
      <c r="I163" s="403">
        <f t="shared" si="18"/>
        <v>2725</v>
      </c>
    </row>
    <row r="165" spans="1:10" ht="15.75">
      <c r="E165" s="439" t="s">
        <v>729</v>
      </c>
      <c r="I165" s="168">
        <f>SUM(I155:I164)</f>
        <v>6025</v>
      </c>
    </row>
    <row r="167" spans="1:10" ht="13.75" customHeight="1">
      <c r="A167" s="997" t="s">
        <v>68</v>
      </c>
      <c r="B167" s="997"/>
      <c r="C167" s="997"/>
      <c r="D167" s="997"/>
      <c r="E167" s="997"/>
    </row>
    <row r="168" spans="1:10">
      <c r="A168" s="442">
        <v>0</v>
      </c>
      <c r="B168" s="17" t="s">
        <v>517</v>
      </c>
      <c r="E168" s="17" t="s">
        <v>1433</v>
      </c>
      <c r="F168" s="403">
        <v>187.5</v>
      </c>
      <c r="H168" s="403">
        <f t="shared" si="17"/>
        <v>187.5</v>
      </c>
      <c r="I168" s="403">
        <f t="shared" ref="I168:I172" si="19">A168*H168</f>
        <v>0</v>
      </c>
      <c r="J168" s="17" t="s">
        <v>1434</v>
      </c>
    </row>
    <row r="169" spans="1:10">
      <c r="A169" s="442">
        <v>1</v>
      </c>
      <c r="B169" s="17" t="s">
        <v>517</v>
      </c>
      <c r="E169" s="17" t="s">
        <v>1435</v>
      </c>
      <c r="F169" s="403">
        <v>250</v>
      </c>
      <c r="H169" s="403">
        <f t="shared" si="17"/>
        <v>250</v>
      </c>
      <c r="I169" s="403">
        <f t="shared" si="19"/>
        <v>250</v>
      </c>
    </row>
    <row r="170" spans="1:10">
      <c r="A170" s="442">
        <v>0</v>
      </c>
      <c r="B170" s="17" t="s">
        <v>505</v>
      </c>
      <c r="E170" s="17" t="s">
        <v>1436</v>
      </c>
      <c r="F170" s="403">
        <v>500</v>
      </c>
      <c r="H170" s="403">
        <f t="shared" si="17"/>
        <v>500</v>
      </c>
      <c r="I170" s="403">
        <f t="shared" si="19"/>
        <v>0</v>
      </c>
    </row>
    <row r="171" spans="1:10" ht="55.65">
      <c r="A171" s="17">
        <v>0</v>
      </c>
      <c r="B171" s="17" t="s">
        <v>517</v>
      </c>
      <c r="C171" s="204" t="s">
        <v>708</v>
      </c>
      <c r="E171" s="204" t="s">
        <v>731</v>
      </c>
      <c r="F171" s="403">
        <f>460/2</f>
        <v>230</v>
      </c>
      <c r="H171" s="403">
        <f t="shared" si="17"/>
        <v>230</v>
      </c>
      <c r="I171" s="403">
        <f t="shared" si="19"/>
        <v>0</v>
      </c>
    </row>
    <row r="172" spans="1:10" ht="55.65">
      <c r="A172" s="17">
        <v>0</v>
      </c>
      <c r="B172" s="17" t="s">
        <v>517</v>
      </c>
      <c r="C172" s="204" t="s">
        <v>711</v>
      </c>
      <c r="E172" s="204" t="s">
        <v>732</v>
      </c>
      <c r="F172" s="403">
        <f>320/2</f>
        <v>160</v>
      </c>
      <c r="H172" s="403">
        <f t="shared" si="17"/>
        <v>160</v>
      </c>
      <c r="I172" s="403">
        <f t="shared" si="19"/>
        <v>0</v>
      </c>
    </row>
    <row r="174" spans="1:10" ht="15.75">
      <c r="E174" s="439" t="s">
        <v>733</v>
      </c>
      <c r="I174" s="168">
        <f>SUM(I167:I173)</f>
        <v>250</v>
      </c>
    </row>
    <row r="175" spans="1:10">
      <c r="E175" s="439"/>
    </row>
  </sheetData>
  <mergeCells count="13">
    <mergeCell ref="B1:F1"/>
    <mergeCell ref="A2:G2"/>
    <mergeCell ref="J22:L22"/>
    <mergeCell ref="K82:K83"/>
    <mergeCell ref="K84:K85"/>
    <mergeCell ref="A128:E128"/>
    <mergeCell ref="A155:E155"/>
    <mergeCell ref="A167:E167"/>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310</v>
      </c>
      <c r="C1" s="1058"/>
      <c r="D1" s="1058"/>
      <c r="E1" s="1058"/>
      <c r="F1" s="1058"/>
      <c r="H1" s="405" t="s">
        <v>493</v>
      </c>
      <c r="I1" s="406">
        <f>VLOOKUP(E4,Catalogue!F:J,5,0)</f>
        <v>370</v>
      </c>
      <c r="J1" s="17" t="s">
        <v>494</v>
      </c>
      <c r="K1" s="17" t="s">
        <v>495</v>
      </c>
      <c r="L1" s="58">
        <f>A4*I1</f>
        <v>125060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f>306+32</f>
        <v>338</v>
      </c>
      <c r="B4" s="413" t="s">
        <v>505</v>
      </c>
      <c r="C4" s="420" t="s">
        <v>1306</v>
      </c>
      <c r="D4" s="413"/>
      <c r="E4" s="420" t="s">
        <v>1308</v>
      </c>
      <c r="F4" s="421">
        <v>90.8</v>
      </c>
      <c r="G4" s="410"/>
      <c r="H4" s="409">
        <f t="shared" ref="H4:H9" si="0">F4*(1-G4)</f>
        <v>90.8</v>
      </c>
      <c r="I4" s="409">
        <f t="shared" ref="I4:I9" si="1">A4*H4</f>
        <v>30690.399999999998</v>
      </c>
      <c r="J4" s="417">
        <f>F4/$I$1</f>
        <v>0.2454054054054054</v>
      </c>
      <c r="K4" s="403" t="s">
        <v>1421</v>
      </c>
      <c r="L4" s="404"/>
      <c r="M4" s="418">
        <f>I4</f>
        <v>30690.399999999998</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f>A4+A5</f>
        <v>338</v>
      </c>
      <c r="B6" s="413" t="s">
        <v>505</v>
      </c>
      <c r="C6" s="413" t="s">
        <v>751</v>
      </c>
      <c r="D6" s="413"/>
      <c r="E6" s="420" t="s">
        <v>1191</v>
      </c>
      <c r="F6" s="421">
        <f>913.68/109</f>
        <v>8.3823853211009176</v>
      </c>
      <c r="G6" s="422"/>
      <c r="H6" s="409">
        <f t="shared" si="0"/>
        <v>8.3823853211009176</v>
      </c>
      <c r="I6" s="409">
        <f t="shared" si="1"/>
        <v>2833.2462385321101</v>
      </c>
      <c r="J6" s="417">
        <f>F6/$I$1</f>
        <v>2.2655095462434913E-2</v>
      </c>
      <c r="K6" s="417"/>
      <c r="L6" s="204"/>
      <c r="M6" s="418">
        <f>I6</f>
        <v>2833.2462385321101</v>
      </c>
      <c r="N6" s="418"/>
      <c r="O6" s="418"/>
      <c r="P6" s="418"/>
      <c r="Q6" s="418"/>
      <c r="R6" s="418"/>
      <c r="S6" s="418"/>
    </row>
    <row r="7" spans="1:19">
      <c r="A7" s="423">
        <v>1</v>
      </c>
      <c r="B7" s="423" t="s">
        <v>522</v>
      </c>
      <c r="C7" s="413" t="s">
        <v>751</v>
      </c>
      <c r="D7" s="413"/>
      <c r="E7" s="420" t="s">
        <v>752</v>
      </c>
      <c r="F7" s="421">
        <v>132.22</v>
      </c>
      <c r="G7" s="410"/>
      <c r="H7" s="409">
        <f t="shared" si="0"/>
        <v>132.22</v>
      </c>
      <c r="I7" s="409">
        <f t="shared" si="1"/>
        <v>132.22</v>
      </c>
      <c r="J7" s="204"/>
      <c r="K7" s="17" t="s">
        <v>1528</v>
      </c>
      <c r="L7" s="442"/>
      <c r="M7" s="418"/>
      <c r="N7" s="418"/>
      <c r="O7" s="418"/>
      <c r="P7" s="418"/>
      <c r="Q7" s="418"/>
      <c r="R7" s="418">
        <f t="shared" ref="R7:R9" si="2">I7</f>
        <v>132.22</v>
      </c>
      <c r="S7" s="418"/>
    </row>
    <row r="8" spans="1:19">
      <c r="A8" s="423">
        <v>3</v>
      </c>
      <c r="B8" s="423" t="s">
        <v>522</v>
      </c>
      <c r="C8" s="413" t="s">
        <v>751</v>
      </c>
      <c r="D8" s="413"/>
      <c r="E8" s="420" t="s">
        <v>1505</v>
      </c>
      <c r="F8" s="421">
        <v>464.44</v>
      </c>
      <c r="G8" s="410"/>
      <c r="H8" s="409">
        <f t="shared" si="0"/>
        <v>464.44</v>
      </c>
      <c r="I8" s="409">
        <f t="shared" si="1"/>
        <v>1393.32</v>
      </c>
      <c r="J8" s="204"/>
      <c r="K8" s="17" t="s">
        <v>1529</v>
      </c>
      <c r="L8" s="442"/>
      <c r="M8" s="418"/>
      <c r="N8" s="418"/>
      <c r="O8" s="418"/>
      <c r="P8" s="418"/>
      <c r="Q8" s="418"/>
      <c r="R8" s="418">
        <f t="shared" si="2"/>
        <v>1393.32</v>
      </c>
      <c r="S8" s="418"/>
    </row>
    <row r="9" spans="1:19">
      <c r="A9" s="413">
        <v>1</v>
      </c>
      <c r="B9" s="413" t="s">
        <v>505</v>
      </c>
      <c r="C9" s="413" t="s">
        <v>540</v>
      </c>
      <c r="D9" s="413" t="s">
        <v>556</v>
      </c>
      <c r="E9" s="420" t="s">
        <v>1215</v>
      </c>
      <c r="F9" s="421">
        <v>1453.33</v>
      </c>
      <c r="G9" s="410"/>
      <c r="H9" s="409">
        <f t="shared" si="0"/>
        <v>1453.33</v>
      </c>
      <c r="I9" s="409">
        <f t="shared" si="1"/>
        <v>1453.33</v>
      </c>
      <c r="J9" s="204"/>
      <c r="M9" s="418"/>
      <c r="N9" s="418"/>
      <c r="O9" s="418"/>
      <c r="P9" s="418"/>
      <c r="Q9" s="418"/>
      <c r="R9" s="418">
        <f t="shared" si="2"/>
        <v>1453.33</v>
      </c>
      <c r="S9" s="418"/>
    </row>
    <row r="10" spans="1:19">
      <c r="A10" s="407"/>
      <c r="B10" s="407"/>
      <c r="C10" s="407"/>
      <c r="D10" s="407"/>
      <c r="E10" s="408"/>
      <c r="F10" s="409"/>
      <c r="G10" s="410"/>
      <c r="H10" s="409">
        <f t="shared" ref="H10:H63" si="3">F10*(1-G10)</f>
        <v>0</v>
      </c>
      <c r="I10" s="409">
        <f t="shared" ref="I10:I33" si="4">A10*H10</f>
        <v>0</v>
      </c>
      <c r="J10" s="204"/>
      <c r="M10" s="418"/>
      <c r="N10" s="418"/>
      <c r="O10" s="418"/>
      <c r="P10" s="418"/>
      <c r="Q10" s="418"/>
      <c r="R10" s="418">
        <f t="shared" ref="R10:R25" si="5">I10</f>
        <v>0</v>
      </c>
      <c r="S10" s="418"/>
    </row>
    <row r="11" spans="1:19">
      <c r="A11" s="413">
        <v>0</v>
      </c>
      <c r="B11" s="413" t="s">
        <v>530</v>
      </c>
      <c r="C11" s="420" t="s">
        <v>792</v>
      </c>
      <c r="D11" s="413" t="s">
        <v>1248</v>
      </c>
      <c r="E11" s="420" t="s">
        <v>794</v>
      </c>
      <c r="F11" s="421">
        <v>2600</v>
      </c>
      <c r="G11" s="410"/>
      <c r="H11" s="409">
        <f t="shared" si="3"/>
        <v>2600</v>
      </c>
      <c r="I11" s="409">
        <f t="shared" si="4"/>
        <v>0</v>
      </c>
      <c r="J11" s="204"/>
      <c r="M11" s="418"/>
      <c r="N11" s="418"/>
      <c r="O11" s="418"/>
      <c r="P11" s="418"/>
      <c r="Q11" s="418"/>
      <c r="R11" s="418">
        <f t="shared" si="5"/>
        <v>0</v>
      </c>
      <c r="S11" s="418"/>
    </row>
    <row r="12" spans="1:19" ht="33.4">
      <c r="A12" s="413">
        <v>0</v>
      </c>
      <c r="B12" s="413" t="s">
        <v>505</v>
      </c>
      <c r="C12" s="420" t="s">
        <v>534</v>
      </c>
      <c r="D12" s="413"/>
      <c r="E12" s="420" t="s">
        <v>535</v>
      </c>
      <c r="F12" s="421">
        <v>3.71</v>
      </c>
      <c r="G12" s="410"/>
      <c r="H12" s="409">
        <f t="shared" si="3"/>
        <v>3.71</v>
      </c>
      <c r="I12" s="409">
        <f t="shared" si="4"/>
        <v>0</v>
      </c>
      <c r="J12" s="204" t="s">
        <v>795</v>
      </c>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07">
        <v>130</v>
      </c>
      <c r="B14" s="407" t="s">
        <v>539</v>
      </c>
      <c r="C14" s="408" t="s">
        <v>540</v>
      </c>
      <c r="D14" s="407" t="s">
        <v>541</v>
      </c>
      <c r="E14" s="408" t="s">
        <v>542</v>
      </c>
      <c r="F14" s="409">
        <v>0.55647999999999997</v>
      </c>
      <c r="G14" s="410"/>
      <c r="H14" s="409">
        <f t="shared" si="3"/>
        <v>0.55647999999999997</v>
      </c>
      <c r="I14" s="409">
        <f t="shared" si="4"/>
        <v>72.342399999999998</v>
      </c>
      <c r="M14" s="418"/>
      <c r="N14" s="418"/>
      <c r="O14" s="418">
        <f t="shared" ref="O14:O28" si="6">I14</f>
        <v>72.342399999999998</v>
      </c>
      <c r="P14" s="418"/>
      <c r="Q14" s="418"/>
      <c r="R14" s="418"/>
      <c r="S14" s="418"/>
    </row>
    <row r="15" spans="1:19" ht="33.4">
      <c r="A15" s="407">
        <f>A14+A4*2</f>
        <v>806</v>
      </c>
      <c r="B15" s="407" t="s">
        <v>539</v>
      </c>
      <c r="C15" s="408" t="s">
        <v>540</v>
      </c>
      <c r="D15" s="407" t="s">
        <v>543</v>
      </c>
      <c r="E15" s="408" t="s">
        <v>544</v>
      </c>
      <c r="F15" s="409">
        <v>0.55647999999999997</v>
      </c>
      <c r="G15" s="410"/>
      <c r="H15" s="409">
        <f t="shared" si="3"/>
        <v>0.55647999999999997</v>
      </c>
      <c r="I15" s="409">
        <f t="shared" si="4"/>
        <v>448.52287999999999</v>
      </c>
      <c r="M15" s="418"/>
      <c r="N15" s="418"/>
      <c r="O15" s="418">
        <f t="shared" si="6"/>
        <v>448.52287999999999</v>
      </c>
      <c r="P15" s="418"/>
      <c r="Q15" s="418"/>
      <c r="R15" s="418"/>
      <c r="S15" s="418"/>
    </row>
    <row r="16" spans="1:19" ht="33.4">
      <c r="A16" s="413">
        <f>(3*5+2)*4</f>
        <v>68</v>
      </c>
      <c r="B16" s="413" t="s">
        <v>517</v>
      </c>
      <c r="C16" s="420" t="s">
        <v>540</v>
      </c>
      <c r="D16" s="413" t="s">
        <v>797</v>
      </c>
      <c r="E16" s="420" t="s">
        <v>798</v>
      </c>
      <c r="F16" s="421">
        <v>0.88</v>
      </c>
      <c r="G16" s="410"/>
      <c r="H16" s="409">
        <f t="shared" si="3"/>
        <v>0.88</v>
      </c>
      <c r="I16" s="409">
        <f t="shared" si="4"/>
        <v>59.84</v>
      </c>
      <c r="J16" s="204"/>
      <c r="M16" s="418"/>
      <c r="N16" s="418"/>
      <c r="O16" s="418">
        <f t="shared" si="6"/>
        <v>59.84</v>
      </c>
      <c r="P16" s="418"/>
      <c r="Q16" s="418"/>
      <c r="R16" s="418"/>
      <c r="S16" s="418"/>
    </row>
    <row r="17" spans="1:19" ht="33.4">
      <c r="A17" s="413">
        <f>A16</f>
        <v>68</v>
      </c>
      <c r="B17" s="413" t="s">
        <v>517</v>
      </c>
      <c r="C17" s="420" t="s">
        <v>540</v>
      </c>
      <c r="D17" s="413" t="s">
        <v>800</v>
      </c>
      <c r="E17" s="420" t="s">
        <v>801</v>
      </c>
      <c r="F17" s="421">
        <v>0.67</v>
      </c>
      <c r="G17" s="410"/>
      <c r="H17" s="409">
        <f t="shared" si="3"/>
        <v>0.67</v>
      </c>
      <c r="I17" s="409">
        <f t="shared" si="4"/>
        <v>45.56</v>
      </c>
      <c r="J17" s="204"/>
      <c r="M17" s="418"/>
      <c r="N17" s="418"/>
      <c r="O17" s="418">
        <f t="shared" si="6"/>
        <v>45.56</v>
      </c>
      <c r="P17" s="418"/>
      <c r="Q17" s="418"/>
      <c r="R17" s="418"/>
      <c r="S17" s="418"/>
    </row>
    <row r="18" spans="1:19" ht="22.25">
      <c r="A18" s="407">
        <v>0</v>
      </c>
      <c r="B18" s="407" t="s">
        <v>517</v>
      </c>
      <c r="C18" s="408" t="s">
        <v>540</v>
      </c>
      <c r="D18" s="407" t="s">
        <v>556</v>
      </c>
      <c r="E18" s="408" t="s">
        <v>557</v>
      </c>
      <c r="F18" s="409">
        <v>6.58</v>
      </c>
      <c r="G18" s="410"/>
      <c r="H18" s="409">
        <f t="shared" si="3"/>
        <v>6.58</v>
      </c>
      <c r="I18" s="409">
        <f t="shared" si="4"/>
        <v>0</v>
      </c>
      <c r="J18" s="204"/>
      <c r="M18" s="418"/>
      <c r="N18" s="418"/>
      <c r="O18" s="418">
        <f t="shared" si="6"/>
        <v>0</v>
      </c>
      <c r="P18" s="418"/>
      <c r="Q18" s="418"/>
      <c r="R18" s="418"/>
      <c r="S18" s="418"/>
    </row>
    <row r="19" spans="1:19">
      <c r="A19" s="413">
        <v>3</v>
      </c>
      <c r="B19" s="413" t="s">
        <v>517</v>
      </c>
      <c r="C19" s="413" t="s">
        <v>751</v>
      </c>
      <c r="D19" s="413"/>
      <c r="E19" s="420" t="s">
        <v>1204</v>
      </c>
      <c r="F19" s="421">
        <v>1810</v>
      </c>
      <c r="G19" s="410"/>
      <c r="H19" s="409">
        <f t="shared" si="3"/>
        <v>1810</v>
      </c>
      <c r="I19" s="409">
        <f t="shared" si="4"/>
        <v>5430</v>
      </c>
      <c r="J19" s="204"/>
      <c r="M19" s="418"/>
      <c r="N19" s="418">
        <f t="shared" ref="N19:N22" si="7">I19</f>
        <v>5430</v>
      </c>
      <c r="O19" s="418"/>
      <c r="P19" s="418"/>
      <c r="Q19" s="418"/>
      <c r="R19" s="418"/>
      <c r="S19" s="418"/>
    </row>
    <row r="20" spans="1:19">
      <c r="A20" s="413">
        <v>1</v>
      </c>
      <c r="B20" s="413" t="s">
        <v>505</v>
      </c>
      <c r="C20" s="413" t="s">
        <v>751</v>
      </c>
      <c r="D20" s="413"/>
      <c r="E20" s="420" t="s">
        <v>1092</v>
      </c>
      <c r="F20" s="421">
        <v>1677.33</v>
      </c>
      <c r="G20" s="422"/>
      <c r="H20" s="409">
        <f t="shared" si="3"/>
        <v>1677.33</v>
      </c>
      <c r="I20" s="409">
        <f t="shared" si="4"/>
        <v>1677.33</v>
      </c>
      <c r="J20" s="204"/>
      <c r="M20" s="418"/>
      <c r="N20" s="418">
        <f t="shared" si="7"/>
        <v>1677.33</v>
      </c>
      <c r="O20" s="418"/>
      <c r="P20" s="418"/>
      <c r="Q20" s="418"/>
      <c r="R20" s="418"/>
      <c r="S20" s="418"/>
    </row>
    <row r="21" spans="1:19" ht="33.4">
      <c r="A21" s="413">
        <v>1</v>
      </c>
      <c r="B21" s="413" t="s">
        <v>517</v>
      </c>
      <c r="C21" s="420" t="s">
        <v>540</v>
      </c>
      <c r="D21" s="413" t="s">
        <v>990</v>
      </c>
      <c r="E21" s="420" t="s">
        <v>991</v>
      </c>
      <c r="F21" s="421">
        <v>33.21</v>
      </c>
      <c r="G21" s="410"/>
      <c r="H21" s="409">
        <f t="shared" si="3"/>
        <v>33.21</v>
      </c>
      <c r="I21" s="409">
        <f t="shared" si="4"/>
        <v>33.21</v>
      </c>
      <c r="J21" s="204"/>
      <c r="M21" s="418"/>
      <c r="N21" s="418">
        <f t="shared" si="7"/>
        <v>33.21</v>
      </c>
      <c r="O21" s="418"/>
      <c r="P21" s="418"/>
      <c r="Q21" s="418"/>
      <c r="R21" s="418"/>
      <c r="S21" s="418"/>
    </row>
    <row r="22" spans="1:19" ht="33.4">
      <c r="A22" s="413">
        <v>3</v>
      </c>
      <c r="B22" s="413" t="s">
        <v>517</v>
      </c>
      <c r="C22" s="420" t="s">
        <v>540</v>
      </c>
      <c r="D22" s="413" t="s">
        <v>998</v>
      </c>
      <c r="E22" s="420" t="s">
        <v>999</v>
      </c>
      <c r="F22" s="421">
        <v>116.67</v>
      </c>
      <c r="G22" s="410"/>
      <c r="H22" s="409">
        <f t="shared" si="3"/>
        <v>116.67</v>
      </c>
      <c r="I22" s="409">
        <f t="shared" si="4"/>
        <v>350.01</v>
      </c>
      <c r="J22" s="204"/>
      <c r="M22" s="418"/>
      <c r="N22" s="418">
        <f t="shared" si="7"/>
        <v>350.01</v>
      </c>
      <c r="O22" s="418"/>
      <c r="P22" s="418"/>
      <c r="Q22" s="418"/>
      <c r="R22" s="418"/>
      <c r="S22" s="418"/>
    </row>
    <row r="23" spans="1:19" ht="33.4">
      <c r="A23" s="413">
        <v>28</v>
      </c>
      <c r="B23" s="413" t="s">
        <v>517</v>
      </c>
      <c r="C23" s="420" t="s">
        <v>540</v>
      </c>
      <c r="D23" s="413" t="s">
        <v>761</v>
      </c>
      <c r="E23" s="420" t="s">
        <v>762</v>
      </c>
      <c r="F23" s="421">
        <v>2.5</v>
      </c>
      <c r="G23" s="410"/>
      <c r="H23" s="409">
        <f t="shared" si="3"/>
        <v>2.5</v>
      </c>
      <c r="I23" s="409">
        <f t="shared" si="4"/>
        <v>70</v>
      </c>
      <c r="J23" s="204"/>
      <c r="M23" s="418"/>
      <c r="N23" s="418"/>
      <c r="O23" s="418"/>
      <c r="P23" s="418"/>
      <c r="Q23" s="418"/>
      <c r="R23" s="418">
        <f t="shared" si="5"/>
        <v>70</v>
      </c>
      <c r="S23" s="418"/>
    </row>
    <row r="24" spans="1:19" ht="35.85" customHeight="1">
      <c r="A24" s="413">
        <v>1</v>
      </c>
      <c r="B24" s="413" t="s">
        <v>522</v>
      </c>
      <c r="C24" s="413" t="s">
        <v>751</v>
      </c>
      <c r="D24" s="413"/>
      <c r="E24" s="420" t="s">
        <v>803</v>
      </c>
      <c r="F24" s="421">
        <v>564.44000000000005</v>
      </c>
      <c r="G24" s="410"/>
      <c r="H24" s="409">
        <f t="shared" si="3"/>
        <v>564.44000000000005</v>
      </c>
      <c r="I24" s="409">
        <f t="shared" si="4"/>
        <v>564.44000000000005</v>
      </c>
      <c r="J24" s="1054" t="s">
        <v>833</v>
      </c>
      <c r="K24" s="1054"/>
      <c r="L24" s="1054"/>
      <c r="M24" s="418"/>
      <c r="N24" s="418"/>
      <c r="O24" s="418"/>
      <c r="P24" s="418"/>
      <c r="Q24" s="418"/>
      <c r="R24" s="418">
        <f t="shared" si="5"/>
        <v>564.44000000000005</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ht="33.4">
      <c r="A27" s="413">
        <v>1</v>
      </c>
      <c r="B27" s="413" t="s">
        <v>517</v>
      </c>
      <c r="C27" s="420" t="s">
        <v>540</v>
      </c>
      <c r="D27" s="413" t="s">
        <v>769</v>
      </c>
      <c r="E27" s="420" t="s">
        <v>567</v>
      </c>
      <c r="F27" s="421">
        <v>750</v>
      </c>
      <c r="G27" s="410"/>
      <c r="H27" s="409">
        <f t="shared" si="3"/>
        <v>750</v>
      </c>
      <c r="I27" s="409">
        <f t="shared" si="4"/>
        <v>750</v>
      </c>
      <c r="J27" s="204"/>
      <c r="M27" s="418">
        <f>F27</f>
        <v>750</v>
      </c>
      <c r="N27" s="418"/>
      <c r="O27" s="418"/>
      <c r="P27" s="418"/>
      <c r="Q27" s="418"/>
      <c r="R27" s="418"/>
      <c r="S27" s="418"/>
    </row>
    <row r="28" spans="1:19">
      <c r="A28" s="413">
        <v>100</v>
      </c>
      <c r="B28" s="413" t="s">
        <v>539</v>
      </c>
      <c r="C28" s="413" t="s">
        <v>690</v>
      </c>
      <c r="D28" s="413"/>
      <c r="E28" s="413" t="s">
        <v>1059</v>
      </c>
      <c r="F28" s="421">
        <v>124.8</v>
      </c>
      <c r="G28" s="428"/>
      <c r="H28" s="409">
        <f t="shared" si="3"/>
        <v>124.8</v>
      </c>
      <c r="I28" s="409">
        <f t="shared" si="4"/>
        <v>12480</v>
      </c>
      <c r="J28" s="204"/>
      <c r="K28" s="442" t="s">
        <v>1530</v>
      </c>
      <c r="M28" s="418"/>
      <c r="N28" s="418"/>
      <c r="O28" s="418">
        <f t="shared" si="6"/>
        <v>12480</v>
      </c>
      <c r="P28" s="418"/>
      <c r="Q28" s="418"/>
      <c r="R28" s="418"/>
      <c r="S28" s="418"/>
    </row>
    <row r="29" spans="1:19" ht="44.55">
      <c r="A29" s="413">
        <v>0</v>
      </c>
      <c r="B29" s="413" t="s">
        <v>517</v>
      </c>
      <c r="C29" s="420" t="s">
        <v>569</v>
      </c>
      <c r="D29" s="413" t="s">
        <v>570</v>
      </c>
      <c r="E29" s="420" t="s">
        <v>571</v>
      </c>
      <c r="F29" s="421">
        <v>1040</v>
      </c>
      <c r="G29" s="429">
        <v>0.48</v>
      </c>
      <c r="H29" s="430">
        <f t="shared" si="3"/>
        <v>540.80000000000007</v>
      </c>
      <c r="I29" s="409">
        <f t="shared" si="4"/>
        <v>0</v>
      </c>
      <c r="J29" s="204"/>
      <c r="M29" s="418"/>
      <c r="N29" s="418"/>
      <c r="O29" s="418"/>
      <c r="P29" s="418"/>
      <c r="Q29" s="418"/>
      <c r="R29" s="418"/>
      <c r="S29" s="418">
        <f t="shared" ref="S29:S33" si="8">I29</f>
        <v>0</v>
      </c>
    </row>
    <row r="30" spans="1:19" ht="55.65">
      <c r="A30" s="413">
        <v>1</v>
      </c>
      <c r="B30" s="413" t="s">
        <v>517</v>
      </c>
      <c r="C30" s="424" t="s">
        <v>569</v>
      </c>
      <c r="D30" s="423" t="s">
        <v>572</v>
      </c>
      <c r="E30" s="424" t="s">
        <v>573</v>
      </c>
      <c r="F30" s="425">
        <v>1190</v>
      </c>
      <c r="G30" s="429">
        <v>0.48</v>
      </c>
      <c r="H30" s="430">
        <f t="shared" si="3"/>
        <v>618.80000000000007</v>
      </c>
      <c r="I30" s="409">
        <f t="shared" si="4"/>
        <v>618.80000000000007</v>
      </c>
      <c r="J30" s="204"/>
      <c r="M30" s="418"/>
      <c r="N30" s="418"/>
      <c r="O30" s="418"/>
      <c r="P30" s="418"/>
      <c r="Q30" s="418"/>
      <c r="R30" s="418"/>
      <c r="S30" s="418">
        <f t="shared" si="8"/>
        <v>618.80000000000007</v>
      </c>
    </row>
    <row r="31" spans="1:19">
      <c r="A31" s="413">
        <v>3</v>
      </c>
      <c r="B31" s="413" t="s">
        <v>517</v>
      </c>
      <c r="C31" s="420" t="s">
        <v>574</v>
      </c>
      <c r="D31" s="413" t="s">
        <v>575</v>
      </c>
      <c r="E31" s="413" t="s">
        <v>576</v>
      </c>
      <c r="F31" s="421">
        <v>36.700000000000003</v>
      </c>
      <c r="G31" s="410"/>
      <c r="H31" s="409">
        <f t="shared" si="3"/>
        <v>36.700000000000003</v>
      </c>
      <c r="I31" s="409">
        <f t="shared" si="4"/>
        <v>110.10000000000001</v>
      </c>
      <c r="J31" s="204"/>
      <c r="M31" s="418"/>
      <c r="N31" s="418"/>
      <c r="O31" s="418"/>
      <c r="P31" s="418"/>
      <c r="Q31" s="418"/>
      <c r="R31" s="418"/>
      <c r="S31" s="418">
        <f t="shared" si="8"/>
        <v>110.10000000000001</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59696.421518532108</v>
      </c>
      <c r="J36" s="204"/>
      <c r="M36" s="418">
        <f>SUM(M4:M34)</f>
        <v>34273.646238532107</v>
      </c>
      <c r="N36" s="418">
        <f>SUM(N4:N34)</f>
        <v>7490.55</v>
      </c>
      <c r="O36" s="418">
        <f>SUM(O4:O34)</f>
        <v>13206.26528</v>
      </c>
      <c r="P36" s="418"/>
      <c r="Q36" s="418"/>
      <c r="R36" s="418">
        <f>SUM(R4:R34)</f>
        <v>3613.31</v>
      </c>
      <c r="S36" s="418">
        <f>SUM(S4:S34)</f>
        <v>1112.6500000000001</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74620.526898165132</v>
      </c>
      <c r="J38" s="436"/>
      <c r="K38" s="437"/>
      <c r="L38" s="437"/>
      <c r="M38" s="438">
        <f>M36*(1+$G$37)</f>
        <v>42842.057798165129</v>
      </c>
      <c r="N38" s="438">
        <f>N36*(1+$G$37)</f>
        <v>9363.1875</v>
      </c>
      <c r="O38" s="438">
        <f>O36*(1+$G$37)</f>
        <v>16507.831599999998</v>
      </c>
      <c r="P38" s="438">
        <f>P67</f>
        <v>15520</v>
      </c>
      <c r="Q38" s="438">
        <f>Q126</f>
        <v>3687.3999999999992</v>
      </c>
      <c r="R38" s="438">
        <f>R36*(1+$G$37)</f>
        <v>4516.6374999999998</v>
      </c>
      <c r="S38" s="438">
        <f>S36*(1+$G$37)</f>
        <v>1390.8125</v>
      </c>
    </row>
    <row r="41" spans="1:19">
      <c r="E41" s="439" t="s">
        <v>585</v>
      </c>
    </row>
    <row r="42" spans="1:19">
      <c r="A42" s="441">
        <v>16</v>
      </c>
      <c r="B42" s="17" t="s">
        <v>619</v>
      </c>
      <c r="E42" s="17" t="s">
        <v>586</v>
      </c>
      <c r="F42" s="403">
        <f t="shared" ref="F42:F58" si="9">F$62</f>
        <v>55</v>
      </c>
      <c r="H42" s="403">
        <f t="shared" si="3"/>
        <v>55</v>
      </c>
      <c r="I42" s="403">
        <f t="shared" ref="I42:I64" si="10">A42*H42</f>
        <v>880</v>
      </c>
    </row>
    <row r="43" spans="1:19">
      <c r="A43" s="441">
        <f>A6/120*8*2</f>
        <v>45.06666666666667</v>
      </c>
      <c r="B43" s="17" t="s">
        <v>619</v>
      </c>
      <c r="E43" s="17" t="s">
        <v>589</v>
      </c>
      <c r="F43" s="403">
        <f t="shared" si="9"/>
        <v>55</v>
      </c>
      <c r="H43" s="403">
        <f t="shared" si="3"/>
        <v>55</v>
      </c>
      <c r="I43" s="403">
        <f t="shared" si="10"/>
        <v>2478.666666666667</v>
      </c>
      <c r="J43" s="17" t="s">
        <v>592</v>
      </c>
    </row>
    <row r="44" spans="1:19">
      <c r="A44" s="441">
        <v>8</v>
      </c>
      <c r="B44" s="17" t="s">
        <v>619</v>
      </c>
      <c r="E44" s="17" t="s">
        <v>1426</v>
      </c>
      <c r="F44" s="403">
        <f t="shared" si="9"/>
        <v>55</v>
      </c>
      <c r="H44" s="403">
        <f t="shared" si="3"/>
        <v>55</v>
      </c>
      <c r="I44" s="403">
        <f t="shared" si="10"/>
        <v>440</v>
      </c>
      <c r="J44" s="17" t="s">
        <v>1486</v>
      </c>
    </row>
    <row r="45" spans="1:19">
      <c r="A45" s="441">
        <f>A6/120*16*2</f>
        <v>90.13333333333334</v>
      </c>
      <c r="B45" s="17" t="s">
        <v>619</v>
      </c>
      <c r="E45" s="17" t="s">
        <v>591</v>
      </c>
      <c r="F45" s="403">
        <f t="shared" si="9"/>
        <v>55</v>
      </c>
      <c r="H45" s="403">
        <f t="shared" si="3"/>
        <v>55</v>
      </c>
      <c r="I45" s="403">
        <f t="shared" si="10"/>
        <v>4957.3333333333339</v>
      </c>
      <c r="J45" s="17" t="s">
        <v>592</v>
      </c>
    </row>
    <row r="46" spans="1:19">
      <c r="A46" s="441">
        <v>4</v>
      </c>
      <c r="B46" s="17" t="s">
        <v>619</v>
      </c>
      <c r="E46" s="17" t="s">
        <v>1428</v>
      </c>
      <c r="F46" s="403">
        <f t="shared" si="9"/>
        <v>55</v>
      </c>
      <c r="H46" s="403">
        <f t="shared" si="3"/>
        <v>55</v>
      </c>
      <c r="I46" s="403">
        <f t="shared" si="10"/>
        <v>220</v>
      </c>
    </row>
    <row r="47" spans="1:19">
      <c r="A47" s="441">
        <v>4</v>
      </c>
      <c r="B47" s="17" t="s">
        <v>619</v>
      </c>
      <c r="E47" s="17" t="s">
        <v>1429</v>
      </c>
      <c r="F47" s="403">
        <f t="shared" si="9"/>
        <v>55</v>
      </c>
      <c r="H47" s="403">
        <f t="shared" si="3"/>
        <v>55</v>
      </c>
      <c r="I47" s="403">
        <f t="shared" si="10"/>
        <v>220</v>
      </c>
    </row>
    <row r="48" spans="1:19">
      <c r="A48" s="441">
        <v>8</v>
      </c>
      <c r="B48" s="17" t="s">
        <v>619</v>
      </c>
      <c r="E48" s="17" t="s">
        <v>605</v>
      </c>
      <c r="F48" s="403">
        <f t="shared" si="9"/>
        <v>55</v>
      </c>
      <c r="H48" s="403">
        <f t="shared" si="3"/>
        <v>55</v>
      </c>
      <c r="I48" s="403">
        <f t="shared" si="10"/>
        <v>440</v>
      </c>
      <c r="J48" s="17" t="s">
        <v>1487</v>
      </c>
    </row>
    <row r="49" spans="1:10">
      <c r="A49" s="441">
        <v>6</v>
      </c>
      <c r="B49" s="17" t="s">
        <v>619</v>
      </c>
      <c r="E49" s="17" t="s">
        <v>607</v>
      </c>
      <c r="F49" s="403">
        <f t="shared" si="9"/>
        <v>55</v>
      </c>
      <c r="H49" s="403">
        <f t="shared" si="3"/>
        <v>55</v>
      </c>
      <c r="I49" s="403">
        <f t="shared" si="10"/>
        <v>330</v>
      </c>
      <c r="J49" s="17" t="s">
        <v>608</v>
      </c>
    </row>
    <row r="50" spans="1:10">
      <c r="A50" s="441">
        <v>0.5</v>
      </c>
      <c r="B50" s="17" t="s">
        <v>619</v>
      </c>
      <c r="E50" s="17" t="s">
        <v>609</v>
      </c>
      <c r="F50" s="403">
        <f t="shared" si="9"/>
        <v>55</v>
      </c>
      <c r="H50" s="403">
        <f t="shared" si="3"/>
        <v>55</v>
      </c>
      <c r="I50" s="403">
        <f t="shared" si="10"/>
        <v>27.5</v>
      </c>
    </row>
    <row r="51" spans="1:10">
      <c r="A51" s="441">
        <v>16</v>
      </c>
      <c r="B51" s="17" t="s">
        <v>619</v>
      </c>
      <c r="E51" s="17" t="s">
        <v>610</v>
      </c>
      <c r="F51" s="403">
        <f t="shared" si="9"/>
        <v>55</v>
      </c>
      <c r="H51" s="403">
        <f t="shared" si="3"/>
        <v>55</v>
      </c>
      <c r="I51" s="403">
        <f t="shared" si="10"/>
        <v>880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16</v>
      </c>
      <c r="B55" s="17" t="s">
        <v>619</v>
      </c>
      <c r="E55" s="17" t="s">
        <v>614</v>
      </c>
      <c r="F55" s="403">
        <f t="shared" si="9"/>
        <v>55</v>
      </c>
      <c r="H55" s="403">
        <f t="shared" si="3"/>
        <v>55</v>
      </c>
      <c r="I55" s="403">
        <f t="shared" si="10"/>
        <v>880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745">
        <f>100*0.25</f>
        <v>25</v>
      </c>
      <c r="B58" s="442" t="s">
        <v>619</v>
      </c>
      <c r="C58" s="446"/>
      <c r="D58" s="442"/>
      <c r="E58" s="17" t="s">
        <v>617</v>
      </c>
      <c r="F58" s="443">
        <f t="shared" si="9"/>
        <v>55</v>
      </c>
      <c r="G58" s="444"/>
      <c r="H58" s="443">
        <f t="shared" si="3"/>
        <v>55</v>
      </c>
      <c r="I58" s="443">
        <f t="shared" si="10"/>
        <v>1375</v>
      </c>
      <c r="J58" s="17" t="s">
        <v>618</v>
      </c>
    </row>
    <row r="60" spans="1:10">
      <c r="A60" s="17">
        <f>SUM(A42:A59)</f>
        <v>252.7</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11</v>
      </c>
      <c r="B63" s="17" t="s">
        <v>624</v>
      </c>
      <c r="E63" s="17" t="s">
        <v>625</v>
      </c>
      <c r="F63" s="403">
        <f>A61*8*F62</f>
        <v>1320</v>
      </c>
      <c r="H63" s="403">
        <f t="shared" si="3"/>
        <v>1320</v>
      </c>
      <c r="I63" s="403">
        <f t="shared" si="10"/>
        <v>14520</v>
      </c>
    </row>
    <row r="64" spans="1:10">
      <c r="A64" s="441">
        <v>1</v>
      </c>
      <c r="B64" s="442" t="s">
        <v>517</v>
      </c>
      <c r="C64" s="446"/>
      <c r="D64" s="442"/>
      <c r="E64" s="442" t="s">
        <v>626</v>
      </c>
      <c r="F64" s="447">
        <v>500</v>
      </c>
      <c r="G64" s="444"/>
      <c r="H64" s="403">
        <v>1000</v>
      </c>
      <c r="I64" s="403">
        <f t="shared" si="10"/>
        <v>1000</v>
      </c>
      <c r="J64" s="17" t="s">
        <v>627</v>
      </c>
    </row>
    <row r="65" spans="1:16">
      <c r="A65" s="441"/>
      <c r="F65" s="447"/>
      <c r="H65" s="403"/>
      <c r="I65" s="403"/>
    </row>
    <row r="66" spans="1:16">
      <c r="A66" s="441"/>
      <c r="F66" s="447"/>
      <c r="H66" s="403"/>
      <c r="I66" s="403"/>
    </row>
    <row r="67" spans="1:16" ht="15.75">
      <c r="E67" s="439" t="s">
        <v>628</v>
      </c>
      <c r="I67" s="443">
        <f>SUM(I63:I66)</f>
        <v>15520</v>
      </c>
      <c r="P67" s="438">
        <f>I67</f>
        <v>15520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1">A81*H81</f>
        <v>0</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33.4" customHeight="1">
      <c r="A103" s="452">
        <v>1</v>
      </c>
      <c r="B103" s="453" t="s">
        <v>517</v>
      </c>
      <c r="C103" s="454" t="s">
        <v>538</v>
      </c>
      <c r="D103" s="455" t="s">
        <v>636</v>
      </c>
      <c r="E103" s="453" t="s">
        <v>668</v>
      </c>
      <c r="F103" s="463">
        <v>3732</v>
      </c>
      <c r="G103" s="457"/>
      <c r="H103" s="458">
        <f>F103*(1-G78)</f>
        <v>2239.1999999999998</v>
      </c>
      <c r="I103" s="458">
        <f t="shared" ref="I103:I124" si="13">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3"/>
        <v>53.22</v>
      </c>
      <c r="J104" s="453" t="s">
        <v>649</v>
      </c>
      <c r="K104" s="1050"/>
      <c r="L104" s="17" t="s">
        <v>672</v>
      </c>
    </row>
    <row r="105" spans="1:12" ht="33.4" customHeight="1">
      <c r="A105" s="461">
        <v>1</v>
      </c>
      <c r="B105" s="453" t="s">
        <v>517</v>
      </c>
      <c r="C105" s="453" t="s">
        <v>538</v>
      </c>
      <c r="D105" s="462" t="s">
        <v>640</v>
      </c>
      <c r="E105" s="453" t="s">
        <v>673</v>
      </c>
      <c r="F105" s="463">
        <v>1968</v>
      </c>
      <c r="G105" s="457"/>
      <c r="H105" s="458">
        <f t="shared" ref="H105:H119" si="14">F105*(1-$G$77)</f>
        <v>1180.8</v>
      </c>
      <c r="I105" s="458">
        <f t="shared" si="13"/>
        <v>1180.8</v>
      </c>
      <c r="J105" s="459" t="s">
        <v>638</v>
      </c>
      <c r="K105" s="1051" t="s">
        <v>642</v>
      </c>
    </row>
    <row r="106" spans="1:12" ht="24.9">
      <c r="A106" s="452">
        <v>1</v>
      </c>
      <c r="B106" s="453" t="s">
        <v>539</v>
      </c>
      <c r="C106" s="453" t="s">
        <v>538</v>
      </c>
      <c r="D106" s="462" t="s">
        <v>643</v>
      </c>
      <c r="E106" s="453" t="s">
        <v>673</v>
      </c>
      <c r="F106" s="463">
        <v>87.9</v>
      </c>
      <c r="G106" s="457"/>
      <c r="H106" s="458">
        <f t="shared" si="14"/>
        <v>52.74</v>
      </c>
      <c r="I106" s="458">
        <f t="shared" si="13"/>
        <v>52.74</v>
      </c>
      <c r="J106" s="459" t="s">
        <v>638</v>
      </c>
      <c r="K106" s="1051"/>
    </row>
    <row r="107" spans="1:12" ht="33.4"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33.4"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3687.3999999999992</v>
      </c>
      <c r="Q126" s="438">
        <f>I126</f>
        <v>3687.3999999999992</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7"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66.8">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0</v>
      </c>
      <c r="B157" s="17" t="s">
        <v>517</v>
      </c>
      <c r="E157" s="17" t="s">
        <v>707</v>
      </c>
      <c r="F157" s="403">
        <v>1500</v>
      </c>
      <c r="H157" s="403">
        <f t="shared" si="15"/>
        <v>1500</v>
      </c>
      <c r="I157" s="403">
        <f t="shared" si="16"/>
        <v>0</v>
      </c>
    </row>
    <row r="158" spans="1:10" ht="55.65">
      <c r="A158" s="442">
        <v>0</v>
      </c>
      <c r="B158" s="17" t="s">
        <v>517</v>
      </c>
      <c r="C158" s="204" t="s">
        <v>708</v>
      </c>
      <c r="E158" s="204" t="s">
        <v>709</v>
      </c>
      <c r="F158" s="403">
        <v>460</v>
      </c>
      <c r="H158" s="403">
        <f t="shared" si="15"/>
        <v>460</v>
      </c>
      <c r="I158" s="403">
        <f t="shared" si="16"/>
        <v>0</v>
      </c>
      <c r="J158" s="17" t="s">
        <v>710</v>
      </c>
    </row>
    <row r="159" spans="1:10" ht="55.65">
      <c r="A159" s="442">
        <v>0</v>
      </c>
      <c r="B159" s="17" t="s">
        <v>517</v>
      </c>
      <c r="C159" s="204" t="s">
        <v>711</v>
      </c>
      <c r="E159" s="204" t="s">
        <v>712</v>
      </c>
      <c r="F159" s="403">
        <v>320</v>
      </c>
      <c r="H159" s="403">
        <f t="shared" si="15"/>
        <v>320</v>
      </c>
      <c r="I159" s="403">
        <f t="shared" si="16"/>
        <v>0</v>
      </c>
    </row>
    <row r="160" spans="1:10" ht="55.65">
      <c r="A160" s="442">
        <v>0</v>
      </c>
      <c r="B160" s="17" t="s">
        <v>517</v>
      </c>
      <c r="C160" s="17" t="s">
        <v>713</v>
      </c>
      <c r="D160" s="17" t="s">
        <v>714</v>
      </c>
      <c r="E160" s="204" t="s">
        <v>715</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ht="22.25">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ht="22.25">
      <c r="A169" s="442">
        <f t="shared" si="17"/>
        <v>0</v>
      </c>
      <c r="B169" s="17" t="s">
        <v>539</v>
      </c>
      <c r="C169" s="204" t="s">
        <v>531</v>
      </c>
      <c r="E169" s="17" t="s">
        <v>727</v>
      </c>
      <c r="F169" s="403">
        <v>25</v>
      </c>
      <c r="H169" s="403">
        <f t="shared" si="15"/>
        <v>25</v>
      </c>
      <c r="I169" s="403">
        <f t="shared" si="16"/>
        <v>0</v>
      </c>
    </row>
    <row r="170" spans="1:10" ht="22.25">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1340</v>
      </c>
    </row>
    <row r="174" spans="1:10" ht="13.75" customHeight="1">
      <c r="A174" s="997" t="s">
        <v>68</v>
      </c>
      <c r="B174" s="997"/>
      <c r="C174" s="997"/>
      <c r="D174" s="997"/>
      <c r="E174" s="997"/>
    </row>
    <row r="175" spans="1:10">
      <c r="A175" s="442">
        <v>1</v>
      </c>
      <c r="B175" s="17" t="s">
        <v>517</v>
      </c>
      <c r="E175" s="17" t="s">
        <v>730</v>
      </c>
      <c r="F175" s="403">
        <v>500</v>
      </c>
      <c r="H175" s="403">
        <f t="shared" si="15"/>
        <v>500</v>
      </c>
      <c r="I175" s="403">
        <f t="shared" ref="I175:I177" si="18">A175*H175</f>
        <v>500</v>
      </c>
    </row>
    <row r="176" spans="1:10" ht="55.65">
      <c r="A176" s="442">
        <v>0</v>
      </c>
      <c r="B176" s="17" t="s">
        <v>517</v>
      </c>
      <c r="C176" s="204" t="s">
        <v>708</v>
      </c>
      <c r="E176" s="204" t="s">
        <v>731</v>
      </c>
      <c r="F176" s="403">
        <f>460/2</f>
        <v>230</v>
      </c>
      <c r="H176" s="403">
        <f t="shared" si="15"/>
        <v>230</v>
      </c>
      <c r="I176" s="403">
        <f t="shared" si="18"/>
        <v>0</v>
      </c>
    </row>
    <row r="177" spans="1:9" ht="55.65">
      <c r="A177" s="442">
        <v>0</v>
      </c>
      <c r="B177" s="17" t="s">
        <v>517</v>
      </c>
      <c r="C177" s="204" t="s">
        <v>711</v>
      </c>
      <c r="E177" s="204" t="s">
        <v>732</v>
      </c>
      <c r="F177" s="403">
        <f>320/2</f>
        <v>160</v>
      </c>
      <c r="H177" s="403">
        <f t="shared" si="15"/>
        <v>160</v>
      </c>
      <c r="I177" s="403">
        <f t="shared" si="18"/>
        <v>0</v>
      </c>
    </row>
    <row r="179" spans="1:9" ht="15.75">
      <c r="E179" s="439" t="s">
        <v>733</v>
      </c>
      <c r="I179" s="168">
        <f>SUM(I174:I178)</f>
        <v>500</v>
      </c>
    </row>
    <row r="180" spans="1:9">
      <c r="E180" s="439"/>
    </row>
  </sheetData>
  <mergeCells count="13">
    <mergeCell ref="B1:F1"/>
    <mergeCell ref="A2:G2"/>
    <mergeCell ref="J24:L24"/>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2.45">
      <c r="B1" s="1079" t="s">
        <v>313</v>
      </c>
      <c r="C1" s="1079"/>
      <c r="D1" s="1079"/>
      <c r="E1" s="1079"/>
      <c r="F1" s="1079"/>
      <c r="H1" s="405" t="s">
        <v>493</v>
      </c>
      <c r="I1" s="406">
        <f>VLOOKUP(E4,Catalogue!F:J,5,0)</f>
        <v>370</v>
      </c>
      <c r="J1" s="17" t="s">
        <v>494</v>
      </c>
      <c r="K1" s="17" t="s">
        <v>495</v>
      </c>
      <c r="L1" s="58">
        <f>A4*I1</f>
        <v>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v>0</v>
      </c>
      <c r="B4" s="413" t="s">
        <v>505</v>
      </c>
      <c r="C4" s="420" t="s">
        <v>1306</v>
      </c>
      <c r="D4" s="413"/>
      <c r="E4" s="420" t="s">
        <v>1308</v>
      </c>
      <c r="F4" s="421">
        <v>90.8</v>
      </c>
      <c r="G4" s="410"/>
      <c r="H4" s="409">
        <f t="shared" ref="H4:H9" si="0">F4*(1-G4)</f>
        <v>90.8</v>
      </c>
      <c r="I4" s="409">
        <f t="shared" ref="I4:I9" si="1">A4*H4</f>
        <v>0</v>
      </c>
      <c r="J4" s="417">
        <f>F4/$I$1</f>
        <v>0.2454054054054054</v>
      </c>
      <c r="K4" s="403" t="s">
        <v>1421</v>
      </c>
      <c r="M4" s="418">
        <f>I4</f>
        <v>0</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v>0</v>
      </c>
      <c r="B6" s="413" t="s">
        <v>505</v>
      </c>
      <c r="C6" s="413" t="s">
        <v>751</v>
      </c>
      <c r="D6" s="413"/>
      <c r="E6" s="420" t="s">
        <v>1191</v>
      </c>
      <c r="F6" s="421">
        <f>913.68/109</f>
        <v>8.3823853211009176</v>
      </c>
      <c r="G6" s="422"/>
      <c r="H6" s="409">
        <f t="shared" si="0"/>
        <v>8.3823853211009176</v>
      </c>
      <c r="I6" s="409">
        <f t="shared" si="1"/>
        <v>0</v>
      </c>
      <c r="J6" s="417">
        <f>F6/$I$1</f>
        <v>2.2655095462434913E-2</v>
      </c>
      <c r="K6" s="417"/>
      <c r="L6" s="204"/>
      <c r="M6" s="418">
        <f>I6</f>
        <v>0</v>
      </c>
      <c r="N6" s="418"/>
      <c r="O6" s="418"/>
      <c r="P6" s="418"/>
      <c r="Q6" s="418"/>
      <c r="R6" s="418"/>
      <c r="S6" s="418"/>
    </row>
    <row r="7" spans="1:19">
      <c r="A7" s="487">
        <v>1</v>
      </c>
      <c r="B7" s="487" t="s">
        <v>522</v>
      </c>
      <c r="C7" s="407" t="s">
        <v>751</v>
      </c>
      <c r="D7" s="407"/>
      <c r="E7" s="408" t="s">
        <v>752</v>
      </c>
      <c r="F7" s="409">
        <v>132.22</v>
      </c>
      <c r="G7" s="410"/>
      <c r="H7" s="409">
        <f t="shared" si="0"/>
        <v>132.22</v>
      </c>
      <c r="I7" s="409">
        <f t="shared" si="1"/>
        <v>132.22</v>
      </c>
      <c r="J7" s="204"/>
      <c r="K7" s="17" t="s">
        <v>1528</v>
      </c>
      <c r="L7" s="442"/>
      <c r="M7" s="418"/>
      <c r="N7" s="418"/>
      <c r="O7" s="418"/>
      <c r="P7" s="418"/>
      <c r="Q7" s="418"/>
      <c r="R7" s="418">
        <f t="shared" ref="R7:R9" si="2">I7</f>
        <v>132.22</v>
      </c>
      <c r="S7" s="418"/>
    </row>
    <row r="8" spans="1:19">
      <c r="A8" s="487">
        <v>3</v>
      </c>
      <c r="B8" s="487" t="s">
        <v>522</v>
      </c>
      <c r="C8" s="407" t="s">
        <v>751</v>
      </c>
      <c r="D8" s="407"/>
      <c r="E8" s="408" t="s">
        <v>1505</v>
      </c>
      <c r="F8" s="409">
        <v>464.44</v>
      </c>
      <c r="G8" s="410"/>
      <c r="H8" s="409">
        <f t="shared" si="0"/>
        <v>464.44</v>
      </c>
      <c r="I8" s="409">
        <f t="shared" si="1"/>
        <v>1393.32</v>
      </c>
      <c r="J8" s="204"/>
      <c r="K8" s="17" t="s">
        <v>1529</v>
      </c>
      <c r="L8" s="442"/>
      <c r="M8" s="418"/>
      <c r="N8" s="418"/>
      <c r="O8" s="418"/>
      <c r="P8" s="418"/>
      <c r="Q8" s="418"/>
      <c r="R8" s="418">
        <f t="shared" si="2"/>
        <v>1393.32</v>
      </c>
      <c r="S8" s="418"/>
    </row>
    <row r="9" spans="1:19">
      <c r="A9" s="407">
        <v>1</v>
      </c>
      <c r="B9" s="407" t="s">
        <v>505</v>
      </c>
      <c r="C9" s="407" t="s">
        <v>540</v>
      </c>
      <c r="D9" s="407" t="s">
        <v>556</v>
      </c>
      <c r="E9" s="408" t="s">
        <v>1215</v>
      </c>
      <c r="F9" s="409">
        <v>1453.33</v>
      </c>
      <c r="G9" s="410"/>
      <c r="H9" s="409">
        <f t="shared" si="0"/>
        <v>1453.33</v>
      </c>
      <c r="I9" s="409">
        <f t="shared" si="1"/>
        <v>1453.33</v>
      </c>
      <c r="J9" s="204"/>
      <c r="M9" s="418"/>
      <c r="N9" s="418"/>
      <c r="O9" s="418"/>
      <c r="P9" s="418"/>
      <c r="Q9" s="418"/>
      <c r="R9" s="418">
        <f t="shared" si="2"/>
        <v>1453.33</v>
      </c>
      <c r="S9" s="418"/>
    </row>
    <row r="10" spans="1:19">
      <c r="A10" s="407"/>
      <c r="B10" s="407"/>
      <c r="C10" s="407"/>
      <c r="D10" s="407"/>
      <c r="E10" s="408"/>
      <c r="F10" s="409"/>
      <c r="G10" s="410"/>
      <c r="H10" s="409">
        <f t="shared" ref="H10:H63" si="3">F10*(1-G10)</f>
        <v>0</v>
      </c>
      <c r="I10" s="409">
        <f t="shared" ref="I10:I33" si="4">A10*H10</f>
        <v>0</v>
      </c>
      <c r="J10" s="204"/>
      <c r="M10" s="418"/>
      <c r="N10" s="418"/>
      <c r="O10" s="418"/>
      <c r="P10" s="418"/>
      <c r="Q10" s="418"/>
      <c r="R10" s="418">
        <f t="shared" ref="R10:R25" si="5">I10</f>
        <v>0</v>
      </c>
      <c r="S10" s="418"/>
    </row>
    <row r="11" spans="1:19">
      <c r="A11" s="407">
        <v>0</v>
      </c>
      <c r="B11" s="407" t="s">
        <v>530</v>
      </c>
      <c r="C11" s="408" t="s">
        <v>792</v>
      </c>
      <c r="D11" s="407" t="s">
        <v>1248</v>
      </c>
      <c r="E11" s="408" t="s">
        <v>794</v>
      </c>
      <c r="F11" s="409">
        <v>2600</v>
      </c>
      <c r="G11" s="410"/>
      <c r="H11" s="409">
        <f t="shared" si="3"/>
        <v>2600</v>
      </c>
      <c r="I11" s="409">
        <f t="shared" si="4"/>
        <v>0</v>
      </c>
      <c r="J11" s="204"/>
      <c r="M11" s="418"/>
      <c r="N11" s="418"/>
      <c r="O11" s="418"/>
      <c r="P11" s="418"/>
      <c r="Q11" s="418"/>
      <c r="R11" s="418">
        <f t="shared" si="5"/>
        <v>0</v>
      </c>
      <c r="S11" s="418"/>
    </row>
    <row r="12" spans="1:19" ht="33.4">
      <c r="A12" s="407">
        <v>0</v>
      </c>
      <c r="B12" s="407" t="s">
        <v>505</v>
      </c>
      <c r="C12" s="408" t="s">
        <v>534</v>
      </c>
      <c r="D12" s="407"/>
      <c r="E12" s="408" t="s">
        <v>535</v>
      </c>
      <c r="F12" s="409">
        <v>3.71</v>
      </c>
      <c r="G12" s="410"/>
      <c r="H12" s="409">
        <f t="shared" si="3"/>
        <v>3.71</v>
      </c>
      <c r="I12" s="409">
        <f t="shared" si="4"/>
        <v>0</v>
      </c>
      <c r="J12" s="204" t="s">
        <v>795</v>
      </c>
      <c r="M12" s="418"/>
      <c r="N12" s="418"/>
      <c r="O12" s="418"/>
      <c r="P12" s="418"/>
      <c r="Q12" s="418"/>
      <c r="R12" s="418">
        <f t="shared" si="5"/>
        <v>0</v>
      </c>
      <c r="S12" s="418"/>
    </row>
    <row r="13" spans="1:19" ht="22.25">
      <c r="A13" s="407">
        <f>A12</f>
        <v>0</v>
      </c>
      <c r="B13" s="407" t="s">
        <v>505</v>
      </c>
      <c r="C13" s="408" t="s">
        <v>534</v>
      </c>
      <c r="D13" s="407"/>
      <c r="E13" s="408" t="s">
        <v>537</v>
      </c>
      <c r="F13" s="409">
        <v>3.81</v>
      </c>
      <c r="G13" s="410"/>
      <c r="H13" s="409">
        <f t="shared" si="3"/>
        <v>3.81</v>
      </c>
      <c r="I13" s="409">
        <f t="shared" si="4"/>
        <v>0</v>
      </c>
      <c r="J13" s="204" t="s">
        <v>538</v>
      </c>
      <c r="M13" s="418"/>
      <c r="N13" s="418"/>
      <c r="O13" s="418"/>
      <c r="P13" s="418"/>
      <c r="Q13" s="418"/>
      <c r="R13" s="418">
        <f t="shared" si="5"/>
        <v>0</v>
      </c>
      <c r="S13" s="418"/>
    </row>
    <row r="14" spans="1:19" ht="33.4">
      <c r="A14" s="407">
        <v>130</v>
      </c>
      <c r="B14" s="407" t="s">
        <v>539</v>
      </c>
      <c r="C14" s="408" t="s">
        <v>540</v>
      </c>
      <c r="D14" s="407" t="s">
        <v>541</v>
      </c>
      <c r="E14" s="408" t="s">
        <v>542</v>
      </c>
      <c r="F14" s="409">
        <v>0.55647999999999997</v>
      </c>
      <c r="G14" s="410"/>
      <c r="H14" s="409">
        <f t="shared" si="3"/>
        <v>0.55647999999999997</v>
      </c>
      <c r="I14" s="409">
        <f t="shared" si="4"/>
        <v>72.342399999999998</v>
      </c>
      <c r="M14" s="418"/>
      <c r="N14" s="418"/>
      <c r="O14" s="418">
        <f t="shared" ref="O14:O28" si="6">I14</f>
        <v>72.342399999999998</v>
      </c>
      <c r="P14" s="418"/>
      <c r="Q14" s="418"/>
      <c r="R14" s="418"/>
      <c r="S14" s="418"/>
    </row>
    <row r="15" spans="1:19" ht="33.4">
      <c r="A15" s="407">
        <f>A14+A4*2</f>
        <v>130</v>
      </c>
      <c r="B15" s="407" t="s">
        <v>539</v>
      </c>
      <c r="C15" s="408" t="s">
        <v>540</v>
      </c>
      <c r="D15" s="407" t="s">
        <v>543</v>
      </c>
      <c r="E15" s="408" t="s">
        <v>544</v>
      </c>
      <c r="F15" s="409">
        <v>0.55647999999999997</v>
      </c>
      <c r="G15" s="410"/>
      <c r="H15" s="409">
        <f t="shared" si="3"/>
        <v>0.55647999999999997</v>
      </c>
      <c r="I15" s="409">
        <f t="shared" si="4"/>
        <v>72.342399999999998</v>
      </c>
      <c r="M15" s="418"/>
      <c r="N15" s="418"/>
      <c r="O15" s="418">
        <f t="shared" si="6"/>
        <v>72.342399999999998</v>
      </c>
      <c r="P15" s="418"/>
      <c r="Q15" s="418"/>
      <c r="R15" s="418"/>
      <c r="S15" s="418"/>
    </row>
    <row r="16" spans="1:19" ht="33.4">
      <c r="A16" s="407">
        <f>(3*5+2)*4</f>
        <v>68</v>
      </c>
      <c r="B16" s="407" t="s">
        <v>517</v>
      </c>
      <c r="C16" s="408" t="s">
        <v>540</v>
      </c>
      <c r="D16" s="407" t="s">
        <v>797</v>
      </c>
      <c r="E16" s="408" t="s">
        <v>798</v>
      </c>
      <c r="F16" s="409">
        <v>0.88</v>
      </c>
      <c r="G16" s="410"/>
      <c r="H16" s="409">
        <f t="shared" si="3"/>
        <v>0.88</v>
      </c>
      <c r="I16" s="409">
        <f t="shared" si="4"/>
        <v>59.84</v>
      </c>
      <c r="J16" s="204"/>
      <c r="M16" s="418"/>
      <c r="N16" s="418"/>
      <c r="O16" s="418">
        <f t="shared" si="6"/>
        <v>59.84</v>
      </c>
      <c r="P16" s="418"/>
      <c r="Q16" s="418"/>
      <c r="R16" s="418"/>
      <c r="S16" s="418"/>
    </row>
    <row r="17" spans="1:19" ht="33.4">
      <c r="A17" s="407">
        <f>A16</f>
        <v>68</v>
      </c>
      <c r="B17" s="407" t="s">
        <v>517</v>
      </c>
      <c r="C17" s="408" t="s">
        <v>540</v>
      </c>
      <c r="D17" s="407" t="s">
        <v>800</v>
      </c>
      <c r="E17" s="408" t="s">
        <v>801</v>
      </c>
      <c r="F17" s="409">
        <v>0.67</v>
      </c>
      <c r="G17" s="410"/>
      <c r="H17" s="409">
        <f t="shared" si="3"/>
        <v>0.67</v>
      </c>
      <c r="I17" s="409">
        <f t="shared" si="4"/>
        <v>45.56</v>
      </c>
      <c r="J17" s="204"/>
      <c r="M17" s="418"/>
      <c r="N17" s="418"/>
      <c r="O17" s="418">
        <f t="shared" si="6"/>
        <v>45.56</v>
      </c>
      <c r="P17" s="418"/>
      <c r="Q17" s="418"/>
      <c r="R17" s="418"/>
      <c r="S17" s="418"/>
    </row>
    <row r="18" spans="1:19" ht="22.25">
      <c r="A18" s="407">
        <v>0</v>
      </c>
      <c r="B18" s="407" t="s">
        <v>517</v>
      </c>
      <c r="C18" s="408" t="s">
        <v>540</v>
      </c>
      <c r="D18" s="407" t="s">
        <v>556</v>
      </c>
      <c r="E18" s="408" t="s">
        <v>557</v>
      </c>
      <c r="F18" s="409">
        <v>6.58</v>
      </c>
      <c r="G18" s="410"/>
      <c r="H18" s="409">
        <f t="shared" si="3"/>
        <v>6.58</v>
      </c>
      <c r="I18" s="409">
        <f t="shared" si="4"/>
        <v>0</v>
      </c>
      <c r="J18" s="204"/>
      <c r="M18" s="418"/>
      <c r="N18" s="418"/>
      <c r="O18" s="418">
        <f t="shared" si="6"/>
        <v>0</v>
      </c>
      <c r="P18" s="418"/>
      <c r="Q18" s="418"/>
      <c r="R18" s="418"/>
      <c r="S18" s="418"/>
    </row>
    <row r="19" spans="1:19">
      <c r="A19" s="413">
        <v>0</v>
      </c>
      <c r="B19" s="413" t="s">
        <v>522</v>
      </c>
      <c r="C19" s="413" t="s">
        <v>1223</v>
      </c>
      <c r="D19" s="423"/>
      <c r="E19" s="420" t="s">
        <v>1286</v>
      </c>
      <c r="F19" s="421">
        <f>8232.5/1.2</f>
        <v>6860.416666666667</v>
      </c>
      <c r="G19" s="410"/>
      <c r="H19" s="409">
        <f t="shared" si="3"/>
        <v>6860.416666666667</v>
      </c>
      <c r="I19" s="409">
        <f t="shared" si="4"/>
        <v>0</v>
      </c>
      <c r="J19" s="204"/>
      <c r="K19" s="17" t="s">
        <v>1531</v>
      </c>
      <c r="M19" s="418"/>
      <c r="N19" s="418">
        <f t="shared" ref="N19:N22" si="7">I19</f>
        <v>0</v>
      </c>
      <c r="O19" s="418"/>
      <c r="P19" s="418"/>
      <c r="Q19" s="418"/>
      <c r="R19" s="418"/>
      <c r="S19" s="418"/>
    </row>
    <row r="20" spans="1:19">
      <c r="A20" s="413">
        <v>0</v>
      </c>
      <c r="B20" s="413" t="s">
        <v>522</v>
      </c>
      <c r="C20" s="413" t="s">
        <v>1223</v>
      </c>
      <c r="D20" s="423"/>
      <c r="E20" s="420" t="s">
        <v>1225</v>
      </c>
      <c r="F20" s="421">
        <f>5199/1.2</f>
        <v>4332.5</v>
      </c>
      <c r="G20" s="422"/>
      <c r="H20" s="409">
        <f t="shared" si="3"/>
        <v>4332.5</v>
      </c>
      <c r="I20" s="409">
        <f t="shared" si="4"/>
        <v>0</v>
      </c>
      <c r="J20" s="204"/>
      <c r="K20" s="17" t="s">
        <v>1532</v>
      </c>
      <c r="M20" s="418"/>
      <c r="N20" s="418">
        <f t="shared" si="7"/>
        <v>0</v>
      </c>
      <c r="O20" s="418"/>
      <c r="P20" s="418"/>
      <c r="Q20" s="418"/>
      <c r="R20" s="418"/>
      <c r="S20" s="418"/>
    </row>
    <row r="21" spans="1:19">
      <c r="A21" s="407"/>
      <c r="B21" s="407"/>
      <c r="C21" s="408"/>
      <c r="D21" s="407"/>
      <c r="E21" s="408"/>
      <c r="F21" s="409"/>
      <c r="G21" s="410"/>
      <c r="H21" s="409">
        <f t="shared" si="3"/>
        <v>0</v>
      </c>
      <c r="I21" s="409">
        <f t="shared" si="4"/>
        <v>0</v>
      </c>
      <c r="J21" s="204"/>
      <c r="M21" s="418"/>
      <c r="N21" s="418">
        <f t="shared" si="7"/>
        <v>0</v>
      </c>
      <c r="O21" s="418"/>
      <c r="P21" s="418"/>
      <c r="Q21" s="418"/>
      <c r="R21" s="418"/>
      <c r="S21" s="418"/>
    </row>
    <row r="22" spans="1:19">
      <c r="A22" s="407"/>
      <c r="B22" s="407"/>
      <c r="C22" s="408"/>
      <c r="D22" s="407"/>
      <c r="E22" s="408"/>
      <c r="F22" s="409"/>
      <c r="G22" s="410"/>
      <c r="H22" s="409">
        <f t="shared" si="3"/>
        <v>0</v>
      </c>
      <c r="I22" s="409">
        <f t="shared" si="4"/>
        <v>0</v>
      </c>
      <c r="J22" s="204"/>
      <c r="M22" s="418"/>
      <c r="N22" s="418">
        <f t="shared" si="7"/>
        <v>0</v>
      </c>
      <c r="O22" s="418"/>
      <c r="P22" s="418"/>
      <c r="Q22" s="418"/>
      <c r="R22" s="418"/>
      <c r="S22" s="418"/>
    </row>
    <row r="23" spans="1:19" ht="33.4">
      <c r="A23" s="407">
        <v>0</v>
      </c>
      <c r="B23" s="407" t="s">
        <v>517</v>
      </c>
      <c r="C23" s="408" t="s">
        <v>540</v>
      </c>
      <c r="D23" s="407" t="s">
        <v>761</v>
      </c>
      <c r="E23" s="408" t="s">
        <v>762</v>
      </c>
      <c r="F23" s="409">
        <v>2.5</v>
      </c>
      <c r="G23" s="410"/>
      <c r="H23" s="409">
        <f t="shared" si="3"/>
        <v>2.5</v>
      </c>
      <c r="I23" s="409">
        <f t="shared" si="4"/>
        <v>0</v>
      </c>
      <c r="J23" s="204"/>
      <c r="M23" s="418"/>
      <c r="N23" s="418"/>
      <c r="O23" s="418"/>
      <c r="P23" s="418"/>
      <c r="Q23" s="418"/>
      <c r="R23" s="418">
        <f t="shared" si="5"/>
        <v>0</v>
      </c>
      <c r="S23" s="418"/>
    </row>
    <row r="24" spans="1:19" ht="35.85" customHeight="1">
      <c r="A24" s="407">
        <v>1</v>
      </c>
      <c r="B24" s="407" t="s">
        <v>522</v>
      </c>
      <c r="C24" s="407" t="s">
        <v>751</v>
      </c>
      <c r="D24" s="407"/>
      <c r="E24" s="408" t="s">
        <v>803</v>
      </c>
      <c r="F24" s="409">
        <v>564.44000000000005</v>
      </c>
      <c r="G24" s="410"/>
      <c r="H24" s="409">
        <f t="shared" si="3"/>
        <v>564.44000000000005</v>
      </c>
      <c r="I24" s="409">
        <f t="shared" si="4"/>
        <v>564.44000000000005</v>
      </c>
      <c r="J24" s="1054" t="s">
        <v>833</v>
      </c>
      <c r="K24" s="1054"/>
      <c r="L24" s="1054"/>
      <c r="M24" s="418"/>
      <c r="N24" s="418"/>
      <c r="O24" s="418"/>
      <c r="P24" s="418"/>
      <c r="Q24" s="418"/>
      <c r="R24" s="418">
        <f t="shared" si="5"/>
        <v>564.44000000000005</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07">
        <v>1</v>
      </c>
      <c r="B26" s="407" t="s">
        <v>522</v>
      </c>
      <c r="C26" s="408" t="s">
        <v>531</v>
      </c>
      <c r="D26" s="407"/>
      <c r="E26" s="408" t="s">
        <v>695</v>
      </c>
      <c r="F26" s="409">
        <v>100</v>
      </c>
      <c r="G26" s="410"/>
      <c r="H26" s="409">
        <f t="shared" si="3"/>
        <v>100</v>
      </c>
      <c r="I26" s="409">
        <f t="shared" si="4"/>
        <v>100</v>
      </c>
      <c r="J26" s="204"/>
      <c r="M26" s="418"/>
      <c r="N26" s="418"/>
      <c r="O26" s="418">
        <f t="shared" si="6"/>
        <v>100</v>
      </c>
      <c r="P26" s="418"/>
      <c r="Q26" s="418"/>
      <c r="R26" s="418"/>
      <c r="S26" s="418"/>
    </row>
    <row r="27" spans="1:19" ht="22.25">
      <c r="A27" s="407">
        <v>1</v>
      </c>
      <c r="B27" s="407" t="s">
        <v>517</v>
      </c>
      <c r="C27" s="408" t="s">
        <v>540</v>
      </c>
      <c r="D27" s="407" t="s">
        <v>769</v>
      </c>
      <c r="E27" s="408" t="s">
        <v>567</v>
      </c>
      <c r="F27" s="409">
        <v>750</v>
      </c>
      <c r="G27" s="410"/>
      <c r="H27" s="409">
        <f t="shared" si="3"/>
        <v>750</v>
      </c>
      <c r="I27" s="409">
        <f t="shared" si="4"/>
        <v>750</v>
      </c>
      <c r="J27" s="204"/>
      <c r="M27" s="418">
        <f>F27</f>
        <v>750</v>
      </c>
      <c r="N27" s="418"/>
      <c r="O27" s="418"/>
      <c r="P27" s="418"/>
      <c r="Q27" s="418"/>
      <c r="R27" s="418"/>
      <c r="S27" s="418"/>
    </row>
    <row r="28" spans="1:19">
      <c r="A28" s="407">
        <v>100</v>
      </c>
      <c r="B28" s="407" t="s">
        <v>539</v>
      </c>
      <c r="C28" s="407" t="s">
        <v>690</v>
      </c>
      <c r="D28" s="407"/>
      <c r="E28" s="407" t="s">
        <v>1059</v>
      </c>
      <c r="F28" s="409">
        <v>124.8</v>
      </c>
      <c r="G28" s="428"/>
      <c r="H28" s="409">
        <f t="shared" si="3"/>
        <v>124.8</v>
      </c>
      <c r="I28" s="409">
        <f t="shared" si="4"/>
        <v>12480</v>
      </c>
      <c r="J28" s="204"/>
      <c r="K28" s="442" t="s">
        <v>1530</v>
      </c>
      <c r="M28" s="418"/>
      <c r="N28" s="418"/>
      <c r="O28" s="418">
        <f t="shared" si="6"/>
        <v>12480</v>
      </c>
      <c r="P28" s="418"/>
      <c r="Q28" s="418"/>
      <c r="R28" s="418"/>
      <c r="S28" s="418"/>
    </row>
    <row r="29" spans="1:19" ht="44.55">
      <c r="A29" s="407">
        <v>0</v>
      </c>
      <c r="B29" s="407" t="s">
        <v>517</v>
      </c>
      <c r="C29" s="408" t="s">
        <v>569</v>
      </c>
      <c r="D29" s="407" t="s">
        <v>570</v>
      </c>
      <c r="E29" s="408" t="s">
        <v>571</v>
      </c>
      <c r="F29" s="409">
        <v>1040</v>
      </c>
      <c r="G29" s="429">
        <v>0.48</v>
      </c>
      <c r="H29" s="430">
        <f t="shared" si="3"/>
        <v>540.80000000000007</v>
      </c>
      <c r="I29" s="409">
        <f t="shared" si="4"/>
        <v>0</v>
      </c>
      <c r="J29" s="204"/>
      <c r="M29" s="418"/>
      <c r="N29" s="418"/>
      <c r="O29" s="418"/>
      <c r="P29" s="418"/>
      <c r="Q29" s="418"/>
      <c r="R29" s="418"/>
      <c r="S29" s="418">
        <f t="shared" ref="S29:S33" si="8">I29</f>
        <v>0</v>
      </c>
    </row>
    <row r="30" spans="1:19" ht="44.55">
      <c r="A30" s="407">
        <v>1</v>
      </c>
      <c r="B30" s="407" t="s">
        <v>517</v>
      </c>
      <c r="C30" s="492" t="s">
        <v>569</v>
      </c>
      <c r="D30" s="487" t="s">
        <v>572</v>
      </c>
      <c r="E30" s="492" t="s">
        <v>573</v>
      </c>
      <c r="F30" s="430">
        <v>1190</v>
      </c>
      <c r="G30" s="429">
        <v>0.48</v>
      </c>
      <c r="H30" s="430">
        <f t="shared" si="3"/>
        <v>618.80000000000007</v>
      </c>
      <c r="I30" s="409">
        <f t="shared" si="4"/>
        <v>618.80000000000007</v>
      </c>
      <c r="J30" s="204"/>
      <c r="M30" s="418"/>
      <c r="N30" s="418"/>
      <c r="O30" s="418"/>
      <c r="P30" s="418"/>
      <c r="Q30" s="418"/>
      <c r="R30" s="418"/>
      <c r="S30" s="418">
        <f t="shared" si="8"/>
        <v>618.80000000000007</v>
      </c>
    </row>
    <row r="31" spans="1:19">
      <c r="A31" s="407">
        <v>3</v>
      </c>
      <c r="B31" s="407" t="s">
        <v>517</v>
      </c>
      <c r="C31" s="408" t="s">
        <v>574</v>
      </c>
      <c r="D31" s="407" t="s">
        <v>575</v>
      </c>
      <c r="E31" s="407" t="s">
        <v>576</v>
      </c>
      <c r="F31" s="409">
        <v>36.700000000000003</v>
      </c>
      <c r="G31" s="410"/>
      <c r="H31" s="409">
        <f t="shared" si="3"/>
        <v>36.700000000000003</v>
      </c>
      <c r="I31" s="409">
        <f t="shared" si="4"/>
        <v>110.10000000000001</v>
      </c>
      <c r="J31" s="204"/>
      <c r="M31" s="418"/>
      <c r="N31" s="418"/>
      <c r="O31" s="418"/>
      <c r="P31" s="418"/>
      <c r="Q31" s="418"/>
      <c r="R31" s="418"/>
      <c r="S31" s="418">
        <f t="shared" si="8"/>
        <v>110.10000000000001</v>
      </c>
    </row>
    <row r="32" spans="1:19">
      <c r="A32" s="407">
        <v>5</v>
      </c>
      <c r="B32" s="407" t="s">
        <v>517</v>
      </c>
      <c r="C32" s="408" t="s">
        <v>574</v>
      </c>
      <c r="D32" s="407" t="s">
        <v>577</v>
      </c>
      <c r="E32" s="407" t="s">
        <v>578</v>
      </c>
      <c r="F32" s="409">
        <v>75</v>
      </c>
      <c r="G32" s="410"/>
      <c r="H32" s="409">
        <f t="shared" si="3"/>
        <v>75</v>
      </c>
      <c r="I32" s="409">
        <f t="shared" si="4"/>
        <v>375</v>
      </c>
      <c r="J32" s="204"/>
      <c r="M32" s="418"/>
      <c r="N32" s="418"/>
      <c r="O32" s="418"/>
      <c r="P32" s="418"/>
      <c r="Q32" s="418"/>
      <c r="R32" s="418"/>
      <c r="S32" s="418">
        <f t="shared" si="8"/>
        <v>375</v>
      </c>
    </row>
    <row r="33" spans="1:19">
      <c r="A33" s="407">
        <v>1</v>
      </c>
      <c r="B33" s="407" t="s">
        <v>517</v>
      </c>
      <c r="C33" s="408" t="s">
        <v>574</v>
      </c>
      <c r="D33" s="407"/>
      <c r="E33" s="407" t="s">
        <v>579</v>
      </c>
      <c r="F33" s="409">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18236.0448</v>
      </c>
      <c r="J36" s="204"/>
      <c r="M36" s="418">
        <f>SUM(M4:M34)</f>
        <v>750</v>
      </c>
      <c r="N36" s="418">
        <f>SUM(N4:N34)</f>
        <v>0</v>
      </c>
      <c r="O36" s="418">
        <f>SUM(O4:O34)</f>
        <v>12830.084800000001</v>
      </c>
      <c r="P36" s="418"/>
      <c r="Q36" s="418"/>
      <c r="R36" s="418">
        <f>SUM(R4:R34)</f>
        <v>3543.31</v>
      </c>
      <c r="S36" s="418">
        <f>SUM(S4:S34)</f>
        <v>1112.6500000000001</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22795.056</v>
      </c>
      <c r="J38" s="436"/>
      <c r="K38" s="437"/>
      <c r="L38" s="437"/>
      <c r="M38" s="438">
        <f>M36*(1+$G$37)</f>
        <v>937.5</v>
      </c>
      <c r="N38" s="438">
        <f>N36*(1+$G$37)</f>
        <v>0</v>
      </c>
      <c r="O38" s="438">
        <f>O36*(1+$G$37)</f>
        <v>16037.606</v>
      </c>
      <c r="P38" s="438">
        <f>P67</f>
        <v>7600</v>
      </c>
      <c r="Q38" s="438">
        <f>Q126</f>
        <v>3687.3999999999992</v>
      </c>
      <c r="R38" s="438">
        <f>R36*(1+$G$37)</f>
        <v>4429.1374999999998</v>
      </c>
      <c r="S38" s="438">
        <f>S36*(1+$G$37)</f>
        <v>1390.8125</v>
      </c>
    </row>
    <row r="41" spans="1:19">
      <c r="E41" s="439" t="s">
        <v>585</v>
      </c>
    </row>
    <row r="42" spans="1:19">
      <c r="A42" s="441">
        <v>16</v>
      </c>
      <c r="B42" s="17" t="s">
        <v>619</v>
      </c>
      <c r="E42" s="17" t="s">
        <v>586</v>
      </c>
      <c r="F42" s="403">
        <f t="shared" ref="F42:F58" si="9">F$62</f>
        <v>55</v>
      </c>
      <c r="H42" s="403">
        <f t="shared" si="3"/>
        <v>55</v>
      </c>
      <c r="I42" s="403">
        <f t="shared" ref="I42:I64" si="10">A42*H42</f>
        <v>880</v>
      </c>
    </row>
    <row r="43" spans="1:19">
      <c r="A43" s="441">
        <f>A6/120*8*2</f>
        <v>0</v>
      </c>
      <c r="B43" s="17" t="s">
        <v>619</v>
      </c>
      <c r="E43" s="17" t="s">
        <v>589</v>
      </c>
      <c r="F43" s="403">
        <f t="shared" si="9"/>
        <v>55</v>
      </c>
      <c r="H43" s="403">
        <f t="shared" si="3"/>
        <v>55</v>
      </c>
      <c r="I43" s="403">
        <f t="shared" si="10"/>
        <v>0</v>
      </c>
      <c r="J43" s="17" t="s">
        <v>592</v>
      </c>
    </row>
    <row r="44" spans="1:19">
      <c r="A44" s="441">
        <v>8</v>
      </c>
      <c r="B44" s="17" t="s">
        <v>619</v>
      </c>
      <c r="E44" s="17" t="s">
        <v>1426</v>
      </c>
      <c r="F44" s="403">
        <f t="shared" si="9"/>
        <v>55</v>
      </c>
      <c r="H44" s="403">
        <f t="shared" si="3"/>
        <v>55</v>
      </c>
      <c r="I44" s="403">
        <f t="shared" si="10"/>
        <v>440</v>
      </c>
      <c r="J44" s="17" t="s">
        <v>1486</v>
      </c>
    </row>
    <row r="45" spans="1:19">
      <c r="A45" s="441">
        <f>A6/120*16*2</f>
        <v>0</v>
      </c>
      <c r="B45" s="17" t="s">
        <v>619</v>
      </c>
      <c r="E45" s="17" t="s">
        <v>591</v>
      </c>
      <c r="F45" s="403">
        <f t="shared" si="9"/>
        <v>55</v>
      </c>
      <c r="H45" s="403">
        <f t="shared" si="3"/>
        <v>55</v>
      </c>
      <c r="I45" s="403">
        <f t="shared" si="10"/>
        <v>0</v>
      </c>
      <c r="J45" s="17" t="s">
        <v>592</v>
      </c>
    </row>
    <row r="46" spans="1:19">
      <c r="A46" s="441">
        <v>4</v>
      </c>
      <c r="B46" s="17" t="s">
        <v>619</v>
      </c>
      <c r="E46" s="17" t="s">
        <v>1428</v>
      </c>
      <c r="F46" s="403">
        <f t="shared" si="9"/>
        <v>55</v>
      </c>
      <c r="H46" s="403">
        <f t="shared" si="3"/>
        <v>55</v>
      </c>
      <c r="I46" s="403">
        <f t="shared" si="10"/>
        <v>220</v>
      </c>
    </row>
    <row r="47" spans="1:19">
      <c r="A47" s="441">
        <v>4</v>
      </c>
      <c r="B47" s="17" t="s">
        <v>619</v>
      </c>
      <c r="E47" s="17" t="s">
        <v>1429</v>
      </c>
      <c r="F47" s="403">
        <f t="shared" si="9"/>
        <v>55</v>
      </c>
      <c r="H47" s="403">
        <f t="shared" si="3"/>
        <v>55</v>
      </c>
      <c r="I47" s="403">
        <f t="shared" si="10"/>
        <v>220</v>
      </c>
    </row>
    <row r="48" spans="1:19">
      <c r="A48" s="441">
        <v>8</v>
      </c>
      <c r="B48" s="17" t="s">
        <v>619</v>
      </c>
      <c r="E48" s="17" t="s">
        <v>605</v>
      </c>
      <c r="F48" s="403">
        <f t="shared" si="9"/>
        <v>55</v>
      </c>
      <c r="H48" s="403">
        <f t="shared" si="3"/>
        <v>55</v>
      </c>
      <c r="I48" s="403">
        <f t="shared" si="10"/>
        <v>440</v>
      </c>
      <c r="J48" s="17" t="s">
        <v>1487</v>
      </c>
    </row>
    <row r="49" spans="1:10">
      <c r="A49" s="441">
        <v>6</v>
      </c>
      <c r="B49" s="17" t="s">
        <v>619</v>
      </c>
      <c r="E49" s="17" t="s">
        <v>607</v>
      </c>
      <c r="F49" s="403">
        <f t="shared" si="9"/>
        <v>55</v>
      </c>
      <c r="H49" s="403">
        <f t="shared" si="3"/>
        <v>55</v>
      </c>
      <c r="I49" s="403">
        <f t="shared" si="10"/>
        <v>330</v>
      </c>
      <c r="J49" s="17" t="s">
        <v>608</v>
      </c>
    </row>
    <row r="50" spans="1:10">
      <c r="A50" s="441">
        <v>0.5</v>
      </c>
      <c r="B50" s="17" t="s">
        <v>619</v>
      </c>
      <c r="E50" s="17" t="s">
        <v>609</v>
      </c>
      <c r="F50" s="403">
        <f t="shared" si="9"/>
        <v>55</v>
      </c>
      <c r="H50" s="403">
        <f t="shared" si="3"/>
        <v>55</v>
      </c>
      <c r="I50" s="403">
        <f t="shared" si="10"/>
        <v>27.5</v>
      </c>
    </row>
    <row r="51" spans="1:10">
      <c r="A51" s="441">
        <v>16</v>
      </c>
      <c r="B51" s="17" t="s">
        <v>619</v>
      </c>
      <c r="E51" s="17" t="s">
        <v>610</v>
      </c>
      <c r="F51" s="403">
        <f t="shared" si="9"/>
        <v>55</v>
      </c>
      <c r="H51" s="403">
        <f t="shared" si="3"/>
        <v>55</v>
      </c>
      <c r="I51" s="403">
        <f t="shared" si="10"/>
        <v>880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16</v>
      </c>
      <c r="B55" s="17" t="s">
        <v>619</v>
      </c>
      <c r="E55" s="17" t="s">
        <v>614</v>
      </c>
      <c r="F55" s="403">
        <f t="shared" si="9"/>
        <v>55</v>
      </c>
      <c r="H55" s="403">
        <f t="shared" si="3"/>
        <v>55</v>
      </c>
      <c r="I55" s="403">
        <f t="shared" si="10"/>
        <v>880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745">
        <f>100*0.25</f>
        <v>25</v>
      </c>
      <c r="B58" s="442" t="s">
        <v>619</v>
      </c>
      <c r="C58" s="446"/>
      <c r="D58" s="442"/>
      <c r="E58" s="17" t="s">
        <v>617</v>
      </c>
      <c r="F58" s="443">
        <f t="shared" si="9"/>
        <v>55</v>
      </c>
      <c r="G58" s="444"/>
      <c r="H58" s="443">
        <f t="shared" si="3"/>
        <v>55</v>
      </c>
      <c r="I58" s="443">
        <f t="shared" si="10"/>
        <v>1375</v>
      </c>
      <c r="J58" s="17" t="s">
        <v>618</v>
      </c>
    </row>
    <row r="60" spans="1:10">
      <c r="A60" s="17">
        <f>SUM(A42:A59)</f>
        <v>117.5</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5</v>
      </c>
      <c r="B63" s="17" t="s">
        <v>624</v>
      </c>
      <c r="E63" s="17" t="s">
        <v>625</v>
      </c>
      <c r="F63" s="403">
        <f>A61*8*F62</f>
        <v>1320</v>
      </c>
      <c r="H63" s="403">
        <f t="shared" si="3"/>
        <v>1320</v>
      </c>
      <c r="I63" s="403">
        <f t="shared" si="10"/>
        <v>6600</v>
      </c>
    </row>
    <row r="64" spans="1:10">
      <c r="A64" s="441">
        <v>1</v>
      </c>
      <c r="B64" s="442" t="s">
        <v>517</v>
      </c>
      <c r="C64" s="446"/>
      <c r="D64" s="442"/>
      <c r="E64" s="442" t="s">
        <v>626</v>
      </c>
      <c r="F64" s="447">
        <v>500</v>
      </c>
      <c r="G64" s="444"/>
      <c r="H64" s="403">
        <v>1000</v>
      </c>
      <c r="I64" s="403">
        <f t="shared" si="10"/>
        <v>1000</v>
      </c>
      <c r="J64" s="17" t="s">
        <v>627</v>
      </c>
    </row>
    <row r="65" spans="1:16">
      <c r="A65" s="441"/>
      <c r="F65" s="447"/>
      <c r="H65" s="403"/>
      <c r="I65" s="403"/>
    </row>
    <row r="66" spans="1:16">
      <c r="A66" s="441"/>
      <c r="F66" s="447"/>
      <c r="H66" s="403"/>
      <c r="I66" s="403"/>
    </row>
    <row r="67" spans="1:16" ht="15.75">
      <c r="E67" s="439" t="s">
        <v>628</v>
      </c>
      <c r="I67" s="443">
        <f>SUM(I63:I66)</f>
        <v>7600</v>
      </c>
      <c r="P67" s="438">
        <f>I67</f>
        <v>7600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1">A81*H81</f>
        <v>0</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33.4" customHeight="1">
      <c r="A103" s="452">
        <v>1</v>
      </c>
      <c r="B103" s="453" t="s">
        <v>517</v>
      </c>
      <c r="C103" s="454" t="s">
        <v>538</v>
      </c>
      <c r="D103" s="455" t="s">
        <v>636</v>
      </c>
      <c r="E103" s="453" t="s">
        <v>668</v>
      </c>
      <c r="F103" s="463">
        <v>3732</v>
      </c>
      <c r="G103" s="457"/>
      <c r="H103" s="458">
        <f>F103*(1-G78)</f>
        <v>2239.1999999999998</v>
      </c>
      <c r="I103" s="458">
        <f t="shared" ref="I103:I124" si="13">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3"/>
        <v>53.22</v>
      </c>
      <c r="J104" s="453" t="s">
        <v>649</v>
      </c>
      <c r="K104" s="1050"/>
      <c r="L104" s="17" t="s">
        <v>672</v>
      </c>
    </row>
    <row r="105" spans="1:12" ht="33.4" customHeight="1">
      <c r="A105" s="461">
        <v>1</v>
      </c>
      <c r="B105" s="453" t="s">
        <v>517</v>
      </c>
      <c r="C105" s="453" t="s">
        <v>538</v>
      </c>
      <c r="D105" s="462" t="s">
        <v>640</v>
      </c>
      <c r="E105" s="453" t="s">
        <v>673</v>
      </c>
      <c r="F105" s="463">
        <v>1968</v>
      </c>
      <c r="G105" s="457"/>
      <c r="H105" s="458">
        <f t="shared" ref="H105:H119" si="14">F105*(1-$G$77)</f>
        <v>1180.8</v>
      </c>
      <c r="I105" s="458">
        <f t="shared" si="13"/>
        <v>1180.8</v>
      </c>
      <c r="J105" s="459" t="s">
        <v>638</v>
      </c>
      <c r="K105" s="1051" t="s">
        <v>642</v>
      </c>
    </row>
    <row r="106" spans="1:12" ht="24.9">
      <c r="A106" s="452">
        <v>1</v>
      </c>
      <c r="B106" s="453" t="s">
        <v>539</v>
      </c>
      <c r="C106" s="453" t="s">
        <v>538</v>
      </c>
      <c r="D106" s="462" t="s">
        <v>643</v>
      </c>
      <c r="E106" s="453" t="s">
        <v>673</v>
      </c>
      <c r="F106" s="463">
        <v>87.9</v>
      </c>
      <c r="G106" s="457"/>
      <c r="H106" s="458">
        <f t="shared" si="14"/>
        <v>52.74</v>
      </c>
      <c r="I106" s="458">
        <f t="shared" si="13"/>
        <v>52.74</v>
      </c>
      <c r="J106" s="459" t="s">
        <v>638</v>
      </c>
      <c r="K106" s="1051"/>
    </row>
    <row r="107" spans="1:12" ht="33.4"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33.4"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3687.3999999999992</v>
      </c>
      <c r="Q126" s="438">
        <f>I126</f>
        <v>3687.3999999999992</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7"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66.8">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0</v>
      </c>
      <c r="B157" s="17" t="s">
        <v>517</v>
      </c>
      <c r="E157" s="17" t="s">
        <v>707</v>
      </c>
      <c r="F157" s="403">
        <v>1500</v>
      </c>
      <c r="H157" s="403">
        <f t="shared" si="15"/>
        <v>1500</v>
      </c>
      <c r="I157" s="403">
        <f t="shared" si="16"/>
        <v>0</v>
      </c>
    </row>
    <row r="158" spans="1:10" ht="55.65">
      <c r="A158" s="442">
        <v>0</v>
      </c>
      <c r="B158" s="17" t="s">
        <v>517</v>
      </c>
      <c r="C158" s="204" t="s">
        <v>708</v>
      </c>
      <c r="E158" s="204" t="s">
        <v>709</v>
      </c>
      <c r="F158" s="403">
        <v>460</v>
      </c>
      <c r="H158" s="403">
        <f t="shared" si="15"/>
        <v>460</v>
      </c>
      <c r="I158" s="403">
        <f t="shared" si="16"/>
        <v>0</v>
      </c>
      <c r="J158" s="17" t="s">
        <v>710</v>
      </c>
    </row>
    <row r="159" spans="1:10" ht="55.65">
      <c r="A159" s="442">
        <v>0</v>
      </c>
      <c r="B159" s="17" t="s">
        <v>517</v>
      </c>
      <c r="C159" s="204" t="s">
        <v>711</v>
      </c>
      <c r="E159" s="204" t="s">
        <v>712</v>
      </c>
      <c r="F159" s="403">
        <v>320</v>
      </c>
      <c r="H159" s="403">
        <f t="shared" si="15"/>
        <v>320</v>
      </c>
      <c r="I159" s="403">
        <f t="shared" si="16"/>
        <v>0</v>
      </c>
    </row>
    <row r="160" spans="1:10" ht="55.65">
      <c r="A160" s="442">
        <v>0</v>
      </c>
      <c r="B160" s="17" t="s">
        <v>517</v>
      </c>
      <c r="C160" s="17" t="s">
        <v>713</v>
      </c>
      <c r="D160" s="17" t="s">
        <v>714</v>
      </c>
      <c r="E160" s="204" t="s">
        <v>715</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ht="22.25">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ht="22.25">
      <c r="A169" s="442">
        <f t="shared" si="17"/>
        <v>0</v>
      </c>
      <c r="B169" s="17" t="s">
        <v>539</v>
      </c>
      <c r="C169" s="204" t="s">
        <v>531</v>
      </c>
      <c r="E169" s="17" t="s">
        <v>727</v>
      </c>
      <c r="F169" s="403">
        <v>25</v>
      </c>
      <c r="H169" s="403">
        <f t="shared" si="15"/>
        <v>25</v>
      </c>
      <c r="I169" s="403">
        <f t="shared" si="16"/>
        <v>0</v>
      </c>
    </row>
    <row r="170" spans="1:10" ht="22.25">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1340</v>
      </c>
    </row>
    <row r="174" spans="1:10" ht="13.75" customHeight="1">
      <c r="A174" s="997" t="s">
        <v>68</v>
      </c>
      <c r="B174" s="997"/>
      <c r="C174" s="997"/>
      <c r="D174" s="997"/>
      <c r="E174" s="997"/>
    </row>
    <row r="175" spans="1:10">
      <c r="A175" s="442">
        <v>1</v>
      </c>
      <c r="B175" s="17" t="s">
        <v>517</v>
      </c>
      <c r="E175" s="17" t="s">
        <v>730</v>
      </c>
      <c r="F175" s="403">
        <v>500</v>
      </c>
      <c r="H175" s="403">
        <f t="shared" si="15"/>
        <v>500</v>
      </c>
      <c r="I175" s="403">
        <f t="shared" ref="I175:I177" si="18">A175*H175</f>
        <v>500</v>
      </c>
    </row>
    <row r="176" spans="1:10" ht="55.65">
      <c r="A176" s="442">
        <v>0</v>
      </c>
      <c r="B176" s="17" t="s">
        <v>517</v>
      </c>
      <c r="C176" s="204" t="s">
        <v>708</v>
      </c>
      <c r="E176" s="204" t="s">
        <v>731</v>
      </c>
      <c r="F176" s="403">
        <f>460/2</f>
        <v>230</v>
      </c>
      <c r="H176" s="403">
        <f t="shared" si="15"/>
        <v>230</v>
      </c>
      <c r="I176" s="403">
        <f t="shared" si="18"/>
        <v>0</v>
      </c>
    </row>
    <row r="177" spans="1:9" ht="55.65">
      <c r="A177" s="442">
        <v>0</v>
      </c>
      <c r="B177" s="17" t="s">
        <v>517</v>
      </c>
      <c r="C177" s="204" t="s">
        <v>711</v>
      </c>
      <c r="E177" s="204" t="s">
        <v>732</v>
      </c>
      <c r="F177" s="403">
        <f>320/2</f>
        <v>160</v>
      </c>
      <c r="H177" s="403">
        <f t="shared" si="15"/>
        <v>160</v>
      </c>
      <c r="I177" s="403">
        <f t="shared" si="18"/>
        <v>0</v>
      </c>
    </row>
    <row r="179" spans="1:9" ht="15.75">
      <c r="E179" s="439" t="s">
        <v>733</v>
      </c>
      <c r="I179" s="168">
        <f>SUM(I174:I178)</f>
        <v>500</v>
      </c>
    </row>
    <row r="180" spans="1:9">
      <c r="E180" s="439"/>
    </row>
  </sheetData>
  <mergeCells count="13">
    <mergeCell ref="B1:F1"/>
    <mergeCell ref="A2:G2"/>
    <mergeCell ref="J24:L24"/>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0C2CD"/>
  </sheetPr>
  <dimension ref="A1:BL920"/>
  <sheetViews>
    <sheetView showGridLines="0" topLeftCell="A52" zoomScale="80" zoomScaleNormal="80" workbookViewId="0">
      <selection activeCell="O70" sqref="O70:P77"/>
    </sheetView>
  </sheetViews>
  <sheetFormatPr baseColWidth="10" defaultColWidth="11.28515625" defaultRowHeight="15.05"/>
  <cols>
    <col min="1" max="1" width="26" style="62" customWidth="1"/>
    <col min="2" max="2" width="9.28515625" style="62" customWidth="1"/>
    <col min="3" max="3" width="10.7109375" style="62" customWidth="1"/>
    <col min="4" max="4" width="11.28515625" style="62"/>
    <col min="5" max="5" width="12.42578125" style="62" customWidth="1"/>
    <col min="6" max="6" width="10" style="62" customWidth="1"/>
    <col min="7" max="7" width="9.5703125" style="62" customWidth="1"/>
    <col min="8" max="9" width="9.140625" style="62" customWidth="1"/>
    <col min="10" max="10" width="8.85546875" style="62" customWidth="1"/>
    <col min="11" max="11" width="11.140625" style="62" customWidth="1"/>
    <col min="12" max="12" width="9.140625" style="62" customWidth="1"/>
    <col min="13" max="13" width="9.7109375" style="62" hidden="1" customWidth="1"/>
    <col min="14" max="14" width="14.85546875" style="62" customWidth="1"/>
    <col min="15" max="15" width="11.140625" style="62" customWidth="1"/>
    <col min="16" max="17" width="12.140625" style="62" customWidth="1"/>
    <col min="18" max="19" width="11.5703125" style="62" customWidth="1"/>
    <col min="20" max="20" width="12" style="62" customWidth="1"/>
    <col min="21" max="21" width="9.140625" style="62" customWidth="1"/>
    <col min="22" max="22" width="9.28515625" style="62" customWidth="1"/>
    <col min="23" max="27" width="11.28515625" style="62"/>
    <col min="28" max="28" width="15.85546875" style="62" customWidth="1"/>
    <col min="29" max="29" width="3.28515625" style="62" customWidth="1"/>
    <col min="30" max="30" width="19.140625" style="62" customWidth="1"/>
    <col min="31" max="64" width="11.28515625" style="62"/>
  </cols>
  <sheetData>
    <row r="1" spans="1:64" s="224" customFormat="1" ht="25.55">
      <c r="A1" s="1046" t="s">
        <v>343</v>
      </c>
      <c r="B1" s="1046"/>
      <c r="C1" s="1046"/>
      <c r="D1" s="1046"/>
      <c r="E1" s="1046"/>
      <c r="F1" s="1046"/>
      <c r="G1" s="1046"/>
      <c r="H1" s="1046"/>
      <c r="I1" s="1046"/>
      <c r="J1" s="1046"/>
      <c r="K1" s="1046"/>
      <c r="L1" s="1046"/>
      <c r="M1" s="1046"/>
      <c r="N1" s="1046"/>
      <c r="O1" s="1046"/>
      <c r="P1" s="1046"/>
      <c r="Q1" s="1046"/>
      <c r="R1" s="1046"/>
      <c r="S1" s="1046"/>
      <c r="T1" s="1046"/>
      <c r="U1" s="1046"/>
      <c r="V1" s="1046"/>
    </row>
    <row r="2" spans="1:64">
      <c r="J2" s="225" t="s">
        <v>1</v>
      </c>
      <c r="AB2" s="226" t="s">
        <v>344</v>
      </c>
    </row>
    <row r="3" spans="1:64" ht="18" customHeight="1">
      <c r="A3" s="1047" t="s">
        <v>345</v>
      </c>
      <c r="B3" s="1047"/>
      <c r="C3" s="1047"/>
      <c r="D3" s="1047"/>
      <c r="E3" s="1047"/>
      <c r="F3" s="1047"/>
      <c r="G3" s="1047"/>
      <c r="H3" s="1047"/>
      <c r="I3" s="1047"/>
      <c r="J3" s="1047"/>
      <c r="K3" s="1047"/>
      <c r="L3" s="1047"/>
      <c r="M3" s="1047"/>
      <c r="N3" s="1047"/>
      <c r="O3" s="1047"/>
      <c r="P3" s="1047"/>
      <c r="Q3" s="1047"/>
      <c r="R3" s="1047"/>
      <c r="S3" s="1047"/>
      <c r="T3" s="1047"/>
      <c r="U3" s="1047"/>
      <c r="V3" s="1047"/>
      <c r="W3" s="8"/>
      <c r="X3" s="8"/>
      <c r="Y3" s="8"/>
      <c r="Z3" s="8"/>
      <c r="AA3" s="8"/>
      <c r="AB3" s="227">
        <v>0</v>
      </c>
      <c r="AC3" s="228"/>
      <c r="AD3" s="229" t="s">
        <v>346</v>
      </c>
      <c r="AE3" s="62" t="s">
        <v>347</v>
      </c>
      <c r="AH3" s="62">
        <v>0</v>
      </c>
      <c r="AJ3" s="230" t="s">
        <v>348</v>
      </c>
      <c r="AK3" s="62" t="s">
        <v>349</v>
      </c>
      <c r="AX3" s="231"/>
    </row>
    <row r="4" spans="1:64">
      <c r="A4" s="8"/>
      <c r="B4" s="8"/>
      <c r="C4" s="8"/>
      <c r="D4" s="8"/>
      <c r="E4" s="8"/>
      <c r="F4" s="8"/>
      <c r="G4" s="8"/>
      <c r="H4" s="8"/>
      <c r="I4" s="8"/>
      <c r="J4" s="8"/>
      <c r="K4" s="8"/>
      <c r="L4" s="8"/>
      <c r="M4" s="8"/>
      <c r="N4" s="8"/>
      <c r="O4" s="8"/>
      <c r="P4" s="8"/>
      <c r="Q4" s="8"/>
      <c r="R4" s="8"/>
      <c r="S4" s="8"/>
      <c r="T4" s="8"/>
      <c r="U4" s="8"/>
      <c r="V4" s="8"/>
      <c r="W4" s="8"/>
      <c r="X4" s="8"/>
      <c r="Y4" s="8"/>
      <c r="Z4" s="8"/>
      <c r="AA4" s="8"/>
      <c r="AB4" s="232">
        <v>10</v>
      </c>
      <c r="AC4" s="8"/>
      <c r="AD4" s="11" t="s">
        <v>350</v>
      </c>
      <c r="AE4" s="233">
        <v>0</v>
      </c>
      <c r="AF4" s="8"/>
      <c r="AG4" s="8"/>
      <c r="AH4" s="8">
        <v>1</v>
      </c>
      <c r="AI4" s="8"/>
      <c r="AJ4" s="8" t="s">
        <v>351</v>
      </c>
      <c r="AK4" s="8" t="s">
        <v>352</v>
      </c>
      <c r="AL4" s="8"/>
      <c r="AM4" s="8"/>
      <c r="AN4" s="8"/>
      <c r="AO4" s="8"/>
    </row>
    <row r="5" spans="1:64" ht="15.75">
      <c r="A5" s="1040" t="s">
        <v>353</v>
      </c>
      <c r="B5" s="1040"/>
      <c r="C5" s="1040"/>
      <c r="D5" s="1040"/>
      <c r="E5" s="1040"/>
      <c r="F5" s="1040"/>
      <c r="G5" s="2"/>
      <c r="H5" s="1040" t="s">
        <v>354</v>
      </c>
      <c r="I5" s="1040"/>
      <c r="J5" s="1040"/>
      <c r="K5" s="1040"/>
      <c r="L5" s="1040"/>
      <c r="M5" s="1040"/>
      <c r="N5" s="2"/>
      <c r="O5" s="1040" t="s">
        <v>355</v>
      </c>
      <c r="P5" s="1040"/>
      <c r="Q5" s="1040"/>
      <c r="R5" s="1040"/>
      <c r="S5" s="1040"/>
      <c r="T5" s="1040"/>
      <c r="U5" s="1040"/>
      <c r="V5" s="234"/>
      <c r="W5" s="2"/>
      <c r="X5" s="2"/>
      <c r="Y5" s="2"/>
      <c r="Z5" s="2"/>
      <c r="AA5" s="2"/>
      <c r="AB5" s="141">
        <f t="shared" ref="AB5:AB9" si="0">AB4+10</f>
        <v>20</v>
      </c>
      <c r="AC5" s="2"/>
      <c r="AD5" s="235" t="s">
        <v>356</v>
      </c>
      <c r="AE5" s="236">
        <f t="shared" ref="AE5:AE9" si="1">0.05+AE4</f>
        <v>0.05</v>
      </c>
      <c r="AF5" s="2"/>
      <c r="AG5" s="2"/>
      <c r="AH5" s="2">
        <v>2</v>
      </c>
      <c r="AI5" s="2"/>
      <c r="AJ5" s="2"/>
      <c r="AK5" s="2"/>
      <c r="AL5" s="2"/>
      <c r="AM5" s="2"/>
      <c r="AN5" s="2"/>
      <c r="AO5" s="2"/>
      <c r="AP5" s="110"/>
      <c r="AQ5" s="110"/>
      <c r="AR5" s="110"/>
      <c r="AS5" s="110"/>
      <c r="AT5" s="110"/>
      <c r="AU5" s="110"/>
      <c r="AV5" s="110"/>
      <c r="AW5" s="110"/>
      <c r="AX5" s="110"/>
      <c r="AY5" s="110"/>
      <c r="AZ5" s="110"/>
      <c r="BA5" s="110"/>
      <c r="BB5" s="110"/>
      <c r="BC5" s="110"/>
      <c r="BD5" s="110"/>
      <c r="BE5" s="110"/>
      <c r="BF5" s="110"/>
      <c r="BG5" s="110"/>
      <c r="BH5" s="110"/>
      <c r="BI5" s="110"/>
      <c r="BJ5" s="110"/>
      <c r="BK5" s="110"/>
      <c r="BL5" s="110"/>
    </row>
    <row r="6" spans="1:64" ht="15.75">
      <c r="A6" s="237"/>
      <c r="B6" s="238"/>
      <c r="C6" s="238"/>
      <c r="D6" s="238"/>
      <c r="E6" s="1048" t="s">
        <v>357</v>
      </c>
      <c r="F6" s="1048"/>
      <c r="G6" s="8"/>
      <c r="H6" s="239"/>
      <c r="I6" s="8"/>
      <c r="J6" s="8"/>
      <c r="K6" s="8"/>
      <c r="L6" s="8"/>
      <c r="M6" s="17"/>
      <c r="N6" s="8"/>
      <c r="O6" s="239"/>
      <c r="P6" s="8"/>
      <c r="Q6" s="8"/>
      <c r="R6" s="8"/>
      <c r="S6" s="8"/>
      <c r="T6" s="8"/>
      <c r="U6" s="8"/>
      <c r="V6" s="8"/>
      <c r="W6" s="8"/>
      <c r="X6" s="8"/>
      <c r="Y6" s="8"/>
      <c r="Z6" s="8"/>
      <c r="AA6" s="8"/>
      <c r="AB6" s="141">
        <f t="shared" si="0"/>
        <v>30</v>
      </c>
      <c r="AC6" s="8"/>
      <c r="AD6" s="8"/>
      <c r="AE6" s="233">
        <f t="shared" si="1"/>
        <v>0.1</v>
      </c>
      <c r="AF6" s="8"/>
      <c r="AG6" s="8"/>
      <c r="AH6" s="8">
        <v>3</v>
      </c>
      <c r="AI6" s="8"/>
      <c r="AJ6" s="240" t="s">
        <v>358</v>
      </c>
      <c r="AK6" s="8"/>
      <c r="AL6" s="8"/>
      <c r="AM6" s="8"/>
      <c r="AN6" s="8"/>
      <c r="AO6" s="8"/>
    </row>
    <row r="7" spans="1:64" ht="15.75">
      <c r="A7" s="1045" t="s">
        <v>359</v>
      </c>
      <c r="B7" s="1045"/>
      <c r="C7" s="1045"/>
      <c r="D7" s="241">
        <f>Installations!P90</f>
        <v>103919.11500000001</v>
      </c>
      <c r="E7" s="242" t="s">
        <v>348</v>
      </c>
      <c r="F7" s="243">
        <v>20</v>
      </c>
      <c r="G7" s="8"/>
      <c r="H7" s="1037" t="s">
        <v>360</v>
      </c>
      <c r="I7" s="1037"/>
      <c r="J7" s="1037"/>
      <c r="K7" s="1037"/>
      <c r="L7" s="1037"/>
      <c r="M7" s="241">
        <f>Installations!AL90</f>
        <v>1408.3502052034482</v>
      </c>
      <c r="N7" s="8"/>
      <c r="O7" s="239"/>
      <c r="P7" s="17"/>
      <c r="Q7" s="17"/>
      <c r="R7" s="17"/>
      <c r="S7" s="17"/>
      <c r="T7" s="244" t="s">
        <v>361</v>
      </c>
      <c r="U7" s="245" t="s">
        <v>362</v>
      </c>
      <c r="V7" s="8"/>
      <c r="W7" s="8"/>
      <c r="X7" s="8"/>
      <c r="Y7" s="8"/>
      <c r="Z7" s="8"/>
      <c r="AA7" s="8"/>
      <c r="AB7" s="141">
        <f t="shared" si="0"/>
        <v>40</v>
      </c>
      <c r="AC7" s="8"/>
      <c r="AD7" s="8"/>
      <c r="AE7" s="233">
        <f t="shared" si="1"/>
        <v>0.15000000000000002</v>
      </c>
      <c r="AF7" s="8"/>
      <c r="AG7" s="8"/>
      <c r="AH7" s="8">
        <v>4</v>
      </c>
      <c r="AI7" s="8"/>
      <c r="AJ7" s="246" t="s">
        <v>363</v>
      </c>
      <c r="AK7" s="8"/>
      <c r="AL7" s="8"/>
      <c r="AM7" s="8"/>
      <c r="AN7" s="8"/>
      <c r="AO7" s="8"/>
    </row>
    <row r="8" spans="1:64" ht="15.75">
      <c r="A8" s="1045" t="s">
        <v>364</v>
      </c>
      <c r="B8" s="1045"/>
      <c r="C8" s="1045"/>
      <c r="D8" s="241">
        <f>Installations!S90</f>
        <v>31294.639999999999</v>
      </c>
      <c r="E8" s="242" t="s">
        <v>348</v>
      </c>
      <c r="F8" s="243">
        <v>20</v>
      </c>
      <c r="G8" s="247"/>
      <c r="H8" s="1037" t="s">
        <v>365</v>
      </c>
      <c r="I8" s="1037"/>
      <c r="J8" s="1037"/>
      <c r="K8" s="1037"/>
      <c r="L8" s="1037"/>
      <c r="M8" s="248">
        <f>Installations!AM90</f>
        <v>800</v>
      </c>
      <c r="N8" s="249"/>
      <c r="O8" s="1037" t="s">
        <v>366</v>
      </c>
      <c r="P8" s="1037"/>
      <c r="Q8" s="1037"/>
      <c r="R8" s="1037"/>
      <c r="S8" s="1037"/>
      <c r="T8" s="250">
        <v>1</v>
      </c>
      <c r="U8" s="251">
        <v>0</v>
      </c>
      <c r="V8" s="8"/>
      <c r="W8" s="8"/>
      <c r="X8" s="8"/>
      <c r="Y8" s="8"/>
      <c r="Z8" s="8"/>
      <c r="AA8" s="8"/>
      <c r="AB8" s="141">
        <f t="shared" si="0"/>
        <v>50</v>
      </c>
      <c r="AC8" s="8"/>
      <c r="AD8" s="8"/>
      <c r="AE8" s="233">
        <f t="shared" si="1"/>
        <v>0.2</v>
      </c>
      <c r="AF8" s="8"/>
      <c r="AG8" s="8"/>
      <c r="AH8" s="8">
        <v>5</v>
      </c>
      <c r="AI8" s="8"/>
      <c r="AJ8" s="8"/>
      <c r="AK8" s="8"/>
      <c r="AL8" s="8"/>
      <c r="AM8" s="8"/>
      <c r="AN8" s="8"/>
      <c r="AO8" s="8"/>
    </row>
    <row r="9" spans="1:64" ht="15.75">
      <c r="A9" s="1045" t="s">
        <v>367</v>
      </c>
      <c r="B9" s="1045"/>
      <c r="C9" s="1045"/>
      <c r="D9" s="241">
        <f>Installations!Q90</f>
        <v>15693.215</v>
      </c>
      <c r="E9" s="242" t="s">
        <v>348</v>
      </c>
      <c r="F9" s="252">
        <f>IF(duree_extension_garantie_ond=20,20,10)</f>
        <v>10</v>
      </c>
      <c r="G9" s="8"/>
      <c r="H9" s="1037" t="s">
        <v>368</v>
      </c>
      <c r="I9" s="1037"/>
      <c r="J9" s="1037"/>
      <c r="K9" s="1037"/>
      <c r="L9" s="1037"/>
      <c r="M9" s="248">
        <f>Installations!AN90</f>
        <v>482.84</v>
      </c>
      <c r="N9" s="8"/>
      <c r="O9" s="1037" t="s">
        <v>369</v>
      </c>
      <c r="P9" s="1037"/>
      <c r="Q9" s="1037"/>
      <c r="R9" s="1037"/>
      <c r="S9" s="1037"/>
      <c r="T9" s="250">
        <v>1</v>
      </c>
      <c r="U9" s="251">
        <v>300</v>
      </c>
      <c r="V9" s="8"/>
      <c r="W9" s="8"/>
      <c r="X9" s="8"/>
      <c r="Y9" s="8"/>
      <c r="Z9" s="8"/>
      <c r="AA9" s="8"/>
      <c r="AB9" s="141">
        <f t="shared" si="0"/>
        <v>60</v>
      </c>
      <c r="AC9" s="8"/>
      <c r="AD9" s="86" t="s">
        <v>370</v>
      </c>
      <c r="AE9" s="233">
        <f t="shared" si="1"/>
        <v>0.25</v>
      </c>
      <c r="AF9" s="8"/>
      <c r="AG9" s="8"/>
      <c r="AH9" s="8">
        <v>6</v>
      </c>
      <c r="AI9" s="8"/>
      <c r="AJ9" s="8"/>
      <c r="AK9" s="8"/>
      <c r="AL9" s="8"/>
      <c r="AM9" s="8"/>
      <c r="AN9" s="8"/>
      <c r="AO9" s="8"/>
    </row>
    <row r="10" spans="1:64" ht="15.75">
      <c r="A10" s="1045" t="s">
        <v>371</v>
      </c>
      <c r="B10" s="1045"/>
      <c r="C10" s="1045"/>
      <c r="D10" s="241">
        <f>Installations!R90</f>
        <v>7373.0658199999998</v>
      </c>
      <c r="E10" s="242" t="s">
        <v>348</v>
      </c>
      <c r="F10" s="243">
        <v>20</v>
      </c>
      <c r="G10" s="8"/>
      <c r="H10" s="1037" t="s">
        <v>372</v>
      </c>
      <c r="I10" s="1037"/>
      <c r="J10" s="1037"/>
      <c r="K10" s="1037"/>
      <c r="L10" s="1037"/>
      <c r="M10" s="248">
        <f>Installations!AR90</f>
        <v>3068.6400000000003</v>
      </c>
      <c r="N10" s="8"/>
      <c r="O10" s="1037" t="s">
        <v>373</v>
      </c>
      <c r="P10" s="1037"/>
      <c r="Q10" s="1037"/>
      <c r="R10" s="1037"/>
      <c r="S10" s="1037"/>
      <c r="T10" s="250">
        <v>1</v>
      </c>
      <c r="U10" s="253">
        <f>IF(duree_extension_garantie_ond=0,0,Installations!AV90)</f>
        <v>0</v>
      </c>
      <c r="V10" s="8"/>
      <c r="W10" s="8"/>
      <c r="X10" s="8"/>
      <c r="Y10" s="8"/>
      <c r="Z10" s="8"/>
      <c r="AA10" s="8"/>
      <c r="AB10" s="141"/>
      <c r="AC10" s="8"/>
      <c r="AD10" s="86"/>
      <c r="AE10" s="233"/>
      <c r="AF10" s="8"/>
      <c r="AG10" s="8"/>
      <c r="AH10" s="8"/>
      <c r="AI10" s="8"/>
      <c r="AJ10" s="8"/>
      <c r="AK10" s="8"/>
      <c r="AL10" s="8"/>
      <c r="AM10" s="8"/>
      <c r="AN10" s="8"/>
      <c r="AO10" s="8"/>
    </row>
    <row r="11" spans="1:64" ht="15.75">
      <c r="A11" s="1045" t="s">
        <v>374</v>
      </c>
      <c r="B11" s="1045"/>
      <c r="C11" s="1045"/>
      <c r="D11" s="241">
        <f>Installations!T90</f>
        <v>26377.57</v>
      </c>
      <c r="E11" s="242" t="s">
        <v>348</v>
      </c>
      <c r="F11" s="243">
        <v>20</v>
      </c>
      <c r="G11" s="8"/>
      <c r="H11" s="239"/>
      <c r="I11" s="8"/>
      <c r="J11" s="8"/>
      <c r="K11" s="8"/>
      <c r="L11" s="8"/>
      <c r="M11" s="8"/>
      <c r="N11" s="8"/>
      <c r="O11" s="8"/>
      <c r="P11" s="8"/>
      <c r="Q11" s="8"/>
      <c r="R11" s="8"/>
      <c r="S11" s="8"/>
      <c r="T11" s="8"/>
      <c r="U11" s="8"/>
      <c r="V11" s="8"/>
      <c r="W11" s="8"/>
      <c r="X11" s="8"/>
      <c r="Y11" s="8"/>
      <c r="Z11" s="8"/>
      <c r="AA11" s="8"/>
      <c r="AB11" s="141">
        <f>AB9+10</f>
        <v>70</v>
      </c>
      <c r="AC11" s="8"/>
      <c r="AD11" s="254">
        <v>1</v>
      </c>
      <c r="AE11" s="233">
        <f>0.05+AE9</f>
        <v>0.3</v>
      </c>
      <c r="AF11" s="8"/>
      <c r="AG11" s="8"/>
      <c r="AH11" s="8">
        <v>7</v>
      </c>
      <c r="AI11" s="8"/>
      <c r="AJ11" s="8"/>
      <c r="AK11" s="8"/>
      <c r="AL11" s="8"/>
      <c r="AM11" s="8"/>
      <c r="AN11" s="8"/>
      <c r="AO11" s="8"/>
    </row>
    <row r="12" spans="1:64" ht="15.75">
      <c r="A12" s="1045" t="s">
        <v>375</v>
      </c>
      <c r="B12" s="1045"/>
      <c r="C12" s="1045"/>
      <c r="D12" s="241">
        <f>Installations!U90</f>
        <v>5943.97</v>
      </c>
      <c r="E12" s="242" t="s">
        <v>348</v>
      </c>
      <c r="F12" s="243">
        <v>20</v>
      </c>
      <c r="G12" s="8"/>
      <c r="H12" s="239"/>
      <c r="I12" s="8"/>
      <c r="J12" s="8"/>
      <c r="K12" s="8"/>
      <c r="L12" s="8"/>
      <c r="M12" s="8"/>
      <c r="N12" s="8"/>
      <c r="O12" s="8"/>
      <c r="P12" s="8"/>
      <c r="Q12" s="8"/>
      <c r="R12" s="8"/>
      <c r="S12" s="8"/>
      <c r="T12" s="8"/>
      <c r="U12" s="8"/>
      <c r="V12" s="8"/>
      <c r="W12" s="8"/>
      <c r="X12" s="8"/>
      <c r="Y12" s="8"/>
      <c r="Z12" s="8"/>
      <c r="AA12" s="8"/>
      <c r="AB12" s="141">
        <f t="shared" ref="AB12:AB54" si="2">AB11+10</f>
        <v>80</v>
      </c>
      <c r="AC12" s="8"/>
      <c r="AD12" s="254">
        <f t="shared" ref="AD12:AD29" si="3">0.01+AD11</f>
        <v>1.01</v>
      </c>
      <c r="AE12" s="233">
        <f t="shared" ref="AE12:AE25" si="4">0.05+AE11</f>
        <v>0.35</v>
      </c>
      <c r="AF12" s="8"/>
      <c r="AG12" s="8"/>
      <c r="AH12" s="8">
        <v>8</v>
      </c>
      <c r="AI12" s="8"/>
      <c r="AJ12" s="8"/>
      <c r="AK12" s="8"/>
      <c r="AL12" s="8"/>
      <c r="AM12" s="8"/>
      <c r="AN12" s="8"/>
      <c r="AO12" s="8"/>
    </row>
    <row r="13" spans="1:64" ht="15.75">
      <c r="A13" s="1045" t="s">
        <v>376</v>
      </c>
      <c r="B13" s="1045"/>
      <c r="C13" s="1045"/>
      <c r="D13" s="241">
        <f>Installations!V90</f>
        <v>2315.8125</v>
      </c>
      <c r="E13" s="242" t="s">
        <v>348</v>
      </c>
      <c r="F13" s="243">
        <v>10</v>
      </c>
      <c r="G13" s="8"/>
      <c r="H13" s="1037" t="s">
        <v>377</v>
      </c>
      <c r="I13" s="1037"/>
      <c r="J13" s="1037"/>
      <c r="K13" s="1037"/>
      <c r="L13" s="1037"/>
      <c r="M13" s="255"/>
      <c r="N13" s="8"/>
      <c r="O13" s="1040" t="s">
        <v>378</v>
      </c>
      <c r="P13" s="1040"/>
      <c r="Q13" s="1040"/>
      <c r="R13" s="1040"/>
      <c r="S13" s="1040"/>
      <c r="T13" s="1040"/>
      <c r="U13" s="1040"/>
      <c r="V13" s="8"/>
      <c r="W13" s="8"/>
      <c r="X13" s="8"/>
      <c r="Y13" s="8"/>
      <c r="Z13" s="8"/>
      <c r="AA13" s="8"/>
      <c r="AB13" s="141">
        <f t="shared" si="2"/>
        <v>90</v>
      </c>
      <c r="AC13" s="8"/>
      <c r="AD13" s="254">
        <f t="shared" si="3"/>
        <v>1.02</v>
      </c>
      <c r="AE13" s="233">
        <f t="shared" si="4"/>
        <v>0.39999999999999997</v>
      </c>
      <c r="AF13" s="8"/>
      <c r="AG13" s="8"/>
      <c r="AH13" s="8">
        <v>9</v>
      </c>
      <c r="AI13" s="8"/>
      <c r="AJ13" s="8"/>
      <c r="AK13" s="8"/>
      <c r="AL13" s="8"/>
      <c r="AM13" s="8"/>
      <c r="AN13" s="8"/>
      <c r="AO13" s="8"/>
    </row>
    <row r="14" spans="1:64" ht="15.75">
      <c r="A14" s="1045" t="s">
        <v>379</v>
      </c>
      <c r="B14" s="1045"/>
      <c r="C14" s="1045"/>
      <c r="D14" s="241">
        <f>Installations!AB90</f>
        <v>1580</v>
      </c>
      <c r="E14" s="242" t="s">
        <v>348</v>
      </c>
      <c r="F14" s="243">
        <v>20</v>
      </c>
      <c r="G14" s="8"/>
      <c r="H14" s="1037" t="s">
        <v>380</v>
      </c>
      <c r="I14" s="1037"/>
      <c r="J14" s="1037"/>
      <c r="K14" s="1037"/>
      <c r="L14" s="1037"/>
      <c r="M14" s="255">
        <v>0</v>
      </c>
      <c r="N14" s="8"/>
      <c r="O14" s="239"/>
      <c r="P14" s="8"/>
      <c r="Q14" s="8"/>
      <c r="R14" s="8"/>
      <c r="S14" s="8"/>
      <c r="T14" s="8"/>
      <c r="U14" s="8"/>
      <c r="V14" s="8"/>
      <c r="W14" s="8"/>
      <c r="X14" s="8"/>
      <c r="Y14" s="8"/>
      <c r="Z14" s="8"/>
      <c r="AA14" s="8"/>
      <c r="AB14" s="141">
        <f t="shared" si="2"/>
        <v>100</v>
      </c>
      <c r="AC14" s="8"/>
      <c r="AD14" s="254">
        <f t="shared" si="3"/>
        <v>1.03</v>
      </c>
      <c r="AE14" s="233">
        <f t="shared" si="4"/>
        <v>0.44999999999999996</v>
      </c>
      <c r="AF14" s="8"/>
      <c r="AG14" s="8"/>
      <c r="AH14" s="8">
        <v>10</v>
      </c>
      <c r="AI14" s="8"/>
      <c r="AJ14" s="8"/>
      <c r="AK14" s="8"/>
      <c r="AL14" s="8"/>
      <c r="AM14" s="8"/>
      <c r="AN14" s="8"/>
      <c r="AO14" s="8"/>
    </row>
    <row r="15" spans="1:64" ht="15.75">
      <c r="A15" s="1045" t="s">
        <v>381</v>
      </c>
      <c r="B15" s="1045"/>
      <c r="C15" s="1045"/>
      <c r="D15" s="241">
        <f>Installations!AG90</f>
        <v>0</v>
      </c>
      <c r="E15" s="242" t="s">
        <v>348</v>
      </c>
      <c r="F15" s="243">
        <v>20</v>
      </c>
      <c r="G15" s="8"/>
      <c r="H15" s="1037" t="s">
        <v>382</v>
      </c>
      <c r="I15" s="1037"/>
      <c r="J15" s="1037"/>
      <c r="K15" s="1037"/>
      <c r="L15" s="1037"/>
      <c r="M15" s="255">
        <v>0</v>
      </c>
      <c r="N15" s="8"/>
      <c r="O15" s="1037" t="s">
        <v>383</v>
      </c>
      <c r="P15" s="1037"/>
      <c r="Q15" s="1037"/>
      <c r="R15" s="1037"/>
      <c r="S15" s="1037"/>
      <c r="T15" s="250">
        <v>11</v>
      </c>
      <c r="U15" s="256">
        <f>IF(Installations!AV4=20,0,0.7*D9)</f>
        <v>10985.2505</v>
      </c>
      <c r="V15" s="8"/>
      <c r="W15" s="8"/>
      <c r="X15" s="8"/>
      <c r="Y15" s="8"/>
      <c r="Z15" s="8"/>
      <c r="AA15" s="8"/>
      <c r="AB15" s="141">
        <f t="shared" si="2"/>
        <v>110</v>
      </c>
      <c r="AC15" s="8"/>
      <c r="AD15" s="254">
        <f t="shared" si="3"/>
        <v>1.04</v>
      </c>
      <c r="AE15" s="233">
        <f t="shared" si="4"/>
        <v>0.49999999999999994</v>
      </c>
      <c r="AF15" s="8"/>
      <c r="AG15" s="8"/>
      <c r="AH15" s="8">
        <v>11</v>
      </c>
      <c r="AI15" s="8"/>
      <c r="AJ15" s="8"/>
      <c r="AK15" s="8"/>
      <c r="AL15" s="8"/>
      <c r="AM15" s="8"/>
      <c r="AN15" s="8"/>
      <c r="AO15" s="8"/>
    </row>
    <row r="16" spans="1:64" ht="15.75">
      <c r="A16" s="1045" t="s">
        <v>384</v>
      </c>
      <c r="B16" s="1045"/>
      <c r="C16" s="1045"/>
      <c r="D16" s="241">
        <f>Installations!AI90</f>
        <v>520</v>
      </c>
      <c r="E16" s="242" t="s">
        <v>348</v>
      </c>
      <c r="F16" s="243">
        <v>20</v>
      </c>
      <c r="G16" s="8"/>
      <c r="H16" s="1037" t="s">
        <v>385</v>
      </c>
      <c r="I16" s="1037"/>
      <c r="J16" s="1037"/>
      <c r="K16" s="1037"/>
      <c r="L16" s="1037"/>
      <c r="M16" s="255">
        <v>0</v>
      </c>
      <c r="N16" s="8"/>
      <c r="O16" s="1037" t="s">
        <v>386</v>
      </c>
      <c r="P16" s="1037"/>
      <c r="Q16" s="1037"/>
      <c r="R16" s="1037"/>
      <c r="S16" s="1037"/>
      <c r="T16" s="250">
        <v>11</v>
      </c>
      <c r="U16" s="253">
        <f>Installations!AW90</f>
        <v>750</v>
      </c>
      <c r="V16" s="8"/>
      <c r="W16" s="8"/>
      <c r="X16" s="8"/>
      <c r="Y16" s="8"/>
      <c r="Z16" s="8"/>
      <c r="AA16" s="8"/>
      <c r="AB16" s="141">
        <f t="shared" si="2"/>
        <v>120</v>
      </c>
      <c r="AC16" s="8"/>
      <c r="AD16" s="254">
        <f t="shared" si="3"/>
        <v>1.05</v>
      </c>
      <c r="AE16" s="233">
        <f t="shared" si="4"/>
        <v>0.54999999999999993</v>
      </c>
      <c r="AF16" s="8"/>
      <c r="AG16" s="8"/>
      <c r="AH16" s="8">
        <v>12</v>
      </c>
      <c r="AI16" s="8"/>
      <c r="AJ16" s="8"/>
      <c r="AK16" s="8"/>
      <c r="AL16" s="8"/>
      <c r="AM16" s="8"/>
      <c r="AN16" s="8"/>
      <c r="AO16" s="8"/>
    </row>
    <row r="17" spans="1:64" ht="14.4" customHeight="1">
      <c r="A17" s="8" t="s">
        <v>387</v>
      </c>
      <c r="B17" s="8"/>
      <c r="C17" s="8"/>
      <c r="D17" s="241">
        <f>Installations!AJ90+MAIF!H29</f>
        <v>6557.0612500000007</v>
      </c>
      <c r="E17" s="242" t="s">
        <v>348</v>
      </c>
      <c r="F17" s="243">
        <v>20</v>
      </c>
      <c r="G17" s="8"/>
      <c r="H17" s="1037" t="s">
        <v>388</v>
      </c>
      <c r="I17" s="1037"/>
      <c r="J17" s="1037"/>
      <c r="K17" s="1037"/>
      <c r="L17" s="1037"/>
      <c r="M17" s="255">
        <v>100</v>
      </c>
      <c r="N17" s="17"/>
      <c r="O17" s="17"/>
      <c r="P17" s="17"/>
      <c r="Q17" s="17"/>
      <c r="R17" s="17"/>
      <c r="S17" s="17"/>
      <c r="T17" s="17"/>
      <c r="U17" s="8"/>
      <c r="V17" s="8"/>
      <c r="W17" s="8"/>
      <c r="X17" s="8"/>
      <c r="Y17" s="8"/>
      <c r="Z17" s="8"/>
      <c r="AA17" s="8"/>
      <c r="AB17" s="141">
        <f t="shared" si="2"/>
        <v>130</v>
      </c>
      <c r="AC17" s="8"/>
      <c r="AD17" s="254">
        <f t="shared" si="3"/>
        <v>1.06</v>
      </c>
      <c r="AE17" s="233">
        <f t="shared" si="4"/>
        <v>0.6</v>
      </c>
      <c r="AF17" s="8"/>
      <c r="AG17" s="8"/>
      <c r="AH17" s="8">
        <v>13</v>
      </c>
      <c r="AI17" s="8"/>
      <c r="AJ17" s="8"/>
      <c r="AK17" s="8"/>
      <c r="AL17" s="8"/>
      <c r="AM17" s="8"/>
      <c r="AN17" s="8"/>
      <c r="AO17" s="8"/>
    </row>
    <row r="18" spans="1:64" ht="16.55" customHeight="1">
      <c r="A18" s="257" t="s">
        <v>389</v>
      </c>
      <c r="B18" s="258"/>
      <c r="C18" s="259"/>
      <c r="D18" s="260">
        <f>SUM(D7:D17)</f>
        <v>201574.44957</v>
      </c>
      <c r="E18" s="261" t="s">
        <v>390</v>
      </c>
      <c r="F18" s="262">
        <f ca="1">Installations!BC90</f>
        <v>0</v>
      </c>
      <c r="G18" s="26"/>
      <c r="H18" s="26"/>
      <c r="I18" s="26"/>
      <c r="J18" s="26"/>
      <c r="K18" s="26"/>
      <c r="L18" s="26"/>
      <c r="M18" s="26"/>
      <c r="N18" s="26"/>
      <c r="O18" s="1041" t="s">
        <v>391</v>
      </c>
      <c r="P18" s="1041"/>
      <c r="Q18" s="1041"/>
      <c r="R18" s="1041"/>
      <c r="S18" s="1041"/>
      <c r="T18" s="263">
        <v>1</v>
      </c>
      <c r="U18" s="264">
        <f>SUMIFS($U$8:$U$11,$T$8:$T$11,T18)</f>
        <v>300</v>
      </c>
      <c r="V18" s="26"/>
      <c r="W18" s="26"/>
      <c r="X18" s="26"/>
      <c r="Y18" s="26"/>
      <c r="Z18" s="26"/>
      <c r="AA18" s="26"/>
      <c r="AB18" s="141">
        <f t="shared" si="2"/>
        <v>140</v>
      </c>
      <c r="AC18" s="26"/>
      <c r="AD18" s="265">
        <f t="shared" si="3"/>
        <v>1.07</v>
      </c>
      <c r="AE18" s="236">
        <f t="shared" si="4"/>
        <v>0.65</v>
      </c>
      <c r="AF18" s="26"/>
      <c r="AG18" s="26"/>
      <c r="AH18" s="2">
        <v>14</v>
      </c>
      <c r="AI18" s="26"/>
      <c r="AJ18" s="26"/>
      <c r="AK18" s="26"/>
      <c r="AL18" s="26"/>
      <c r="AM18" s="26"/>
      <c r="AN18" s="26"/>
      <c r="AO18" s="26"/>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row>
    <row r="19" spans="1:64" ht="15.75" customHeight="1">
      <c r="A19" s="1042" t="s">
        <v>392</v>
      </c>
      <c r="B19" s="1042"/>
      <c r="C19" s="1042"/>
      <c r="D19" s="216">
        <f ca="1">D18-F18</f>
        <v>201574.44957</v>
      </c>
      <c r="E19" s="2"/>
      <c r="F19" s="2"/>
      <c r="G19" s="2"/>
      <c r="H19" s="1042" t="s">
        <v>393</v>
      </c>
      <c r="I19" s="1042"/>
      <c r="J19" s="1042"/>
      <c r="K19" s="1042"/>
      <c r="L19" s="1042"/>
      <c r="M19" s="214">
        <f>SUM(M7:M17)-M13</f>
        <v>5859.8302052034487</v>
      </c>
      <c r="N19" s="17"/>
      <c r="O19" s="1041" t="s">
        <v>394</v>
      </c>
      <c r="P19" s="1041"/>
      <c r="Q19" s="1041"/>
      <c r="R19" s="1041"/>
      <c r="S19" s="1041"/>
      <c r="T19" s="266">
        <v>11</v>
      </c>
      <c r="U19" s="214">
        <f>SUMIFS($U$15:$U$16,$T$15:$T$16,T19)</f>
        <v>11735.2505</v>
      </c>
      <c r="V19" s="2"/>
      <c r="W19" s="2"/>
      <c r="X19" s="2"/>
      <c r="Y19" s="2"/>
      <c r="Z19" s="2"/>
      <c r="AA19" s="2"/>
      <c r="AB19" s="141">
        <f t="shared" si="2"/>
        <v>150</v>
      </c>
      <c r="AC19" s="2"/>
      <c r="AD19" s="265">
        <f t="shared" si="3"/>
        <v>1.08</v>
      </c>
      <c r="AE19" s="236">
        <f t="shared" si="4"/>
        <v>0.70000000000000007</v>
      </c>
      <c r="AF19" s="2"/>
      <c r="AG19" s="2"/>
      <c r="AH19" s="2">
        <v>15</v>
      </c>
      <c r="AI19" s="2"/>
      <c r="AJ19" s="2"/>
      <c r="AK19" s="2"/>
      <c r="AL19" s="2"/>
      <c r="AM19" s="2"/>
      <c r="AN19" s="2"/>
      <c r="AO19" s="2"/>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row>
    <row r="20" spans="1:64" ht="14.4" customHeight="1">
      <c r="A20" s="17"/>
      <c r="B20" s="17"/>
      <c r="C20" s="17"/>
      <c r="D20" s="17"/>
      <c r="E20" s="17"/>
      <c r="F20" s="17"/>
      <c r="G20" s="17"/>
      <c r="H20" s="17"/>
      <c r="I20" s="17"/>
      <c r="J20" s="17"/>
      <c r="K20" s="17"/>
      <c r="L20" s="17"/>
      <c r="M20" s="17"/>
      <c r="N20" s="17"/>
      <c r="O20" s="17"/>
      <c r="P20" s="17"/>
      <c r="Q20" s="17"/>
      <c r="R20" s="17"/>
      <c r="S20" s="17"/>
      <c r="T20" s="17"/>
      <c r="U20" s="8"/>
      <c r="V20" s="8"/>
      <c r="W20" s="17"/>
      <c r="X20" s="17"/>
      <c r="Y20" s="17"/>
      <c r="Z20" s="17"/>
      <c r="AA20" s="17"/>
      <c r="AB20" s="141">
        <f t="shared" si="2"/>
        <v>160</v>
      </c>
      <c r="AC20" s="17"/>
      <c r="AD20" s="254">
        <f t="shared" si="3"/>
        <v>1.0900000000000001</v>
      </c>
      <c r="AE20" s="236">
        <f t="shared" si="4"/>
        <v>0.75000000000000011</v>
      </c>
      <c r="AF20" s="17"/>
      <c r="AG20" s="17"/>
      <c r="AH20" s="8">
        <v>16</v>
      </c>
      <c r="AI20" s="17"/>
      <c r="AJ20" s="17"/>
      <c r="AK20" s="17"/>
      <c r="AL20" s="17"/>
      <c r="AM20" s="17"/>
      <c r="AN20" s="17"/>
      <c r="AO20" s="17"/>
    </row>
    <row r="21" spans="1:64" ht="14.4" customHeight="1">
      <c r="A21" s="1043" t="s">
        <v>395</v>
      </c>
      <c r="B21" s="1043"/>
      <c r="C21" s="1043"/>
      <c r="D21" s="17"/>
      <c r="E21" s="1040" t="s">
        <v>396</v>
      </c>
      <c r="F21" s="1040"/>
      <c r="G21" s="1040"/>
      <c r="H21" s="1040"/>
      <c r="I21" s="8"/>
      <c r="J21" s="1040" t="s">
        <v>347</v>
      </c>
      <c r="K21" s="1040"/>
      <c r="L21" s="1040"/>
      <c r="M21" s="1040"/>
      <c r="N21" s="2"/>
      <c r="O21" s="1040" t="s">
        <v>397</v>
      </c>
      <c r="P21" s="1040"/>
      <c r="Q21" s="1040"/>
      <c r="R21" s="1040"/>
      <c r="S21" s="1040"/>
      <c r="T21" s="1040"/>
      <c r="U21" s="8"/>
      <c r="V21" s="8"/>
      <c r="W21" s="8"/>
      <c r="X21" s="8"/>
      <c r="Y21" s="8"/>
      <c r="Z21" s="8"/>
      <c r="AA21" s="8"/>
      <c r="AB21" s="141">
        <f t="shared" si="2"/>
        <v>170</v>
      </c>
      <c r="AC21" s="8"/>
      <c r="AD21" s="254">
        <f t="shared" si="3"/>
        <v>1.1000000000000001</v>
      </c>
      <c r="AE21" s="236">
        <f t="shared" si="4"/>
        <v>0.80000000000000016</v>
      </c>
      <c r="AF21" s="8"/>
      <c r="AG21" s="8"/>
      <c r="AH21" s="8">
        <v>17</v>
      </c>
      <c r="AI21" s="8"/>
      <c r="AJ21" s="8"/>
      <c r="AK21" s="8"/>
      <c r="AL21" s="8"/>
      <c r="AM21" s="8"/>
      <c r="AN21" s="8"/>
      <c r="AO21" s="8"/>
    </row>
    <row r="22" spans="1:64" ht="14.4" customHeight="1">
      <c r="A22" s="1036" t="s">
        <v>398</v>
      </c>
      <c r="B22" s="1036"/>
      <c r="C22" s="267">
        <v>1</v>
      </c>
      <c r="D22" s="17"/>
      <c r="E22" s="239"/>
      <c r="F22" s="8"/>
      <c r="G22" s="8"/>
      <c r="H22" s="8"/>
      <c r="I22" s="8"/>
      <c r="J22" s="1044" t="s">
        <v>399</v>
      </c>
      <c r="K22" s="1044"/>
      <c r="L22" s="1044"/>
      <c r="M22" s="268">
        <v>6.4999999999999997E-3</v>
      </c>
      <c r="N22" s="8"/>
      <c r="O22" s="239"/>
      <c r="P22" s="8"/>
      <c r="Q22" s="8"/>
      <c r="R22" s="8"/>
      <c r="S22" s="17"/>
      <c r="T22" s="17"/>
      <c r="U22" s="8"/>
      <c r="V22" s="8"/>
      <c r="W22" s="8"/>
      <c r="X22" s="8"/>
      <c r="Y22" s="8"/>
      <c r="Z22" s="8"/>
      <c r="AA22" s="8"/>
      <c r="AB22" s="141">
        <f t="shared" si="2"/>
        <v>180</v>
      </c>
      <c r="AC22" s="8"/>
      <c r="AD22" s="254">
        <f t="shared" si="3"/>
        <v>1.1100000000000001</v>
      </c>
      <c r="AE22" s="236">
        <f t="shared" si="4"/>
        <v>0.8500000000000002</v>
      </c>
      <c r="AF22" s="8"/>
      <c r="AG22" s="8"/>
      <c r="AH22" s="8"/>
      <c r="AI22" s="8"/>
      <c r="AJ22" s="8"/>
      <c r="AK22" s="8"/>
      <c r="AL22" s="8"/>
      <c r="AM22" s="8"/>
      <c r="AN22" s="8"/>
      <c r="AO22" s="8"/>
    </row>
    <row r="23" spans="1:64" ht="14.4" customHeight="1">
      <c r="A23" s="1036" t="s">
        <v>400</v>
      </c>
      <c r="B23" s="1036"/>
      <c r="C23" s="268">
        <v>7.0000000000000001E-3</v>
      </c>
      <c r="D23" s="17"/>
      <c r="E23" s="1037" t="s">
        <v>401</v>
      </c>
      <c r="F23" s="1037"/>
      <c r="G23" s="1037"/>
      <c r="H23" s="242" t="s">
        <v>363</v>
      </c>
      <c r="I23" s="8"/>
      <c r="J23" s="1037" t="s">
        <v>402</v>
      </c>
      <c r="K23" s="1037"/>
      <c r="L23" s="1037"/>
      <c r="M23" s="269">
        <f>IF(Recapitulatif!D4=Recapitulatif!N4,0.05,0.15)</f>
        <v>0.05</v>
      </c>
      <c r="N23" s="8"/>
      <c r="O23" s="1039" t="s">
        <v>403</v>
      </c>
      <c r="P23" s="1039"/>
      <c r="Q23" s="1039"/>
      <c r="R23" s="1039"/>
      <c r="S23" s="1039"/>
      <c r="T23" s="270">
        <f>Installations!AZ90</f>
        <v>20746.797600000002</v>
      </c>
      <c r="U23" s="8"/>
      <c r="V23" s="8"/>
      <c r="W23" s="8"/>
      <c r="X23" s="8"/>
      <c r="Y23" s="8"/>
      <c r="Z23" s="8"/>
      <c r="AA23" s="8"/>
      <c r="AB23" s="141">
        <f t="shared" si="2"/>
        <v>190</v>
      </c>
      <c r="AC23" s="8"/>
      <c r="AD23" s="254">
        <f t="shared" si="3"/>
        <v>1.1200000000000001</v>
      </c>
      <c r="AE23" s="236">
        <f t="shared" si="4"/>
        <v>0.90000000000000024</v>
      </c>
      <c r="AF23" s="8"/>
      <c r="AG23" s="8"/>
      <c r="AH23" s="8"/>
      <c r="AI23" s="8"/>
      <c r="AJ23" s="8"/>
      <c r="AK23" s="8"/>
      <c r="AL23" s="8"/>
      <c r="AM23" s="8"/>
      <c r="AN23" s="8"/>
      <c r="AO23" s="8"/>
    </row>
    <row r="24" spans="1:64" ht="14.4" customHeight="1">
      <c r="A24" s="1036" t="s">
        <v>404</v>
      </c>
      <c r="B24" s="1036"/>
      <c r="C24" s="268">
        <v>5.0000000000000001E-3</v>
      </c>
      <c r="D24" s="17"/>
      <c r="E24" s="1037" t="s">
        <v>405</v>
      </c>
      <c r="F24" s="1037"/>
      <c r="G24" s="1037"/>
      <c r="H24" s="271">
        <v>0.17199999999999999</v>
      </c>
      <c r="I24" s="8"/>
      <c r="J24" s="1037" t="s">
        <v>406</v>
      </c>
      <c r="K24" s="1037"/>
      <c r="L24" s="1037"/>
      <c r="M24" s="269">
        <f>IF(Recapitulatif!D4=Recapitulatif!N4,0,0.5)</f>
        <v>0</v>
      </c>
      <c r="N24" s="8"/>
      <c r="O24" s="1039" t="s">
        <v>407</v>
      </c>
      <c r="P24" s="1039"/>
      <c r="Q24" s="1039"/>
      <c r="R24" s="1039"/>
      <c r="S24" s="1039"/>
      <c r="T24" s="270">
        <f ca="1">Installations!BC90</f>
        <v>0</v>
      </c>
      <c r="U24" s="8"/>
      <c r="V24" s="8"/>
      <c r="W24" s="8"/>
      <c r="X24" s="8"/>
      <c r="Y24" s="8"/>
      <c r="Z24" s="8"/>
      <c r="AA24" s="8"/>
      <c r="AB24" s="141">
        <f t="shared" si="2"/>
        <v>200</v>
      </c>
      <c r="AC24" s="8"/>
      <c r="AD24" s="254">
        <f t="shared" si="3"/>
        <v>1.1300000000000001</v>
      </c>
      <c r="AE24" s="236">
        <f t="shared" si="4"/>
        <v>0.95000000000000029</v>
      </c>
      <c r="AF24" s="8"/>
      <c r="AG24" s="8"/>
      <c r="AH24" s="8"/>
      <c r="AI24" s="8"/>
      <c r="AJ24" s="8"/>
      <c r="AK24" s="8"/>
      <c r="AL24" s="8"/>
      <c r="AM24" s="8"/>
      <c r="AN24" s="8"/>
      <c r="AO24" s="8"/>
    </row>
    <row r="25" spans="1:64" ht="14.4" customHeight="1">
      <c r="A25" s="1036" t="s">
        <v>408</v>
      </c>
      <c r="B25" s="1036"/>
      <c r="C25" s="268">
        <v>1.6E-2</v>
      </c>
      <c r="D25" s="17"/>
      <c r="E25" s="1037" t="s">
        <v>409</v>
      </c>
      <c r="F25" s="1037"/>
      <c r="G25" s="1037"/>
      <c r="H25" s="268">
        <f>25.03%+2.93%</f>
        <v>0.27960000000000002</v>
      </c>
      <c r="I25" s="8"/>
      <c r="J25" s="1037" t="s">
        <v>410</v>
      </c>
      <c r="K25" s="1037"/>
      <c r="L25" s="1037"/>
      <c r="M25" s="272">
        <v>0</v>
      </c>
      <c r="N25" s="8" t="s">
        <v>411</v>
      </c>
      <c r="O25" s="1040" t="s">
        <v>86</v>
      </c>
      <c r="P25" s="1040"/>
      <c r="Q25" s="1040"/>
      <c r="R25" s="1040"/>
      <c r="S25" s="1040"/>
      <c r="T25" s="1040"/>
      <c r="U25" s="1040"/>
      <c r="V25" s="8"/>
      <c r="W25" s="8"/>
      <c r="X25" s="8"/>
      <c r="Y25" s="8"/>
      <c r="Z25" s="8"/>
      <c r="AA25" s="8"/>
      <c r="AB25" s="141">
        <f t="shared" si="2"/>
        <v>210</v>
      </c>
      <c r="AC25" s="8"/>
      <c r="AD25" s="254">
        <f t="shared" si="3"/>
        <v>1.1400000000000001</v>
      </c>
      <c r="AE25" s="236">
        <f t="shared" si="4"/>
        <v>1.0000000000000002</v>
      </c>
      <c r="AF25" s="8"/>
      <c r="AG25" s="8"/>
      <c r="AH25" s="8"/>
      <c r="AI25" s="8"/>
      <c r="AJ25" s="8"/>
      <c r="AK25" s="8"/>
      <c r="AL25" s="8"/>
      <c r="AM25" s="8"/>
      <c r="AN25" s="8"/>
      <c r="AO25" s="8"/>
    </row>
    <row r="26" spans="1:64" ht="14.4" customHeight="1">
      <c r="A26" s="1036" t="s">
        <v>412</v>
      </c>
      <c r="B26" s="1036"/>
      <c r="C26" s="268">
        <v>0.01</v>
      </c>
      <c r="D26" s="17"/>
      <c r="E26" s="1037" t="s">
        <v>413</v>
      </c>
      <c r="F26" s="1037"/>
      <c r="G26" s="1037"/>
      <c r="H26" s="255">
        <v>0</v>
      </c>
      <c r="I26" s="8"/>
      <c r="J26" s="1037" t="s">
        <v>414</v>
      </c>
      <c r="K26" s="1037"/>
      <c r="L26" s="1037"/>
      <c r="M26" s="272">
        <v>0.3</v>
      </c>
      <c r="N26" s="8" t="s">
        <v>415</v>
      </c>
      <c r="O26" s="239"/>
      <c r="P26" s="8"/>
      <c r="Q26" s="8"/>
      <c r="R26" s="8"/>
      <c r="S26" s="8"/>
      <c r="T26" s="8"/>
      <c r="U26" s="8"/>
      <c r="V26" s="8"/>
      <c r="W26" s="8"/>
      <c r="X26" s="8"/>
      <c r="Y26" s="8"/>
      <c r="Z26" s="8"/>
      <c r="AA26" s="8"/>
      <c r="AB26" s="141">
        <f t="shared" si="2"/>
        <v>220</v>
      </c>
      <c r="AC26" s="8"/>
      <c r="AD26" s="254">
        <f t="shared" si="3"/>
        <v>1.1500000000000001</v>
      </c>
      <c r="AE26" s="236"/>
      <c r="AF26" s="8"/>
      <c r="AG26" s="8"/>
      <c r="AH26" s="8"/>
      <c r="AI26" s="8"/>
      <c r="AJ26" s="8"/>
      <c r="AK26" s="8"/>
      <c r="AL26" s="8"/>
      <c r="AM26" s="8"/>
      <c r="AN26" s="8"/>
      <c r="AO26" s="8"/>
    </row>
    <row r="27" spans="1:64" ht="14.4" customHeight="1">
      <c r="A27" s="1036" t="s">
        <v>416</v>
      </c>
      <c r="B27" s="1036"/>
      <c r="C27" s="273">
        <f ca="1">IF(ISERROR(G62),2%,G62+0.01)</f>
        <v>2.1180542742817485E-2</v>
      </c>
      <c r="D27" s="17"/>
      <c r="E27" s="1037" t="s">
        <v>417</v>
      </c>
      <c r="F27" s="1037"/>
      <c r="G27" s="1037"/>
      <c r="H27" s="248">
        <f>Installations!AP90</f>
        <v>460.12512000000004</v>
      </c>
      <c r="I27" s="8"/>
      <c r="J27" s="1037" t="s">
        <v>418</v>
      </c>
      <c r="K27" s="1037"/>
      <c r="L27" s="1037"/>
      <c r="M27" s="272">
        <v>0.7</v>
      </c>
      <c r="N27" s="8" t="s">
        <v>419</v>
      </c>
      <c r="O27" s="1037" t="str">
        <f>O25</f>
        <v>Frais de démantèlement</v>
      </c>
      <c r="P27" s="1037"/>
      <c r="Q27" s="1037"/>
      <c r="R27" s="1037"/>
      <c r="S27" s="1037"/>
      <c r="T27" s="250">
        <v>20</v>
      </c>
      <c r="U27" s="256">
        <f>Installations!BJ90</f>
        <v>0</v>
      </c>
      <c r="V27" s="8"/>
      <c r="W27" s="8"/>
      <c r="X27" s="8"/>
      <c r="Y27" s="8"/>
      <c r="Z27" s="8"/>
      <c r="AA27" s="8"/>
      <c r="AB27" s="141">
        <f t="shared" si="2"/>
        <v>230</v>
      </c>
      <c r="AC27" s="8"/>
      <c r="AD27" s="254">
        <f t="shared" si="3"/>
        <v>1.1600000000000001</v>
      </c>
      <c r="AE27" s="236"/>
      <c r="AF27" s="8"/>
      <c r="AG27" s="8"/>
      <c r="AH27" s="8"/>
      <c r="AI27" s="8"/>
      <c r="AJ27" s="8"/>
      <c r="AK27" s="8"/>
      <c r="AL27" s="8"/>
      <c r="AM27" s="8"/>
      <c r="AN27" s="8"/>
      <c r="AO27" s="8"/>
    </row>
    <row r="28" spans="1:64" ht="15.75">
      <c r="A28" s="8"/>
      <c r="B28" s="8"/>
      <c r="C28" s="8"/>
      <c r="D28" s="17"/>
      <c r="E28" s="8"/>
      <c r="F28" s="8"/>
      <c r="G28" s="8"/>
      <c r="H28" s="8"/>
      <c r="I28" s="8"/>
      <c r="J28" s="17"/>
      <c r="K28" s="17"/>
      <c r="L28" s="17"/>
      <c r="M28" s="17"/>
      <c r="N28" s="8"/>
      <c r="O28" s="8"/>
      <c r="P28" s="8"/>
      <c r="Q28" s="8"/>
      <c r="R28" s="8"/>
      <c r="S28" s="8"/>
      <c r="T28" s="17"/>
      <c r="U28" s="8"/>
      <c r="V28" s="8"/>
      <c r="W28" s="8"/>
      <c r="X28" s="8"/>
      <c r="Y28" s="8"/>
      <c r="Z28" s="8"/>
      <c r="AA28" s="8"/>
      <c r="AB28" s="141">
        <f t="shared" si="2"/>
        <v>240</v>
      </c>
      <c r="AC28" s="8"/>
      <c r="AD28" s="254">
        <f t="shared" si="3"/>
        <v>1.1700000000000002</v>
      </c>
      <c r="AE28" s="236"/>
      <c r="AF28" s="8"/>
      <c r="AG28" s="8"/>
      <c r="AH28" s="8"/>
      <c r="AI28" s="8"/>
      <c r="AJ28" s="8"/>
      <c r="AK28" s="8"/>
      <c r="AL28" s="8"/>
      <c r="AM28" s="8"/>
      <c r="AN28" s="8"/>
      <c r="AO28" s="8"/>
    </row>
    <row r="29" spans="1:64" ht="18" customHeight="1">
      <c r="A29" s="274" t="s">
        <v>420</v>
      </c>
      <c r="B29" s="275"/>
      <c r="C29" s="276"/>
      <c r="D29" s="276"/>
      <c r="E29" s="276"/>
      <c r="F29" s="276"/>
      <c r="G29" s="276"/>
      <c r="H29" s="276"/>
      <c r="I29" s="276"/>
      <c r="J29" s="276"/>
      <c r="K29" s="276"/>
      <c r="L29" s="276"/>
      <c r="M29" s="276"/>
      <c r="N29" s="276"/>
      <c r="O29" s="276"/>
      <c r="P29" s="276"/>
      <c r="Q29" s="277"/>
      <c r="R29" s="277"/>
      <c r="S29" s="277"/>
      <c r="T29" s="277"/>
      <c r="U29" s="277"/>
      <c r="V29" s="277"/>
      <c r="W29" s="8"/>
      <c r="X29" s="8"/>
      <c r="Y29" s="8"/>
      <c r="Z29" s="8"/>
      <c r="AA29" s="8"/>
      <c r="AB29" s="141">
        <f t="shared" si="2"/>
        <v>250</v>
      </c>
      <c r="AC29" s="8"/>
      <c r="AD29" s="254">
        <f t="shared" si="3"/>
        <v>1.1800000000000002</v>
      </c>
      <c r="AE29" s="236"/>
      <c r="AF29" s="8"/>
      <c r="AG29" s="8"/>
      <c r="AH29" s="8"/>
      <c r="AI29" s="8"/>
      <c r="AJ29" s="233"/>
      <c r="AK29" s="8"/>
      <c r="AL29" s="8"/>
      <c r="AM29" s="8"/>
      <c r="AN29" s="8"/>
      <c r="AO29" s="8"/>
      <c r="AX29" s="231"/>
    </row>
    <row r="30" spans="1:64" ht="15.75">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41">
        <f t="shared" si="2"/>
        <v>260</v>
      </c>
      <c r="AC30" s="17"/>
      <c r="AD30" s="17"/>
      <c r="AE30" s="233"/>
      <c r="AF30" s="17" t="s">
        <v>421</v>
      </c>
      <c r="AG30" s="17"/>
      <c r="AH30" s="17"/>
      <c r="AI30" s="17"/>
      <c r="AJ30" s="17"/>
      <c r="AK30" s="17"/>
      <c r="AL30" s="17"/>
      <c r="AM30" s="17"/>
      <c r="AN30" s="17"/>
      <c r="AO30" s="17"/>
    </row>
    <row r="31" spans="1:64" ht="17.05">
      <c r="A31" s="1038" t="s">
        <v>22</v>
      </c>
      <c r="B31" s="1038"/>
      <c r="C31" s="1038"/>
      <c r="D31" s="278"/>
      <c r="E31" s="279"/>
      <c r="F31" s="1038" t="s">
        <v>422</v>
      </c>
      <c r="G31" s="1038"/>
      <c r="H31" s="1038"/>
      <c r="I31" s="1038"/>
      <c r="J31" s="1038"/>
      <c r="K31" s="1038"/>
      <c r="L31" s="1038"/>
      <c r="M31" s="1038"/>
      <c r="N31" s="17"/>
      <c r="O31" s="17"/>
      <c r="P31" s="17"/>
      <c r="Q31" s="17"/>
      <c r="R31" s="17"/>
      <c r="S31" s="8"/>
      <c r="T31" s="8"/>
      <c r="U31" s="8"/>
      <c r="V31" s="8"/>
      <c r="W31" s="8"/>
      <c r="X31" s="8"/>
      <c r="Y31" s="8"/>
      <c r="Z31" s="8"/>
      <c r="AA31" s="8"/>
      <c r="AB31" s="141">
        <f t="shared" si="2"/>
        <v>270</v>
      </c>
      <c r="AC31" s="8"/>
      <c r="AD31" s="17"/>
      <c r="AE31" s="233"/>
      <c r="AF31" s="8" t="s">
        <v>423</v>
      </c>
      <c r="AG31" s="8">
        <f t="shared" ref="AG31:AG35" si="5">IF(ZRR="Oui",0,1)</f>
        <v>1</v>
      </c>
      <c r="AH31" s="8"/>
      <c r="AI31" s="8"/>
      <c r="AJ31" s="233"/>
      <c r="AK31" s="8"/>
      <c r="AL31" s="8"/>
      <c r="AM31" s="8"/>
      <c r="AN31" s="8"/>
      <c r="AO31" s="8"/>
      <c r="AX31" s="231"/>
    </row>
    <row r="32" spans="1:64" ht="15.75">
      <c r="A32" s="280"/>
      <c r="B32" s="281"/>
      <c r="C32" s="281"/>
      <c r="D32" s="17"/>
      <c r="E32" s="8"/>
      <c r="F32" s="282"/>
      <c r="G32" s="8"/>
      <c r="H32" s="8"/>
      <c r="I32" s="8"/>
      <c r="J32" s="8"/>
      <c r="K32" s="8"/>
      <c r="L32" s="8"/>
      <c r="M32" s="8"/>
      <c r="N32" s="8"/>
      <c r="O32" s="8"/>
      <c r="P32" s="8"/>
      <c r="Q32" s="8"/>
      <c r="R32" s="8"/>
      <c r="S32" s="8"/>
      <c r="T32" s="8"/>
      <c r="U32" s="8"/>
      <c r="V32" s="8"/>
      <c r="W32" s="8"/>
      <c r="X32" s="8"/>
      <c r="Y32" s="8"/>
      <c r="Z32" s="8"/>
      <c r="AA32" s="8"/>
      <c r="AB32" s="141">
        <f t="shared" si="2"/>
        <v>280</v>
      </c>
      <c r="AC32" s="8"/>
      <c r="AD32" s="17"/>
      <c r="AE32" s="233"/>
      <c r="AF32" s="8" t="s">
        <v>424</v>
      </c>
      <c r="AG32" s="8">
        <f t="shared" si="5"/>
        <v>1</v>
      </c>
      <c r="AH32" s="8"/>
      <c r="AI32" s="8"/>
      <c r="AJ32" s="233"/>
      <c r="AK32" s="8"/>
      <c r="AL32" s="8"/>
      <c r="AM32" s="8"/>
      <c r="AN32" s="8"/>
      <c r="AO32" s="8"/>
      <c r="AX32" s="231"/>
    </row>
    <row r="33" spans="1:64" ht="15.75">
      <c r="A33" s="1029" t="s">
        <v>425</v>
      </c>
      <c r="B33" s="1029"/>
      <c r="C33" s="1029"/>
      <c r="D33" s="283">
        <v>100</v>
      </c>
      <c r="E33" s="8"/>
      <c r="F33" s="284"/>
      <c r="G33" s="17"/>
      <c r="H33" s="17"/>
      <c r="I33" s="285" t="s">
        <v>362</v>
      </c>
      <c r="J33" s="244" t="s">
        <v>426</v>
      </c>
      <c r="K33" s="244" t="s">
        <v>427</v>
      </c>
      <c r="L33" s="1030" t="s">
        <v>428</v>
      </c>
      <c r="M33" s="1030"/>
      <c r="N33" s="8"/>
      <c r="O33" s="8"/>
      <c r="P33" s="8"/>
      <c r="Q33" s="8"/>
      <c r="R33" s="8"/>
      <c r="S33" s="8"/>
      <c r="T33" s="8"/>
      <c r="U33" s="8"/>
      <c r="V33" s="8"/>
      <c r="W33" s="8"/>
      <c r="X33" s="8"/>
      <c r="Y33" s="8"/>
      <c r="Z33" s="8"/>
      <c r="AA33" s="8"/>
      <c r="AB33" s="141">
        <f t="shared" si="2"/>
        <v>290</v>
      </c>
      <c r="AC33" s="8"/>
      <c r="AD33" s="17"/>
      <c r="AE33" s="233"/>
      <c r="AF33" s="8" t="s">
        <v>429</v>
      </c>
      <c r="AG33" s="8">
        <f t="shared" si="5"/>
        <v>1</v>
      </c>
      <c r="AH33" s="8"/>
      <c r="AI33" s="8"/>
      <c r="AJ33" s="233"/>
      <c r="AK33" s="8"/>
      <c r="AL33" s="8"/>
      <c r="AM33" s="8"/>
      <c r="AN33" s="8"/>
      <c r="AO33" s="8"/>
      <c r="AX33" s="231"/>
    </row>
    <row r="34" spans="1:64" ht="15.75">
      <c r="A34" s="1029" t="s">
        <v>430</v>
      </c>
      <c r="B34" s="1029"/>
      <c r="C34" s="1029"/>
      <c r="D34" s="262">
        <f>ROUNDDOWN((153700)/D33,-1)+D32-D35</f>
        <v>1515</v>
      </c>
      <c r="E34" s="286">
        <f>nb_parts_pers_phys/(nb_parts_pers_phys+nb_parts_pers_mor)</f>
        <v>0.99019607843137258</v>
      </c>
      <c r="F34" s="287" t="s">
        <v>431</v>
      </c>
      <c r="G34" s="288"/>
      <c r="H34" s="289"/>
      <c r="I34" s="290"/>
      <c r="J34" s="291">
        <v>5</v>
      </c>
      <c r="K34" s="292">
        <v>5.0000000000000001E-3</v>
      </c>
      <c r="L34" s="1031" t="s">
        <v>350</v>
      </c>
      <c r="M34" s="1031"/>
      <c r="N34" s="8"/>
      <c r="O34" s="8"/>
      <c r="P34" s="8"/>
      <c r="Q34" s="8"/>
      <c r="R34" s="8"/>
      <c r="S34" s="8"/>
      <c r="T34" s="8"/>
      <c r="U34" s="8"/>
      <c r="V34" s="8"/>
      <c r="W34" s="8"/>
      <c r="X34" s="8"/>
      <c r="Y34" s="8"/>
      <c r="Z34" s="8"/>
      <c r="AA34" s="8"/>
      <c r="AB34" s="141">
        <f t="shared" si="2"/>
        <v>300</v>
      </c>
      <c r="AC34" s="8"/>
      <c r="AD34" s="8"/>
      <c r="AE34" s="233"/>
      <c r="AF34" s="8" t="s">
        <v>432</v>
      </c>
      <c r="AG34" s="8">
        <f t="shared" si="5"/>
        <v>1</v>
      </c>
      <c r="AH34" s="8"/>
      <c r="AI34" s="8"/>
      <c r="AJ34" s="233"/>
      <c r="AK34" s="8"/>
      <c r="AL34" s="8"/>
      <c r="AM34" s="8"/>
      <c r="AN34" s="8"/>
      <c r="AO34" s="8"/>
      <c r="AX34" s="231"/>
    </row>
    <row r="35" spans="1:64" ht="15.75">
      <c r="A35" s="1029" t="s">
        <v>433</v>
      </c>
      <c r="B35" s="1029"/>
      <c r="C35" s="1029"/>
      <c r="D35" s="283">
        <v>15</v>
      </c>
      <c r="E35" s="286">
        <f>nb_parts_pers_mor/(nb_parts_pers_phys+nb_parts_pers_mor)</f>
        <v>9.8039215686274508E-3</v>
      </c>
      <c r="F35" s="287" t="s">
        <v>434</v>
      </c>
      <c r="G35" s="293"/>
      <c r="H35" s="293"/>
      <c r="I35" s="294">
        <v>2.07E-2</v>
      </c>
      <c r="J35" s="8"/>
      <c r="K35" s="8"/>
      <c r="L35" s="8"/>
      <c r="M35" s="8"/>
      <c r="N35" s="8"/>
      <c r="O35" s="8"/>
      <c r="P35" s="8"/>
      <c r="Q35" s="17"/>
      <c r="R35" s="17"/>
      <c r="S35" s="8"/>
      <c r="T35" s="8"/>
      <c r="U35" s="8"/>
      <c r="V35" s="8"/>
      <c r="W35" s="8"/>
      <c r="X35" s="8"/>
      <c r="Y35" s="8"/>
      <c r="Z35" s="8"/>
      <c r="AA35" s="8"/>
      <c r="AB35" s="141">
        <f t="shared" si="2"/>
        <v>310</v>
      </c>
      <c r="AC35" s="8"/>
      <c r="AD35" s="8"/>
      <c r="AE35" s="233"/>
      <c r="AF35" s="8" t="s">
        <v>435</v>
      </c>
      <c r="AG35" s="8">
        <f t="shared" si="5"/>
        <v>1</v>
      </c>
      <c r="AH35" s="8"/>
      <c r="AI35" s="8"/>
      <c r="AJ35" s="8"/>
      <c r="AK35" s="8"/>
      <c r="AL35" s="8"/>
      <c r="AM35" s="8"/>
      <c r="AN35" s="8"/>
      <c r="AO35" s="8"/>
      <c r="AX35" s="231"/>
    </row>
    <row r="36" spans="1:64" ht="15.75">
      <c r="A36" s="1032" t="s">
        <v>436</v>
      </c>
      <c r="B36" s="1032"/>
      <c r="C36" s="1032"/>
      <c r="D36" s="292">
        <v>0.01</v>
      </c>
      <c r="E36" s="8"/>
      <c r="F36" s="282" t="s">
        <v>437</v>
      </c>
      <c r="G36" s="8"/>
      <c r="H36" s="8"/>
      <c r="I36" s="295">
        <f>IF(Taux_deduc_CCA&gt;tx_CCA,0,tx_CCA-Taux_deduc_CCA)</f>
        <v>0</v>
      </c>
      <c r="J36" s="8"/>
      <c r="K36" s="8"/>
      <c r="L36" s="8"/>
      <c r="M36" s="8"/>
      <c r="N36" s="8"/>
      <c r="O36" s="8"/>
      <c r="P36" s="8"/>
      <c r="Q36" s="8"/>
      <c r="R36" s="8"/>
      <c r="S36" s="8"/>
      <c r="T36" s="8"/>
      <c r="U36" s="8"/>
      <c r="V36" s="8"/>
      <c r="W36" s="8"/>
      <c r="X36" s="8"/>
      <c r="Y36" s="8"/>
      <c r="Z36" s="8"/>
      <c r="AA36" s="8"/>
      <c r="AB36" s="141">
        <f t="shared" si="2"/>
        <v>320</v>
      </c>
      <c r="AC36" s="8"/>
      <c r="AD36" s="8"/>
      <c r="AE36" s="233"/>
      <c r="AF36" s="8" t="s">
        <v>438</v>
      </c>
      <c r="AG36" s="8">
        <f>IF(ZRR="Oui",0.25,1)</f>
        <v>1</v>
      </c>
      <c r="AH36" s="8"/>
      <c r="AI36" s="8"/>
      <c r="AJ36" s="8"/>
      <c r="AK36" s="8"/>
      <c r="AL36" s="8"/>
      <c r="AM36" s="8"/>
      <c r="AN36" s="8"/>
      <c r="AO36" s="8"/>
      <c r="AX36" s="231"/>
    </row>
    <row r="37" spans="1:64" ht="13.6" customHeight="1">
      <c r="A37" s="1033" t="s">
        <v>439</v>
      </c>
      <c r="B37" s="1033"/>
      <c r="C37" s="1033"/>
      <c r="D37" s="296">
        <f ca="1">D38/D19</f>
        <v>0.75902476889496984</v>
      </c>
      <c r="E37" s="17"/>
      <c r="F37" s="297" t="s">
        <v>440</v>
      </c>
      <c r="G37" s="298"/>
      <c r="H37" s="298"/>
      <c r="I37" s="296">
        <f ca="1">I38/D19</f>
        <v>0</v>
      </c>
      <c r="J37" s="8"/>
      <c r="K37" s="8"/>
      <c r="L37" s="8"/>
      <c r="M37" s="17"/>
      <c r="N37" s="299"/>
      <c r="O37" s="1034" t="s">
        <v>441</v>
      </c>
      <c r="P37" s="1034"/>
      <c r="Q37" s="1034"/>
      <c r="R37" s="1034"/>
      <c r="S37" s="1034"/>
      <c r="T37" s="1034"/>
      <c r="U37" s="1034"/>
      <c r="V37" s="300"/>
      <c r="W37" s="8"/>
      <c r="X37" s="17"/>
      <c r="Y37" s="17"/>
      <c r="Z37" s="17"/>
      <c r="AA37" s="17"/>
      <c r="AB37" s="141">
        <f t="shared" si="2"/>
        <v>330</v>
      </c>
      <c r="AC37" s="17"/>
      <c r="AD37" s="17"/>
      <c r="AE37" s="233"/>
      <c r="AF37" s="8" t="s">
        <v>442</v>
      </c>
      <c r="AG37" s="8">
        <f>IF(ZRR="Oui",0.5,1)</f>
        <v>1</v>
      </c>
      <c r="AH37" s="17"/>
      <c r="AI37" s="17"/>
      <c r="AJ37" s="17"/>
      <c r="AK37" s="17"/>
      <c r="AL37" s="17"/>
      <c r="AM37" s="17"/>
      <c r="AN37" s="17"/>
      <c r="AO37" s="17"/>
    </row>
    <row r="38" spans="1:64" ht="13.6" customHeight="1">
      <c r="A38" s="1035" t="s">
        <v>443</v>
      </c>
      <c r="B38" s="1035"/>
      <c r="C38" s="1035"/>
      <c r="D38" s="301">
        <f>D33*(D34+D35)</f>
        <v>153000</v>
      </c>
      <c r="E38" s="8"/>
      <c r="F38" s="302" t="s">
        <v>444</v>
      </c>
      <c r="G38" s="303"/>
      <c r="H38" s="304"/>
      <c r="I38" s="305">
        <f>I34</f>
        <v>0</v>
      </c>
      <c r="J38" s="8"/>
      <c r="K38" s="8"/>
      <c r="L38" s="8"/>
      <c r="M38" s="8"/>
      <c r="N38" s="306"/>
      <c r="O38" s="1034"/>
      <c r="P38" s="1034"/>
      <c r="Q38" s="1034"/>
      <c r="R38" s="1034"/>
      <c r="S38" s="1034"/>
      <c r="T38" s="1034"/>
      <c r="U38" s="1034"/>
      <c r="V38" s="307"/>
      <c r="W38" s="8"/>
      <c r="X38" s="8"/>
      <c r="Y38" s="8"/>
      <c r="Z38" s="8"/>
      <c r="AA38" s="8"/>
      <c r="AB38" s="141">
        <f t="shared" si="2"/>
        <v>340</v>
      </c>
      <c r="AC38" s="8"/>
      <c r="AD38" s="8"/>
      <c r="AE38" s="233"/>
      <c r="AF38" s="8" t="s">
        <v>445</v>
      </c>
      <c r="AG38" s="8">
        <f>IF(ZRR="Oui",0.75,1)</f>
        <v>1</v>
      </c>
      <c r="AH38" s="8"/>
      <c r="AI38" s="8"/>
      <c r="AJ38" s="8"/>
      <c r="AK38" s="8"/>
      <c r="AL38" s="8"/>
      <c r="AM38" s="8"/>
      <c r="AN38" s="8"/>
      <c r="AO38" s="8"/>
    </row>
    <row r="39" spans="1:64" ht="13.6" customHeight="1">
      <c r="A39" s="8"/>
      <c r="B39" s="8"/>
      <c r="C39" s="8"/>
      <c r="D39" s="8"/>
      <c r="E39" s="17"/>
      <c r="F39" s="17"/>
      <c r="G39" s="17"/>
      <c r="H39" s="17"/>
      <c r="I39" s="17"/>
      <c r="J39" s="17"/>
      <c r="K39" s="17"/>
      <c r="L39" s="17"/>
      <c r="M39" s="17"/>
      <c r="N39" s="308"/>
      <c r="O39" s="1034"/>
      <c r="P39" s="1034"/>
      <c r="Q39" s="1034"/>
      <c r="R39" s="1034"/>
      <c r="S39" s="1034"/>
      <c r="T39" s="1034"/>
      <c r="U39" s="1034"/>
      <c r="V39" s="307"/>
      <c r="W39" s="8"/>
      <c r="X39" s="8"/>
      <c r="Y39" s="8"/>
      <c r="Z39" s="8"/>
      <c r="AA39" s="8"/>
      <c r="AB39" s="141">
        <f t="shared" si="2"/>
        <v>350</v>
      </c>
      <c r="AC39" s="8"/>
      <c r="AD39" s="8"/>
      <c r="AE39" s="8"/>
      <c r="AF39" s="8"/>
      <c r="AG39" s="309"/>
      <c r="AH39" s="8"/>
      <c r="AI39" s="8"/>
      <c r="AJ39" s="8"/>
      <c r="AK39" s="8"/>
      <c r="AL39" s="8"/>
      <c r="AM39" s="8"/>
      <c r="AN39" s="8"/>
      <c r="AO39" s="8"/>
      <c r="AX39" s="231"/>
    </row>
    <row r="40" spans="1:64" ht="13.6" customHeight="1">
      <c r="A40" s="1025" t="s">
        <v>446</v>
      </c>
      <c r="B40" s="1025"/>
      <c r="C40" s="1025"/>
      <c r="D40" s="310"/>
      <c r="E40" s="310"/>
      <c r="F40" s="310"/>
      <c r="G40" s="310"/>
      <c r="H40" s="310"/>
      <c r="I40" s="310"/>
      <c r="J40" s="311"/>
      <c r="K40" s="311"/>
      <c r="L40" s="311"/>
      <c r="M40" s="17"/>
      <c r="N40" s="308"/>
      <c r="O40" s="312"/>
      <c r="P40" s="312"/>
      <c r="Q40" s="312"/>
      <c r="R40" s="312"/>
      <c r="S40" s="312"/>
      <c r="T40" s="313"/>
      <c r="U40" s="313"/>
      <c r="V40" s="307"/>
      <c r="W40" s="8"/>
      <c r="X40" s="8"/>
      <c r="Y40" s="8"/>
      <c r="Z40" s="8"/>
      <c r="AA40" s="8"/>
      <c r="AB40" s="141">
        <f t="shared" si="2"/>
        <v>360</v>
      </c>
      <c r="AC40" s="8"/>
      <c r="AD40" s="8"/>
      <c r="AE40" s="8"/>
      <c r="AF40" s="8"/>
      <c r="AG40" s="309"/>
      <c r="AH40" s="8"/>
      <c r="AI40" s="8"/>
      <c r="AJ40" s="8"/>
      <c r="AK40" s="8"/>
      <c r="AL40" s="8"/>
      <c r="AM40" s="8"/>
      <c r="AN40" s="8"/>
      <c r="AO40" s="8"/>
      <c r="AX40" s="231"/>
    </row>
    <row r="41" spans="1:64" ht="17.350000000000001" customHeight="1">
      <c r="A41" s="8"/>
      <c r="B41" s="314" t="s">
        <v>362</v>
      </c>
      <c r="C41" s="314" t="s">
        <v>447</v>
      </c>
      <c r="D41" s="314" t="s">
        <v>426</v>
      </c>
      <c r="E41" s="1026" t="s">
        <v>448</v>
      </c>
      <c r="F41" s="1026"/>
      <c r="G41" s="244" t="s">
        <v>449</v>
      </c>
      <c r="H41" s="315" t="s">
        <v>450</v>
      </c>
      <c r="I41" s="316" t="s">
        <v>451</v>
      </c>
      <c r="J41" s="17"/>
      <c r="K41" s="1026" t="s">
        <v>452</v>
      </c>
      <c r="L41" s="1026"/>
      <c r="M41" s="17"/>
      <c r="N41" s="308"/>
      <c r="O41" s="317" t="s">
        <v>453</v>
      </c>
      <c r="P41" s="318"/>
      <c r="Q41" s="318"/>
      <c r="R41" s="319"/>
      <c r="S41" s="320">
        <v>1.03</v>
      </c>
      <c r="T41" s="313"/>
      <c r="U41" s="313"/>
      <c r="V41" s="307"/>
      <c r="W41" s="8"/>
      <c r="X41" s="8"/>
      <c r="Y41" s="8"/>
      <c r="Z41" s="8"/>
      <c r="AA41" s="8"/>
      <c r="AB41" s="141">
        <f t="shared" si="2"/>
        <v>370</v>
      </c>
      <c r="AC41" s="8"/>
      <c r="AD41" s="8"/>
      <c r="AE41" s="8"/>
      <c r="AF41" s="8"/>
      <c r="AG41" s="309"/>
      <c r="AH41" s="8"/>
      <c r="AI41" s="8"/>
      <c r="AJ41" s="8"/>
      <c r="AK41" s="8"/>
      <c r="AL41" s="8"/>
      <c r="AM41" s="8"/>
      <c r="AN41" s="8"/>
      <c r="AO41" s="8"/>
      <c r="AP41" s="8"/>
      <c r="AQ41" s="8"/>
      <c r="AR41" s="8"/>
      <c r="AS41" s="17"/>
      <c r="AT41" s="17"/>
      <c r="AU41" s="17"/>
      <c r="AV41" s="8"/>
      <c r="AW41" s="8"/>
      <c r="AX41" s="309"/>
      <c r="AY41" s="8"/>
      <c r="AZ41" s="8"/>
      <c r="BA41" s="8"/>
      <c r="BB41" s="8"/>
      <c r="BC41" s="8"/>
      <c r="BD41" s="8"/>
      <c r="BE41" s="8"/>
      <c r="BF41" s="8"/>
      <c r="BG41" s="8"/>
      <c r="BH41" s="8"/>
      <c r="BI41" s="8"/>
      <c r="BJ41" s="8"/>
      <c r="BK41" s="8"/>
      <c r="BL41" s="8"/>
    </row>
    <row r="42" spans="1:64" ht="15.75" customHeight="1">
      <c r="A42" s="321" t="s">
        <v>454</v>
      </c>
      <c r="B42" s="322">
        <f ca="1">MAX(G42*S42,0)</f>
        <v>54930.683057099988</v>
      </c>
      <c r="C42" s="323">
        <v>1.55E-2</v>
      </c>
      <c r="D42" s="291">
        <v>8</v>
      </c>
      <c r="E42" s="1017" t="s">
        <v>349</v>
      </c>
      <c r="F42" s="1017"/>
      <c r="G42" s="320">
        <v>1</v>
      </c>
      <c r="H42" s="324"/>
      <c r="I42" s="283"/>
      <c r="J42" s="17"/>
      <c r="K42" s="1027" t="s">
        <v>363</v>
      </c>
      <c r="L42" s="1027"/>
      <c r="M42" s="17"/>
      <c r="N42" s="308"/>
      <c r="O42" s="317" t="s">
        <v>455</v>
      </c>
      <c r="P42" s="318"/>
      <c r="Q42" s="318"/>
      <c r="R42" s="319"/>
      <c r="S42" s="325">
        <f ca="1">S41*(coût_total+U18)-fonds_propres-compte_courant_associes</f>
        <v>54930.683057099988</v>
      </c>
      <c r="T42" s="313"/>
      <c r="U42" s="313"/>
      <c r="V42" s="307"/>
      <c r="W42" s="8"/>
      <c r="X42" s="8"/>
      <c r="Y42" s="8"/>
      <c r="Z42" s="8"/>
      <c r="AA42" s="8"/>
      <c r="AB42" s="141">
        <f t="shared" si="2"/>
        <v>380</v>
      </c>
      <c r="AC42" s="8"/>
      <c r="AD42" s="8"/>
      <c r="AE42" s="8"/>
      <c r="AF42" s="8"/>
      <c r="AG42" s="309"/>
      <c r="AH42" s="8"/>
      <c r="AI42" s="8"/>
      <c r="AJ42" s="8"/>
      <c r="AK42" s="8"/>
      <c r="AL42" s="8"/>
      <c r="AM42" s="326"/>
      <c r="AN42" s="8"/>
      <c r="AO42" s="8"/>
      <c r="AX42" s="231"/>
    </row>
    <row r="43" spans="1:64" ht="15.75" customHeight="1">
      <c r="A43" s="321" t="s">
        <v>456</v>
      </c>
      <c r="B43" s="322">
        <f ca="1">G43*S42</f>
        <v>0</v>
      </c>
      <c r="C43" s="292"/>
      <c r="D43" s="291">
        <v>6</v>
      </c>
      <c r="E43" s="1017"/>
      <c r="F43" s="1017"/>
      <c r="G43" s="320"/>
      <c r="H43" s="324"/>
      <c r="I43" s="283"/>
      <c r="J43" s="17"/>
      <c r="K43" s="327" t="s">
        <v>362</v>
      </c>
      <c r="L43" s="291"/>
      <c r="M43" s="17"/>
      <c r="N43" s="308"/>
      <c r="O43" s="313"/>
      <c r="P43" s="313"/>
      <c r="Q43" s="313"/>
      <c r="R43" s="313"/>
      <c r="S43" s="313"/>
      <c r="T43" s="313"/>
      <c r="U43" s="313"/>
      <c r="V43" s="307"/>
      <c r="W43" s="8"/>
      <c r="X43" s="8"/>
      <c r="Y43" s="8"/>
      <c r="Z43" s="8"/>
      <c r="AA43" s="8"/>
      <c r="AB43" s="141">
        <f t="shared" si="2"/>
        <v>390</v>
      </c>
      <c r="AC43" s="8"/>
      <c r="AD43" s="8"/>
      <c r="AE43" s="8"/>
      <c r="AF43" s="8"/>
      <c r="AG43" s="309"/>
      <c r="AH43" s="8"/>
      <c r="AI43" s="8"/>
      <c r="AJ43" s="8"/>
      <c r="AK43" s="8"/>
      <c r="AL43" s="8"/>
      <c r="AM43" s="328"/>
      <c r="AN43" s="8"/>
      <c r="AO43" s="8"/>
      <c r="AX43" s="231"/>
    </row>
    <row r="44" spans="1:64" ht="13.6" customHeight="1">
      <c r="A44" s="285" t="s">
        <v>457</v>
      </c>
      <c r="B44" s="329">
        <f ca="1">emprunt1+emprunt2</f>
        <v>54930.683057099988</v>
      </c>
      <c r="C44" s="8"/>
      <c r="D44" s="17"/>
      <c r="E44" s="17"/>
      <c r="F44" s="17"/>
      <c r="G44" s="17"/>
      <c r="H44" s="17"/>
      <c r="I44" s="17"/>
      <c r="J44" s="17"/>
      <c r="K44" s="327" t="s">
        <v>458</v>
      </c>
      <c r="L44" s="330"/>
      <c r="M44" s="17"/>
      <c r="N44" s="308"/>
      <c r="O44" s="1028" t="s">
        <v>459</v>
      </c>
      <c r="P44" s="1028"/>
      <c r="Q44" s="1028"/>
      <c r="R44" s="313"/>
      <c r="S44" s="1028" t="s">
        <v>460</v>
      </c>
      <c r="T44" s="1028"/>
      <c r="U44" s="1028"/>
      <c r="V44" s="307"/>
      <c r="W44" s="8"/>
      <c r="X44" s="8"/>
      <c r="Y44" s="8"/>
      <c r="Z44" s="8"/>
      <c r="AA44" s="8"/>
      <c r="AB44" s="141">
        <f t="shared" si="2"/>
        <v>400</v>
      </c>
      <c r="AC44" s="8"/>
      <c r="AD44" s="8"/>
      <c r="AE44" s="8"/>
      <c r="AF44" s="8"/>
      <c r="AG44" s="309"/>
      <c r="AH44" s="8"/>
      <c r="AI44" s="8"/>
      <c r="AJ44" s="8"/>
      <c r="AK44" s="8"/>
      <c r="AL44" s="8"/>
      <c r="AM44" s="331"/>
      <c r="AN44" s="8"/>
      <c r="AO44" s="8"/>
      <c r="AX44" s="231"/>
    </row>
    <row r="45" spans="1:64" ht="17.350000000000001" customHeight="1">
      <c r="A45" s="321" t="s">
        <v>461</v>
      </c>
      <c r="B45" s="332"/>
      <c r="C45" s="333"/>
      <c r="D45" s="332"/>
      <c r="E45" s="1017"/>
      <c r="F45" s="1017"/>
      <c r="G45" s="320"/>
      <c r="H45" s="324"/>
      <c r="I45" s="17"/>
      <c r="J45" s="17"/>
      <c r="K45" s="327" t="s">
        <v>426</v>
      </c>
      <c r="L45" s="324"/>
      <c r="M45" s="17"/>
      <c r="N45" s="308"/>
      <c r="O45" s="1028"/>
      <c r="P45" s="1028"/>
      <c r="Q45" s="1028"/>
      <c r="R45" s="313"/>
      <c r="S45" s="1028"/>
      <c r="T45" s="1028"/>
      <c r="U45" s="1028"/>
      <c r="V45" s="307"/>
      <c r="W45" s="8"/>
      <c r="X45" s="8"/>
      <c r="Y45" s="8"/>
      <c r="Z45" s="8"/>
      <c r="AA45" s="8"/>
      <c r="AB45" s="141">
        <f t="shared" si="2"/>
        <v>410</v>
      </c>
      <c r="AC45" s="8"/>
      <c r="AD45" s="8"/>
      <c r="AE45" s="8"/>
      <c r="AF45" s="8"/>
      <c r="AG45" s="309"/>
      <c r="AH45" s="8"/>
      <c r="AI45" s="17"/>
      <c r="AJ45" s="334">
        <v>0.03</v>
      </c>
      <c r="AK45" s="8"/>
      <c r="AL45" s="8"/>
      <c r="AM45" s="8"/>
      <c r="AN45" s="8"/>
      <c r="AO45" s="8"/>
      <c r="AX45" s="231"/>
    </row>
    <row r="46" spans="1:64" ht="14.4" customHeight="1">
      <c r="A46" s="321" t="s">
        <v>462</v>
      </c>
      <c r="B46" s="332"/>
      <c r="C46" s="333"/>
      <c r="D46" s="332"/>
      <c r="E46" s="1017"/>
      <c r="F46" s="1017"/>
      <c r="G46" s="320"/>
      <c r="H46" s="324"/>
      <c r="I46" s="17"/>
      <c r="J46" s="17"/>
      <c r="K46" s="17"/>
      <c r="L46" s="17"/>
      <c r="M46" s="17"/>
      <c r="N46" s="308"/>
      <c r="O46" s="1018" t="str">
        <f ca="1">IF(COUNTIF(Tresorerie_mensuelle!G69:AP69,"&lt;0")&gt;0,"montant insuffisant","montant suffisant")</f>
        <v>montant suffisant</v>
      </c>
      <c r="P46" s="1018"/>
      <c r="Q46" s="1018"/>
      <c r="R46" s="313"/>
      <c r="S46" s="1018" t="str">
        <f ca="1">IF(COUNTIF(Plan_de_trésorerie!F36:Y36,"&lt;0"),"montant insuffisant","montant suffisant")</f>
        <v>montant suffisant</v>
      </c>
      <c r="T46" s="1018"/>
      <c r="U46" s="1018"/>
      <c r="V46" s="307"/>
      <c r="W46" s="8"/>
      <c r="X46" s="8"/>
      <c r="Y46" s="8"/>
      <c r="Z46" s="8"/>
      <c r="AA46" s="8"/>
      <c r="AB46" s="141">
        <f t="shared" si="2"/>
        <v>420</v>
      </c>
      <c r="AC46" s="8"/>
      <c r="AD46" s="8"/>
      <c r="AE46" s="8"/>
      <c r="AF46" s="8"/>
      <c r="AG46" s="309"/>
      <c r="AH46" s="8"/>
      <c r="AI46" s="17"/>
      <c r="AJ46" s="334"/>
      <c r="AK46" s="8"/>
      <c r="AL46" s="8"/>
      <c r="AM46" s="8"/>
      <c r="AN46" s="8"/>
      <c r="AO46" s="8"/>
      <c r="AX46" s="231"/>
    </row>
    <row r="47" spans="1:64" ht="13.6" customHeight="1">
      <c r="A47" s="285" t="s">
        <v>463</v>
      </c>
      <c r="B47" s="329">
        <f>SUM(B45:B46)</f>
        <v>0</v>
      </c>
      <c r="C47" s="17"/>
      <c r="D47" s="8"/>
      <c r="E47" s="8"/>
      <c r="F47" s="8"/>
      <c r="G47" s="335" t="str">
        <f>IF(SUM(G42,G43,G45,G46)&lt;&gt;1,"ERREUR","")</f>
        <v/>
      </c>
      <c r="H47" s="17"/>
      <c r="I47" s="8"/>
      <c r="J47" s="17"/>
      <c r="K47" s="17"/>
      <c r="L47" s="17"/>
      <c r="M47" s="17"/>
      <c r="N47" s="308"/>
      <c r="O47" s="1018"/>
      <c r="P47" s="1018"/>
      <c r="Q47" s="1018"/>
      <c r="R47" s="336"/>
      <c r="S47" s="1018"/>
      <c r="T47" s="1018"/>
      <c r="U47" s="1018"/>
      <c r="V47" s="307"/>
      <c r="W47" s="8"/>
      <c r="X47" s="8"/>
      <c r="Y47" s="8"/>
      <c r="Z47" s="8"/>
      <c r="AA47" s="8"/>
      <c r="AB47" s="141">
        <f t="shared" si="2"/>
        <v>430</v>
      </c>
      <c r="AC47" s="8"/>
      <c r="AD47" s="8"/>
      <c r="AE47" s="8"/>
      <c r="AF47" s="8"/>
      <c r="AG47" s="309"/>
      <c r="AH47" s="8"/>
      <c r="AI47" s="17"/>
      <c r="AJ47" s="334">
        <v>0.03</v>
      </c>
      <c r="AK47" s="8"/>
      <c r="AL47" s="8"/>
      <c r="AM47" s="8"/>
      <c r="AN47" s="8"/>
      <c r="AO47" s="8"/>
      <c r="AX47" s="231"/>
    </row>
    <row r="48" spans="1:64" ht="13.6" customHeight="1">
      <c r="A48" s="337"/>
      <c r="B48" s="8"/>
      <c r="C48" s="8"/>
      <c r="D48" s="8"/>
      <c r="E48" s="8"/>
      <c r="F48" s="17"/>
      <c r="G48" s="17"/>
      <c r="H48" s="17"/>
      <c r="I48" s="17"/>
      <c r="J48" s="17"/>
      <c r="K48" s="17"/>
      <c r="L48" s="17"/>
      <c r="M48" s="17"/>
      <c r="N48" s="308"/>
      <c r="O48" s="336"/>
      <c r="P48" s="336"/>
      <c r="Q48" s="336"/>
      <c r="R48" s="338"/>
      <c r="S48" s="336"/>
      <c r="T48" s="336"/>
      <c r="U48" s="336"/>
      <c r="V48" s="307"/>
      <c r="W48" s="8"/>
      <c r="X48" s="8"/>
      <c r="Y48" s="8"/>
      <c r="Z48" s="8"/>
      <c r="AA48" s="8"/>
      <c r="AB48" s="141">
        <f t="shared" si="2"/>
        <v>440</v>
      </c>
      <c r="AC48" s="8"/>
      <c r="AD48" s="8"/>
      <c r="AE48" s="8"/>
      <c r="AF48" s="8"/>
      <c r="AG48" s="309"/>
      <c r="AH48" s="8"/>
      <c r="AI48" s="17"/>
      <c r="AJ48" s="334">
        <v>0.03</v>
      </c>
      <c r="AK48" s="8"/>
      <c r="AL48" s="8"/>
      <c r="AM48" s="8"/>
      <c r="AN48" s="8"/>
      <c r="AO48" s="8"/>
      <c r="AX48" s="231"/>
    </row>
    <row r="49" spans="1:50" ht="17.350000000000001" customHeight="1">
      <c r="A49" s="339" t="s">
        <v>464</v>
      </c>
      <c r="B49" s="1019">
        <f ca="1">avances_remboursables+emprunts_bancaires</f>
        <v>54930.683057099988</v>
      </c>
      <c r="C49" s="1019"/>
      <c r="D49" s="17"/>
      <c r="E49" s="8"/>
      <c r="F49" s="1020" t="s">
        <v>465</v>
      </c>
      <c r="G49" s="1020"/>
      <c r="H49" s="1020"/>
      <c r="I49" s="1021">
        <f ca="1">compte_courant_associes+fonds_propres+dette</f>
        <v>207930.68305709999</v>
      </c>
      <c r="J49" s="1021"/>
      <c r="K49" s="1021"/>
      <c r="L49" s="17"/>
      <c r="M49" s="17"/>
      <c r="N49" s="308"/>
      <c r="O49" s="1022" t="s">
        <v>466</v>
      </c>
      <c r="P49" s="1022"/>
      <c r="Q49" s="1022"/>
      <c r="R49" s="1022"/>
      <c r="S49" s="1023" t="str">
        <f>IF(C62&lt;1.15,"Inférieur à 115%",IF(C62&gt;1.2,"Supérieur à 120%","Entre 115% et 120%"))</f>
        <v>Entre 115% et 120%</v>
      </c>
      <c r="T49" s="1023"/>
      <c r="U49" s="1023"/>
      <c r="V49" s="307"/>
      <c r="W49" s="8"/>
      <c r="X49" s="8"/>
      <c r="Y49" s="8"/>
      <c r="Z49" s="8"/>
      <c r="AA49" s="8"/>
      <c r="AB49" s="141">
        <f t="shared" si="2"/>
        <v>450</v>
      </c>
      <c r="AC49" s="8"/>
      <c r="AD49" s="8"/>
      <c r="AE49" s="8"/>
      <c r="AF49" s="8"/>
      <c r="AG49" s="309"/>
      <c r="AH49" s="8"/>
      <c r="AI49" s="17"/>
      <c r="AJ49" s="334">
        <v>0.03</v>
      </c>
      <c r="AK49" s="8"/>
      <c r="AL49" s="8"/>
      <c r="AM49" s="8"/>
      <c r="AN49" s="8"/>
      <c r="AO49" s="8"/>
      <c r="AX49" s="231"/>
    </row>
    <row r="50" spans="1:50" ht="16.2" customHeight="1">
      <c r="A50" s="11" t="s">
        <v>467</v>
      </c>
      <c r="B50" s="1024">
        <f ca="1">dette/D19</f>
        <v>0.27250816348142587</v>
      </c>
      <c r="C50" s="1024"/>
      <c r="D50" s="17"/>
      <c r="E50" s="8"/>
      <c r="F50" s="1020"/>
      <c r="G50" s="1020"/>
      <c r="H50" s="1020"/>
      <c r="I50" s="1021"/>
      <c r="J50" s="1021"/>
      <c r="K50" s="1021"/>
      <c r="L50" s="8"/>
      <c r="M50" s="8"/>
      <c r="N50" s="340"/>
      <c r="O50" s="341"/>
      <c r="P50" s="341"/>
      <c r="Q50" s="341"/>
      <c r="R50" s="341"/>
      <c r="S50" s="341"/>
      <c r="T50" s="341"/>
      <c r="U50" s="341"/>
      <c r="V50" s="342"/>
      <c r="W50" s="8"/>
      <c r="X50" s="8"/>
      <c r="Y50" s="8"/>
      <c r="Z50" s="8"/>
      <c r="AA50" s="8"/>
      <c r="AB50" s="141">
        <f t="shared" si="2"/>
        <v>460</v>
      </c>
      <c r="AC50" s="8"/>
      <c r="AD50" s="8"/>
      <c r="AE50" s="8"/>
      <c r="AF50" s="8"/>
      <c r="AG50" s="309"/>
      <c r="AH50" s="8"/>
      <c r="AI50" s="17"/>
      <c r="AJ50" s="334">
        <v>0.03</v>
      </c>
      <c r="AK50" s="8"/>
      <c r="AL50" s="8"/>
      <c r="AM50" s="326"/>
      <c r="AN50" s="8"/>
      <c r="AO50" s="8"/>
      <c r="AX50" s="231"/>
    </row>
    <row r="51" spans="1:50" ht="15.75">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141">
        <f t="shared" si="2"/>
        <v>470</v>
      </c>
      <c r="AC51" s="8"/>
      <c r="AD51" s="8"/>
      <c r="AE51" s="8"/>
      <c r="AF51" s="8"/>
      <c r="AG51" s="8"/>
      <c r="AH51" s="8"/>
      <c r="AI51" s="8"/>
      <c r="AJ51" s="8"/>
      <c r="AK51" s="8"/>
      <c r="AL51" s="8"/>
      <c r="AM51" s="8"/>
      <c r="AN51" s="8"/>
      <c r="AO51" s="8"/>
    </row>
    <row r="52" spans="1:50" ht="18" customHeight="1">
      <c r="A52" s="343" t="s">
        <v>468</v>
      </c>
      <c r="B52" s="344"/>
      <c r="C52" s="345"/>
      <c r="D52" s="345"/>
      <c r="E52" s="345"/>
      <c r="F52" s="345"/>
      <c r="G52" s="345"/>
      <c r="H52" s="345"/>
      <c r="I52" s="345"/>
      <c r="J52" s="345"/>
      <c r="K52" s="345"/>
      <c r="L52" s="345"/>
      <c r="M52" s="345"/>
      <c r="N52" s="345"/>
      <c r="O52" s="345"/>
      <c r="P52" s="345"/>
      <c r="Q52" s="346"/>
      <c r="R52" s="346"/>
      <c r="S52" s="347"/>
      <c r="T52" s="347"/>
      <c r="U52" s="347"/>
      <c r="V52" s="347"/>
      <c r="W52" s="8"/>
      <c r="X52" s="8"/>
      <c r="Y52" s="8"/>
      <c r="Z52" s="8"/>
      <c r="AA52" s="8"/>
      <c r="AB52" s="141">
        <f t="shared" si="2"/>
        <v>480</v>
      </c>
      <c r="AC52" s="8"/>
      <c r="AD52" s="8"/>
      <c r="AE52" s="8"/>
      <c r="AF52" s="8"/>
      <c r="AG52" s="8"/>
      <c r="AH52" s="8"/>
      <c r="AI52" s="8"/>
      <c r="AJ52" s="233"/>
      <c r="AK52" s="8"/>
      <c r="AL52" s="8"/>
      <c r="AM52" s="8"/>
      <c r="AN52" s="8"/>
      <c r="AO52" s="8"/>
      <c r="AX52" s="231"/>
    </row>
    <row r="53" spans="1:50" ht="15.75">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141">
        <f t="shared" si="2"/>
        <v>490</v>
      </c>
      <c r="AC53" s="8"/>
      <c r="AD53" s="8"/>
      <c r="AE53" s="8"/>
      <c r="AF53" s="8"/>
      <c r="AG53" s="8"/>
      <c r="AH53" s="8"/>
      <c r="AI53" s="8"/>
      <c r="AJ53" s="8"/>
      <c r="AK53" s="8"/>
      <c r="AL53" s="8"/>
      <c r="AM53" s="8"/>
      <c r="AN53" s="8"/>
      <c r="AO53" s="8"/>
    </row>
    <row r="54" spans="1:50" ht="15.75">
      <c r="A54" s="348"/>
      <c r="B54" s="348"/>
      <c r="C54" s="349">
        <v>0</v>
      </c>
      <c r="D54" s="349">
        <v>0</v>
      </c>
      <c r="E54" s="350">
        <v>1</v>
      </c>
      <c r="F54" s="351">
        <f t="shared" ref="F54:F55" si="6">E54+1</f>
        <v>2</v>
      </c>
      <c r="G54" s="351">
        <f t="shared" ref="G54:G55" si="7">F54+1</f>
        <v>3</v>
      </c>
      <c r="H54" s="351">
        <f t="shared" ref="H54:H55" si="8">G54+1</f>
        <v>4</v>
      </c>
      <c r="I54" s="351">
        <f t="shared" ref="I54:I55" si="9">H54+1</f>
        <v>5</v>
      </c>
      <c r="J54" s="351">
        <f t="shared" ref="J54:J55" si="10">I54+1</f>
        <v>6</v>
      </c>
      <c r="K54" s="351">
        <f t="shared" ref="K54:K55" si="11">J54+1</f>
        <v>7</v>
      </c>
      <c r="L54" s="351">
        <f t="shared" ref="L54:L55" si="12">K54+1</f>
        <v>8</v>
      </c>
      <c r="M54" s="351">
        <f t="shared" ref="M54:M55" si="13">L54+1</f>
        <v>9</v>
      </c>
      <c r="N54" s="351">
        <f t="shared" ref="N54:N55" si="14">M54+1</f>
        <v>10</v>
      </c>
      <c r="O54" s="351">
        <f t="shared" ref="O54:O55" si="15">N54+1</f>
        <v>11</v>
      </c>
      <c r="P54" s="351">
        <f t="shared" ref="P54:P55" si="16">O54+1</f>
        <v>12</v>
      </c>
      <c r="Q54" s="351">
        <f t="shared" ref="Q54:Q55" si="17">P54+1</f>
        <v>13</v>
      </c>
      <c r="R54" s="351">
        <f t="shared" ref="R54:R55" si="18">Q54+1</f>
        <v>14</v>
      </c>
      <c r="S54" s="351">
        <f t="shared" ref="S54:S55" si="19">R54+1</f>
        <v>15</v>
      </c>
      <c r="T54" s="351">
        <f t="shared" ref="T54:T55" si="20">S54+1</f>
        <v>16</v>
      </c>
      <c r="U54" s="351">
        <f t="shared" ref="U54:U55" si="21">T54+1</f>
        <v>17</v>
      </c>
      <c r="V54" s="351">
        <f t="shared" ref="V54:V55" si="22">U54+1</f>
        <v>18</v>
      </c>
      <c r="W54" s="351">
        <f t="shared" ref="W54:W55" si="23">V54+1</f>
        <v>19</v>
      </c>
      <c r="X54" s="351">
        <f t="shared" ref="X54:X55" si="24">W54+1</f>
        <v>20</v>
      </c>
      <c r="Y54" s="8"/>
      <c r="Z54" s="8"/>
      <c r="AA54" s="8"/>
      <c r="AB54" s="141">
        <f t="shared" si="2"/>
        <v>500</v>
      </c>
      <c r="AC54" s="8"/>
      <c r="AD54" s="8"/>
      <c r="AE54" s="8"/>
      <c r="AF54" s="8"/>
      <c r="AG54" s="8"/>
      <c r="AH54" s="8"/>
      <c r="AI54" s="8"/>
      <c r="AJ54" s="8"/>
      <c r="AK54" s="8"/>
      <c r="AL54" s="8"/>
      <c r="AM54" s="8"/>
      <c r="AN54" s="8"/>
      <c r="AO54" s="8"/>
    </row>
    <row r="55" spans="1:50" ht="15.75">
      <c r="A55" s="348"/>
      <c r="B55" s="352">
        <v>2019</v>
      </c>
      <c r="C55" s="352">
        <f>B55+1</f>
        <v>2020</v>
      </c>
      <c r="D55" s="353">
        <f>C55+1</f>
        <v>2021</v>
      </c>
      <c r="E55" s="353">
        <f>D55+1</f>
        <v>2022</v>
      </c>
      <c r="F55" s="353">
        <f t="shared" si="6"/>
        <v>2023</v>
      </c>
      <c r="G55" s="353">
        <f t="shared" si="7"/>
        <v>2024</v>
      </c>
      <c r="H55" s="353">
        <f t="shared" si="8"/>
        <v>2025</v>
      </c>
      <c r="I55" s="353">
        <f t="shared" si="9"/>
        <v>2026</v>
      </c>
      <c r="J55" s="353">
        <f t="shared" si="10"/>
        <v>2027</v>
      </c>
      <c r="K55" s="353">
        <f t="shared" si="11"/>
        <v>2028</v>
      </c>
      <c r="L55" s="353">
        <f t="shared" si="12"/>
        <v>2029</v>
      </c>
      <c r="M55" s="353">
        <f t="shared" si="13"/>
        <v>2030</v>
      </c>
      <c r="N55" s="353">
        <f t="shared" si="14"/>
        <v>2031</v>
      </c>
      <c r="O55" s="353">
        <f t="shared" si="15"/>
        <v>2032</v>
      </c>
      <c r="P55" s="353">
        <f t="shared" si="16"/>
        <v>2033</v>
      </c>
      <c r="Q55" s="353">
        <f t="shared" si="17"/>
        <v>2034</v>
      </c>
      <c r="R55" s="353">
        <f t="shared" si="18"/>
        <v>2035</v>
      </c>
      <c r="S55" s="353">
        <f t="shared" si="19"/>
        <v>2036</v>
      </c>
      <c r="T55" s="353">
        <f t="shared" si="20"/>
        <v>2037</v>
      </c>
      <c r="U55" s="353">
        <f t="shared" si="21"/>
        <v>2038</v>
      </c>
      <c r="V55" s="353">
        <f t="shared" si="22"/>
        <v>2039</v>
      </c>
      <c r="W55" s="353">
        <f t="shared" si="23"/>
        <v>2040</v>
      </c>
      <c r="X55" s="353">
        <f t="shared" si="24"/>
        <v>2041</v>
      </c>
      <c r="Y55" s="8"/>
      <c r="Z55" s="8"/>
      <c r="AA55" s="8"/>
      <c r="AB55" s="141"/>
      <c r="AC55" s="8"/>
      <c r="AD55" s="8"/>
      <c r="AE55" s="8"/>
      <c r="AF55" s="8"/>
      <c r="AG55" s="8"/>
      <c r="AH55" s="8"/>
      <c r="AI55" s="8"/>
      <c r="AJ55" s="8"/>
      <c r="AK55" s="8"/>
      <c r="AL55" s="8"/>
      <c r="AM55" s="8"/>
      <c r="AN55" s="8"/>
      <c r="AO55" s="8"/>
    </row>
    <row r="56" spans="1:50" ht="15.75">
      <c r="A56" s="354" t="s">
        <v>469</v>
      </c>
      <c r="B56" s="355">
        <v>11192.217199999999</v>
      </c>
      <c r="C56" s="355">
        <v>3984</v>
      </c>
      <c r="D56" s="356">
        <f ca="1">SIG!E38*(1+$C$27)^-(D54-1)</f>
        <v>2767.3992708330356</v>
      </c>
      <c r="E56" s="356">
        <f ca="1">SIG!F38*(1+$C$27)^-(E54-1)</f>
        <v>16627.355685451887</v>
      </c>
      <c r="F56" s="356">
        <f ca="1">SIG!G38*(1+$C$27)^-(F54-1)</f>
        <v>16445.550742184245</v>
      </c>
      <c r="G56" s="356">
        <f ca="1">SIG!H38*(1+$C$27)^-(G54-1)</f>
        <v>16493.621784579784</v>
      </c>
      <c r="H56" s="356">
        <f ca="1">SIG!I38*(1+$C$27)^-(H54-1)</f>
        <v>16132.08021260557</v>
      </c>
      <c r="I56" s="356">
        <f ca="1">SIG!J38*(1+$C$27)^-(I54-1)</f>
        <v>15771.987738036198</v>
      </c>
      <c r="J56" s="356">
        <f ca="1">SIG!K38*(1+$C$27)^-(J54-1)</f>
        <v>15422.063603270572</v>
      </c>
      <c r="K56" s="356">
        <f ca="1">SIG!L38*(1+$C$27)^-(K54-1)</f>
        <v>15079.804427712521</v>
      </c>
      <c r="L56" s="356">
        <f ca="1">SIG!M38*(1+$C$27)^-(L54-1)</f>
        <v>13393.205406737678</v>
      </c>
      <c r="M56" s="356">
        <f ca="1">SIG!N38*(1+$C$27)^-(M54-1)</f>
        <v>13709.409183758067</v>
      </c>
      <c r="N56" s="356">
        <f ca="1">SIG!O38*(1+$C$27)^-(N54-1)</f>
        <v>11118.759936790286</v>
      </c>
      <c r="O56" s="356">
        <f ca="1">SIG!P38*(1+$C$27)^-(O54-1)</f>
        <v>11214.565724497292</v>
      </c>
      <c r="P56" s="356">
        <f ca="1">SIG!Q38*(1+$C$27)^-(P54-1)</f>
        <v>10884.172444431535</v>
      </c>
      <c r="Q56" s="356">
        <f ca="1">SIG!R38*(1+$C$27)^-(Q54-1)</f>
        <v>11151.232412049783</v>
      </c>
      <c r="R56" s="356">
        <f ca="1">SIG!S38*(1+$C$27)^-(R54-1)</f>
        <v>10794.64974176485</v>
      </c>
      <c r="S56" s="356">
        <f ca="1">SIG!T38*(1+$C$27)^-(S54-1)</f>
        <v>11880.259122395904</v>
      </c>
      <c r="T56" s="356">
        <f ca="1">SIG!U38*(1+$C$27)^-(T54-1)</f>
        <v>11432.300078494125</v>
      </c>
      <c r="U56" s="356">
        <f ca="1">SIG!V38*(1+$C$27)^-(U54-1)</f>
        <v>11121.586366447049</v>
      </c>
      <c r="V56" s="356">
        <f ca="1">SIG!W38*(1+$C$27)^-(V54-1)</f>
        <v>8127.2543708957464</v>
      </c>
      <c r="W56" s="357">
        <f ca="1">SIG!X38*(1+$C$27)^-(W54-1)</f>
        <v>16681.303489316357</v>
      </c>
      <c r="X56" s="357">
        <f ca="1">SIG!Y38*(1+$C$27)^-(X54-1)</f>
        <v>7563.5201861718297</v>
      </c>
      <c r="Y56" s="8"/>
      <c r="Z56" s="8"/>
      <c r="AA56" s="8"/>
      <c r="AB56" s="141">
        <f>AB54+10</f>
        <v>510</v>
      </c>
      <c r="AC56" s="8"/>
      <c r="AD56" s="8"/>
      <c r="AE56" s="8"/>
      <c r="AF56" s="8"/>
      <c r="AG56" s="8"/>
      <c r="AH56" s="8"/>
      <c r="AI56" s="8"/>
      <c r="AJ56" s="8"/>
      <c r="AK56" s="8"/>
      <c r="AL56" s="8"/>
      <c r="AM56" s="8"/>
      <c r="AN56" s="8"/>
      <c r="AO56" s="8"/>
    </row>
    <row r="57" spans="1:50" ht="15.75">
      <c r="A57" s="358" t="s">
        <v>470</v>
      </c>
      <c r="B57" s="355">
        <v>-71339.125777545298</v>
      </c>
      <c r="C57" s="355">
        <v>-67355</v>
      </c>
      <c r="D57" s="325">
        <f ca="1">C57+D56-D18</f>
        <v>-266162.05029916693</v>
      </c>
      <c r="E57" s="325">
        <f t="shared" ref="E57:X57" ca="1" si="25">D57+E56</f>
        <v>-249534.69461371505</v>
      </c>
      <c r="F57" s="325">
        <f t="shared" ca="1" si="25"/>
        <v>-233089.1438715308</v>
      </c>
      <c r="G57" s="325">
        <f t="shared" ca="1" si="25"/>
        <v>-216595.52208695101</v>
      </c>
      <c r="H57" s="325">
        <f t="shared" ca="1" si="25"/>
        <v>-200463.44187434544</v>
      </c>
      <c r="I57" s="325">
        <f t="shared" ca="1" si="25"/>
        <v>-184691.45413630924</v>
      </c>
      <c r="J57" s="325">
        <f t="shared" ca="1" si="25"/>
        <v>-169269.39053303868</v>
      </c>
      <c r="K57" s="325">
        <f t="shared" ca="1" si="25"/>
        <v>-154189.58610532616</v>
      </c>
      <c r="L57" s="325">
        <f t="shared" ca="1" si="25"/>
        <v>-140796.38069858847</v>
      </c>
      <c r="M57" s="325">
        <f t="shared" ca="1" si="25"/>
        <v>-127086.97151483041</v>
      </c>
      <c r="N57" s="325">
        <f t="shared" ca="1" si="25"/>
        <v>-115968.21157804012</v>
      </c>
      <c r="O57" s="325">
        <f t="shared" ca="1" si="25"/>
        <v>-104753.64585354282</v>
      </c>
      <c r="P57" s="325">
        <f t="shared" ca="1" si="25"/>
        <v>-93869.473409111291</v>
      </c>
      <c r="Q57" s="325">
        <f t="shared" ca="1" si="25"/>
        <v>-82718.240997061512</v>
      </c>
      <c r="R57" s="325">
        <f t="shared" ca="1" si="25"/>
        <v>-71923.591255296662</v>
      </c>
      <c r="S57" s="325">
        <f t="shared" ca="1" si="25"/>
        <v>-60043.332132900759</v>
      </c>
      <c r="T57" s="325">
        <f t="shared" ca="1" si="25"/>
        <v>-48611.032054406634</v>
      </c>
      <c r="U57" s="325">
        <f t="shared" ca="1" si="25"/>
        <v>-37489.445687959582</v>
      </c>
      <c r="V57" s="325">
        <f t="shared" ca="1" si="25"/>
        <v>-29362.191317063836</v>
      </c>
      <c r="W57" s="359">
        <f t="shared" ca="1" si="25"/>
        <v>-12680.88782774748</v>
      </c>
      <c r="X57" s="359">
        <f t="shared" ca="1" si="25"/>
        <v>-5117.3676415756499</v>
      </c>
      <c r="Y57" s="8"/>
      <c r="Z57" s="8"/>
      <c r="AA57" s="8"/>
      <c r="AB57" s="141">
        <f t="shared" ref="AB57:AB100" si="26">AB56+10</f>
        <v>520</v>
      </c>
      <c r="AC57" s="8"/>
      <c r="AD57" s="8"/>
      <c r="AE57" s="8"/>
      <c r="AF57" s="8"/>
      <c r="AG57" s="8"/>
      <c r="AH57" s="8"/>
      <c r="AI57" s="8"/>
      <c r="AJ57" s="8"/>
      <c r="AK57" s="8"/>
      <c r="AL57" s="8"/>
      <c r="AM57" s="8"/>
      <c r="AN57" s="8"/>
      <c r="AO57" s="8"/>
    </row>
    <row r="58" spans="1:50" ht="15.75">
      <c r="A58" s="358" t="s">
        <v>471</v>
      </c>
      <c r="B58" s="360"/>
      <c r="C58" s="361">
        <f>-D18</f>
        <v>-201574.44957</v>
      </c>
      <c r="D58" s="325">
        <f>SIG!E38+SIG!E24+SIG!E26</f>
        <v>2710</v>
      </c>
      <c r="E58" s="325">
        <f ca="1">SIG!F38+SIG!F24+SIG!F26</f>
        <v>17478.781272836935</v>
      </c>
      <c r="F58" s="325">
        <f ca="1">SIG!G38+SIG!G24+SIG!G26</f>
        <v>17544.514375973027</v>
      </c>
      <c r="G58" s="325">
        <f ca="1">SIG!H38+SIG!H24+SIG!H26</f>
        <v>17847.99689041021</v>
      </c>
      <c r="H58" s="325">
        <f ca="1">SIG!I38+SIG!I24+SIG!I26</f>
        <v>17723.355255777875</v>
      </c>
      <c r="I58" s="325">
        <f ca="1">SIG!J38+SIG!J24+SIG!J26</f>
        <v>17590.085277269092</v>
      </c>
      <c r="J58" s="325">
        <f ca="1">SIG!K38+SIG!K24+SIG!K26</f>
        <v>17457.589974959716</v>
      </c>
      <c r="K58" s="325">
        <f ca="1">SIG!L38+SIG!L24+SIG!L26</f>
        <v>17323.35886473181</v>
      </c>
      <c r="L58" s="325">
        <f ca="1">SIG!M38+SIG!M24+SIG!M26</f>
        <v>15621.903915581723</v>
      </c>
      <c r="M58" s="325">
        <f ca="1">SIG!N38+SIG!N24+SIG!N26</f>
        <v>16212.089378265984</v>
      </c>
      <c r="N58" s="325">
        <f ca="1">SIG!O38+SIG!O24+SIG!O26</f>
        <v>13427.004523972011</v>
      </c>
      <c r="O58" s="325">
        <f ca="1">SIG!P38+SIG!P24+SIG!P26</f>
        <v>13829.541233016967</v>
      </c>
      <c r="P58" s="325">
        <f ca="1">SIG!Q38+SIG!Q24+SIG!Q26</f>
        <v>13706.395466651793</v>
      </c>
      <c r="Q58" s="325">
        <f ca="1">SIG!R38+SIG!R24+SIG!R26</f>
        <v>14340.135103218849</v>
      </c>
      <c r="R58" s="325">
        <f ca="1">SIG!S38+SIG!S24+SIG!S26</f>
        <v>14175.60039325586</v>
      </c>
      <c r="S58" s="325">
        <f ca="1">SIG!T38+SIG!T24+SIG!T26</f>
        <v>15931.671809038977</v>
      </c>
      <c r="T58" s="325">
        <f ca="1">SIG!U38+SIG!U24+SIG!U26</f>
        <v>15655.667350139194</v>
      </c>
      <c r="U58" s="325">
        <f ca="1">SIG!V38+SIG!V24+SIG!V26</f>
        <v>15552.751736762288</v>
      </c>
      <c r="V58" s="325">
        <f ca="1">SIG!W38+SIG!W24+SIG!W26</f>
        <v>11606.115409533033</v>
      </c>
      <c r="W58" s="359">
        <f ca="1">SIG!X38+SIG!X24+SIG!X26</f>
        <v>24326.271365557222</v>
      </c>
      <c r="X58" s="359">
        <f ca="1">SIG!Y38+SIG!Y24+SIG!Y26</f>
        <v>11263.466326092937</v>
      </c>
      <c r="Y58" s="8"/>
      <c r="Z58" s="8"/>
      <c r="AA58" s="8"/>
      <c r="AB58" s="141">
        <f t="shared" si="26"/>
        <v>530</v>
      </c>
      <c r="AC58" s="8"/>
      <c r="AD58" s="8"/>
      <c r="AE58" s="8"/>
      <c r="AF58" s="8"/>
      <c r="AG58" s="8"/>
      <c r="AH58" s="8"/>
      <c r="AI58" s="8"/>
      <c r="AJ58" s="8"/>
      <c r="AK58" s="8"/>
      <c r="AL58" s="8"/>
      <c r="AM58" s="8"/>
      <c r="AN58" s="8"/>
      <c r="AO58" s="8"/>
    </row>
    <row r="59" spans="1:50" ht="15.75">
      <c r="A59" s="362" t="s">
        <v>472</v>
      </c>
      <c r="B59" s="363"/>
      <c r="C59" s="364">
        <f>-fonds_propres</f>
        <v>-153000</v>
      </c>
      <c r="D59" s="365">
        <f ca="1">SIG!E38-Plan_de_trésorerie!F28-Plan_de_trésorerie!F29-Plan_de_trésorerie!F30</f>
        <v>-3792.4286464693223</v>
      </c>
      <c r="E59" s="365">
        <f ca="1">SIG!F38-Plan_de_trésorerie!G28-Plan_de_trésorerie!G29-Plan_de_trésorerie!G30</f>
        <v>10024.139394962291</v>
      </c>
      <c r="F59" s="365">
        <f ca="1">SIG!G38-Plan_de_trésorerie!H28-Plan_de_trésorerie!H29-Plan_de_trésorerie!H30</f>
        <v>10088.310289616067</v>
      </c>
      <c r="G59" s="365">
        <f ca="1">SIG!H38-Plan_de_trésorerie!I28-Plan_de_trésorerie!I29-Plan_de_trésorerie!I30</f>
        <v>10390.206381339456</v>
      </c>
      <c r="H59" s="365">
        <f ca="1">SIG!I38-Plan_de_trésorerie!J28-Plan_de_trésorerie!J29-Plan_de_trésorerie!J30</f>
        <v>10263.953734441269</v>
      </c>
      <c r="I59" s="365">
        <f ca="1">SIG!J38-Plan_de_trésorerie!K28-Plan_de_trésorerie!K29-Plan_de_trésorerie!K30</f>
        <v>10129.047772976512</v>
      </c>
      <c r="J59" s="365">
        <f ca="1">SIG!K38-Plan_de_trésorerie!L28-Plan_de_trésorerie!L29-Plan_de_trésorerie!L30</f>
        <v>9994.8911299753436</v>
      </c>
      <c r="K59" s="365">
        <f ca="1">SIG!L38-Plan_de_trésorerie!M28-Plan_de_trésorerie!M29-Plan_de_trésorerie!M30</f>
        <v>9858.9729282749231</v>
      </c>
      <c r="L59" s="365">
        <f ca="1">SIG!M38-Plan_de_trésorerie!N28-Plan_de_trésorerie!N29-Plan_de_trésorerie!N30</f>
        <v>15509.658971588869</v>
      </c>
      <c r="M59" s="365">
        <f ca="1">SIG!N38-Plan_de_trésorerie!O28-Plan_de_trésorerie!O29-Plan_de_trésorerie!O30</f>
        <v>16212.089378265984</v>
      </c>
      <c r="N59" s="365">
        <f ca="1">SIG!O38-Plan_de_trésorerie!P28-Plan_de_trésorerie!P29-Plan_de_trésorerie!P30</f>
        <v>13427.004523972011</v>
      </c>
      <c r="O59" s="365">
        <f ca="1">SIG!P38-Plan_de_trésorerie!Q28-Plan_de_trésorerie!Q29-Plan_de_trésorerie!Q30</f>
        <v>13829.541233016967</v>
      </c>
      <c r="P59" s="365">
        <f ca="1">SIG!Q38-Plan_de_trésorerie!R28-Plan_de_trésorerie!R29-Plan_de_trésorerie!R30</f>
        <v>13706.395466651793</v>
      </c>
      <c r="Q59" s="365">
        <f ca="1">SIG!R38-Plan_de_trésorerie!S28-Plan_de_trésorerie!S29-Plan_de_trésorerie!S30</f>
        <v>14340.135103218849</v>
      </c>
      <c r="R59" s="365">
        <f ca="1">SIG!S38-Plan_de_trésorerie!T28-Plan_de_trésorerie!T29-Plan_de_trésorerie!T30</f>
        <v>14175.60039325586</v>
      </c>
      <c r="S59" s="365">
        <f ca="1">SIG!T38-Plan_de_trésorerie!U28-Plan_de_trésorerie!U29-Plan_de_trésorerie!U30</f>
        <v>15931.671809038977</v>
      </c>
      <c r="T59" s="365">
        <f ca="1">SIG!U38-Plan_de_trésorerie!V28-Plan_de_trésorerie!V29-Plan_de_trésorerie!V30</f>
        <v>15655.667350139194</v>
      </c>
      <c r="U59" s="365">
        <f ca="1">SIG!V38-Plan_de_trésorerie!W28-Plan_de_trésorerie!W29-Plan_de_trésorerie!W30</f>
        <v>15552.751736762288</v>
      </c>
      <c r="V59" s="365">
        <f ca="1">SIG!W38-Plan_de_trésorerie!X28-Plan_de_trésorerie!X29-Plan_de_trésorerie!X30</f>
        <v>11606.115409533033</v>
      </c>
      <c r="W59" s="366">
        <f ca="1">SIG!X38-Plan_de_trésorerie!Y28-Plan_de_trésorerie!Y29-Plan_de_trésorerie!Y30</f>
        <v>24326.271365557222</v>
      </c>
      <c r="X59" s="366">
        <f ca="1">SIG!Y38-Plan_de_trésorerie!Z28-Plan_de_trésorerie!Z29-Plan_de_trésorerie!Z30</f>
        <v>11263.466326092937</v>
      </c>
      <c r="Y59" s="8"/>
      <c r="Z59" s="8"/>
      <c r="AA59" s="8"/>
      <c r="AB59" s="141">
        <f t="shared" si="26"/>
        <v>540</v>
      </c>
      <c r="AC59" s="8"/>
      <c r="AD59" s="8"/>
      <c r="AE59" s="8"/>
      <c r="AF59" s="8"/>
      <c r="AG59" s="8"/>
      <c r="AH59" s="8"/>
      <c r="AI59" s="8"/>
      <c r="AJ59" s="8"/>
      <c r="AK59" s="8"/>
      <c r="AL59" s="8"/>
      <c r="AM59" s="8"/>
      <c r="AN59" s="8"/>
      <c r="AO59" s="8"/>
    </row>
    <row r="60" spans="1:50" ht="15.75">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141">
        <f t="shared" si="26"/>
        <v>550</v>
      </c>
      <c r="AC60" s="8"/>
      <c r="AD60" s="8"/>
      <c r="AE60" s="8"/>
      <c r="AF60" s="8"/>
      <c r="AG60" s="8"/>
      <c r="AH60" s="8"/>
      <c r="AI60" s="8"/>
      <c r="AJ60" s="8"/>
      <c r="AK60" s="8"/>
      <c r="AL60" s="8"/>
      <c r="AM60" s="8"/>
      <c r="AN60" s="8"/>
      <c r="AO60" s="8"/>
    </row>
    <row r="61" spans="1:50" ht="15.75">
      <c r="A61" s="1011" t="s">
        <v>446</v>
      </c>
      <c r="B61" s="1011"/>
      <c r="C61" s="1011"/>
      <c r="D61" s="2"/>
      <c r="E61" s="1012" t="s">
        <v>473</v>
      </c>
      <c r="F61" s="1012"/>
      <c r="G61" s="1012"/>
      <c r="H61" s="8"/>
      <c r="I61" s="367" t="s">
        <v>474</v>
      </c>
      <c r="J61" s="368"/>
      <c r="K61" s="368"/>
      <c r="L61" s="368"/>
      <c r="M61" s="368"/>
      <c r="N61" s="368"/>
      <c r="O61" s="369"/>
      <c r="P61" s="8"/>
      <c r="Q61" s="8"/>
      <c r="R61" s="8"/>
      <c r="S61" s="8"/>
      <c r="T61" s="8"/>
      <c r="U61" s="8"/>
      <c r="V61" s="8"/>
      <c r="W61" s="8"/>
      <c r="X61" s="8"/>
      <c r="Y61" s="8"/>
      <c r="Z61" s="8"/>
      <c r="AA61" s="8"/>
      <c r="AB61" s="141">
        <f t="shared" si="26"/>
        <v>560</v>
      </c>
      <c r="AC61" s="8"/>
      <c r="AD61" s="8"/>
      <c r="AE61" s="8"/>
      <c r="AF61" s="8"/>
      <c r="AG61" s="8"/>
      <c r="AH61" s="8"/>
      <c r="AI61" s="8"/>
      <c r="AJ61" s="8"/>
      <c r="AK61" s="8"/>
      <c r="AL61" s="8"/>
      <c r="AM61" s="8"/>
      <c r="AN61" s="8"/>
      <c r="AO61" s="8"/>
    </row>
    <row r="62" spans="1:50" ht="15.75">
      <c r="A62" s="370" t="s">
        <v>475</v>
      </c>
      <c r="B62" s="370"/>
      <c r="C62" s="371">
        <f>SIG!AB41</f>
        <v>1.1499999999999999</v>
      </c>
      <c r="D62" s="2"/>
      <c r="E62" s="1013" t="s">
        <v>476</v>
      </c>
      <c r="F62" s="1013"/>
      <c r="G62" s="372">
        <f ca="1">D37*D36+I37*tx_CCA+B50*C63*0.85</f>
        <v>1.1180542742817483E-2</v>
      </c>
      <c r="H62" s="8"/>
      <c r="I62" s="1006" t="s">
        <v>477</v>
      </c>
      <c r="J62" s="1006"/>
      <c r="K62" s="1006"/>
      <c r="L62" s="1006"/>
      <c r="M62" s="373">
        <f ca="1">X57</f>
        <v>-5117.3676415756499</v>
      </c>
      <c r="N62" s="1007" t="str">
        <f ca="1">IF(M62&lt;0.3,"non viable","viable")</f>
        <v>non viable</v>
      </c>
      <c r="O62" s="1007"/>
      <c r="P62" s="8"/>
      <c r="Q62" s="8"/>
      <c r="R62" s="8"/>
      <c r="S62" s="8"/>
      <c r="T62" s="8"/>
      <c r="U62" s="8"/>
      <c r="V62" s="8"/>
      <c r="W62" s="8"/>
      <c r="X62" s="8"/>
      <c r="Y62" s="8"/>
      <c r="Z62" s="8"/>
      <c r="AA62" s="8"/>
      <c r="AB62" s="141">
        <f t="shared" si="26"/>
        <v>570</v>
      </c>
      <c r="AC62" s="8"/>
      <c r="AD62" s="8"/>
      <c r="AE62" s="8"/>
      <c r="AF62" s="8"/>
      <c r="AG62" s="8"/>
      <c r="AH62" s="8"/>
      <c r="AI62" s="8"/>
      <c r="AJ62" s="8"/>
      <c r="AK62" s="8"/>
      <c r="AL62" s="8"/>
      <c r="AM62" s="8"/>
      <c r="AN62" s="8"/>
      <c r="AO62" s="8"/>
    </row>
    <row r="63" spans="1:50" ht="15.75">
      <c r="A63" s="1014" t="s">
        <v>478</v>
      </c>
      <c r="B63" s="1014"/>
      <c r="C63" s="374">
        <f ca="1">(tx_emprunt1*(emprunt1/dette)+tx_emprunt2*(emprunt2/dette)+tx_AR1*(avance_remb_1/dette)+tx_AR2*(avance_remb_2/dette))</f>
        <v>1.55E-2</v>
      </c>
      <c r="D63" s="2"/>
      <c r="E63" s="1015" t="s">
        <v>479</v>
      </c>
      <c r="F63" s="1015"/>
      <c r="G63" s="375">
        <f ca="1">(G62-i)/(1+i)</f>
        <v>1.1688542008093886E-3</v>
      </c>
      <c r="H63" s="8"/>
      <c r="I63" s="1006" t="s">
        <v>480</v>
      </c>
      <c r="J63" s="1006"/>
      <c r="K63" s="1006"/>
      <c r="L63" s="1006"/>
      <c r="M63" s="374">
        <f ca="1">IRR(C59:X59)</f>
        <v>4.6459598584219775E-2</v>
      </c>
      <c r="N63" s="1016"/>
      <c r="O63" s="1016"/>
      <c r="P63" s="8"/>
      <c r="Q63" s="8"/>
      <c r="R63" s="8"/>
      <c r="S63" s="8"/>
      <c r="T63" s="8"/>
      <c r="U63" s="8"/>
      <c r="V63" s="8"/>
      <c r="W63" s="8"/>
      <c r="X63" s="8"/>
      <c r="Y63" s="8"/>
      <c r="Z63" s="8"/>
      <c r="AA63" s="8"/>
      <c r="AB63" s="141">
        <f t="shared" si="26"/>
        <v>580</v>
      </c>
      <c r="AC63" s="8"/>
      <c r="AD63" s="8"/>
      <c r="AE63" s="8"/>
      <c r="AF63" s="8"/>
      <c r="AG63" s="8"/>
      <c r="AH63" s="8"/>
      <c r="AI63" s="8"/>
      <c r="AJ63" s="8"/>
      <c r="AK63" s="8"/>
      <c r="AL63" s="8"/>
      <c r="AM63" s="8"/>
      <c r="AN63" s="8"/>
      <c r="AO63" s="8"/>
    </row>
    <row r="64" spans="1:50" ht="15.75">
      <c r="A64" s="2"/>
      <c r="B64" s="2"/>
      <c r="C64" s="2"/>
      <c r="D64" s="2"/>
      <c r="E64" s="2"/>
      <c r="F64" s="2"/>
      <c r="G64" s="2"/>
      <c r="H64" s="8"/>
      <c r="I64" s="1006" t="s">
        <v>481</v>
      </c>
      <c r="J64" s="1006"/>
      <c r="K64" s="1006"/>
      <c r="L64" s="1006"/>
      <c r="M64" s="376">
        <f ca="1">IRR(C58:X58)</f>
        <v>4.6184280680860335E-2</v>
      </c>
      <c r="N64" s="1007" t="str">
        <f ca="1">IF(M64&gt;C27,"suffisant","insuffisant")</f>
        <v>suffisant</v>
      </c>
      <c r="O64" s="1007"/>
      <c r="P64" s="8"/>
      <c r="Q64" s="8"/>
      <c r="R64" s="8"/>
      <c r="S64" s="8"/>
      <c r="T64" s="8"/>
      <c r="U64" s="8"/>
      <c r="V64" s="8"/>
      <c r="W64" s="8"/>
      <c r="X64" s="8"/>
      <c r="Y64" s="8"/>
      <c r="Z64" s="8"/>
      <c r="AA64" s="8"/>
      <c r="AB64" s="141">
        <f t="shared" si="26"/>
        <v>590</v>
      </c>
      <c r="AC64" s="8"/>
      <c r="AD64" s="8"/>
      <c r="AE64" s="8"/>
      <c r="AF64" s="8"/>
      <c r="AG64" s="8"/>
      <c r="AH64" s="8"/>
      <c r="AI64" s="8"/>
      <c r="AJ64" s="8"/>
      <c r="AK64" s="8"/>
      <c r="AL64" s="8"/>
      <c r="AM64" s="8"/>
      <c r="AN64" s="8"/>
      <c r="AO64" s="8"/>
    </row>
    <row r="65" spans="1:41" ht="15.75">
      <c r="A65" s="2"/>
      <c r="B65" s="2"/>
      <c r="C65" s="2"/>
      <c r="D65" s="2"/>
      <c r="E65" s="2"/>
      <c r="F65" s="2"/>
      <c r="G65" s="2"/>
      <c r="H65" s="8"/>
      <c r="I65" s="1006" t="s">
        <v>482</v>
      </c>
      <c r="J65" s="1006"/>
      <c r="K65" s="1006"/>
      <c r="L65" s="1006"/>
      <c r="M65" s="374">
        <f ca="1">AVERAGE(SIG!E46:Y46)</f>
        <v>1.6659837379236517E-2</v>
      </c>
      <c r="N65" s="1008"/>
      <c r="O65" s="1008"/>
      <c r="P65" s="8"/>
      <c r="Q65" s="8"/>
      <c r="R65" s="8"/>
      <c r="S65" s="8"/>
      <c r="T65" s="8"/>
      <c r="U65" s="8"/>
      <c r="V65" s="8"/>
      <c r="W65" s="8"/>
      <c r="X65" s="8"/>
      <c r="Y65" s="8"/>
      <c r="Z65" s="8"/>
      <c r="AA65" s="8"/>
      <c r="AB65" s="141">
        <f t="shared" si="26"/>
        <v>600</v>
      </c>
      <c r="AC65" s="8"/>
      <c r="AD65" s="8"/>
      <c r="AE65" s="8"/>
      <c r="AF65" s="8"/>
      <c r="AG65" s="8"/>
      <c r="AH65" s="8"/>
      <c r="AI65" s="8"/>
      <c r="AJ65" s="8"/>
      <c r="AK65" s="8"/>
      <c r="AL65" s="8"/>
      <c r="AM65" s="8"/>
      <c r="AN65" s="8"/>
      <c r="AO65" s="8"/>
    </row>
    <row r="66" spans="1:41" ht="15.75">
      <c r="A66" s="1009" t="s">
        <v>483</v>
      </c>
      <c r="B66" s="1009"/>
      <c r="C66" s="1009"/>
      <c r="D66" s="27"/>
      <c r="E66" s="203"/>
      <c r="F66" s="2"/>
      <c r="G66" s="2"/>
      <c r="H66" s="8"/>
      <c r="I66" s="1006" t="s">
        <v>484</v>
      </c>
      <c r="J66" s="1006"/>
      <c r="K66" s="1006"/>
      <c r="L66" s="1006"/>
      <c r="M66" s="134">
        <f ca="1">AVERAGE(SIG!E45:Y45)</f>
        <v>1.3760403277954055E-2</v>
      </c>
      <c r="N66" s="1010" t="str">
        <f ca="1">IF(M66&gt;C63,"effet de levier","pas d'effet levier")</f>
        <v>pas d'effet levier</v>
      </c>
      <c r="O66" s="1010"/>
      <c r="P66" s="8"/>
      <c r="Q66" s="8"/>
      <c r="R66" s="8"/>
      <c r="S66" s="8"/>
      <c r="T66" s="8"/>
      <c r="U66" s="8"/>
      <c r="V66" s="8"/>
      <c r="W66" s="8"/>
      <c r="X66" s="8"/>
      <c r="Y66" s="8"/>
      <c r="Z66" s="8"/>
      <c r="AA66" s="8"/>
      <c r="AB66" s="141">
        <f t="shared" si="26"/>
        <v>610</v>
      </c>
      <c r="AC66" s="8"/>
      <c r="AD66" s="8"/>
      <c r="AE66" s="8"/>
      <c r="AF66" s="8"/>
      <c r="AG66" s="8"/>
      <c r="AH66" s="8"/>
      <c r="AI66" s="8"/>
      <c r="AJ66" s="8"/>
      <c r="AK66" s="8"/>
      <c r="AL66" s="8"/>
      <c r="AM66" s="8"/>
      <c r="AN66" s="8"/>
      <c r="AO66" s="8"/>
    </row>
    <row r="67" spans="1:41" ht="15.75">
      <c r="A67" s="377" t="s">
        <v>485</v>
      </c>
      <c r="B67" s="378"/>
      <c r="C67" s="379">
        <f>(D7+D9)/(Installations!K90*1000)</f>
        <v>0.66628971702317297</v>
      </c>
      <c r="D67" s="202"/>
      <c r="E67" s="380"/>
      <c r="F67" s="2"/>
      <c r="G67" s="2"/>
      <c r="H67" s="8"/>
      <c r="I67" s="1006" t="s">
        <v>486</v>
      </c>
      <c r="J67" s="1006"/>
      <c r="K67" s="1006"/>
      <c r="L67" s="1006"/>
      <c r="M67" s="381">
        <f ca="1">IF(COUNTIF(D57:X57,"&lt;0")=20,"&gt;20 ans",COUNTIF(D57:X57,"&lt;0"))</f>
        <v>21</v>
      </c>
      <c r="N67" s="1010" t="str">
        <f ca="1">IF(M67&gt;20,"trop long","amorti en 20 ans")</f>
        <v>trop long</v>
      </c>
      <c r="O67" s="1010"/>
      <c r="P67" s="8"/>
      <c r="Q67" s="8"/>
      <c r="R67" s="8"/>
      <c r="S67" s="8"/>
      <c r="T67" s="8"/>
      <c r="U67" s="8"/>
      <c r="V67" s="8"/>
      <c r="W67" s="8"/>
      <c r="X67" s="8"/>
      <c r="Y67" s="8"/>
      <c r="Z67" s="8"/>
      <c r="AA67" s="8"/>
      <c r="AB67" s="141">
        <f t="shared" si="26"/>
        <v>620</v>
      </c>
      <c r="AC67" s="8"/>
      <c r="AD67" s="8"/>
      <c r="AE67" s="8"/>
      <c r="AF67" s="8"/>
      <c r="AG67" s="8"/>
      <c r="AH67" s="8"/>
      <c r="AI67" s="8"/>
      <c r="AJ67" s="8"/>
      <c r="AK67" s="8"/>
      <c r="AL67" s="8"/>
      <c r="AM67" s="8"/>
      <c r="AN67" s="8"/>
      <c r="AO67" s="8"/>
    </row>
    <row r="68" spans="1:41" ht="15.75">
      <c r="A68" s="382" t="s">
        <v>487</v>
      </c>
      <c r="B68" s="383"/>
      <c r="C68" s="384">
        <f ca="1">coût_total/(1000*Installations!K90)</f>
        <v>1.1228523260360963</v>
      </c>
      <c r="D68" s="202"/>
      <c r="E68" s="2"/>
      <c r="F68" s="2"/>
      <c r="G68" s="2"/>
      <c r="H68" s="8"/>
      <c r="I68" s="1003" t="s">
        <v>488</v>
      </c>
      <c r="J68" s="1003"/>
      <c r="K68" s="1003"/>
      <c r="L68" s="1003"/>
      <c r="M68" s="385">
        <f ca="1">AVERAGE(SIG!E43:Y43)</f>
        <v>8.8477671375214121E-3</v>
      </c>
      <c r="N68" s="1004" t="str">
        <f ca="1">IF(M68&gt;0.03,"OK","inférieur à 3%")</f>
        <v>inférieur à 3%</v>
      </c>
      <c r="O68" s="1004"/>
      <c r="P68" s="8"/>
      <c r="Q68" s="8"/>
      <c r="R68" s="8"/>
      <c r="S68" s="8"/>
      <c r="T68" s="8"/>
      <c r="U68" s="8"/>
      <c r="V68" s="8"/>
      <c r="W68" s="8"/>
      <c r="X68" s="8"/>
      <c r="Y68" s="8"/>
      <c r="Z68" s="8"/>
      <c r="AA68" s="8"/>
      <c r="AB68" s="141">
        <f t="shared" si="26"/>
        <v>630</v>
      </c>
      <c r="AC68" s="8"/>
      <c r="AD68" s="8"/>
      <c r="AE68" s="8"/>
      <c r="AF68" s="8"/>
      <c r="AG68" s="8"/>
      <c r="AH68" s="8"/>
      <c r="AI68" s="8"/>
      <c r="AJ68" s="8"/>
      <c r="AK68" s="8"/>
      <c r="AL68" s="8"/>
      <c r="AM68" s="8"/>
      <c r="AN68" s="8"/>
      <c r="AO68" s="8"/>
    </row>
    <row r="69" spans="1:41" ht="15.75">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141">
        <f t="shared" si="26"/>
        <v>640</v>
      </c>
      <c r="AC69" s="8"/>
      <c r="AD69" s="8"/>
      <c r="AE69" s="8"/>
      <c r="AF69" s="8"/>
      <c r="AG69" s="8"/>
      <c r="AH69" s="8"/>
      <c r="AI69" s="8"/>
      <c r="AJ69" s="8"/>
      <c r="AK69" s="8"/>
      <c r="AL69" s="8"/>
      <c r="AM69" s="8"/>
      <c r="AN69" s="8"/>
      <c r="AO69" s="8"/>
    </row>
    <row r="70" spans="1:41" ht="47.8" thickBot="1">
      <c r="A70" s="8"/>
      <c r="B70" s="8"/>
      <c r="C70" s="8"/>
      <c r="D70" s="8"/>
      <c r="E70" s="8"/>
      <c r="F70" s="8"/>
      <c r="G70" s="8"/>
      <c r="H70" s="8"/>
      <c r="I70" s="1005" t="s">
        <v>474</v>
      </c>
      <c r="J70" s="1005"/>
      <c r="K70" s="1005"/>
      <c r="L70" s="1005"/>
      <c r="M70" s="386" t="s">
        <v>489</v>
      </c>
      <c r="N70" s="387" t="s">
        <v>490</v>
      </c>
      <c r="O70" s="388" t="s">
        <v>491</v>
      </c>
      <c r="P70" s="388" t="s">
        <v>492</v>
      </c>
      <c r="Q70" s="388"/>
      <c r="R70" s="388"/>
      <c r="S70" s="388"/>
      <c r="T70" s="8"/>
      <c r="U70" s="8"/>
      <c r="V70" s="8"/>
      <c r="W70" s="8"/>
      <c r="X70" s="8"/>
      <c r="Y70" s="8"/>
      <c r="Z70" s="8"/>
      <c r="AA70" s="8"/>
      <c r="AB70" s="141">
        <f t="shared" si="26"/>
        <v>650</v>
      </c>
      <c r="AC70" s="8"/>
      <c r="AD70" s="8"/>
      <c r="AE70" s="8"/>
      <c r="AF70" s="8"/>
      <c r="AG70" s="8"/>
      <c r="AH70" s="8"/>
      <c r="AI70" s="8"/>
      <c r="AJ70" s="8"/>
      <c r="AK70" s="8"/>
      <c r="AL70" s="8"/>
      <c r="AM70" s="8"/>
      <c r="AN70" s="8"/>
      <c r="AO70" s="8"/>
    </row>
    <row r="71" spans="1:41" ht="15.75">
      <c r="A71" s="8"/>
      <c r="B71" s="8"/>
      <c r="C71" s="8"/>
      <c r="D71" s="8"/>
      <c r="E71" s="8"/>
      <c r="F71" s="8"/>
      <c r="G71" s="8"/>
      <c r="H71" s="8"/>
      <c r="I71" s="1006" t="s">
        <v>477</v>
      </c>
      <c r="J71" s="1006"/>
      <c r="K71" s="1006"/>
      <c r="L71" s="1006"/>
      <c r="M71" s="389">
        <v>-17586.742628611137</v>
      </c>
      <c r="N71" s="389">
        <v>-14243.455346783767</v>
      </c>
      <c r="O71" s="373">
        <f ca="1">M62</f>
        <v>-5117.3676415756499</v>
      </c>
      <c r="P71" s="390">
        <f ca="1">O71-N71</f>
        <v>9126.0877052081159</v>
      </c>
      <c r="Q71" s="390"/>
      <c r="R71" s="390"/>
      <c r="S71" s="390"/>
      <c r="T71" s="8"/>
      <c r="U71" s="8"/>
      <c r="V71" s="8"/>
      <c r="W71" s="8"/>
      <c r="X71" s="8"/>
      <c r="Y71" s="8"/>
      <c r="Z71" s="8"/>
      <c r="AA71" s="8"/>
      <c r="AB71" s="141">
        <f t="shared" si="26"/>
        <v>660</v>
      </c>
      <c r="AC71" s="8"/>
      <c r="AD71" s="8"/>
      <c r="AE71" s="8"/>
      <c r="AF71" s="8"/>
      <c r="AG71" s="8"/>
      <c r="AH71" s="8"/>
      <c r="AI71" s="8"/>
      <c r="AJ71" s="8"/>
      <c r="AK71" s="8"/>
      <c r="AL71" s="8"/>
      <c r="AM71" s="8"/>
      <c r="AN71" s="8"/>
      <c r="AO71" s="8"/>
    </row>
    <row r="72" spans="1:41" ht="15.75">
      <c r="A72" s="8"/>
      <c r="B72" s="8"/>
      <c r="C72" s="8"/>
      <c r="D72" s="8"/>
      <c r="E72" s="8"/>
      <c r="F72" s="8"/>
      <c r="G72" s="8"/>
      <c r="H72" s="8"/>
      <c r="I72" s="1006" t="s">
        <v>480</v>
      </c>
      <c r="J72" s="1006"/>
      <c r="K72" s="1006"/>
      <c r="L72" s="1006"/>
      <c r="M72" s="391">
        <v>-0.11620407778608699</v>
      </c>
      <c r="N72" s="391">
        <v>-6.5361289713064319E-2</v>
      </c>
      <c r="O72" s="374">
        <f t="shared" ref="O72:O77" ca="1" si="27">M63</f>
        <v>4.6459598584219775E-2</v>
      </c>
      <c r="P72" s="392" t="s">
        <v>230</v>
      </c>
      <c r="Q72" s="393"/>
      <c r="R72" s="394"/>
      <c r="S72" s="395"/>
      <c r="T72" s="8"/>
      <c r="U72" s="8"/>
      <c r="V72" s="8"/>
      <c r="W72" s="8"/>
      <c r="X72" s="8"/>
      <c r="Y72" s="8"/>
      <c r="Z72" s="8"/>
      <c r="AA72" s="8"/>
      <c r="AB72" s="141">
        <f t="shared" si="26"/>
        <v>670</v>
      </c>
      <c r="AC72" s="8"/>
      <c r="AD72" s="8"/>
      <c r="AE72" s="8"/>
      <c r="AF72" s="8"/>
      <c r="AG72" s="8"/>
      <c r="AH72" s="8"/>
      <c r="AI72" s="8"/>
      <c r="AJ72" s="8"/>
      <c r="AK72" s="8"/>
      <c r="AL72" s="8"/>
      <c r="AM72" s="8"/>
      <c r="AN72" s="8"/>
      <c r="AO72" s="8"/>
    </row>
    <row r="73" spans="1:41" ht="15.75">
      <c r="A73" s="8"/>
      <c r="B73" s="8"/>
      <c r="C73" s="8"/>
      <c r="D73" s="8"/>
      <c r="E73" s="8"/>
      <c r="F73" s="8"/>
      <c r="G73" s="8"/>
      <c r="H73" s="8"/>
      <c r="I73" s="1006" t="s">
        <v>481</v>
      </c>
      <c r="J73" s="1006"/>
      <c r="K73" s="1006"/>
      <c r="L73" s="1006"/>
      <c r="M73" s="396" t="e">
        <v>#NUM!</v>
      </c>
      <c r="N73" s="396">
        <v>0.10335489031739442</v>
      </c>
      <c r="O73" s="376">
        <f t="shared" ca="1" si="27"/>
        <v>4.6184280680860335E-2</v>
      </c>
      <c r="P73" s="392">
        <f t="shared" ref="P73:P77" ca="1" si="28">O73-N73</f>
        <v>-5.7170609636534087E-2</v>
      </c>
      <c r="Q73" s="394"/>
      <c r="R73" s="394"/>
      <c r="S73" s="394"/>
      <c r="T73" s="8"/>
      <c r="U73" s="8"/>
      <c r="V73" s="8"/>
      <c r="W73" s="8"/>
      <c r="X73" s="8"/>
      <c r="Y73" s="8"/>
      <c r="Z73" s="8"/>
      <c r="AA73" s="8"/>
      <c r="AB73" s="141">
        <f t="shared" si="26"/>
        <v>680</v>
      </c>
      <c r="AC73" s="8"/>
      <c r="AD73" s="8"/>
      <c r="AE73" s="8"/>
      <c r="AF73" s="8"/>
      <c r="AG73" s="8"/>
      <c r="AH73" s="8"/>
      <c r="AI73" s="8"/>
      <c r="AJ73" s="8"/>
      <c r="AK73" s="8"/>
      <c r="AL73" s="8"/>
      <c r="AM73" s="8"/>
      <c r="AN73" s="8"/>
      <c r="AO73" s="8"/>
    </row>
    <row r="74" spans="1:41" ht="15.75">
      <c r="A74" s="8"/>
      <c r="B74" s="8"/>
      <c r="C74" s="8"/>
      <c r="D74" s="8"/>
      <c r="E74" s="8"/>
      <c r="F74" s="8"/>
      <c r="G74" s="8"/>
      <c r="H74" s="8"/>
      <c r="I74" s="1006" t="s">
        <v>482</v>
      </c>
      <c r="J74" s="1006"/>
      <c r="K74" s="1006"/>
      <c r="L74" s="1006"/>
      <c r="M74" s="391">
        <v>3.6545421243874099E-3</v>
      </c>
      <c r="N74" s="391">
        <v>5.0642867484253741E-3</v>
      </c>
      <c r="O74" s="374">
        <f t="shared" ca="1" si="27"/>
        <v>1.6659837379236517E-2</v>
      </c>
      <c r="P74" s="392">
        <f t="shared" ca="1" si="28"/>
        <v>1.1595550630811143E-2</v>
      </c>
      <c r="Q74" s="394"/>
      <c r="R74" s="394"/>
      <c r="S74" s="394"/>
      <c r="T74" s="8"/>
      <c r="U74" s="8"/>
      <c r="V74" s="8"/>
      <c r="W74" s="8"/>
      <c r="X74" s="8"/>
      <c r="Y74" s="8"/>
      <c r="Z74" s="8"/>
      <c r="AA74" s="8"/>
      <c r="AB74" s="141">
        <f t="shared" si="26"/>
        <v>690</v>
      </c>
      <c r="AC74" s="8"/>
      <c r="AD74" s="8"/>
      <c r="AE74" s="8"/>
      <c r="AF74" s="8"/>
      <c r="AG74" s="8"/>
      <c r="AH74" s="8"/>
      <c r="AI74" s="8"/>
      <c r="AJ74" s="8"/>
      <c r="AK74" s="8"/>
      <c r="AL74" s="8"/>
      <c r="AM74" s="8"/>
      <c r="AN74" s="8"/>
      <c r="AO74" s="8"/>
    </row>
    <row r="75" spans="1:41" ht="15.75">
      <c r="A75" s="8"/>
      <c r="B75" s="8"/>
      <c r="C75" s="8"/>
      <c r="D75" s="8"/>
      <c r="E75" s="8"/>
      <c r="F75" s="8"/>
      <c r="G75" s="8"/>
      <c r="H75" s="8"/>
      <c r="I75" s="1006" t="s">
        <v>484</v>
      </c>
      <c r="J75" s="1006"/>
      <c r="K75" s="1006"/>
      <c r="L75" s="1006"/>
      <c r="M75" s="397">
        <v>2.608008212115466E-3</v>
      </c>
      <c r="N75" s="397">
        <v>3.0582655022798437E-3</v>
      </c>
      <c r="O75" s="134">
        <f t="shared" ca="1" si="27"/>
        <v>1.3760403277954055E-2</v>
      </c>
      <c r="P75" s="392">
        <f t="shared" ca="1" si="28"/>
        <v>1.0702137775674211E-2</v>
      </c>
      <c r="Q75" s="394"/>
      <c r="R75" s="394"/>
      <c r="S75" s="394"/>
      <c r="T75" s="8"/>
      <c r="U75" s="8"/>
      <c r="V75" s="8"/>
      <c r="W75" s="8"/>
      <c r="X75" s="8"/>
      <c r="Y75" s="8"/>
      <c r="Z75" s="8"/>
      <c r="AA75" s="8"/>
      <c r="AB75" s="141">
        <f t="shared" si="26"/>
        <v>700</v>
      </c>
      <c r="AC75" s="8"/>
      <c r="AD75" s="8"/>
      <c r="AE75" s="8"/>
      <c r="AF75" s="8"/>
      <c r="AG75" s="8"/>
      <c r="AH75" s="8"/>
      <c r="AI75" s="8"/>
      <c r="AJ75" s="8"/>
      <c r="AK75" s="8"/>
      <c r="AL75" s="8"/>
      <c r="AM75" s="8"/>
      <c r="AN75" s="8"/>
      <c r="AO75" s="8"/>
    </row>
    <row r="76" spans="1:41" ht="15.75">
      <c r="A76" s="8"/>
      <c r="B76" s="8"/>
      <c r="C76" s="8"/>
      <c r="D76" s="8"/>
      <c r="E76" s="8"/>
      <c r="F76" s="8"/>
      <c r="G76" s="8"/>
      <c r="H76" s="8"/>
      <c r="I76" s="1006" t="s">
        <v>486</v>
      </c>
      <c r="J76" s="1006"/>
      <c r="K76" s="1006"/>
      <c r="L76" s="1006"/>
      <c r="M76" s="398">
        <v>21</v>
      </c>
      <c r="N76" s="398">
        <v>21</v>
      </c>
      <c r="O76" s="381">
        <f t="shared" ca="1" si="27"/>
        <v>21</v>
      </c>
      <c r="P76" s="399" t="s">
        <v>230</v>
      </c>
      <c r="Q76" s="399"/>
      <c r="R76" s="399"/>
      <c r="S76" s="399"/>
      <c r="T76" s="8"/>
      <c r="U76" s="8"/>
      <c r="V76" s="8"/>
      <c r="W76" s="8"/>
      <c r="X76" s="8"/>
      <c r="Y76" s="8"/>
      <c r="Z76" s="8"/>
      <c r="AA76" s="8"/>
      <c r="AB76" s="141">
        <f t="shared" si="26"/>
        <v>710</v>
      </c>
      <c r="AC76" s="8"/>
      <c r="AD76" s="8"/>
      <c r="AE76" s="8"/>
      <c r="AF76" s="8"/>
      <c r="AG76" s="8"/>
      <c r="AH76" s="8"/>
      <c r="AI76" s="8"/>
      <c r="AJ76" s="8"/>
      <c r="AK76" s="8"/>
      <c r="AL76" s="8"/>
      <c r="AM76" s="8"/>
      <c r="AN76" s="8"/>
      <c r="AO76" s="8"/>
    </row>
    <row r="77" spans="1:41" ht="16.399999999999999" thickBot="1">
      <c r="A77" s="8"/>
      <c r="B77" s="8"/>
      <c r="C77" s="8"/>
      <c r="D77" s="8"/>
      <c r="E77" s="8"/>
      <c r="F77" s="8"/>
      <c r="G77" s="8"/>
      <c r="H77" s="8"/>
      <c r="I77" s="1003" t="s">
        <v>488</v>
      </c>
      <c r="J77" s="1003"/>
      <c r="K77" s="1003"/>
      <c r="L77" s="1003"/>
      <c r="M77" s="400">
        <v>2.0122639845301955E-3</v>
      </c>
      <c r="N77" s="400">
        <v>2.7884975694179798E-3</v>
      </c>
      <c r="O77" s="385">
        <f t="shared" ca="1" si="27"/>
        <v>8.8477671375214121E-3</v>
      </c>
      <c r="P77" s="401">
        <f t="shared" ca="1" si="28"/>
        <v>6.0592695681034323E-3</v>
      </c>
      <c r="Q77" s="402"/>
      <c r="R77" s="402"/>
      <c r="S77" s="402"/>
      <c r="T77" s="8"/>
      <c r="U77" s="8"/>
      <c r="V77" s="8"/>
      <c r="W77" s="8"/>
      <c r="X77" s="8"/>
      <c r="Y77" s="8"/>
      <c r="Z77" s="8"/>
      <c r="AA77" s="8"/>
      <c r="AB77" s="141">
        <f t="shared" si="26"/>
        <v>720</v>
      </c>
      <c r="AC77" s="8"/>
      <c r="AD77" s="8"/>
      <c r="AE77" s="8"/>
      <c r="AF77" s="8"/>
      <c r="AG77" s="8"/>
      <c r="AH77" s="8"/>
      <c r="AI77" s="8"/>
      <c r="AJ77" s="8"/>
      <c r="AK77" s="8"/>
      <c r="AL77" s="8"/>
      <c r="AM77" s="8"/>
      <c r="AN77" s="8"/>
      <c r="AO77" s="8"/>
    </row>
    <row r="78" spans="1:41" ht="15.75">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141">
        <f t="shared" si="26"/>
        <v>730</v>
      </c>
      <c r="AC78" s="8"/>
      <c r="AD78" s="8"/>
      <c r="AE78" s="8"/>
      <c r="AF78" s="8"/>
      <c r="AG78" s="8"/>
      <c r="AH78" s="8"/>
      <c r="AI78" s="8"/>
      <c r="AJ78" s="8"/>
      <c r="AK78" s="8"/>
      <c r="AL78" s="8"/>
      <c r="AM78" s="8"/>
      <c r="AN78" s="8"/>
      <c r="AO78" s="8"/>
    </row>
    <row r="79" spans="1:41" ht="15.75">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141">
        <f t="shared" si="26"/>
        <v>740</v>
      </c>
      <c r="AC79" s="8"/>
      <c r="AD79" s="8"/>
      <c r="AE79" s="8"/>
      <c r="AF79" s="8"/>
      <c r="AG79" s="8"/>
      <c r="AH79" s="8"/>
      <c r="AI79" s="8"/>
      <c r="AJ79" s="8"/>
      <c r="AK79" s="8"/>
      <c r="AL79" s="8"/>
      <c r="AM79" s="8"/>
      <c r="AN79" s="8"/>
      <c r="AO79" s="8"/>
    </row>
    <row r="80" spans="1:41" ht="16.399999999999999" thickBo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141">
        <f t="shared" si="26"/>
        <v>750</v>
      </c>
      <c r="AC80" s="8"/>
      <c r="AD80" s="8"/>
      <c r="AE80" s="8"/>
      <c r="AF80" s="8"/>
      <c r="AG80" s="8"/>
      <c r="AH80" s="8"/>
      <c r="AI80" s="8"/>
      <c r="AJ80" s="8"/>
      <c r="AK80" s="8"/>
      <c r="AL80" s="8"/>
      <c r="AM80" s="8"/>
      <c r="AN80" s="8"/>
      <c r="AO80" s="8"/>
    </row>
    <row r="81" spans="1:41" ht="15.75">
      <c r="A81" s="8"/>
      <c r="B81" s="8"/>
      <c r="C81" s="8"/>
      <c r="D81" s="8"/>
      <c r="E81" s="8"/>
      <c r="F81" s="8"/>
      <c r="G81" s="8"/>
      <c r="H81" s="8"/>
      <c r="I81" s="8"/>
      <c r="J81" s="8"/>
      <c r="K81" s="8"/>
      <c r="L81" s="8"/>
      <c r="M81" s="373">
        <v>-9879.2768273936308</v>
      </c>
      <c r="N81" s="390">
        <v>4364.178519390136</v>
      </c>
      <c r="O81" s="373">
        <v>-5309.6230392041616</v>
      </c>
      <c r="P81" s="390">
        <v>8933.8323075796052</v>
      </c>
      <c r="Q81" s="8"/>
      <c r="R81" s="8"/>
      <c r="S81" s="8"/>
      <c r="T81" s="8"/>
      <c r="U81" s="8"/>
      <c r="V81" s="8"/>
      <c r="W81" s="8"/>
      <c r="X81" s="8"/>
      <c r="Y81" s="8"/>
      <c r="Z81" s="8"/>
      <c r="AA81" s="8"/>
      <c r="AB81" s="141">
        <f t="shared" si="26"/>
        <v>760</v>
      </c>
      <c r="AC81" s="8"/>
      <c r="AD81" s="8"/>
      <c r="AE81" s="8"/>
      <c r="AF81" s="8"/>
      <c r="AG81" s="8"/>
      <c r="AH81" s="8"/>
      <c r="AI81" s="8"/>
      <c r="AJ81" s="8"/>
      <c r="AK81" s="8"/>
      <c r="AL81" s="8"/>
      <c r="AM81" s="8"/>
      <c r="AN81" s="8"/>
      <c r="AO81" s="8"/>
    </row>
    <row r="82" spans="1:41" ht="15.75">
      <c r="A82" s="8"/>
      <c r="B82" s="8"/>
      <c r="C82" s="8"/>
      <c r="D82" s="8"/>
      <c r="E82" s="8"/>
      <c r="F82" s="8"/>
      <c r="G82" s="8"/>
      <c r="H82" s="8"/>
      <c r="I82" s="8"/>
      <c r="J82" s="8"/>
      <c r="K82" s="8"/>
      <c r="L82" s="8"/>
      <c r="M82" s="374">
        <v>4.3701494452347944E-2</v>
      </c>
      <c r="N82" s="392" t="s">
        <v>230</v>
      </c>
      <c r="O82" s="374">
        <v>2.369877787664687E-2</v>
      </c>
      <c r="P82" s="392" t="s">
        <v>230</v>
      </c>
      <c r="Q82" s="8"/>
      <c r="R82" s="8"/>
      <c r="S82" s="8"/>
      <c r="T82" s="8"/>
      <c r="U82" s="8"/>
      <c r="V82" s="8"/>
      <c r="W82" s="8"/>
      <c r="X82" s="8"/>
      <c r="Y82" s="8"/>
      <c r="Z82" s="8"/>
      <c r="AA82" s="8"/>
      <c r="AB82" s="141">
        <f t="shared" si="26"/>
        <v>770</v>
      </c>
      <c r="AC82" s="8"/>
      <c r="AD82" s="8"/>
      <c r="AE82" s="8"/>
      <c r="AF82" s="8"/>
      <c r="AG82" s="8"/>
      <c r="AH82" s="8"/>
      <c r="AI82" s="8"/>
      <c r="AJ82" s="8"/>
      <c r="AK82" s="8"/>
      <c r="AL82" s="8"/>
      <c r="AM82" s="8"/>
      <c r="AN82" s="8"/>
      <c r="AO82" s="8"/>
    </row>
    <row r="83" spans="1:41" ht="15.75">
      <c r="A83" s="8"/>
      <c r="B83" s="8"/>
      <c r="C83" s="8"/>
      <c r="D83" s="8"/>
      <c r="E83" s="8"/>
      <c r="F83" s="8"/>
      <c r="G83" s="8"/>
      <c r="H83" s="8"/>
      <c r="I83" s="8"/>
      <c r="J83" s="8"/>
      <c r="K83" s="8"/>
      <c r="L83" s="8"/>
      <c r="M83" s="376">
        <v>4.3165715195227383E-2</v>
      </c>
      <c r="N83" s="392">
        <v>-6.0189175122167038E-2</v>
      </c>
      <c r="O83" s="376">
        <v>4.3259537632251099E-2</v>
      </c>
      <c r="P83" s="392">
        <v>-6.0095352685143322E-2</v>
      </c>
      <c r="Q83" s="8"/>
      <c r="R83" s="8"/>
      <c r="S83" s="8"/>
      <c r="T83" s="8"/>
      <c r="U83" s="8"/>
      <c r="V83" s="8"/>
      <c r="W83" s="8"/>
      <c r="X83" s="8"/>
      <c r="Y83" s="8"/>
      <c r="Z83" s="8"/>
      <c r="AA83" s="8"/>
      <c r="AB83" s="141">
        <f t="shared" si="26"/>
        <v>780</v>
      </c>
      <c r="AC83" s="8"/>
      <c r="AD83" s="8"/>
      <c r="AE83" s="8"/>
      <c r="AF83" s="8"/>
      <c r="AG83" s="8"/>
      <c r="AH83" s="8"/>
      <c r="AI83" s="8"/>
      <c r="AJ83" s="8"/>
      <c r="AK83" s="8"/>
      <c r="AL83" s="8"/>
      <c r="AM83" s="8"/>
      <c r="AN83" s="8"/>
      <c r="AO83" s="8"/>
    </row>
    <row r="84" spans="1:41" ht="15.75">
      <c r="A84" s="8"/>
      <c r="B84" s="8"/>
      <c r="C84" s="8"/>
      <c r="D84" s="8"/>
      <c r="E84" s="8"/>
      <c r="F84" s="8"/>
      <c r="G84" s="8"/>
      <c r="H84" s="8"/>
      <c r="I84" s="8"/>
      <c r="J84" s="8"/>
      <c r="K84" s="8"/>
      <c r="L84" s="8"/>
      <c r="M84" s="374">
        <v>1.5895951534625127E-2</v>
      </c>
      <c r="N84" s="392">
        <v>1.0831664786199752E-2</v>
      </c>
      <c r="O84" s="374">
        <v>1.6408265397079999E-2</v>
      </c>
      <c r="P84" s="392">
        <v>1.1343978648654624E-2</v>
      </c>
      <c r="Q84" s="8"/>
      <c r="R84" s="8"/>
      <c r="S84" s="8"/>
      <c r="T84" s="8"/>
      <c r="U84" s="8"/>
      <c r="V84" s="8"/>
      <c r="W84" s="8"/>
      <c r="X84" s="8"/>
      <c r="Y84" s="8"/>
      <c r="Z84" s="8"/>
      <c r="AA84" s="8"/>
      <c r="AB84" s="141">
        <f t="shared" si="26"/>
        <v>790</v>
      </c>
      <c r="AC84" s="8"/>
      <c r="AD84" s="8"/>
      <c r="AE84" s="8"/>
      <c r="AF84" s="8"/>
      <c r="AG84" s="8"/>
      <c r="AH84" s="8"/>
      <c r="AI84" s="8"/>
      <c r="AJ84" s="8"/>
      <c r="AK84" s="8"/>
      <c r="AL84" s="8"/>
      <c r="AM84" s="8"/>
      <c r="AN84" s="8"/>
      <c r="AO84" s="8"/>
    </row>
    <row r="85" spans="1:41" ht="15.75">
      <c r="A85" s="8"/>
      <c r="B85" s="8"/>
      <c r="C85" s="8"/>
      <c r="D85" s="8"/>
      <c r="E85" s="8"/>
      <c r="F85" s="8"/>
      <c r="G85" s="8"/>
      <c r="H85" s="8"/>
      <c r="I85" s="8"/>
      <c r="J85" s="8"/>
      <c r="K85" s="8"/>
      <c r="L85" s="8"/>
      <c r="M85" s="134">
        <v>1.253058184851003E-2</v>
      </c>
      <c r="N85" s="392">
        <v>9.4723163462301866E-3</v>
      </c>
      <c r="O85" s="134">
        <v>1.0498699656158321E-2</v>
      </c>
      <c r="P85" s="392">
        <v>7.4404341538784769E-3</v>
      </c>
      <c r="Q85" s="8"/>
      <c r="R85" s="8"/>
      <c r="S85" s="8"/>
      <c r="T85" s="8"/>
      <c r="U85" s="8"/>
      <c r="V85" s="8"/>
      <c r="W85" s="8"/>
      <c r="X85" s="8"/>
      <c r="Y85" s="8"/>
      <c r="Z85" s="8"/>
      <c r="AA85" s="8"/>
      <c r="AB85" s="141">
        <f t="shared" si="26"/>
        <v>800</v>
      </c>
      <c r="AC85" s="8"/>
      <c r="AD85" s="8"/>
      <c r="AE85" s="8"/>
      <c r="AF85" s="8"/>
      <c r="AG85" s="8"/>
      <c r="AH85" s="8"/>
      <c r="AI85" s="8"/>
      <c r="AJ85" s="8"/>
      <c r="AK85" s="8"/>
      <c r="AL85" s="8"/>
      <c r="AM85" s="8"/>
      <c r="AN85" s="8"/>
      <c r="AO85" s="8"/>
    </row>
    <row r="86" spans="1:41" ht="15.75">
      <c r="A86" s="8"/>
      <c r="B86" s="8"/>
      <c r="C86" s="8"/>
      <c r="D86" s="8"/>
      <c r="E86" s="8"/>
      <c r="F86" s="8"/>
      <c r="G86" s="8"/>
      <c r="H86" s="8"/>
      <c r="I86" s="8"/>
      <c r="J86" s="8"/>
      <c r="K86" s="8"/>
      <c r="L86" s="8"/>
      <c r="M86" s="381">
        <v>21</v>
      </c>
      <c r="N86" s="399" t="s">
        <v>230</v>
      </c>
      <c r="O86" s="381">
        <v>21</v>
      </c>
      <c r="P86" s="399" t="s">
        <v>230</v>
      </c>
      <c r="Q86" s="8"/>
      <c r="R86" s="8"/>
      <c r="S86" s="8"/>
      <c r="T86" s="8"/>
      <c r="U86" s="8"/>
      <c r="V86" s="8"/>
      <c r="W86" s="8"/>
      <c r="X86" s="8"/>
      <c r="Y86" s="8"/>
      <c r="Z86" s="8"/>
      <c r="AA86" s="8"/>
      <c r="AB86" s="141">
        <f t="shared" si="26"/>
        <v>810</v>
      </c>
      <c r="AC86" s="8"/>
      <c r="AD86" s="8"/>
      <c r="AE86" s="8"/>
      <c r="AF86" s="8"/>
      <c r="AG86" s="8"/>
      <c r="AH86" s="8"/>
      <c r="AI86" s="8"/>
      <c r="AJ86" s="8"/>
      <c r="AK86" s="8"/>
      <c r="AL86" s="8"/>
      <c r="AM86" s="8"/>
      <c r="AN86" s="8"/>
      <c r="AO86" s="8"/>
    </row>
    <row r="87" spans="1:41" ht="16.399999999999999" thickBot="1">
      <c r="A87" s="8"/>
      <c r="B87" s="8"/>
      <c r="C87" s="8"/>
      <c r="D87" s="8"/>
      <c r="E87" s="8"/>
      <c r="F87" s="8"/>
      <c r="G87" s="8"/>
      <c r="H87" s="8"/>
      <c r="I87" s="8"/>
      <c r="J87" s="8"/>
      <c r="K87" s="8"/>
      <c r="L87" s="8"/>
      <c r="M87" s="385">
        <v>8.4839399730605204E-3</v>
      </c>
      <c r="N87" s="401">
        <v>5.6954424036425406E-3</v>
      </c>
      <c r="O87" s="385">
        <v>8.6951296309079485E-3</v>
      </c>
      <c r="P87" s="401">
        <v>5.9066320614899687E-3</v>
      </c>
      <c r="Q87" s="8"/>
      <c r="R87" s="8"/>
      <c r="S87" s="8"/>
      <c r="T87" s="8"/>
      <c r="U87" s="8"/>
      <c r="V87" s="8"/>
      <c r="W87" s="8"/>
      <c r="X87" s="8"/>
      <c r="Y87" s="8"/>
      <c r="Z87" s="8"/>
      <c r="AA87" s="8"/>
      <c r="AB87" s="141">
        <f t="shared" si="26"/>
        <v>820</v>
      </c>
      <c r="AC87" s="8"/>
      <c r="AD87" s="8"/>
      <c r="AE87" s="8"/>
      <c r="AF87" s="8"/>
      <c r="AG87" s="8"/>
      <c r="AH87" s="8"/>
      <c r="AI87" s="8"/>
      <c r="AJ87" s="8"/>
      <c r="AK87" s="8"/>
      <c r="AL87" s="8"/>
      <c r="AM87" s="8"/>
      <c r="AN87" s="8"/>
      <c r="AO87" s="8"/>
    </row>
    <row r="88" spans="1:41" ht="15.75">
      <c r="A88" s="8"/>
      <c r="B88" s="8"/>
      <c r="C88" s="8"/>
      <c r="D88" s="8"/>
      <c r="E88" s="8"/>
      <c r="F88" s="8"/>
      <c r="G88" s="8"/>
      <c r="H88" s="8"/>
      <c r="I88" s="8"/>
      <c r="J88" s="8"/>
      <c r="K88" s="8"/>
      <c r="L88" s="8"/>
      <c r="M88" s="8" t="s">
        <v>2095</v>
      </c>
      <c r="N88" s="8"/>
      <c r="O88" s="8" t="s">
        <v>2094</v>
      </c>
      <c r="P88" s="8"/>
      <c r="Q88" s="8"/>
      <c r="R88" s="8"/>
      <c r="S88" s="8"/>
      <c r="T88" s="8"/>
      <c r="U88" s="8"/>
      <c r="V88" s="8"/>
      <c r="W88" s="8"/>
      <c r="X88" s="8"/>
      <c r="Y88" s="8"/>
      <c r="Z88" s="8"/>
      <c r="AA88" s="8"/>
      <c r="AB88" s="141">
        <f t="shared" si="26"/>
        <v>830</v>
      </c>
      <c r="AC88" s="8"/>
      <c r="AD88" s="8"/>
      <c r="AE88" s="8"/>
      <c r="AF88" s="8"/>
      <c r="AG88" s="8"/>
      <c r="AH88" s="8"/>
      <c r="AI88" s="8"/>
      <c r="AJ88" s="8"/>
      <c r="AK88" s="8"/>
      <c r="AL88" s="8"/>
      <c r="AM88" s="8"/>
      <c r="AN88" s="8"/>
      <c r="AO88" s="8"/>
    </row>
    <row r="89" spans="1:41" ht="15.7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141">
        <f t="shared" si="26"/>
        <v>840</v>
      </c>
      <c r="AC89" s="8"/>
      <c r="AD89" s="8"/>
      <c r="AE89" s="8"/>
      <c r="AF89" s="8"/>
      <c r="AG89" s="8"/>
      <c r="AH89" s="8"/>
      <c r="AI89" s="8"/>
      <c r="AJ89" s="8"/>
      <c r="AK89" s="8"/>
      <c r="AL89" s="8"/>
      <c r="AM89" s="8"/>
      <c r="AN89" s="8"/>
      <c r="AO89" s="8"/>
    </row>
    <row r="90" spans="1:41" ht="15.7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141">
        <f t="shared" si="26"/>
        <v>850</v>
      </c>
      <c r="AC90" s="8"/>
      <c r="AD90" s="8"/>
      <c r="AE90" s="8"/>
      <c r="AF90" s="8"/>
      <c r="AG90" s="8"/>
      <c r="AH90" s="8"/>
      <c r="AI90" s="8"/>
      <c r="AJ90" s="8"/>
      <c r="AK90" s="8"/>
      <c r="AL90" s="8"/>
      <c r="AM90" s="8"/>
      <c r="AN90" s="8"/>
      <c r="AO90" s="8"/>
    </row>
    <row r="91" spans="1:41" ht="15.7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141">
        <f t="shared" si="26"/>
        <v>860</v>
      </c>
      <c r="AC91" s="8"/>
      <c r="AD91" s="8"/>
      <c r="AE91" s="8"/>
      <c r="AF91" s="8"/>
      <c r="AG91" s="8"/>
      <c r="AH91" s="8"/>
      <c r="AI91" s="8"/>
      <c r="AJ91" s="8"/>
      <c r="AK91" s="8"/>
      <c r="AL91" s="8"/>
      <c r="AM91" s="8"/>
      <c r="AN91" s="8"/>
      <c r="AO91" s="8"/>
    </row>
    <row r="92" spans="1:41" ht="15.7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141">
        <f t="shared" si="26"/>
        <v>870</v>
      </c>
      <c r="AC92" s="8"/>
      <c r="AD92" s="8"/>
      <c r="AE92" s="8"/>
      <c r="AF92" s="8"/>
      <c r="AG92" s="8"/>
      <c r="AH92" s="8"/>
      <c r="AI92" s="8"/>
      <c r="AJ92" s="8"/>
      <c r="AK92" s="8"/>
      <c r="AL92" s="8"/>
      <c r="AM92" s="8"/>
      <c r="AN92" s="8"/>
      <c r="AO92" s="8"/>
    </row>
    <row r="93" spans="1:41" ht="15.75">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141">
        <f t="shared" si="26"/>
        <v>880</v>
      </c>
      <c r="AC93" s="8"/>
      <c r="AD93" s="8"/>
      <c r="AE93" s="8"/>
      <c r="AF93" s="8"/>
      <c r="AG93" s="8"/>
      <c r="AH93" s="8"/>
      <c r="AI93" s="8"/>
      <c r="AJ93" s="8"/>
      <c r="AK93" s="8"/>
      <c r="AL93" s="8"/>
      <c r="AM93" s="8"/>
      <c r="AN93" s="8"/>
      <c r="AO93" s="8"/>
    </row>
    <row r="94" spans="1:41" ht="15.75">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141">
        <f t="shared" si="26"/>
        <v>890</v>
      </c>
      <c r="AC94" s="8"/>
      <c r="AD94" s="8"/>
      <c r="AE94" s="8"/>
      <c r="AF94" s="8"/>
      <c r="AG94" s="8"/>
      <c r="AH94" s="8"/>
      <c r="AI94" s="8"/>
      <c r="AJ94" s="8"/>
      <c r="AK94" s="8"/>
      <c r="AL94" s="8"/>
      <c r="AM94" s="8"/>
      <c r="AN94" s="8"/>
      <c r="AO94" s="8"/>
    </row>
    <row r="95" spans="1:41" ht="15.75">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141">
        <f t="shared" si="26"/>
        <v>900</v>
      </c>
      <c r="AC95" s="8"/>
      <c r="AD95" s="8"/>
      <c r="AE95" s="8"/>
      <c r="AF95" s="8"/>
      <c r="AG95" s="8"/>
      <c r="AH95" s="8"/>
      <c r="AI95" s="8"/>
      <c r="AJ95" s="8"/>
      <c r="AK95" s="8"/>
      <c r="AL95" s="8"/>
      <c r="AM95" s="8"/>
      <c r="AN95" s="8"/>
      <c r="AO95" s="8"/>
    </row>
    <row r="96" spans="1:41" ht="15.75">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141">
        <f t="shared" si="26"/>
        <v>910</v>
      </c>
      <c r="AC96" s="8"/>
      <c r="AD96" s="8"/>
      <c r="AE96" s="8"/>
      <c r="AF96" s="8"/>
      <c r="AG96" s="8"/>
      <c r="AH96" s="8"/>
      <c r="AI96" s="8"/>
      <c r="AJ96" s="8"/>
      <c r="AK96" s="8"/>
      <c r="AL96" s="8"/>
      <c r="AM96" s="8"/>
      <c r="AN96" s="8"/>
      <c r="AO96" s="8"/>
    </row>
    <row r="97" spans="1:41" ht="15.75">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141">
        <f t="shared" si="26"/>
        <v>920</v>
      </c>
      <c r="AC97" s="8"/>
      <c r="AD97" s="8"/>
      <c r="AE97" s="8"/>
      <c r="AF97" s="8"/>
      <c r="AG97" s="8"/>
      <c r="AH97" s="8"/>
      <c r="AI97" s="8"/>
      <c r="AJ97" s="8"/>
      <c r="AK97" s="8"/>
      <c r="AL97" s="8"/>
      <c r="AM97" s="8"/>
      <c r="AN97" s="8"/>
      <c r="AO97" s="8"/>
    </row>
    <row r="98" spans="1:41" ht="15.75">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141">
        <f t="shared" si="26"/>
        <v>930</v>
      </c>
      <c r="AC98" s="8"/>
      <c r="AD98" s="8"/>
      <c r="AE98" s="8"/>
      <c r="AF98" s="8"/>
      <c r="AG98" s="8"/>
      <c r="AH98" s="8"/>
      <c r="AI98" s="8"/>
      <c r="AJ98" s="8"/>
      <c r="AK98" s="8"/>
      <c r="AL98" s="8"/>
      <c r="AM98" s="8"/>
      <c r="AN98" s="8"/>
      <c r="AO98" s="8"/>
    </row>
    <row r="99" spans="1:41" ht="15.7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141">
        <f t="shared" si="26"/>
        <v>940</v>
      </c>
      <c r="AC99" s="8"/>
      <c r="AD99" s="8"/>
      <c r="AE99" s="8"/>
      <c r="AF99" s="8"/>
      <c r="AG99" s="8"/>
      <c r="AH99" s="8"/>
      <c r="AI99" s="8"/>
      <c r="AJ99" s="8"/>
      <c r="AK99" s="8"/>
      <c r="AL99" s="8"/>
      <c r="AM99" s="8"/>
      <c r="AN99" s="8"/>
      <c r="AO99" s="8"/>
    </row>
    <row r="100" spans="1:41" ht="15.7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141">
        <f t="shared" si="26"/>
        <v>950</v>
      </c>
      <c r="AC100" s="8"/>
      <c r="AD100" s="8"/>
      <c r="AE100" s="8"/>
      <c r="AF100" s="8"/>
      <c r="AG100" s="8"/>
      <c r="AH100" s="8"/>
      <c r="AI100" s="8"/>
      <c r="AJ100" s="8"/>
      <c r="AK100" s="8"/>
      <c r="AL100" s="8"/>
      <c r="AM100" s="8"/>
      <c r="AN100" s="8"/>
      <c r="AO100" s="8"/>
    </row>
    <row r="101" spans="1:41" ht="15.7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141">
        <f t="shared" ref="AB101:AB164" si="29">AB100+10</f>
        <v>960</v>
      </c>
      <c r="AC101" s="8"/>
      <c r="AD101" s="8"/>
      <c r="AE101" s="8"/>
      <c r="AF101" s="8"/>
      <c r="AG101" s="8"/>
      <c r="AH101" s="8"/>
      <c r="AI101" s="8"/>
      <c r="AJ101" s="8"/>
      <c r="AK101" s="8"/>
      <c r="AL101" s="8"/>
      <c r="AM101" s="8"/>
      <c r="AN101" s="8"/>
      <c r="AO101" s="8"/>
    </row>
    <row r="102" spans="1:41" ht="15.7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141">
        <f t="shared" si="29"/>
        <v>970</v>
      </c>
      <c r="AC102" s="8"/>
      <c r="AD102" s="8"/>
      <c r="AE102" s="8"/>
      <c r="AF102" s="8"/>
      <c r="AG102" s="8"/>
      <c r="AH102" s="8"/>
      <c r="AI102" s="8"/>
      <c r="AJ102" s="8"/>
      <c r="AK102" s="8"/>
      <c r="AL102" s="8"/>
      <c r="AM102" s="8"/>
      <c r="AN102" s="8"/>
      <c r="AO102" s="8"/>
    </row>
    <row r="103" spans="1:41" ht="15.7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141">
        <f t="shared" si="29"/>
        <v>980</v>
      </c>
      <c r="AC103" s="8"/>
      <c r="AD103" s="8"/>
      <c r="AE103" s="8"/>
      <c r="AF103" s="8"/>
      <c r="AG103" s="8"/>
      <c r="AH103" s="8"/>
      <c r="AI103" s="8"/>
      <c r="AJ103" s="8"/>
      <c r="AK103" s="8"/>
      <c r="AL103" s="8"/>
      <c r="AM103" s="8"/>
      <c r="AN103" s="8"/>
      <c r="AO103" s="8"/>
    </row>
    <row r="104" spans="1:41" ht="15.7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141">
        <f t="shared" si="29"/>
        <v>990</v>
      </c>
      <c r="AC104" s="8"/>
      <c r="AD104" s="8"/>
      <c r="AE104" s="8"/>
      <c r="AF104" s="8"/>
      <c r="AG104" s="8"/>
      <c r="AH104" s="8"/>
      <c r="AI104" s="8"/>
      <c r="AJ104" s="8"/>
      <c r="AK104" s="8"/>
      <c r="AL104" s="8"/>
      <c r="AM104" s="8"/>
      <c r="AN104" s="8"/>
      <c r="AO104" s="8"/>
    </row>
    <row r="105" spans="1:41" ht="15.7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141">
        <f t="shared" si="29"/>
        <v>1000</v>
      </c>
      <c r="AC105" s="8"/>
      <c r="AD105" s="8"/>
      <c r="AE105" s="8"/>
      <c r="AF105" s="8"/>
      <c r="AG105" s="8"/>
      <c r="AH105" s="8"/>
      <c r="AI105" s="8"/>
      <c r="AJ105" s="8"/>
      <c r="AK105" s="8"/>
      <c r="AL105" s="8"/>
      <c r="AM105" s="8"/>
      <c r="AN105" s="8"/>
      <c r="AO105" s="8"/>
    </row>
    <row r="106" spans="1:41" ht="15.7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141">
        <f t="shared" si="29"/>
        <v>1010</v>
      </c>
      <c r="AC106" s="8"/>
      <c r="AD106" s="8"/>
      <c r="AE106" s="8"/>
      <c r="AF106" s="8"/>
      <c r="AG106" s="8"/>
      <c r="AH106" s="8"/>
      <c r="AI106" s="8"/>
      <c r="AJ106" s="8"/>
      <c r="AK106" s="8"/>
      <c r="AL106" s="8"/>
      <c r="AM106" s="8"/>
      <c r="AN106" s="8"/>
      <c r="AO106" s="8"/>
    </row>
    <row r="107" spans="1:41" ht="15.7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141">
        <f t="shared" si="29"/>
        <v>1020</v>
      </c>
      <c r="AC107" s="8"/>
      <c r="AD107" s="8"/>
      <c r="AE107" s="8"/>
      <c r="AF107" s="8"/>
      <c r="AG107" s="8"/>
      <c r="AH107" s="8"/>
      <c r="AI107" s="8"/>
      <c r="AJ107" s="8"/>
      <c r="AK107" s="8"/>
      <c r="AL107" s="8"/>
      <c r="AM107" s="8"/>
      <c r="AN107" s="8"/>
      <c r="AO107" s="8"/>
    </row>
    <row r="108" spans="1:41" ht="15.7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141">
        <f t="shared" si="29"/>
        <v>1030</v>
      </c>
      <c r="AC108" s="8"/>
      <c r="AD108" s="8"/>
      <c r="AE108" s="8"/>
      <c r="AF108" s="8"/>
      <c r="AG108" s="8"/>
      <c r="AH108" s="8"/>
      <c r="AI108" s="8"/>
      <c r="AJ108" s="8"/>
      <c r="AK108" s="8"/>
      <c r="AL108" s="8"/>
      <c r="AM108" s="8"/>
      <c r="AN108" s="8"/>
      <c r="AO108" s="8"/>
    </row>
    <row r="109" spans="1:41" ht="15.7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141">
        <f t="shared" si="29"/>
        <v>1040</v>
      </c>
      <c r="AC109" s="8"/>
      <c r="AD109" s="8"/>
      <c r="AE109" s="8"/>
      <c r="AF109" s="8"/>
      <c r="AG109" s="8"/>
      <c r="AH109" s="8"/>
      <c r="AI109" s="8"/>
      <c r="AJ109" s="8"/>
      <c r="AK109" s="8"/>
      <c r="AL109" s="8"/>
      <c r="AM109" s="8"/>
      <c r="AN109" s="8"/>
      <c r="AO109" s="8"/>
    </row>
    <row r="110" spans="1:41" ht="15.7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141">
        <f t="shared" si="29"/>
        <v>1050</v>
      </c>
      <c r="AC110" s="8"/>
      <c r="AD110" s="8"/>
      <c r="AE110" s="8"/>
      <c r="AF110" s="8"/>
      <c r="AG110" s="8"/>
      <c r="AH110" s="8"/>
      <c r="AI110" s="8"/>
      <c r="AJ110" s="8"/>
      <c r="AK110" s="8"/>
      <c r="AL110" s="8"/>
      <c r="AM110" s="8"/>
      <c r="AN110" s="8"/>
      <c r="AO110" s="8"/>
    </row>
    <row r="111" spans="1:41" ht="15.7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141">
        <f t="shared" si="29"/>
        <v>1060</v>
      </c>
      <c r="AC111" s="8"/>
      <c r="AD111" s="8"/>
      <c r="AE111" s="8"/>
      <c r="AF111" s="8"/>
      <c r="AG111" s="8"/>
      <c r="AH111" s="8"/>
      <c r="AI111" s="8"/>
      <c r="AJ111" s="8"/>
      <c r="AK111" s="8"/>
      <c r="AL111" s="8"/>
      <c r="AM111" s="8"/>
      <c r="AN111" s="8"/>
      <c r="AO111" s="8"/>
    </row>
    <row r="112" spans="1:41" ht="15.7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141">
        <f t="shared" si="29"/>
        <v>1070</v>
      </c>
      <c r="AC112" s="8"/>
      <c r="AD112" s="8"/>
      <c r="AE112" s="8"/>
      <c r="AF112" s="8"/>
      <c r="AG112" s="8"/>
      <c r="AH112" s="8"/>
      <c r="AI112" s="8"/>
      <c r="AJ112" s="8"/>
      <c r="AK112" s="8"/>
      <c r="AL112" s="8"/>
      <c r="AM112" s="8"/>
      <c r="AN112" s="8"/>
      <c r="AO112" s="8"/>
    </row>
    <row r="113" spans="1:41" ht="15.7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141">
        <f t="shared" si="29"/>
        <v>1080</v>
      </c>
      <c r="AC113" s="8"/>
      <c r="AD113" s="8"/>
      <c r="AE113" s="8"/>
      <c r="AF113" s="8"/>
      <c r="AG113" s="8"/>
      <c r="AH113" s="8"/>
      <c r="AI113" s="8"/>
      <c r="AJ113" s="8"/>
      <c r="AK113" s="8"/>
      <c r="AL113" s="8"/>
      <c r="AM113" s="8"/>
      <c r="AN113" s="8"/>
      <c r="AO113" s="8"/>
    </row>
    <row r="114" spans="1:41" ht="15.7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141">
        <f t="shared" si="29"/>
        <v>1090</v>
      </c>
      <c r="AC114" s="8"/>
      <c r="AD114" s="8"/>
      <c r="AE114" s="8"/>
      <c r="AF114" s="8"/>
      <c r="AG114" s="8"/>
      <c r="AH114" s="8"/>
      <c r="AI114" s="8"/>
      <c r="AJ114" s="8"/>
      <c r="AK114" s="8"/>
      <c r="AL114" s="8"/>
      <c r="AM114" s="8"/>
      <c r="AN114" s="8"/>
      <c r="AO114" s="8"/>
    </row>
    <row r="115" spans="1:41" ht="15.7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141">
        <f t="shared" si="29"/>
        <v>1100</v>
      </c>
      <c r="AC115" s="8"/>
      <c r="AD115" s="8"/>
      <c r="AE115" s="8"/>
      <c r="AF115" s="8"/>
      <c r="AG115" s="8"/>
      <c r="AH115" s="8"/>
      <c r="AI115" s="8"/>
      <c r="AJ115" s="8"/>
      <c r="AK115" s="8"/>
      <c r="AL115" s="8"/>
      <c r="AM115" s="8"/>
      <c r="AN115" s="8"/>
      <c r="AO115" s="8"/>
    </row>
    <row r="116" spans="1:41" ht="15.7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141">
        <f t="shared" si="29"/>
        <v>1110</v>
      </c>
      <c r="AC116" s="8"/>
      <c r="AD116" s="8"/>
      <c r="AE116" s="8"/>
      <c r="AF116" s="8"/>
      <c r="AG116" s="8"/>
      <c r="AH116" s="8"/>
      <c r="AI116" s="8"/>
      <c r="AJ116" s="8"/>
      <c r="AK116" s="8"/>
      <c r="AL116" s="8"/>
      <c r="AM116" s="8"/>
      <c r="AN116" s="8"/>
      <c r="AO116" s="8"/>
    </row>
    <row r="117" spans="1:41" ht="15.7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141">
        <f t="shared" si="29"/>
        <v>1120</v>
      </c>
      <c r="AC117" s="8"/>
      <c r="AD117" s="8"/>
      <c r="AE117" s="8"/>
      <c r="AF117" s="8"/>
      <c r="AG117" s="8"/>
      <c r="AH117" s="8"/>
      <c r="AI117" s="8"/>
      <c r="AJ117" s="8"/>
      <c r="AK117" s="8"/>
      <c r="AL117" s="8"/>
      <c r="AM117" s="8"/>
      <c r="AN117" s="8"/>
      <c r="AO117" s="8"/>
    </row>
    <row r="118" spans="1:41" ht="15.7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141">
        <f t="shared" si="29"/>
        <v>1130</v>
      </c>
      <c r="AC118" s="8"/>
      <c r="AD118" s="8"/>
      <c r="AE118" s="8"/>
      <c r="AF118" s="8"/>
      <c r="AG118" s="8"/>
      <c r="AH118" s="8"/>
      <c r="AI118" s="8"/>
      <c r="AJ118" s="8"/>
      <c r="AK118" s="8"/>
      <c r="AL118" s="8"/>
      <c r="AM118" s="8"/>
      <c r="AN118" s="8"/>
      <c r="AO118" s="8"/>
    </row>
    <row r="119" spans="1:41" ht="15.7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141">
        <f t="shared" si="29"/>
        <v>1140</v>
      </c>
      <c r="AC119" s="8"/>
      <c r="AD119" s="8"/>
      <c r="AE119" s="8"/>
      <c r="AF119" s="8"/>
      <c r="AG119" s="8"/>
      <c r="AH119" s="8"/>
      <c r="AI119" s="8"/>
      <c r="AJ119" s="8"/>
      <c r="AK119" s="8"/>
      <c r="AL119" s="8"/>
      <c r="AM119" s="8"/>
      <c r="AN119" s="8"/>
      <c r="AO119" s="8"/>
    </row>
    <row r="120" spans="1:41" ht="15.7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141">
        <f t="shared" si="29"/>
        <v>1150</v>
      </c>
      <c r="AC120" s="8"/>
      <c r="AD120" s="8"/>
      <c r="AE120" s="8"/>
      <c r="AF120" s="8"/>
      <c r="AG120" s="8"/>
      <c r="AH120" s="8"/>
      <c r="AI120" s="8"/>
      <c r="AJ120" s="8"/>
      <c r="AK120" s="8"/>
      <c r="AL120" s="8"/>
      <c r="AM120" s="8"/>
      <c r="AN120" s="8"/>
      <c r="AO120" s="8"/>
    </row>
    <row r="121" spans="1:41" ht="15.7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141">
        <f t="shared" si="29"/>
        <v>1160</v>
      </c>
      <c r="AC121" s="8"/>
      <c r="AD121" s="8"/>
      <c r="AE121" s="8"/>
      <c r="AF121" s="8"/>
      <c r="AG121" s="8"/>
      <c r="AH121" s="8"/>
      <c r="AI121" s="8"/>
      <c r="AJ121" s="8"/>
      <c r="AK121" s="8"/>
      <c r="AL121" s="8"/>
      <c r="AM121" s="8"/>
      <c r="AN121" s="8"/>
      <c r="AO121" s="8"/>
    </row>
    <row r="122" spans="1:41" ht="15.7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141">
        <f t="shared" si="29"/>
        <v>1170</v>
      </c>
      <c r="AC122" s="8"/>
      <c r="AD122" s="8"/>
      <c r="AE122" s="8"/>
      <c r="AF122" s="8"/>
      <c r="AG122" s="8"/>
      <c r="AH122" s="8"/>
      <c r="AI122" s="8"/>
      <c r="AJ122" s="8"/>
      <c r="AK122" s="8"/>
      <c r="AL122" s="8"/>
      <c r="AM122" s="8"/>
      <c r="AN122" s="8"/>
      <c r="AO122" s="8"/>
    </row>
    <row r="123" spans="1:41" ht="15.7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141">
        <f t="shared" si="29"/>
        <v>1180</v>
      </c>
      <c r="AC123" s="8"/>
      <c r="AD123" s="8"/>
      <c r="AE123" s="8"/>
      <c r="AF123" s="8"/>
      <c r="AG123" s="8"/>
      <c r="AH123" s="8"/>
      <c r="AI123" s="8"/>
      <c r="AJ123" s="8"/>
      <c r="AK123" s="8"/>
      <c r="AL123" s="8"/>
      <c r="AM123" s="8"/>
      <c r="AN123" s="8"/>
      <c r="AO123" s="8"/>
    </row>
    <row r="124" spans="1:41" ht="15.7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141">
        <f t="shared" si="29"/>
        <v>1190</v>
      </c>
      <c r="AC124" s="8"/>
      <c r="AD124" s="8"/>
      <c r="AE124" s="8"/>
      <c r="AF124" s="8"/>
      <c r="AG124" s="8"/>
      <c r="AH124" s="8"/>
      <c r="AI124" s="8"/>
      <c r="AJ124" s="8"/>
      <c r="AK124" s="8"/>
      <c r="AL124" s="8"/>
      <c r="AM124" s="8"/>
      <c r="AN124" s="8"/>
      <c r="AO124" s="8"/>
    </row>
    <row r="125" spans="1:41" ht="15.7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141">
        <f t="shared" si="29"/>
        <v>1200</v>
      </c>
      <c r="AC125" s="8"/>
      <c r="AD125" s="8"/>
      <c r="AE125" s="8"/>
      <c r="AF125" s="8"/>
      <c r="AG125" s="8"/>
      <c r="AH125" s="8"/>
      <c r="AI125" s="8"/>
      <c r="AJ125" s="8"/>
      <c r="AK125" s="8"/>
      <c r="AL125" s="8"/>
      <c r="AM125" s="8"/>
      <c r="AN125" s="8"/>
      <c r="AO125" s="8"/>
    </row>
    <row r="126" spans="1:41" ht="15.7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141">
        <f t="shared" si="29"/>
        <v>1210</v>
      </c>
      <c r="AC126" s="8"/>
      <c r="AD126" s="8"/>
      <c r="AE126" s="8"/>
      <c r="AF126" s="8"/>
      <c r="AG126" s="8"/>
      <c r="AH126" s="8"/>
      <c r="AI126" s="8"/>
      <c r="AJ126" s="8"/>
      <c r="AK126" s="8"/>
      <c r="AL126" s="8"/>
      <c r="AM126" s="8"/>
      <c r="AN126" s="8"/>
      <c r="AO126" s="8"/>
    </row>
    <row r="127" spans="1:41" ht="15.7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141">
        <f t="shared" si="29"/>
        <v>1220</v>
      </c>
      <c r="AC127" s="8"/>
      <c r="AD127" s="8"/>
      <c r="AE127" s="8"/>
      <c r="AF127" s="8"/>
      <c r="AG127" s="8"/>
      <c r="AH127" s="8"/>
      <c r="AI127" s="8"/>
      <c r="AJ127" s="8"/>
      <c r="AK127" s="8"/>
      <c r="AL127" s="8"/>
      <c r="AM127" s="8"/>
      <c r="AN127" s="8"/>
      <c r="AO127" s="8"/>
    </row>
    <row r="128" spans="1:41" ht="15.7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141">
        <f t="shared" si="29"/>
        <v>1230</v>
      </c>
      <c r="AC128" s="8"/>
      <c r="AD128" s="8"/>
      <c r="AE128" s="8"/>
      <c r="AF128" s="8"/>
      <c r="AG128" s="8"/>
      <c r="AH128" s="8"/>
      <c r="AI128" s="8"/>
      <c r="AJ128" s="8"/>
      <c r="AK128" s="8"/>
      <c r="AL128" s="8"/>
      <c r="AM128" s="8"/>
      <c r="AN128" s="8"/>
      <c r="AO128" s="8"/>
    </row>
    <row r="129" spans="1:41" ht="15.7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141">
        <f t="shared" si="29"/>
        <v>1240</v>
      </c>
      <c r="AC129" s="8"/>
      <c r="AD129" s="8"/>
      <c r="AE129" s="8"/>
      <c r="AF129" s="8"/>
      <c r="AG129" s="8"/>
      <c r="AH129" s="8"/>
      <c r="AI129" s="8"/>
      <c r="AJ129" s="8"/>
      <c r="AK129" s="8"/>
      <c r="AL129" s="8"/>
      <c r="AM129" s="8"/>
      <c r="AN129" s="8"/>
      <c r="AO129" s="8"/>
    </row>
    <row r="130" spans="1:41" ht="15.7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141">
        <f t="shared" si="29"/>
        <v>1250</v>
      </c>
      <c r="AC130" s="8"/>
      <c r="AD130" s="8"/>
      <c r="AE130" s="8"/>
      <c r="AF130" s="8"/>
      <c r="AG130" s="8"/>
      <c r="AH130" s="8"/>
      <c r="AI130" s="8"/>
      <c r="AJ130" s="8"/>
      <c r="AK130" s="8"/>
      <c r="AL130" s="8"/>
      <c r="AM130" s="8"/>
      <c r="AN130" s="8"/>
      <c r="AO130" s="8"/>
    </row>
    <row r="131" spans="1:41" ht="15.7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141">
        <f t="shared" si="29"/>
        <v>1260</v>
      </c>
      <c r="AC131" s="8"/>
      <c r="AD131" s="8"/>
      <c r="AE131" s="8"/>
      <c r="AF131" s="8"/>
      <c r="AG131" s="8"/>
      <c r="AH131" s="8"/>
      <c r="AI131" s="8"/>
      <c r="AJ131" s="8"/>
      <c r="AK131" s="8"/>
      <c r="AL131" s="8"/>
      <c r="AM131" s="8"/>
      <c r="AN131" s="8"/>
      <c r="AO131" s="8"/>
    </row>
    <row r="132" spans="1:41" ht="15.7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141">
        <f t="shared" si="29"/>
        <v>1270</v>
      </c>
      <c r="AC132" s="8"/>
      <c r="AD132" s="8"/>
      <c r="AE132" s="8"/>
      <c r="AF132" s="8"/>
      <c r="AG132" s="8"/>
      <c r="AH132" s="8"/>
      <c r="AI132" s="8"/>
      <c r="AJ132" s="8"/>
      <c r="AK132" s="8"/>
      <c r="AL132" s="8"/>
      <c r="AM132" s="8"/>
      <c r="AN132" s="8"/>
      <c r="AO132" s="8"/>
    </row>
    <row r="133" spans="1:41" ht="15.7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141">
        <f t="shared" si="29"/>
        <v>1280</v>
      </c>
      <c r="AC133" s="8"/>
      <c r="AD133" s="8"/>
      <c r="AE133" s="8"/>
      <c r="AF133" s="8"/>
      <c r="AG133" s="8"/>
      <c r="AH133" s="8"/>
      <c r="AI133" s="8"/>
      <c r="AJ133" s="8"/>
      <c r="AK133" s="8"/>
      <c r="AL133" s="8"/>
      <c r="AM133" s="8"/>
      <c r="AN133" s="8"/>
      <c r="AO133" s="8"/>
    </row>
    <row r="134" spans="1:41" ht="15.7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141">
        <f t="shared" si="29"/>
        <v>1290</v>
      </c>
      <c r="AC134" s="8"/>
      <c r="AD134" s="8"/>
      <c r="AE134" s="8"/>
      <c r="AF134" s="8"/>
      <c r="AG134" s="8"/>
      <c r="AH134" s="8"/>
      <c r="AI134" s="8"/>
      <c r="AJ134" s="8"/>
      <c r="AK134" s="8"/>
      <c r="AL134" s="8"/>
      <c r="AM134" s="8"/>
      <c r="AN134" s="8"/>
      <c r="AO134" s="8"/>
    </row>
    <row r="135" spans="1:41" ht="15.7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141">
        <f t="shared" si="29"/>
        <v>1300</v>
      </c>
      <c r="AC135" s="8"/>
      <c r="AD135" s="8"/>
      <c r="AE135" s="8"/>
      <c r="AF135" s="8"/>
      <c r="AG135" s="8"/>
      <c r="AH135" s="8"/>
      <c r="AI135" s="8"/>
      <c r="AJ135" s="8"/>
      <c r="AK135" s="8"/>
      <c r="AL135" s="8"/>
      <c r="AM135" s="8"/>
      <c r="AN135" s="8"/>
      <c r="AO135" s="8"/>
    </row>
    <row r="136" spans="1:41" ht="15.7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141">
        <f t="shared" si="29"/>
        <v>1310</v>
      </c>
      <c r="AC136" s="8"/>
      <c r="AD136" s="8"/>
      <c r="AE136" s="8"/>
      <c r="AF136" s="8"/>
      <c r="AG136" s="8"/>
      <c r="AH136" s="8"/>
      <c r="AI136" s="8"/>
      <c r="AJ136" s="8"/>
      <c r="AK136" s="8"/>
      <c r="AL136" s="8"/>
      <c r="AM136" s="8"/>
      <c r="AN136" s="8"/>
      <c r="AO136" s="8"/>
    </row>
    <row r="137" spans="1:41" ht="15.7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141">
        <f t="shared" si="29"/>
        <v>1320</v>
      </c>
      <c r="AC137" s="8"/>
      <c r="AD137" s="8"/>
      <c r="AE137" s="8"/>
      <c r="AF137" s="8"/>
      <c r="AG137" s="8"/>
      <c r="AH137" s="8"/>
      <c r="AI137" s="8"/>
      <c r="AJ137" s="8"/>
      <c r="AK137" s="8"/>
      <c r="AL137" s="8"/>
      <c r="AM137" s="8"/>
      <c r="AN137" s="8"/>
      <c r="AO137" s="8"/>
    </row>
    <row r="138" spans="1:41" ht="15.7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141">
        <f t="shared" si="29"/>
        <v>1330</v>
      </c>
      <c r="AC138" s="8"/>
      <c r="AD138" s="8"/>
      <c r="AE138" s="8"/>
      <c r="AF138" s="8"/>
      <c r="AG138" s="8"/>
      <c r="AH138" s="8"/>
      <c r="AI138" s="8"/>
      <c r="AJ138" s="8"/>
      <c r="AK138" s="8"/>
      <c r="AL138" s="8"/>
      <c r="AM138" s="8"/>
      <c r="AN138" s="8"/>
      <c r="AO138" s="8"/>
    </row>
    <row r="139" spans="1:41" ht="15.7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141">
        <f t="shared" si="29"/>
        <v>1340</v>
      </c>
      <c r="AC139" s="8"/>
      <c r="AD139" s="8"/>
      <c r="AE139" s="8"/>
      <c r="AF139" s="8"/>
      <c r="AG139" s="8"/>
      <c r="AH139" s="8"/>
      <c r="AI139" s="8"/>
      <c r="AJ139" s="8"/>
      <c r="AK139" s="8"/>
      <c r="AL139" s="8"/>
      <c r="AM139" s="8"/>
      <c r="AN139" s="8"/>
      <c r="AO139" s="8"/>
    </row>
    <row r="140" spans="1:41" ht="15.7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141">
        <f t="shared" si="29"/>
        <v>1350</v>
      </c>
      <c r="AC140" s="8"/>
      <c r="AD140" s="8"/>
      <c r="AE140" s="8"/>
      <c r="AF140" s="8"/>
      <c r="AG140" s="8"/>
      <c r="AH140" s="8"/>
      <c r="AI140" s="8"/>
      <c r="AJ140" s="8"/>
      <c r="AK140" s="8"/>
      <c r="AL140" s="8"/>
      <c r="AM140" s="8"/>
      <c r="AN140" s="8"/>
      <c r="AO140" s="8"/>
    </row>
    <row r="141" spans="1:41" ht="15.7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141">
        <f t="shared" si="29"/>
        <v>1360</v>
      </c>
      <c r="AC141" s="8"/>
      <c r="AD141" s="8"/>
      <c r="AE141" s="8"/>
      <c r="AF141" s="8"/>
      <c r="AG141" s="8"/>
      <c r="AH141" s="8"/>
      <c r="AI141" s="8"/>
      <c r="AJ141" s="8"/>
      <c r="AK141" s="8"/>
      <c r="AL141" s="8"/>
      <c r="AM141" s="8"/>
      <c r="AN141" s="8"/>
      <c r="AO141" s="8"/>
    </row>
    <row r="142" spans="1:41" ht="15.7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141">
        <f t="shared" si="29"/>
        <v>1370</v>
      </c>
      <c r="AC142" s="8"/>
      <c r="AD142" s="8"/>
      <c r="AE142" s="8"/>
      <c r="AF142" s="8"/>
      <c r="AG142" s="8"/>
      <c r="AH142" s="8"/>
      <c r="AI142" s="8"/>
      <c r="AJ142" s="8"/>
      <c r="AK142" s="8"/>
      <c r="AL142" s="8"/>
      <c r="AM142" s="8"/>
      <c r="AN142" s="8"/>
      <c r="AO142" s="8"/>
    </row>
    <row r="143" spans="1:41" ht="15.7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141">
        <f t="shared" si="29"/>
        <v>1380</v>
      </c>
      <c r="AC143" s="8"/>
      <c r="AD143" s="8"/>
      <c r="AE143" s="8"/>
      <c r="AF143" s="8"/>
      <c r="AG143" s="8"/>
      <c r="AH143" s="8"/>
      <c r="AI143" s="8"/>
      <c r="AJ143" s="8"/>
      <c r="AK143" s="8"/>
      <c r="AL143" s="8"/>
      <c r="AM143" s="8"/>
      <c r="AN143" s="8"/>
      <c r="AO143" s="8"/>
    </row>
    <row r="144" spans="1:41" ht="15.7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141">
        <f t="shared" si="29"/>
        <v>1390</v>
      </c>
      <c r="AC144" s="8"/>
      <c r="AD144" s="8"/>
      <c r="AE144" s="8"/>
      <c r="AF144" s="8"/>
      <c r="AG144" s="8"/>
      <c r="AH144" s="8"/>
      <c r="AI144" s="8"/>
      <c r="AJ144" s="8"/>
      <c r="AK144" s="8"/>
      <c r="AL144" s="8"/>
      <c r="AM144" s="8"/>
      <c r="AN144" s="8"/>
      <c r="AO144" s="8"/>
    </row>
    <row r="145" spans="1:41" ht="15.7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141">
        <f t="shared" si="29"/>
        <v>1400</v>
      </c>
      <c r="AC145" s="8"/>
      <c r="AD145" s="8"/>
      <c r="AE145" s="8"/>
      <c r="AF145" s="8"/>
      <c r="AG145" s="8"/>
      <c r="AH145" s="8"/>
      <c r="AI145" s="8"/>
      <c r="AJ145" s="8"/>
      <c r="AK145" s="8"/>
      <c r="AL145" s="8"/>
      <c r="AM145" s="8"/>
      <c r="AN145" s="8"/>
      <c r="AO145" s="8"/>
    </row>
    <row r="146" spans="1:41" ht="15.7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141">
        <f t="shared" si="29"/>
        <v>1410</v>
      </c>
      <c r="AC146" s="8"/>
      <c r="AD146" s="8"/>
      <c r="AE146" s="8"/>
      <c r="AF146" s="8"/>
      <c r="AG146" s="8"/>
      <c r="AH146" s="8"/>
      <c r="AI146" s="8"/>
      <c r="AJ146" s="8"/>
      <c r="AK146" s="8"/>
      <c r="AL146" s="8"/>
      <c r="AM146" s="8"/>
      <c r="AN146" s="8"/>
      <c r="AO146" s="8"/>
    </row>
    <row r="147" spans="1:41" ht="15.7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141">
        <f t="shared" si="29"/>
        <v>1420</v>
      </c>
      <c r="AC147" s="8"/>
      <c r="AD147" s="8"/>
      <c r="AE147" s="8"/>
      <c r="AF147" s="8"/>
      <c r="AG147" s="8"/>
      <c r="AH147" s="8"/>
      <c r="AI147" s="8"/>
      <c r="AJ147" s="8"/>
      <c r="AK147" s="8"/>
      <c r="AL147" s="8"/>
      <c r="AM147" s="8"/>
      <c r="AN147" s="8"/>
      <c r="AO147" s="8"/>
    </row>
    <row r="148" spans="1:41" ht="15.7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141">
        <f t="shared" si="29"/>
        <v>1430</v>
      </c>
      <c r="AC148" s="8"/>
      <c r="AD148" s="8"/>
      <c r="AE148" s="8"/>
      <c r="AF148" s="8"/>
      <c r="AG148" s="8"/>
      <c r="AH148" s="8"/>
      <c r="AI148" s="8"/>
      <c r="AJ148" s="8"/>
      <c r="AK148" s="8"/>
      <c r="AL148" s="8"/>
      <c r="AM148" s="8"/>
      <c r="AN148" s="8"/>
      <c r="AO148" s="8"/>
    </row>
    <row r="149" spans="1:41" ht="15.7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141">
        <f t="shared" si="29"/>
        <v>1440</v>
      </c>
      <c r="AC149" s="8"/>
      <c r="AD149" s="8"/>
      <c r="AE149" s="8"/>
      <c r="AF149" s="8"/>
      <c r="AG149" s="8"/>
      <c r="AH149" s="8"/>
      <c r="AI149" s="8"/>
      <c r="AJ149" s="8"/>
      <c r="AK149" s="8"/>
      <c r="AL149" s="8"/>
      <c r="AM149" s="8"/>
      <c r="AN149" s="8"/>
      <c r="AO149" s="8"/>
    </row>
    <row r="150" spans="1:41" ht="15.7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141">
        <f t="shared" si="29"/>
        <v>1450</v>
      </c>
      <c r="AC150" s="8"/>
      <c r="AD150" s="8"/>
      <c r="AE150" s="8"/>
      <c r="AF150" s="8"/>
      <c r="AG150" s="8"/>
      <c r="AH150" s="8"/>
      <c r="AI150" s="8"/>
      <c r="AJ150" s="8"/>
      <c r="AK150" s="8"/>
      <c r="AL150" s="8"/>
      <c r="AM150" s="8"/>
      <c r="AN150" s="8"/>
      <c r="AO150" s="8"/>
    </row>
    <row r="151" spans="1:41" ht="15.7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141">
        <f t="shared" si="29"/>
        <v>1460</v>
      </c>
      <c r="AC151" s="8"/>
      <c r="AD151" s="8"/>
      <c r="AE151" s="8"/>
      <c r="AF151" s="8"/>
      <c r="AG151" s="8"/>
      <c r="AH151" s="8"/>
      <c r="AI151" s="8"/>
      <c r="AJ151" s="8"/>
      <c r="AK151" s="8"/>
      <c r="AL151" s="8"/>
      <c r="AM151" s="8"/>
      <c r="AN151" s="8"/>
      <c r="AO151" s="8"/>
    </row>
    <row r="152" spans="1:41" ht="15.7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141">
        <f t="shared" si="29"/>
        <v>1470</v>
      </c>
      <c r="AC152" s="8"/>
      <c r="AD152" s="8"/>
      <c r="AE152" s="8"/>
      <c r="AF152" s="8"/>
      <c r="AG152" s="8"/>
      <c r="AH152" s="8"/>
      <c r="AI152" s="8"/>
      <c r="AJ152" s="8"/>
      <c r="AK152" s="8"/>
      <c r="AL152" s="8"/>
      <c r="AM152" s="8"/>
      <c r="AN152" s="8"/>
      <c r="AO152" s="8"/>
    </row>
    <row r="153" spans="1:41" ht="15.7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141">
        <f t="shared" si="29"/>
        <v>1480</v>
      </c>
      <c r="AC153" s="8"/>
      <c r="AD153" s="8"/>
      <c r="AE153" s="8"/>
      <c r="AF153" s="8"/>
      <c r="AG153" s="8"/>
      <c r="AH153" s="8"/>
      <c r="AI153" s="8"/>
      <c r="AJ153" s="8"/>
      <c r="AK153" s="8"/>
      <c r="AL153" s="8"/>
      <c r="AM153" s="8"/>
      <c r="AN153" s="8"/>
      <c r="AO153" s="8"/>
    </row>
    <row r="154" spans="1:41" ht="15.7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141">
        <f t="shared" si="29"/>
        <v>1490</v>
      </c>
      <c r="AC154" s="8"/>
      <c r="AD154" s="8"/>
      <c r="AE154" s="8"/>
      <c r="AF154" s="8"/>
      <c r="AG154" s="8"/>
      <c r="AH154" s="8"/>
      <c r="AI154" s="8"/>
      <c r="AJ154" s="8"/>
      <c r="AK154" s="8"/>
      <c r="AL154" s="8"/>
      <c r="AM154" s="8"/>
      <c r="AN154" s="8"/>
      <c r="AO154" s="8"/>
    </row>
    <row r="155" spans="1:41" ht="15.7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141">
        <f t="shared" si="29"/>
        <v>1500</v>
      </c>
      <c r="AC155" s="8"/>
      <c r="AD155" s="8"/>
      <c r="AE155" s="8"/>
      <c r="AF155" s="8"/>
      <c r="AG155" s="8"/>
      <c r="AH155" s="8"/>
      <c r="AI155" s="8"/>
      <c r="AJ155" s="8"/>
      <c r="AK155" s="8"/>
      <c r="AL155" s="8"/>
      <c r="AM155" s="8"/>
      <c r="AN155" s="8"/>
      <c r="AO155" s="8"/>
    </row>
    <row r="156" spans="1:41" ht="15.7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141">
        <f t="shared" si="29"/>
        <v>1510</v>
      </c>
      <c r="AC156" s="8"/>
      <c r="AD156" s="8"/>
      <c r="AE156" s="8"/>
      <c r="AF156" s="8"/>
      <c r="AG156" s="8"/>
      <c r="AH156" s="8"/>
      <c r="AI156" s="8"/>
      <c r="AJ156" s="8"/>
      <c r="AK156" s="8"/>
      <c r="AL156" s="8"/>
      <c r="AM156" s="8"/>
      <c r="AN156" s="8"/>
      <c r="AO156" s="8"/>
    </row>
    <row r="157" spans="1:41" ht="15.7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141">
        <f t="shared" si="29"/>
        <v>1520</v>
      </c>
      <c r="AC157" s="8"/>
      <c r="AD157" s="8"/>
      <c r="AE157" s="8"/>
      <c r="AF157" s="8"/>
      <c r="AG157" s="8"/>
      <c r="AH157" s="8"/>
      <c r="AI157" s="8"/>
      <c r="AJ157" s="8"/>
      <c r="AK157" s="8"/>
      <c r="AL157" s="8"/>
      <c r="AM157" s="8"/>
      <c r="AN157" s="8"/>
      <c r="AO157" s="8"/>
    </row>
    <row r="158" spans="1:41" ht="15.7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141">
        <f t="shared" si="29"/>
        <v>1530</v>
      </c>
      <c r="AC158" s="8"/>
      <c r="AD158" s="8"/>
      <c r="AE158" s="8"/>
      <c r="AF158" s="8"/>
      <c r="AG158" s="8"/>
      <c r="AH158" s="8"/>
      <c r="AI158" s="8"/>
      <c r="AJ158" s="8"/>
      <c r="AK158" s="8"/>
      <c r="AL158" s="8"/>
      <c r="AM158" s="8"/>
      <c r="AN158" s="8"/>
      <c r="AO158" s="8"/>
    </row>
    <row r="159" spans="1:41" ht="15.7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141">
        <f t="shared" si="29"/>
        <v>1540</v>
      </c>
      <c r="AC159" s="8"/>
      <c r="AD159" s="8"/>
      <c r="AE159" s="8"/>
      <c r="AF159" s="8"/>
      <c r="AG159" s="8"/>
      <c r="AH159" s="8"/>
      <c r="AI159" s="8"/>
      <c r="AJ159" s="8"/>
      <c r="AK159" s="8"/>
      <c r="AL159" s="8"/>
      <c r="AM159" s="8"/>
      <c r="AN159" s="8"/>
      <c r="AO159" s="8"/>
    </row>
    <row r="160" spans="1:41" ht="15.7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141">
        <f t="shared" si="29"/>
        <v>1550</v>
      </c>
      <c r="AC160" s="8"/>
      <c r="AD160" s="8"/>
      <c r="AE160" s="8"/>
      <c r="AF160" s="8"/>
      <c r="AG160" s="8"/>
      <c r="AH160" s="8"/>
      <c r="AI160" s="8"/>
      <c r="AJ160" s="8"/>
      <c r="AK160" s="8"/>
      <c r="AL160" s="8"/>
      <c r="AM160" s="8"/>
      <c r="AN160" s="8"/>
      <c r="AO160" s="8"/>
    </row>
    <row r="161" spans="1:41" ht="15.7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141">
        <f t="shared" si="29"/>
        <v>1560</v>
      </c>
      <c r="AC161" s="8"/>
      <c r="AD161" s="8"/>
      <c r="AE161" s="8"/>
      <c r="AF161" s="8"/>
      <c r="AG161" s="8"/>
      <c r="AH161" s="8"/>
      <c r="AI161" s="8"/>
      <c r="AJ161" s="8"/>
      <c r="AK161" s="8"/>
      <c r="AL161" s="8"/>
      <c r="AM161" s="8"/>
      <c r="AN161" s="8"/>
      <c r="AO161" s="8"/>
    </row>
    <row r="162" spans="1:41" ht="15.7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141">
        <f t="shared" si="29"/>
        <v>1570</v>
      </c>
      <c r="AC162" s="8"/>
      <c r="AD162" s="8"/>
      <c r="AE162" s="8"/>
      <c r="AF162" s="8"/>
      <c r="AG162" s="8"/>
      <c r="AH162" s="8"/>
      <c r="AI162" s="8"/>
      <c r="AJ162" s="8"/>
      <c r="AK162" s="8"/>
      <c r="AL162" s="8"/>
      <c r="AM162" s="8"/>
      <c r="AN162" s="8"/>
      <c r="AO162" s="8"/>
    </row>
    <row r="163" spans="1:41" ht="15.7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141">
        <f t="shared" si="29"/>
        <v>1580</v>
      </c>
      <c r="AC163" s="8"/>
      <c r="AD163" s="8"/>
      <c r="AE163" s="8"/>
      <c r="AF163" s="8"/>
      <c r="AG163" s="8"/>
      <c r="AH163" s="8"/>
      <c r="AI163" s="8"/>
      <c r="AJ163" s="8"/>
      <c r="AK163" s="8"/>
      <c r="AL163" s="8"/>
      <c r="AM163" s="8"/>
      <c r="AN163" s="8"/>
      <c r="AO163" s="8"/>
    </row>
    <row r="164" spans="1:41" ht="15.7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141">
        <f t="shared" si="29"/>
        <v>1590</v>
      </c>
      <c r="AC164" s="8"/>
      <c r="AD164" s="8"/>
      <c r="AE164" s="8"/>
      <c r="AF164" s="8"/>
      <c r="AG164" s="8"/>
      <c r="AH164" s="8"/>
      <c r="AI164" s="8"/>
      <c r="AJ164" s="8"/>
      <c r="AK164" s="8"/>
      <c r="AL164" s="8"/>
      <c r="AM164" s="8"/>
      <c r="AN164" s="8"/>
      <c r="AO164" s="8"/>
    </row>
    <row r="165" spans="1:41" ht="15.7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141">
        <f t="shared" ref="AB165:AB228" si="30">AB164+10</f>
        <v>1600</v>
      </c>
      <c r="AC165" s="8"/>
      <c r="AD165" s="8"/>
      <c r="AE165" s="8"/>
      <c r="AF165" s="8"/>
      <c r="AG165" s="8"/>
      <c r="AH165" s="8"/>
      <c r="AI165" s="8"/>
      <c r="AJ165" s="8"/>
      <c r="AK165" s="8"/>
      <c r="AL165" s="8"/>
      <c r="AM165" s="8"/>
      <c r="AN165" s="8"/>
      <c r="AO165" s="8"/>
    </row>
    <row r="166" spans="1:41" ht="15.7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141">
        <f t="shared" si="30"/>
        <v>1610</v>
      </c>
      <c r="AC166" s="8"/>
      <c r="AD166" s="8"/>
      <c r="AE166" s="8"/>
      <c r="AF166" s="8"/>
      <c r="AG166" s="8"/>
      <c r="AH166" s="8"/>
      <c r="AI166" s="8"/>
      <c r="AJ166" s="8"/>
      <c r="AK166" s="8"/>
      <c r="AL166" s="8"/>
      <c r="AM166" s="8"/>
      <c r="AN166" s="8"/>
      <c r="AO166" s="8"/>
    </row>
    <row r="167" spans="1:41" ht="15.7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141">
        <f t="shared" si="30"/>
        <v>1620</v>
      </c>
      <c r="AC167" s="8"/>
      <c r="AD167" s="8"/>
      <c r="AE167" s="8"/>
      <c r="AF167" s="8"/>
      <c r="AG167" s="8"/>
      <c r="AH167" s="8"/>
      <c r="AI167" s="8"/>
      <c r="AJ167" s="8"/>
      <c r="AK167" s="8"/>
      <c r="AL167" s="8"/>
      <c r="AM167" s="8"/>
      <c r="AN167" s="8"/>
      <c r="AO167" s="8"/>
    </row>
    <row r="168" spans="1:41" ht="15.7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141">
        <f t="shared" si="30"/>
        <v>1630</v>
      </c>
      <c r="AC168" s="8"/>
      <c r="AD168" s="8"/>
      <c r="AE168" s="8"/>
      <c r="AF168" s="8"/>
      <c r="AG168" s="8"/>
      <c r="AH168" s="8"/>
      <c r="AI168" s="8"/>
      <c r="AJ168" s="8"/>
      <c r="AK168" s="8"/>
      <c r="AL168" s="8"/>
      <c r="AM168" s="8"/>
      <c r="AN168" s="8"/>
      <c r="AO168" s="8"/>
    </row>
    <row r="169" spans="1:41" ht="15.7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141">
        <f t="shared" si="30"/>
        <v>1640</v>
      </c>
      <c r="AC169" s="8"/>
      <c r="AD169" s="8"/>
      <c r="AE169" s="8"/>
      <c r="AF169" s="8"/>
      <c r="AG169" s="8"/>
      <c r="AH169" s="8"/>
      <c r="AI169" s="8"/>
      <c r="AJ169" s="8"/>
      <c r="AK169" s="8"/>
      <c r="AL169" s="8"/>
      <c r="AM169" s="8"/>
      <c r="AN169" s="8"/>
      <c r="AO169" s="8"/>
    </row>
    <row r="170" spans="1:41" ht="15.7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141">
        <f t="shared" si="30"/>
        <v>1650</v>
      </c>
      <c r="AC170" s="8"/>
      <c r="AD170" s="8"/>
      <c r="AE170" s="8"/>
      <c r="AF170" s="8"/>
      <c r="AG170" s="8"/>
      <c r="AH170" s="8"/>
      <c r="AI170" s="8"/>
      <c r="AJ170" s="8"/>
      <c r="AK170" s="8"/>
      <c r="AL170" s="8"/>
      <c r="AM170" s="8"/>
      <c r="AN170" s="8"/>
      <c r="AO170" s="8"/>
    </row>
    <row r="171" spans="1:41" ht="15.7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141">
        <f t="shared" si="30"/>
        <v>1660</v>
      </c>
      <c r="AC171" s="8"/>
      <c r="AD171" s="8"/>
      <c r="AE171" s="8"/>
      <c r="AF171" s="8"/>
      <c r="AG171" s="8"/>
      <c r="AH171" s="8"/>
      <c r="AI171" s="8"/>
      <c r="AJ171" s="8"/>
      <c r="AK171" s="8"/>
      <c r="AL171" s="8"/>
      <c r="AM171" s="8"/>
      <c r="AN171" s="8"/>
      <c r="AO171" s="8"/>
    </row>
    <row r="172" spans="1:41" ht="15.7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141">
        <f t="shared" si="30"/>
        <v>1670</v>
      </c>
      <c r="AC172" s="8"/>
      <c r="AD172" s="8"/>
      <c r="AE172" s="8"/>
      <c r="AF172" s="8"/>
      <c r="AG172" s="8"/>
      <c r="AH172" s="8"/>
      <c r="AI172" s="8"/>
      <c r="AJ172" s="8"/>
      <c r="AK172" s="8"/>
      <c r="AL172" s="8"/>
      <c r="AM172" s="8"/>
      <c r="AN172" s="8"/>
      <c r="AO172" s="8"/>
    </row>
    <row r="173" spans="1:41" ht="15.7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141">
        <f t="shared" si="30"/>
        <v>1680</v>
      </c>
      <c r="AC173" s="8"/>
      <c r="AD173" s="8"/>
      <c r="AE173" s="8"/>
      <c r="AF173" s="8"/>
      <c r="AG173" s="8"/>
      <c r="AH173" s="8"/>
      <c r="AI173" s="8"/>
      <c r="AJ173" s="8"/>
      <c r="AK173" s="8"/>
      <c r="AL173" s="8"/>
      <c r="AM173" s="8"/>
      <c r="AN173" s="8"/>
      <c r="AO173" s="8"/>
    </row>
    <row r="174" spans="1:41" ht="15.7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141">
        <f t="shared" si="30"/>
        <v>1690</v>
      </c>
      <c r="AC174" s="8"/>
      <c r="AD174" s="8"/>
      <c r="AE174" s="8"/>
      <c r="AF174" s="8"/>
      <c r="AG174" s="8"/>
      <c r="AH174" s="8"/>
      <c r="AI174" s="8"/>
      <c r="AJ174" s="8"/>
      <c r="AK174" s="8"/>
      <c r="AL174" s="8"/>
      <c r="AM174" s="8"/>
      <c r="AN174" s="8"/>
      <c r="AO174" s="8"/>
    </row>
    <row r="175" spans="1:41" ht="15.7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141">
        <f t="shared" si="30"/>
        <v>1700</v>
      </c>
      <c r="AC175" s="8"/>
      <c r="AD175" s="8"/>
      <c r="AE175" s="8"/>
      <c r="AF175" s="8"/>
      <c r="AG175" s="8"/>
      <c r="AH175" s="8"/>
      <c r="AI175" s="8"/>
      <c r="AJ175" s="8"/>
      <c r="AK175" s="8"/>
      <c r="AL175" s="8"/>
      <c r="AM175" s="8"/>
      <c r="AN175" s="8"/>
      <c r="AO175" s="8"/>
    </row>
    <row r="176" spans="1:41" ht="15.7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141">
        <f t="shared" si="30"/>
        <v>1710</v>
      </c>
      <c r="AC176" s="8"/>
      <c r="AD176" s="8"/>
      <c r="AE176" s="8"/>
      <c r="AF176" s="8"/>
      <c r="AG176" s="8"/>
      <c r="AH176" s="8"/>
      <c r="AI176" s="8"/>
      <c r="AJ176" s="8"/>
      <c r="AK176" s="8"/>
      <c r="AL176" s="8"/>
      <c r="AM176" s="8"/>
      <c r="AN176" s="8"/>
      <c r="AO176" s="8"/>
    </row>
    <row r="177" spans="1:41" ht="15.7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141">
        <f t="shared" si="30"/>
        <v>1720</v>
      </c>
      <c r="AC177" s="8"/>
      <c r="AD177" s="8"/>
      <c r="AE177" s="8"/>
      <c r="AF177" s="8"/>
      <c r="AG177" s="8"/>
      <c r="AH177" s="8"/>
      <c r="AI177" s="8"/>
      <c r="AJ177" s="8"/>
      <c r="AK177" s="8"/>
      <c r="AL177" s="8"/>
      <c r="AM177" s="8"/>
      <c r="AN177" s="8"/>
      <c r="AO177" s="8"/>
    </row>
    <row r="178" spans="1:41" ht="15.7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141">
        <f t="shared" si="30"/>
        <v>1730</v>
      </c>
      <c r="AC178" s="8"/>
      <c r="AD178" s="8"/>
      <c r="AE178" s="8"/>
      <c r="AF178" s="8"/>
      <c r="AG178" s="8"/>
      <c r="AH178" s="8"/>
      <c r="AI178" s="8"/>
      <c r="AJ178" s="8"/>
      <c r="AK178" s="8"/>
      <c r="AL178" s="8"/>
      <c r="AM178" s="8"/>
      <c r="AN178" s="8"/>
      <c r="AO178" s="8"/>
    </row>
    <row r="179" spans="1:41" ht="15.7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141">
        <f t="shared" si="30"/>
        <v>1740</v>
      </c>
      <c r="AC179" s="8"/>
      <c r="AD179" s="8"/>
      <c r="AE179" s="8"/>
      <c r="AF179" s="8"/>
      <c r="AG179" s="8"/>
      <c r="AH179" s="8"/>
      <c r="AI179" s="8"/>
      <c r="AJ179" s="8"/>
      <c r="AK179" s="8"/>
      <c r="AL179" s="8"/>
      <c r="AM179" s="8"/>
      <c r="AN179" s="8"/>
      <c r="AO179" s="8"/>
    </row>
    <row r="180" spans="1:41" ht="15.7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141">
        <f t="shared" si="30"/>
        <v>1750</v>
      </c>
      <c r="AC180" s="8"/>
      <c r="AD180" s="8"/>
      <c r="AE180" s="8"/>
      <c r="AF180" s="8"/>
      <c r="AG180" s="8"/>
      <c r="AH180" s="8"/>
      <c r="AI180" s="8"/>
      <c r="AJ180" s="8"/>
      <c r="AK180" s="8"/>
      <c r="AL180" s="8"/>
      <c r="AM180" s="8"/>
      <c r="AN180" s="8"/>
      <c r="AO180" s="8"/>
    </row>
    <row r="181" spans="1:41" ht="15.7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141">
        <f t="shared" si="30"/>
        <v>1760</v>
      </c>
      <c r="AC181" s="8"/>
      <c r="AD181" s="8"/>
      <c r="AE181" s="8"/>
      <c r="AF181" s="8"/>
      <c r="AG181" s="8"/>
      <c r="AH181" s="8"/>
      <c r="AI181" s="8"/>
      <c r="AJ181" s="8"/>
      <c r="AK181" s="8"/>
      <c r="AL181" s="8"/>
      <c r="AM181" s="8"/>
      <c r="AN181" s="8"/>
      <c r="AO181" s="8"/>
    </row>
    <row r="182" spans="1:41" ht="15.7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141">
        <f t="shared" si="30"/>
        <v>1770</v>
      </c>
      <c r="AC182" s="8"/>
      <c r="AD182" s="8"/>
      <c r="AE182" s="8"/>
      <c r="AF182" s="8"/>
      <c r="AG182" s="8"/>
      <c r="AH182" s="8"/>
      <c r="AI182" s="8"/>
      <c r="AJ182" s="8"/>
      <c r="AK182" s="8"/>
      <c r="AL182" s="8"/>
      <c r="AM182" s="8"/>
      <c r="AN182" s="8"/>
      <c r="AO182" s="8"/>
    </row>
    <row r="183" spans="1:41" ht="15.7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141">
        <f t="shared" si="30"/>
        <v>1780</v>
      </c>
      <c r="AC183" s="8"/>
      <c r="AD183" s="8"/>
      <c r="AE183" s="8"/>
      <c r="AF183" s="8"/>
      <c r="AG183" s="8"/>
      <c r="AH183" s="8"/>
      <c r="AI183" s="8"/>
      <c r="AJ183" s="8"/>
      <c r="AK183" s="8"/>
      <c r="AL183" s="8"/>
      <c r="AM183" s="8"/>
      <c r="AN183" s="8"/>
      <c r="AO183" s="8"/>
    </row>
    <row r="184" spans="1:41" ht="15.7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141">
        <f t="shared" si="30"/>
        <v>1790</v>
      </c>
      <c r="AC184" s="8"/>
      <c r="AD184" s="8"/>
      <c r="AE184" s="8"/>
      <c r="AF184" s="8"/>
      <c r="AG184" s="8"/>
      <c r="AH184" s="8"/>
      <c r="AI184" s="8"/>
      <c r="AJ184" s="8"/>
      <c r="AK184" s="8"/>
      <c r="AL184" s="8"/>
      <c r="AM184" s="8"/>
      <c r="AN184" s="8"/>
      <c r="AO184" s="8"/>
    </row>
    <row r="185" spans="1:41" ht="15.7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141">
        <f t="shared" si="30"/>
        <v>1800</v>
      </c>
      <c r="AC185" s="8"/>
      <c r="AD185" s="8"/>
      <c r="AE185" s="8"/>
      <c r="AF185" s="8"/>
      <c r="AG185" s="8"/>
      <c r="AH185" s="8"/>
      <c r="AI185" s="8"/>
      <c r="AJ185" s="8"/>
      <c r="AK185" s="8"/>
      <c r="AL185" s="8"/>
      <c r="AM185" s="8"/>
      <c r="AN185" s="8"/>
      <c r="AO185" s="8"/>
    </row>
    <row r="186" spans="1:41" ht="15.7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141">
        <f t="shared" si="30"/>
        <v>1810</v>
      </c>
      <c r="AC186" s="8"/>
      <c r="AD186" s="8"/>
      <c r="AE186" s="8"/>
      <c r="AF186" s="8"/>
      <c r="AG186" s="8"/>
      <c r="AH186" s="8"/>
      <c r="AI186" s="8"/>
      <c r="AJ186" s="8"/>
      <c r="AK186" s="8"/>
      <c r="AL186" s="8"/>
      <c r="AM186" s="8"/>
      <c r="AN186" s="8"/>
      <c r="AO186" s="8"/>
    </row>
    <row r="187" spans="1:41" ht="15.7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141">
        <f t="shared" si="30"/>
        <v>1820</v>
      </c>
      <c r="AC187" s="8"/>
      <c r="AD187" s="8"/>
      <c r="AE187" s="8"/>
      <c r="AF187" s="8"/>
      <c r="AG187" s="8"/>
      <c r="AH187" s="8"/>
      <c r="AI187" s="8"/>
      <c r="AJ187" s="8"/>
      <c r="AK187" s="8"/>
      <c r="AL187" s="8"/>
      <c r="AM187" s="8"/>
      <c r="AN187" s="8"/>
      <c r="AO187" s="8"/>
    </row>
    <row r="188" spans="1:41" ht="15.7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141">
        <f t="shared" si="30"/>
        <v>1830</v>
      </c>
      <c r="AC188" s="8"/>
      <c r="AD188" s="8"/>
      <c r="AE188" s="8"/>
      <c r="AF188" s="8"/>
      <c r="AG188" s="8"/>
      <c r="AH188" s="8"/>
      <c r="AI188" s="8"/>
      <c r="AJ188" s="8"/>
      <c r="AK188" s="8"/>
      <c r="AL188" s="8"/>
      <c r="AM188" s="8"/>
      <c r="AN188" s="8"/>
      <c r="AO188" s="8"/>
    </row>
    <row r="189" spans="1:41" ht="15.7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141">
        <f t="shared" si="30"/>
        <v>1840</v>
      </c>
      <c r="AC189" s="8"/>
      <c r="AD189" s="8"/>
      <c r="AE189" s="8"/>
      <c r="AF189" s="8"/>
      <c r="AG189" s="8"/>
      <c r="AH189" s="8"/>
      <c r="AI189" s="8"/>
      <c r="AJ189" s="8"/>
      <c r="AK189" s="8"/>
      <c r="AL189" s="8"/>
      <c r="AM189" s="8"/>
      <c r="AN189" s="8"/>
      <c r="AO189" s="8"/>
    </row>
    <row r="190" spans="1:41" ht="15.7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141">
        <f t="shared" si="30"/>
        <v>1850</v>
      </c>
      <c r="AC190" s="8"/>
      <c r="AD190" s="8"/>
      <c r="AE190" s="8"/>
      <c r="AF190" s="8"/>
      <c r="AG190" s="8"/>
      <c r="AH190" s="8"/>
      <c r="AI190" s="8"/>
      <c r="AJ190" s="8"/>
      <c r="AK190" s="8"/>
      <c r="AL190" s="8"/>
      <c r="AM190" s="8"/>
      <c r="AN190" s="8"/>
      <c r="AO190" s="8"/>
    </row>
    <row r="191" spans="1:41" ht="15.7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141">
        <f t="shared" si="30"/>
        <v>1860</v>
      </c>
      <c r="AC191" s="8"/>
      <c r="AD191" s="8"/>
      <c r="AE191" s="8"/>
      <c r="AF191" s="8"/>
      <c r="AG191" s="8"/>
      <c r="AH191" s="8"/>
      <c r="AI191" s="8"/>
      <c r="AJ191" s="8"/>
      <c r="AK191" s="8"/>
      <c r="AL191" s="8"/>
      <c r="AM191" s="8"/>
      <c r="AN191" s="8"/>
      <c r="AO191" s="8"/>
    </row>
    <row r="192" spans="1:41" ht="15.7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141">
        <f t="shared" si="30"/>
        <v>1870</v>
      </c>
      <c r="AC192" s="8"/>
      <c r="AD192" s="8"/>
      <c r="AE192" s="8"/>
      <c r="AF192" s="8"/>
      <c r="AG192" s="8"/>
      <c r="AH192" s="8"/>
      <c r="AI192" s="8"/>
      <c r="AJ192" s="8"/>
      <c r="AK192" s="8"/>
      <c r="AL192" s="8"/>
      <c r="AM192" s="8"/>
      <c r="AN192" s="8"/>
      <c r="AO192" s="8"/>
    </row>
    <row r="193" spans="1:41" ht="15.7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141">
        <f t="shared" si="30"/>
        <v>1880</v>
      </c>
      <c r="AC193" s="8"/>
      <c r="AD193" s="8"/>
      <c r="AE193" s="8"/>
      <c r="AF193" s="8"/>
      <c r="AG193" s="8"/>
      <c r="AH193" s="8"/>
      <c r="AI193" s="8"/>
      <c r="AJ193" s="8"/>
      <c r="AK193" s="8"/>
      <c r="AL193" s="8"/>
      <c r="AM193" s="8"/>
      <c r="AN193" s="8"/>
      <c r="AO193" s="8"/>
    </row>
    <row r="194" spans="1:41" ht="15.7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141">
        <f t="shared" si="30"/>
        <v>1890</v>
      </c>
      <c r="AC194" s="8"/>
      <c r="AD194" s="8"/>
      <c r="AE194" s="8"/>
      <c r="AF194" s="8"/>
      <c r="AG194" s="8"/>
      <c r="AH194" s="8"/>
      <c r="AI194" s="8"/>
      <c r="AJ194" s="8"/>
      <c r="AK194" s="8"/>
      <c r="AL194" s="8"/>
      <c r="AM194" s="8"/>
      <c r="AN194" s="8"/>
      <c r="AO194" s="8"/>
    </row>
    <row r="195" spans="1:41" ht="15.7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141">
        <f t="shared" si="30"/>
        <v>1900</v>
      </c>
      <c r="AC195" s="8"/>
      <c r="AD195" s="8"/>
      <c r="AE195" s="8"/>
      <c r="AF195" s="8"/>
      <c r="AG195" s="8"/>
      <c r="AH195" s="8"/>
      <c r="AI195" s="8"/>
      <c r="AJ195" s="8"/>
      <c r="AK195" s="8"/>
      <c r="AL195" s="8"/>
      <c r="AM195" s="8"/>
      <c r="AN195" s="8"/>
      <c r="AO195" s="8"/>
    </row>
    <row r="196" spans="1:41" ht="15.7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141">
        <f t="shared" si="30"/>
        <v>1910</v>
      </c>
      <c r="AC196" s="8"/>
      <c r="AD196" s="8"/>
      <c r="AE196" s="8"/>
      <c r="AF196" s="8"/>
      <c r="AG196" s="8"/>
      <c r="AH196" s="8"/>
      <c r="AI196" s="8"/>
      <c r="AJ196" s="8"/>
      <c r="AK196" s="8"/>
      <c r="AL196" s="8"/>
      <c r="AM196" s="8"/>
      <c r="AN196" s="8"/>
      <c r="AO196" s="8"/>
    </row>
    <row r="197" spans="1:41" ht="15.7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141">
        <f t="shared" si="30"/>
        <v>1920</v>
      </c>
      <c r="AC197" s="8"/>
      <c r="AD197" s="8"/>
      <c r="AE197" s="8"/>
      <c r="AF197" s="8"/>
      <c r="AG197" s="8"/>
      <c r="AH197" s="8"/>
      <c r="AI197" s="8"/>
      <c r="AJ197" s="8"/>
      <c r="AK197" s="8"/>
      <c r="AL197" s="8"/>
      <c r="AM197" s="8"/>
      <c r="AN197" s="8"/>
      <c r="AO197" s="8"/>
    </row>
    <row r="198" spans="1:41" ht="15.7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141">
        <f t="shared" si="30"/>
        <v>1930</v>
      </c>
      <c r="AC198" s="8"/>
      <c r="AD198" s="8"/>
      <c r="AE198" s="8"/>
      <c r="AF198" s="8"/>
      <c r="AG198" s="8"/>
      <c r="AH198" s="8"/>
      <c r="AI198" s="8"/>
      <c r="AJ198" s="8"/>
      <c r="AK198" s="8"/>
      <c r="AL198" s="8"/>
      <c r="AM198" s="8"/>
      <c r="AN198" s="8"/>
      <c r="AO198" s="8"/>
    </row>
    <row r="199" spans="1:41" ht="15.7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141">
        <f t="shared" si="30"/>
        <v>1940</v>
      </c>
      <c r="AC199" s="8"/>
      <c r="AD199" s="8"/>
      <c r="AE199" s="8"/>
      <c r="AF199" s="8"/>
      <c r="AG199" s="8"/>
      <c r="AH199" s="8"/>
      <c r="AI199" s="8"/>
      <c r="AJ199" s="8"/>
      <c r="AK199" s="8"/>
      <c r="AL199" s="8"/>
      <c r="AM199" s="8"/>
      <c r="AN199" s="8"/>
      <c r="AO199" s="8"/>
    </row>
    <row r="200" spans="1:41" ht="15.7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141">
        <f t="shared" si="30"/>
        <v>1950</v>
      </c>
      <c r="AC200" s="8"/>
      <c r="AD200" s="8"/>
      <c r="AE200" s="8"/>
      <c r="AF200" s="8"/>
      <c r="AG200" s="8"/>
      <c r="AH200" s="8"/>
      <c r="AI200" s="8"/>
      <c r="AJ200" s="8"/>
      <c r="AK200" s="8"/>
      <c r="AL200" s="8"/>
      <c r="AM200" s="8"/>
      <c r="AN200" s="8"/>
      <c r="AO200" s="8"/>
    </row>
    <row r="201" spans="1:41" ht="15.7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141">
        <f t="shared" si="30"/>
        <v>1960</v>
      </c>
      <c r="AC201" s="8"/>
      <c r="AD201" s="8"/>
      <c r="AE201" s="8"/>
      <c r="AF201" s="8"/>
      <c r="AG201" s="8"/>
      <c r="AH201" s="8"/>
      <c r="AI201" s="8"/>
      <c r="AJ201" s="8"/>
      <c r="AK201" s="8"/>
      <c r="AL201" s="8"/>
      <c r="AM201" s="8"/>
      <c r="AN201" s="8"/>
      <c r="AO201" s="8"/>
    </row>
    <row r="202" spans="1:41" ht="15.7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141">
        <f t="shared" si="30"/>
        <v>1970</v>
      </c>
      <c r="AC202" s="8"/>
      <c r="AD202" s="8"/>
      <c r="AE202" s="8"/>
      <c r="AF202" s="8"/>
      <c r="AG202" s="8"/>
      <c r="AH202" s="8"/>
      <c r="AI202" s="8"/>
      <c r="AJ202" s="8"/>
      <c r="AK202" s="8"/>
      <c r="AL202" s="8"/>
      <c r="AM202" s="8"/>
      <c r="AN202" s="8"/>
      <c r="AO202" s="8"/>
    </row>
    <row r="203" spans="1:41" ht="15.7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141">
        <f t="shared" si="30"/>
        <v>1980</v>
      </c>
      <c r="AC203" s="8"/>
      <c r="AD203" s="8"/>
      <c r="AE203" s="8"/>
      <c r="AF203" s="8"/>
      <c r="AG203" s="8"/>
      <c r="AH203" s="8"/>
      <c r="AI203" s="8"/>
      <c r="AJ203" s="8"/>
      <c r="AK203" s="8"/>
      <c r="AL203" s="8"/>
      <c r="AM203" s="8"/>
      <c r="AN203" s="8"/>
      <c r="AO203" s="8"/>
    </row>
    <row r="204" spans="1:41" ht="15.7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141">
        <f t="shared" si="30"/>
        <v>1990</v>
      </c>
      <c r="AC204" s="8"/>
      <c r="AD204" s="8"/>
      <c r="AE204" s="8"/>
      <c r="AF204" s="8"/>
      <c r="AG204" s="8"/>
      <c r="AH204" s="8"/>
      <c r="AI204" s="8"/>
      <c r="AJ204" s="8"/>
      <c r="AK204" s="8"/>
      <c r="AL204" s="8"/>
      <c r="AM204" s="8"/>
      <c r="AN204" s="8"/>
      <c r="AO204" s="8"/>
    </row>
    <row r="205" spans="1:41" ht="15.7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141">
        <f t="shared" si="30"/>
        <v>2000</v>
      </c>
      <c r="AC205" s="8"/>
      <c r="AD205" s="8"/>
      <c r="AE205" s="8"/>
      <c r="AF205" s="8"/>
      <c r="AG205" s="8"/>
      <c r="AH205" s="8"/>
      <c r="AI205" s="8"/>
      <c r="AJ205" s="8"/>
      <c r="AK205" s="8"/>
      <c r="AL205" s="8"/>
      <c r="AM205" s="8"/>
      <c r="AN205" s="8"/>
      <c r="AO205" s="8"/>
    </row>
    <row r="206" spans="1:41" ht="15.7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141">
        <f t="shared" si="30"/>
        <v>2010</v>
      </c>
      <c r="AC206" s="8"/>
      <c r="AD206" s="8"/>
      <c r="AE206" s="8"/>
      <c r="AF206" s="8"/>
      <c r="AG206" s="8"/>
      <c r="AH206" s="8"/>
      <c r="AI206" s="8"/>
      <c r="AJ206" s="8"/>
      <c r="AK206" s="8"/>
      <c r="AL206" s="8"/>
      <c r="AM206" s="8"/>
      <c r="AN206" s="8"/>
      <c r="AO206" s="8"/>
    </row>
    <row r="207" spans="1:41" ht="15.7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141">
        <f t="shared" si="30"/>
        <v>2020</v>
      </c>
      <c r="AC207" s="8"/>
      <c r="AD207" s="8"/>
      <c r="AE207" s="8"/>
      <c r="AF207" s="8"/>
      <c r="AG207" s="8"/>
      <c r="AH207" s="8"/>
      <c r="AI207" s="8"/>
      <c r="AJ207" s="8"/>
      <c r="AK207" s="8"/>
      <c r="AL207" s="8"/>
      <c r="AM207" s="8"/>
      <c r="AN207" s="8"/>
      <c r="AO207" s="8"/>
    </row>
    <row r="208" spans="1:41" ht="15.7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141">
        <f t="shared" si="30"/>
        <v>2030</v>
      </c>
      <c r="AC208" s="8"/>
      <c r="AD208" s="8"/>
      <c r="AE208" s="8"/>
      <c r="AF208" s="8"/>
      <c r="AG208" s="8"/>
      <c r="AH208" s="8"/>
      <c r="AI208" s="8"/>
      <c r="AJ208" s="8"/>
      <c r="AK208" s="8"/>
      <c r="AL208" s="8"/>
      <c r="AM208" s="8"/>
      <c r="AN208" s="8"/>
      <c r="AO208" s="8"/>
    </row>
    <row r="209" spans="1:41" ht="15.7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141">
        <f t="shared" si="30"/>
        <v>2040</v>
      </c>
      <c r="AC209" s="8"/>
      <c r="AD209" s="8"/>
      <c r="AE209" s="8"/>
      <c r="AF209" s="8"/>
      <c r="AG209" s="8"/>
      <c r="AH209" s="8"/>
      <c r="AI209" s="8"/>
      <c r="AJ209" s="8"/>
      <c r="AK209" s="8"/>
      <c r="AL209" s="8"/>
      <c r="AM209" s="8"/>
      <c r="AN209" s="8"/>
      <c r="AO209" s="8"/>
    </row>
    <row r="210" spans="1:41" ht="15.7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141">
        <f t="shared" si="30"/>
        <v>2050</v>
      </c>
      <c r="AC210" s="8"/>
      <c r="AD210" s="8"/>
      <c r="AE210" s="8"/>
      <c r="AF210" s="8"/>
      <c r="AG210" s="8"/>
      <c r="AH210" s="8"/>
      <c r="AI210" s="8"/>
      <c r="AJ210" s="8"/>
      <c r="AK210" s="8"/>
      <c r="AL210" s="8"/>
      <c r="AM210" s="8"/>
      <c r="AN210" s="8"/>
      <c r="AO210" s="8"/>
    </row>
    <row r="211" spans="1:41" ht="15.7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141">
        <f t="shared" si="30"/>
        <v>2060</v>
      </c>
      <c r="AC211" s="8"/>
      <c r="AD211" s="8"/>
      <c r="AE211" s="8"/>
      <c r="AF211" s="8"/>
      <c r="AG211" s="8"/>
      <c r="AH211" s="8"/>
      <c r="AI211" s="8"/>
      <c r="AJ211" s="8"/>
      <c r="AK211" s="8"/>
      <c r="AL211" s="8"/>
      <c r="AM211" s="8"/>
      <c r="AN211" s="8"/>
      <c r="AO211" s="8"/>
    </row>
    <row r="212" spans="1:41" ht="15.7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141">
        <f t="shared" si="30"/>
        <v>2070</v>
      </c>
      <c r="AC212" s="8"/>
      <c r="AD212" s="8"/>
      <c r="AE212" s="8"/>
      <c r="AF212" s="8"/>
      <c r="AG212" s="8"/>
      <c r="AH212" s="8"/>
      <c r="AI212" s="8"/>
      <c r="AJ212" s="8"/>
      <c r="AK212" s="8"/>
      <c r="AL212" s="8"/>
      <c r="AM212" s="8"/>
      <c r="AN212" s="8"/>
      <c r="AO212" s="8"/>
    </row>
    <row r="213" spans="1:41" ht="15.7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141">
        <f t="shared" si="30"/>
        <v>2080</v>
      </c>
      <c r="AC213" s="8"/>
      <c r="AD213" s="8"/>
      <c r="AE213" s="8"/>
      <c r="AF213" s="8"/>
      <c r="AG213" s="8"/>
      <c r="AH213" s="8"/>
      <c r="AI213" s="8"/>
      <c r="AJ213" s="8"/>
      <c r="AK213" s="8"/>
      <c r="AL213" s="8"/>
      <c r="AM213" s="8"/>
      <c r="AN213" s="8"/>
      <c r="AO213" s="8"/>
    </row>
    <row r="214" spans="1:41" ht="15.7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141">
        <f t="shared" si="30"/>
        <v>2090</v>
      </c>
      <c r="AC214" s="8"/>
      <c r="AD214" s="8"/>
      <c r="AE214" s="8"/>
      <c r="AF214" s="8"/>
      <c r="AG214" s="8"/>
      <c r="AH214" s="8"/>
      <c r="AI214" s="8"/>
      <c r="AJ214" s="8"/>
      <c r="AK214" s="8"/>
      <c r="AL214" s="8"/>
      <c r="AM214" s="8"/>
      <c r="AN214" s="8"/>
      <c r="AO214" s="8"/>
    </row>
    <row r="215" spans="1:41" ht="15.7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141">
        <f t="shared" si="30"/>
        <v>2100</v>
      </c>
      <c r="AC215" s="8"/>
      <c r="AD215" s="8"/>
      <c r="AE215" s="8"/>
      <c r="AF215" s="8"/>
      <c r="AG215" s="8"/>
      <c r="AH215" s="8"/>
      <c r="AI215" s="8"/>
      <c r="AJ215" s="8"/>
      <c r="AK215" s="8"/>
      <c r="AL215" s="8"/>
      <c r="AM215" s="8"/>
      <c r="AN215" s="8"/>
      <c r="AO215" s="8"/>
    </row>
    <row r="216" spans="1:41" ht="15.7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141">
        <f t="shared" si="30"/>
        <v>2110</v>
      </c>
      <c r="AC216" s="8"/>
      <c r="AD216" s="8"/>
      <c r="AE216" s="8"/>
      <c r="AF216" s="8"/>
      <c r="AG216" s="8"/>
      <c r="AH216" s="8"/>
      <c r="AI216" s="8"/>
      <c r="AJ216" s="8"/>
      <c r="AK216" s="8"/>
      <c r="AL216" s="8"/>
      <c r="AM216" s="8"/>
      <c r="AN216" s="8"/>
      <c r="AO216" s="8"/>
    </row>
    <row r="217" spans="1:41" ht="15.7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141">
        <f t="shared" si="30"/>
        <v>2120</v>
      </c>
      <c r="AC217" s="8"/>
      <c r="AD217" s="8"/>
      <c r="AE217" s="8"/>
      <c r="AF217" s="8"/>
      <c r="AG217" s="8"/>
      <c r="AH217" s="8"/>
      <c r="AI217" s="8"/>
      <c r="AJ217" s="8"/>
      <c r="AK217" s="8"/>
      <c r="AL217" s="8"/>
      <c r="AM217" s="8"/>
      <c r="AN217" s="8"/>
      <c r="AO217" s="8"/>
    </row>
    <row r="218" spans="1:41" ht="15.7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141">
        <f t="shared" si="30"/>
        <v>2130</v>
      </c>
      <c r="AC218" s="8"/>
      <c r="AD218" s="8"/>
      <c r="AE218" s="8"/>
      <c r="AF218" s="8"/>
      <c r="AG218" s="8"/>
      <c r="AH218" s="8"/>
      <c r="AI218" s="8"/>
      <c r="AJ218" s="8"/>
      <c r="AK218" s="8"/>
      <c r="AL218" s="8"/>
      <c r="AM218" s="8"/>
      <c r="AN218" s="8"/>
      <c r="AO218" s="8"/>
    </row>
    <row r="219" spans="1:41" ht="15.7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141">
        <f t="shared" si="30"/>
        <v>2140</v>
      </c>
      <c r="AC219" s="8"/>
      <c r="AD219" s="8"/>
      <c r="AE219" s="8"/>
      <c r="AF219" s="8"/>
      <c r="AG219" s="8"/>
      <c r="AH219" s="8"/>
      <c r="AI219" s="8"/>
      <c r="AJ219" s="8"/>
      <c r="AK219" s="8"/>
      <c r="AL219" s="8"/>
      <c r="AM219" s="8"/>
      <c r="AN219" s="8"/>
      <c r="AO219" s="8"/>
    </row>
    <row r="220" spans="1:41" ht="15.7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141">
        <f t="shared" si="30"/>
        <v>2150</v>
      </c>
      <c r="AC220" s="8"/>
      <c r="AD220" s="8"/>
      <c r="AE220" s="8"/>
      <c r="AF220" s="8"/>
      <c r="AG220" s="8"/>
      <c r="AH220" s="8"/>
      <c r="AI220" s="8"/>
      <c r="AJ220" s="8"/>
      <c r="AK220" s="8"/>
      <c r="AL220" s="8"/>
      <c r="AM220" s="8"/>
      <c r="AN220" s="8"/>
      <c r="AO220" s="8"/>
    </row>
    <row r="221" spans="1:41" ht="15.7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141">
        <f t="shared" si="30"/>
        <v>2160</v>
      </c>
      <c r="AC221" s="8"/>
      <c r="AD221" s="8"/>
      <c r="AE221" s="8"/>
      <c r="AF221" s="8"/>
      <c r="AG221" s="8"/>
      <c r="AH221" s="8"/>
      <c r="AI221" s="8"/>
      <c r="AJ221" s="8"/>
      <c r="AK221" s="8"/>
      <c r="AL221" s="8"/>
      <c r="AM221" s="8"/>
      <c r="AN221" s="8"/>
      <c r="AO221" s="8"/>
    </row>
    <row r="222" spans="1:41" ht="15.7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141">
        <f t="shared" si="30"/>
        <v>2170</v>
      </c>
      <c r="AC222" s="8"/>
      <c r="AD222" s="8"/>
      <c r="AE222" s="8"/>
      <c r="AF222" s="8"/>
      <c r="AG222" s="8"/>
      <c r="AH222" s="8"/>
      <c r="AI222" s="8"/>
      <c r="AJ222" s="8"/>
      <c r="AK222" s="8"/>
      <c r="AL222" s="8"/>
      <c r="AM222" s="8"/>
      <c r="AN222" s="8"/>
      <c r="AO222" s="8"/>
    </row>
    <row r="223" spans="1:41" ht="15.7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141">
        <f t="shared" si="30"/>
        <v>2180</v>
      </c>
      <c r="AC223" s="8"/>
      <c r="AD223" s="8"/>
      <c r="AE223" s="8"/>
      <c r="AF223" s="8"/>
      <c r="AG223" s="8"/>
      <c r="AH223" s="8"/>
      <c r="AI223" s="8"/>
      <c r="AJ223" s="8"/>
      <c r="AK223" s="8"/>
      <c r="AL223" s="8"/>
      <c r="AM223" s="8"/>
      <c r="AN223" s="8"/>
      <c r="AO223" s="8"/>
    </row>
    <row r="224" spans="1:41" ht="15.7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141">
        <f t="shared" si="30"/>
        <v>2190</v>
      </c>
      <c r="AC224" s="8"/>
      <c r="AD224" s="8"/>
      <c r="AE224" s="8"/>
      <c r="AF224" s="8"/>
      <c r="AG224" s="8"/>
      <c r="AH224" s="8"/>
      <c r="AI224" s="8"/>
      <c r="AJ224" s="8"/>
      <c r="AK224" s="8"/>
      <c r="AL224" s="8"/>
      <c r="AM224" s="8"/>
      <c r="AN224" s="8"/>
      <c r="AO224" s="8"/>
    </row>
    <row r="225" spans="1:41" ht="15.7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141">
        <f t="shared" si="30"/>
        <v>2200</v>
      </c>
      <c r="AC225" s="8"/>
      <c r="AD225" s="8"/>
      <c r="AE225" s="8"/>
      <c r="AF225" s="8"/>
      <c r="AG225" s="8"/>
      <c r="AH225" s="8"/>
      <c r="AI225" s="8"/>
      <c r="AJ225" s="8"/>
      <c r="AK225" s="8"/>
      <c r="AL225" s="8"/>
      <c r="AM225" s="8"/>
      <c r="AN225" s="8"/>
      <c r="AO225" s="8"/>
    </row>
    <row r="226" spans="1:41" ht="15.7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141">
        <f t="shared" si="30"/>
        <v>2210</v>
      </c>
      <c r="AC226" s="8"/>
      <c r="AD226" s="8"/>
      <c r="AE226" s="8"/>
      <c r="AF226" s="8"/>
      <c r="AG226" s="8"/>
      <c r="AH226" s="8"/>
      <c r="AI226" s="8"/>
      <c r="AJ226" s="8"/>
      <c r="AK226" s="8"/>
      <c r="AL226" s="8"/>
      <c r="AM226" s="8"/>
      <c r="AN226" s="8"/>
      <c r="AO226" s="8"/>
    </row>
    <row r="227" spans="1:41" ht="15.7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141">
        <f t="shared" si="30"/>
        <v>2220</v>
      </c>
      <c r="AC227" s="8"/>
      <c r="AD227" s="8"/>
      <c r="AE227" s="8"/>
      <c r="AF227" s="8"/>
      <c r="AG227" s="8"/>
      <c r="AH227" s="8"/>
      <c r="AI227" s="8"/>
      <c r="AJ227" s="8"/>
      <c r="AK227" s="8"/>
      <c r="AL227" s="8"/>
      <c r="AM227" s="8"/>
      <c r="AN227" s="8"/>
      <c r="AO227" s="8"/>
    </row>
    <row r="228" spans="1:41" ht="15.7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141">
        <f t="shared" si="30"/>
        <v>2230</v>
      </c>
      <c r="AC228" s="8"/>
      <c r="AD228" s="8"/>
      <c r="AE228" s="8"/>
      <c r="AF228" s="8"/>
      <c r="AG228" s="8"/>
      <c r="AH228" s="8"/>
      <c r="AI228" s="8"/>
      <c r="AJ228" s="8"/>
      <c r="AK228" s="8"/>
      <c r="AL228" s="8"/>
      <c r="AM228" s="8"/>
      <c r="AN228" s="8"/>
      <c r="AO228" s="8"/>
    </row>
    <row r="229" spans="1:41" ht="15.7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141">
        <f t="shared" ref="AB229:AB292" si="31">AB228+10</f>
        <v>2240</v>
      </c>
      <c r="AC229" s="8"/>
      <c r="AD229" s="8"/>
      <c r="AE229" s="8"/>
      <c r="AF229" s="8"/>
      <c r="AG229" s="8"/>
      <c r="AH229" s="8"/>
      <c r="AI229" s="8"/>
      <c r="AJ229" s="8"/>
      <c r="AK229" s="8"/>
      <c r="AL229" s="8"/>
      <c r="AM229" s="8"/>
      <c r="AN229" s="8"/>
      <c r="AO229" s="8"/>
    </row>
    <row r="230" spans="1:41" ht="15.7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141">
        <f t="shared" si="31"/>
        <v>2250</v>
      </c>
      <c r="AC230" s="8"/>
      <c r="AD230" s="8"/>
      <c r="AE230" s="8"/>
      <c r="AF230" s="8"/>
      <c r="AG230" s="8"/>
      <c r="AH230" s="8"/>
      <c r="AI230" s="8"/>
      <c r="AJ230" s="8"/>
      <c r="AK230" s="8"/>
      <c r="AL230" s="8"/>
      <c r="AM230" s="8"/>
      <c r="AN230" s="8"/>
      <c r="AO230" s="8"/>
    </row>
    <row r="231" spans="1:41" ht="15.7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141">
        <f t="shared" si="31"/>
        <v>2260</v>
      </c>
      <c r="AC231" s="8"/>
      <c r="AD231" s="8"/>
      <c r="AE231" s="8"/>
      <c r="AF231" s="8"/>
      <c r="AG231" s="8"/>
      <c r="AH231" s="8"/>
      <c r="AI231" s="8"/>
      <c r="AJ231" s="8"/>
      <c r="AK231" s="8"/>
      <c r="AL231" s="8"/>
      <c r="AM231" s="8"/>
      <c r="AN231" s="8"/>
      <c r="AO231" s="8"/>
    </row>
    <row r="232" spans="1:41" ht="15.7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141">
        <f t="shared" si="31"/>
        <v>2270</v>
      </c>
      <c r="AC232" s="8"/>
      <c r="AD232" s="8"/>
      <c r="AE232" s="8"/>
      <c r="AF232" s="8"/>
      <c r="AG232" s="8"/>
      <c r="AH232" s="8"/>
      <c r="AI232" s="8"/>
      <c r="AJ232" s="8"/>
      <c r="AK232" s="8"/>
      <c r="AL232" s="8"/>
      <c r="AM232" s="8"/>
      <c r="AN232" s="8"/>
      <c r="AO232" s="8"/>
    </row>
    <row r="233" spans="1:41" ht="15.7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141">
        <f t="shared" si="31"/>
        <v>2280</v>
      </c>
      <c r="AC233" s="8"/>
      <c r="AD233" s="8"/>
      <c r="AE233" s="8"/>
      <c r="AF233" s="8"/>
      <c r="AG233" s="8"/>
      <c r="AH233" s="8"/>
      <c r="AI233" s="8"/>
      <c r="AJ233" s="8"/>
      <c r="AK233" s="8"/>
      <c r="AL233" s="8"/>
      <c r="AM233" s="8"/>
      <c r="AN233" s="8"/>
      <c r="AO233" s="8"/>
    </row>
    <row r="234" spans="1:41" ht="15.7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141">
        <f t="shared" si="31"/>
        <v>2290</v>
      </c>
      <c r="AC234" s="8"/>
      <c r="AD234" s="8"/>
      <c r="AE234" s="8"/>
      <c r="AF234" s="8"/>
      <c r="AG234" s="8"/>
      <c r="AH234" s="8"/>
      <c r="AI234" s="8"/>
      <c r="AJ234" s="8"/>
      <c r="AK234" s="8"/>
      <c r="AL234" s="8"/>
      <c r="AM234" s="8"/>
      <c r="AN234" s="8"/>
      <c r="AO234" s="8"/>
    </row>
    <row r="235" spans="1:41" ht="15.7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141">
        <f t="shared" si="31"/>
        <v>2300</v>
      </c>
      <c r="AC235" s="8"/>
      <c r="AD235" s="8"/>
      <c r="AE235" s="8"/>
      <c r="AF235" s="8"/>
      <c r="AG235" s="8"/>
      <c r="AH235" s="8"/>
      <c r="AI235" s="8"/>
      <c r="AJ235" s="8"/>
      <c r="AK235" s="8"/>
      <c r="AL235" s="8"/>
      <c r="AM235" s="8"/>
      <c r="AN235" s="8"/>
      <c r="AO235" s="8"/>
    </row>
    <row r="236" spans="1:41" ht="15.7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141">
        <f t="shared" si="31"/>
        <v>2310</v>
      </c>
      <c r="AC236" s="8"/>
      <c r="AD236" s="8"/>
      <c r="AE236" s="8"/>
      <c r="AF236" s="8"/>
      <c r="AG236" s="8"/>
      <c r="AH236" s="8"/>
      <c r="AI236" s="8"/>
      <c r="AJ236" s="8"/>
      <c r="AK236" s="8"/>
      <c r="AL236" s="8"/>
      <c r="AM236" s="8"/>
      <c r="AN236" s="8"/>
      <c r="AO236" s="8"/>
    </row>
    <row r="237" spans="1:41" ht="15.7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141">
        <f t="shared" si="31"/>
        <v>2320</v>
      </c>
      <c r="AC237" s="8"/>
      <c r="AD237" s="8"/>
      <c r="AE237" s="8"/>
      <c r="AF237" s="8"/>
      <c r="AG237" s="8"/>
      <c r="AH237" s="8"/>
      <c r="AI237" s="8"/>
      <c r="AJ237" s="8"/>
      <c r="AK237" s="8"/>
      <c r="AL237" s="8"/>
      <c r="AM237" s="8"/>
      <c r="AN237" s="8"/>
      <c r="AO237" s="8"/>
    </row>
    <row r="238" spans="1:41" ht="15.7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141">
        <f t="shared" si="31"/>
        <v>2330</v>
      </c>
      <c r="AC238" s="8"/>
      <c r="AD238" s="8"/>
      <c r="AE238" s="8"/>
      <c r="AF238" s="8"/>
      <c r="AG238" s="8"/>
      <c r="AH238" s="8"/>
      <c r="AI238" s="8"/>
      <c r="AJ238" s="8"/>
      <c r="AK238" s="8"/>
      <c r="AL238" s="8"/>
      <c r="AM238" s="8"/>
      <c r="AN238" s="8"/>
      <c r="AO238" s="8"/>
    </row>
    <row r="239" spans="1:41" ht="15.7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141">
        <f t="shared" si="31"/>
        <v>2340</v>
      </c>
      <c r="AC239" s="8"/>
      <c r="AD239" s="8"/>
      <c r="AE239" s="8"/>
      <c r="AF239" s="8"/>
      <c r="AG239" s="8"/>
      <c r="AH239" s="8"/>
      <c r="AI239" s="8"/>
      <c r="AJ239" s="8"/>
      <c r="AK239" s="8"/>
      <c r="AL239" s="8"/>
      <c r="AM239" s="8"/>
      <c r="AN239" s="8"/>
      <c r="AO239" s="8"/>
    </row>
    <row r="240" spans="1:41" ht="15.7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141">
        <f t="shared" si="31"/>
        <v>2350</v>
      </c>
      <c r="AC240" s="8"/>
      <c r="AD240" s="8"/>
      <c r="AE240" s="8"/>
      <c r="AF240" s="8"/>
      <c r="AG240" s="8"/>
      <c r="AH240" s="8"/>
      <c r="AI240" s="8"/>
      <c r="AJ240" s="8"/>
      <c r="AK240" s="8"/>
      <c r="AL240" s="8"/>
      <c r="AM240" s="8"/>
      <c r="AN240" s="8"/>
      <c r="AO240" s="8"/>
    </row>
    <row r="241" spans="1:41" ht="15.7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141">
        <f t="shared" si="31"/>
        <v>2360</v>
      </c>
      <c r="AC241" s="8"/>
      <c r="AD241" s="8"/>
      <c r="AE241" s="8"/>
      <c r="AF241" s="8"/>
      <c r="AG241" s="8"/>
      <c r="AH241" s="8"/>
      <c r="AI241" s="8"/>
      <c r="AJ241" s="8"/>
      <c r="AK241" s="8"/>
      <c r="AL241" s="8"/>
      <c r="AM241" s="8"/>
      <c r="AN241" s="8"/>
      <c r="AO241" s="8"/>
    </row>
    <row r="242" spans="1:41" ht="15.7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141">
        <f t="shared" si="31"/>
        <v>2370</v>
      </c>
      <c r="AC242" s="8"/>
      <c r="AD242" s="8"/>
      <c r="AE242" s="8"/>
      <c r="AF242" s="8"/>
      <c r="AG242" s="8"/>
      <c r="AH242" s="8"/>
      <c r="AI242" s="8"/>
      <c r="AJ242" s="8"/>
      <c r="AK242" s="8"/>
      <c r="AL242" s="8"/>
      <c r="AM242" s="8"/>
      <c r="AN242" s="8"/>
      <c r="AO242" s="8"/>
    </row>
    <row r="243" spans="1:41" ht="15.7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141">
        <f t="shared" si="31"/>
        <v>2380</v>
      </c>
      <c r="AC243" s="8"/>
      <c r="AD243" s="8"/>
      <c r="AE243" s="8"/>
      <c r="AF243" s="8"/>
      <c r="AG243" s="8"/>
      <c r="AH243" s="8"/>
      <c r="AI243" s="8"/>
      <c r="AJ243" s="8"/>
      <c r="AK243" s="8"/>
      <c r="AL243" s="8"/>
      <c r="AM243" s="8"/>
      <c r="AN243" s="8"/>
      <c r="AO243" s="8"/>
    </row>
    <row r="244" spans="1:41" ht="15.7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141">
        <f t="shared" si="31"/>
        <v>2390</v>
      </c>
      <c r="AC244" s="8"/>
      <c r="AD244" s="8"/>
      <c r="AE244" s="8"/>
      <c r="AF244" s="8"/>
      <c r="AG244" s="8"/>
      <c r="AH244" s="8"/>
      <c r="AI244" s="8"/>
      <c r="AJ244" s="8"/>
      <c r="AK244" s="8"/>
      <c r="AL244" s="8"/>
      <c r="AM244" s="8"/>
      <c r="AN244" s="8"/>
      <c r="AO244" s="8"/>
    </row>
    <row r="245" spans="1:41" ht="15.7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141">
        <f t="shared" si="31"/>
        <v>2400</v>
      </c>
      <c r="AC245" s="8"/>
      <c r="AD245" s="8"/>
      <c r="AE245" s="8"/>
      <c r="AF245" s="8"/>
      <c r="AG245" s="8"/>
      <c r="AH245" s="8"/>
      <c r="AI245" s="8"/>
      <c r="AJ245" s="8"/>
      <c r="AK245" s="8"/>
      <c r="AL245" s="8"/>
      <c r="AM245" s="8"/>
      <c r="AN245" s="8"/>
      <c r="AO245" s="8"/>
    </row>
    <row r="246" spans="1:41" ht="15.7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141">
        <f t="shared" si="31"/>
        <v>2410</v>
      </c>
      <c r="AC246" s="8"/>
      <c r="AD246" s="8"/>
      <c r="AE246" s="8"/>
      <c r="AF246" s="8"/>
      <c r="AG246" s="8"/>
      <c r="AH246" s="8"/>
      <c r="AI246" s="8"/>
      <c r="AJ246" s="8"/>
      <c r="AK246" s="8"/>
      <c r="AL246" s="8"/>
      <c r="AM246" s="8"/>
      <c r="AN246" s="8"/>
      <c r="AO246" s="8"/>
    </row>
    <row r="247" spans="1:41" ht="15.7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141">
        <f t="shared" si="31"/>
        <v>2420</v>
      </c>
      <c r="AC247" s="8"/>
      <c r="AD247" s="8"/>
      <c r="AE247" s="8"/>
      <c r="AF247" s="8"/>
      <c r="AG247" s="8"/>
      <c r="AH247" s="8"/>
      <c r="AI247" s="8"/>
      <c r="AJ247" s="8"/>
      <c r="AK247" s="8"/>
      <c r="AL247" s="8"/>
      <c r="AM247" s="8"/>
      <c r="AN247" s="8"/>
      <c r="AO247" s="8"/>
    </row>
    <row r="248" spans="1:41" ht="15.7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141">
        <f t="shared" si="31"/>
        <v>2430</v>
      </c>
      <c r="AC248" s="8"/>
      <c r="AD248" s="8"/>
      <c r="AE248" s="8"/>
      <c r="AF248" s="8"/>
      <c r="AG248" s="8"/>
      <c r="AH248" s="8"/>
      <c r="AI248" s="8"/>
      <c r="AJ248" s="8"/>
      <c r="AK248" s="8"/>
      <c r="AL248" s="8"/>
      <c r="AM248" s="8"/>
      <c r="AN248" s="8"/>
      <c r="AO248" s="8"/>
    </row>
    <row r="249" spans="1:41" ht="15.7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141">
        <f t="shared" si="31"/>
        <v>2440</v>
      </c>
      <c r="AC249" s="8"/>
      <c r="AD249" s="8"/>
      <c r="AE249" s="8"/>
      <c r="AF249" s="8"/>
      <c r="AG249" s="8"/>
      <c r="AH249" s="8"/>
      <c r="AI249" s="8"/>
      <c r="AJ249" s="8"/>
      <c r="AK249" s="8"/>
      <c r="AL249" s="8"/>
      <c r="AM249" s="8"/>
      <c r="AN249" s="8"/>
      <c r="AO249" s="8"/>
    </row>
    <row r="250" spans="1:41" ht="15.7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141">
        <f t="shared" si="31"/>
        <v>2450</v>
      </c>
      <c r="AC250" s="8"/>
      <c r="AD250" s="8"/>
      <c r="AE250" s="8"/>
      <c r="AF250" s="8"/>
      <c r="AG250" s="8"/>
      <c r="AH250" s="8"/>
      <c r="AI250" s="8"/>
      <c r="AJ250" s="8"/>
      <c r="AK250" s="8"/>
      <c r="AL250" s="8"/>
      <c r="AM250" s="8"/>
      <c r="AN250" s="8"/>
      <c r="AO250" s="8"/>
    </row>
    <row r="251" spans="1:41" ht="15.7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141">
        <f t="shared" si="31"/>
        <v>2460</v>
      </c>
      <c r="AC251" s="8"/>
      <c r="AD251" s="8"/>
      <c r="AE251" s="8"/>
      <c r="AF251" s="8"/>
      <c r="AG251" s="8"/>
      <c r="AH251" s="8"/>
      <c r="AI251" s="8"/>
      <c r="AJ251" s="8"/>
      <c r="AK251" s="8"/>
      <c r="AL251" s="8"/>
      <c r="AM251" s="8"/>
      <c r="AN251" s="8"/>
      <c r="AO251" s="8"/>
    </row>
    <row r="252" spans="1:41" ht="15.7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141">
        <f t="shared" si="31"/>
        <v>2470</v>
      </c>
      <c r="AC252" s="8"/>
      <c r="AD252" s="8"/>
      <c r="AE252" s="8"/>
      <c r="AF252" s="8"/>
      <c r="AG252" s="8"/>
      <c r="AH252" s="8"/>
      <c r="AI252" s="8"/>
      <c r="AJ252" s="8"/>
      <c r="AK252" s="8"/>
      <c r="AL252" s="8"/>
      <c r="AM252" s="8"/>
      <c r="AN252" s="8"/>
      <c r="AO252" s="8"/>
    </row>
    <row r="253" spans="1:41" ht="15.7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141">
        <f t="shared" si="31"/>
        <v>2480</v>
      </c>
      <c r="AC253" s="8"/>
      <c r="AD253" s="8"/>
      <c r="AE253" s="8"/>
      <c r="AF253" s="8"/>
      <c r="AG253" s="8"/>
      <c r="AH253" s="8"/>
      <c r="AI253" s="8"/>
      <c r="AJ253" s="8"/>
      <c r="AK253" s="8"/>
      <c r="AL253" s="8"/>
      <c r="AM253" s="8"/>
      <c r="AN253" s="8"/>
      <c r="AO253" s="8"/>
    </row>
    <row r="254" spans="1:41" ht="15.7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141">
        <f t="shared" si="31"/>
        <v>2490</v>
      </c>
      <c r="AC254" s="8"/>
      <c r="AD254" s="8"/>
      <c r="AE254" s="8"/>
      <c r="AF254" s="8"/>
      <c r="AG254" s="8"/>
      <c r="AH254" s="8"/>
      <c r="AI254" s="8"/>
      <c r="AJ254" s="8"/>
      <c r="AK254" s="8"/>
      <c r="AL254" s="8"/>
      <c r="AM254" s="8"/>
      <c r="AN254" s="8"/>
      <c r="AO254" s="8"/>
    </row>
    <row r="255" spans="1:41" ht="15.7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141">
        <f t="shared" si="31"/>
        <v>2500</v>
      </c>
      <c r="AC255" s="8"/>
      <c r="AD255" s="8"/>
      <c r="AE255" s="8"/>
      <c r="AF255" s="8"/>
      <c r="AG255" s="8"/>
      <c r="AH255" s="8"/>
      <c r="AI255" s="8"/>
      <c r="AJ255" s="8"/>
      <c r="AK255" s="8"/>
      <c r="AL255" s="8"/>
      <c r="AM255" s="8"/>
      <c r="AN255" s="8"/>
      <c r="AO255" s="8"/>
    </row>
    <row r="256" spans="1:41" ht="15.7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141">
        <f t="shared" si="31"/>
        <v>2510</v>
      </c>
      <c r="AC256" s="8"/>
      <c r="AD256" s="8"/>
      <c r="AE256" s="8"/>
      <c r="AF256" s="8"/>
      <c r="AG256" s="8"/>
      <c r="AH256" s="8"/>
      <c r="AI256" s="8"/>
      <c r="AJ256" s="8"/>
      <c r="AK256" s="8"/>
      <c r="AL256" s="8"/>
      <c r="AM256" s="8"/>
      <c r="AN256" s="8"/>
      <c r="AO256" s="8"/>
    </row>
    <row r="257" spans="1:41" ht="15.7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141">
        <f t="shared" si="31"/>
        <v>2520</v>
      </c>
      <c r="AC257" s="8"/>
      <c r="AD257" s="8"/>
      <c r="AE257" s="8"/>
      <c r="AF257" s="8"/>
      <c r="AG257" s="8"/>
      <c r="AH257" s="8"/>
      <c r="AI257" s="8"/>
      <c r="AJ257" s="8"/>
      <c r="AK257" s="8"/>
      <c r="AL257" s="8"/>
      <c r="AM257" s="8"/>
      <c r="AN257" s="8"/>
      <c r="AO257" s="8"/>
    </row>
    <row r="258" spans="1:41" ht="15.7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141">
        <f t="shared" si="31"/>
        <v>2530</v>
      </c>
      <c r="AC258" s="8"/>
      <c r="AD258" s="8"/>
      <c r="AE258" s="8"/>
      <c r="AF258" s="8"/>
      <c r="AG258" s="8"/>
      <c r="AH258" s="8"/>
      <c r="AI258" s="8"/>
      <c r="AJ258" s="8"/>
      <c r="AK258" s="8"/>
      <c r="AL258" s="8"/>
      <c r="AM258" s="8"/>
      <c r="AN258" s="8"/>
      <c r="AO258" s="8"/>
    </row>
    <row r="259" spans="1:41" ht="15.7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141">
        <f t="shared" si="31"/>
        <v>2540</v>
      </c>
      <c r="AC259" s="8"/>
      <c r="AD259" s="8"/>
      <c r="AE259" s="8"/>
      <c r="AF259" s="8"/>
      <c r="AG259" s="8"/>
      <c r="AH259" s="8"/>
      <c r="AI259" s="8"/>
      <c r="AJ259" s="8"/>
      <c r="AK259" s="8"/>
      <c r="AL259" s="8"/>
      <c r="AM259" s="8"/>
      <c r="AN259" s="8"/>
      <c r="AO259" s="8"/>
    </row>
    <row r="260" spans="1:41" ht="15.7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141">
        <f t="shared" si="31"/>
        <v>2550</v>
      </c>
      <c r="AC260" s="8"/>
      <c r="AD260" s="8"/>
      <c r="AE260" s="8"/>
      <c r="AF260" s="8"/>
      <c r="AG260" s="8"/>
      <c r="AH260" s="8"/>
      <c r="AI260" s="8"/>
      <c r="AJ260" s="8"/>
      <c r="AK260" s="8"/>
      <c r="AL260" s="8"/>
      <c r="AM260" s="8"/>
      <c r="AN260" s="8"/>
      <c r="AO260" s="8"/>
    </row>
    <row r="261" spans="1:41" ht="15.7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141">
        <f t="shared" si="31"/>
        <v>2560</v>
      </c>
      <c r="AC261" s="8"/>
      <c r="AD261" s="8"/>
      <c r="AE261" s="8"/>
      <c r="AF261" s="8"/>
      <c r="AG261" s="8"/>
      <c r="AH261" s="8"/>
      <c r="AI261" s="8"/>
      <c r="AJ261" s="8"/>
      <c r="AK261" s="8"/>
      <c r="AL261" s="8"/>
      <c r="AM261" s="8"/>
      <c r="AN261" s="8"/>
      <c r="AO261" s="8"/>
    </row>
    <row r="262" spans="1:41" ht="15.7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141">
        <f t="shared" si="31"/>
        <v>2570</v>
      </c>
      <c r="AC262" s="8"/>
      <c r="AD262" s="8"/>
      <c r="AE262" s="8"/>
      <c r="AF262" s="8"/>
      <c r="AG262" s="8"/>
      <c r="AH262" s="8"/>
      <c r="AI262" s="8"/>
      <c r="AJ262" s="8"/>
      <c r="AK262" s="8"/>
      <c r="AL262" s="8"/>
      <c r="AM262" s="8"/>
      <c r="AN262" s="8"/>
      <c r="AO262" s="8"/>
    </row>
    <row r="263" spans="1:41" ht="15.7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141">
        <f t="shared" si="31"/>
        <v>2580</v>
      </c>
      <c r="AC263" s="8"/>
      <c r="AD263" s="8"/>
      <c r="AE263" s="8"/>
      <c r="AF263" s="8"/>
      <c r="AG263" s="8"/>
      <c r="AH263" s="8"/>
      <c r="AI263" s="8"/>
      <c r="AJ263" s="8"/>
      <c r="AK263" s="8"/>
      <c r="AL263" s="8"/>
      <c r="AM263" s="8"/>
      <c r="AN263" s="8"/>
      <c r="AO263" s="8"/>
    </row>
    <row r="264" spans="1:41" ht="15.7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141">
        <f t="shared" si="31"/>
        <v>2590</v>
      </c>
      <c r="AC264" s="8"/>
      <c r="AD264" s="8"/>
      <c r="AE264" s="8"/>
      <c r="AF264" s="8"/>
      <c r="AG264" s="8"/>
      <c r="AH264" s="8"/>
      <c r="AI264" s="8"/>
      <c r="AJ264" s="8"/>
      <c r="AK264" s="8"/>
      <c r="AL264" s="8"/>
      <c r="AM264" s="8"/>
      <c r="AN264" s="8"/>
      <c r="AO264" s="8"/>
    </row>
    <row r="265" spans="1:41" ht="15.7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141">
        <f t="shared" si="31"/>
        <v>2600</v>
      </c>
      <c r="AC265" s="8"/>
      <c r="AD265" s="8"/>
      <c r="AE265" s="8"/>
      <c r="AF265" s="8"/>
      <c r="AG265" s="8"/>
      <c r="AH265" s="8"/>
      <c r="AI265" s="8"/>
      <c r="AJ265" s="8"/>
      <c r="AK265" s="8"/>
      <c r="AL265" s="8"/>
      <c r="AM265" s="8"/>
      <c r="AN265" s="8"/>
      <c r="AO265" s="8"/>
    </row>
    <row r="266" spans="1:41" ht="15.7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141">
        <f t="shared" si="31"/>
        <v>2610</v>
      </c>
      <c r="AC266" s="8"/>
      <c r="AD266" s="8"/>
      <c r="AE266" s="8"/>
      <c r="AF266" s="8"/>
      <c r="AG266" s="8"/>
      <c r="AH266" s="8"/>
      <c r="AI266" s="8"/>
      <c r="AJ266" s="8"/>
      <c r="AK266" s="8"/>
      <c r="AL266" s="8"/>
      <c r="AM266" s="8"/>
      <c r="AN266" s="8"/>
      <c r="AO266" s="8"/>
    </row>
    <row r="267" spans="1:41" ht="15.7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141">
        <f t="shared" si="31"/>
        <v>2620</v>
      </c>
      <c r="AC267" s="8"/>
      <c r="AD267" s="8"/>
      <c r="AE267" s="8"/>
      <c r="AF267" s="8"/>
      <c r="AG267" s="8"/>
      <c r="AH267" s="8"/>
      <c r="AI267" s="8"/>
      <c r="AJ267" s="8"/>
      <c r="AK267" s="8"/>
      <c r="AL267" s="8"/>
      <c r="AM267" s="8"/>
      <c r="AN267" s="8"/>
      <c r="AO267" s="8"/>
    </row>
    <row r="268" spans="1:41" ht="15.7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141">
        <f t="shared" si="31"/>
        <v>2630</v>
      </c>
      <c r="AC268" s="8"/>
      <c r="AD268" s="8"/>
      <c r="AE268" s="8"/>
      <c r="AF268" s="8"/>
      <c r="AG268" s="8"/>
      <c r="AH268" s="8"/>
      <c r="AI268" s="8"/>
      <c r="AJ268" s="8"/>
      <c r="AK268" s="8"/>
      <c r="AL268" s="8"/>
      <c r="AM268" s="8"/>
      <c r="AN268" s="8"/>
      <c r="AO268" s="8"/>
    </row>
    <row r="269" spans="1:41" ht="15.7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141">
        <f t="shared" si="31"/>
        <v>2640</v>
      </c>
      <c r="AC269" s="8"/>
      <c r="AD269" s="8"/>
      <c r="AE269" s="8"/>
      <c r="AF269" s="8"/>
      <c r="AG269" s="8"/>
      <c r="AH269" s="8"/>
      <c r="AI269" s="8"/>
      <c r="AJ269" s="8"/>
      <c r="AK269" s="8"/>
      <c r="AL269" s="8"/>
      <c r="AM269" s="8"/>
      <c r="AN269" s="8"/>
      <c r="AO269" s="8"/>
    </row>
    <row r="270" spans="1:41" ht="15.7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141">
        <f t="shared" si="31"/>
        <v>2650</v>
      </c>
      <c r="AC270" s="8"/>
      <c r="AD270" s="8"/>
      <c r="AE270" s="8"/>
      <c r="AF270" s="8"/>
      <c r="AG270" s="8"/>
      <c r="AH270" s="8"/>
      <c r="AI270" s="8"/>
      <c r="AJ270" s="8"/>
      <c r="AK270" s="8"/>
      <c r="AL270" s="8"/>
      <c r="AM270" s="8"/>
      <c r="AN270" s="8"/>
      <c r="AO270" s="8"/>
    </row>
    <row r="271" spans="1:41" ht="15.7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141">
        <f t="shared" si="31"/>
        <v>2660</v>
      </c>
      <c r="AC271" s="8"/>
      <c r="AD271" s="8"/>
      <c r="AE271" s="8"/>
      <c r="AF271" s="8"/>
      <c r="AG271" s="8"/>
      <c r="AH271" s="8"/>
      <c r="AI271" s="8"/>
      <c r="AJ271" s="8"/>
      <c r="AK271" s="8"/>
      <c r="AL271" s="8"/>
      <c r="AM271" s="8"/>
      <c r="AN271" s="8"/>
      <c r="AO271" s="8"/>
    </row>
    <row r="272" spans="1:41" ht="15.7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141">
        <f t="shared" si="31"/>
        <v>2670</v>
      </c>
      <c r="AC272" s="8"/>
      <c r="AD272" s="8"/>
      <c r="AE272" s="8"/>
      <c r="AF272" s="8"/>
      <c r="AG272" s="8"/>
      <c r="AH272" s="8"/>
      <c r="AI272" s="8"/>
      <c r="AJ272" s="8"/>
      <c r="AK272" s="8"/>
      <c r="AL272" s="8"/>
      <c r="AM272" s="8"/>
      <c r="AN272" s="8"/>
      <c r="AO272" s="8"/>
    </row>
    <row r="273" spans="1:41" ht="15.7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141">
        <f t="shared" si="31"/>
        <v>2680</v>
      </c>
      <c r="AC273" s="8"/>
      <c r="AD273" s="8"/>
      <c r="AE273" s="8"/>
      <c r="AF273" s="8"/>
      <c r="AG273" s="8"/>
      <c r="AH273" s="8"/>
      <c r="AI273" s="8"/>
      <c r="AJ273" s="8"/>
      <c r="AK273" s="8"/>
      <c r="AL273" s="8"/>
      <c r="AM273" s="8"/>
      <c r="AN273" s="8"/>
      <c r="AO273" s="8"/>
    </row>
    <row r="274" spans="1:41" ht="15.7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141">
        <f t="shared" si="31"/>
        <v>2690</v>
      </c>
      <c r="AC274" s="8"/>
      <c r="AD274" s="8"/>
      <c r="AE274" s="8"/>
      <c r="AF274" s="8"/>
      <c r="AG274" s="8"/>
      <c r="AH274" s="8"/>
      <c r="AI274" s="8"/>
      <c r="AJ274" s="8"/>
      <c r="AK274" s="8"/>
      <c r="AL274" s="8"/>
      <c r="AM274" s="8"/>
      <c r="AN274" s="8"/>
      <c r="AO274" s="8"/>
    </row>
    <row r="275" spans="1:41" ht="15.7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141">
        <f t="shared" si="31"/>
        <v>2700</v>
      </c>
      <c r="AC275" s="8"/>
      <c r="AD275" s="8"/>
      <c r="AE275" s="8"/>
      <c r="AF275" s="8"/>
      <c r="AG275" s="8"/>
      <c r="AH275" s="8"/>
      <c r="AI275" s="8"/>
      <c r="AJ275" s="8"/>
      <c r="AK275" s="8"/>
      <c r="AL275" s="8"/>
      <c r="AM275" s="8"/>
      <c r="AN275" s="8"/>
      <c r="AO275" s="8"/>
    </row>
    <row r="276" spans="1:41" ht="15.7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141">
        <f t="shared" si="31"/>
        <v>2710</v>
      </c>
      <c r="AC276" s="8"/>
      <c r="AD276" s="8"/>
      <c r="AE276" s="8"/>
      <c r="AF276" s="8"/>
      <c r="AG276" s="8"/>
      <c r="AH276" s="8"/>
      <c r="AI276" s="8"/>
      <c r="AJ276" s="8"/>
      <c r="AK276" s="8"/>
      <c r="AL276" s="8"/>
      <c r="AM276" s="8"/>
      <c r="AN276" s="8"/>
      <c r="AO276" s="8"/>
    </row>
    <row r="277" spans="1:41" ht="15.7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141">
        <f t="shared" si="31"/>
        <v>2720</v>
      </c>
      <c r="AC277" s="8"/>
      <c r="AD277" s="8"/>
      <c r="AE277" s="8"/>
      <c r="AF277" s="8"/>
      <c r="AG277" s="8"/>
      <c r="AH277" s="8"/>
      <c r="AI277" s="8"/>
      <c r="AJ277" s="8"/>
      <c r="AK277" s="8"/>
      <c r="AL277" s="8"/>
      <c r="AM277" s="8"/>
      <c r="AN277" s="8"/>
      <c r="AO277" s="8"/>
    </row>
    <row r="278" spans="1:41" ht="15.7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141">
        <f t="shared" si="31"/>
        <v>2730</v>
      </c>
      <c r="AC278" s="8"/>
      <c r="AD278" s="8"/>
      <c r="AE278" s="8"/>
      <c r="AF278" s="8"/>
      <c r="AG278" s="8"/>
      <c r="AH278" s="8"/>
      <c r="AI278" s="8"/>
      <c r="AJ278" s="8"/>
      <c r="AK278" s="8"/>
      <c r="AL278" s="8"/>
      <c r="AM278" s="8"/>
      <c r="AN278" s="8"/>
      <c r="AO278" s="8"/>
    </row>
    <row r="279" spans="1:41" ht="15.7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141">
        <f t="shared" si="31"/>
        <v>2740</v>
      </c>
      <c r="AC279" s="8"/>
      <c r="AD279" s="8"/>
      <c r="AE279" s="8"/>
      <c r="AF279" s="8"/>
      <c r="AG279" s="8"/>
      <c r="AH279" s="8"/>
      <c r="AI279" s="8"/>
      <c r="AJ279" s="8"/>
      <c r="AK279" s="8"/>
      <c r="AL279" s="8"/>
      <c r="AM279" s="8"/>
      <c r="AN279" s="8"/>
      <c r="AO279" s="8"/>
    </row>
    <row r="280" spans="1:41" ht="15.7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141">
        <f t="shared" si="31"/>
        <v>2750</v>
      </c>
      <c r="AC280" s="8"/>
      <c r="AD280" s="8"/>
      <c r="AE280" s="8"/>
      <c r="AF280" s="8"/>
      <c r="AG280" s="8"/>
      <c r="AH280" s="8"/>
      <c r="AI280" s="8"/>
      <c r="AJ280" s="8"/>
      <c r="AK280" s="8"/>
      <c r="AL280" s="8"/>
      <c r="AM280" s="8"/>
      <c r="AN280" s="8"/>
      <c r="AO280" s="8"/>
    </row>
    <row r="281" spans="1:41" ht="15.7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141">
        <f t="shared" si="31"/>
        <v>2760</v>
      </c>
      <c r="AC281" s="8"/>
      <c r="AD281" s="8"/>
      <c r="AE281" s="8"/>
      <c r="AF281" s="8"/>
      <c r="AG281" s="8"/>
      <c r="AH281" s="8"/>
      <c r="AI281" s="8"/>
      <c r="AJ281" s="8"/>
      <c r="AK281" s="8"/>
      <c r="AL281" s="8"/>
      <c r="AM281" s="8"/>
      <c r="AN281" s="8"/>
      <c r="AO281" s="8"/>
    </row>
    <row r="282" spans="1:41" ht="15.7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141">
        <f t="shared" si="31"/>
        <v>2770</v>
      </c>
      <c r="AC282" s="8"/>
      <c r="AD282" s="8"/>
      <c r="AE282" s="8"/>
      <c r="AF282" s="8"/>
      <c r="AG282" s="8"/>
      <c r="AH282" s="8"/>
      <c r="AI282" s="8"/>
      <c r="AJ282" s="8"/>
      <c r="AK282" s="8"/>
      <c r="AL282" s="8"/>
      <c r="AM282" s="8"/>
      <c r="AN282" s="8"/>
      <c r="AO282" s="8"/>
    </row>
    <row r="283" spans="1:41" ht="15.7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141">
        <f t="shared" si="31"/>
        <v>2780</v>
      </c>
      <c r="AC283" s="8"/>
      <c r="AD283" s="8"/>
      <c r="AE283" s="8"/>
      <c r="AF283" s="8"/>
      <c r="AG283" s="8"/>
      <c r="AH283" s="8"/>
      <c r="AI283" s="8"/>
      <c r="AJ283" s="8"/>
      <c r="AK283" s="8"/>
      <c r="AL283" s="8"/>
      <c r="AM283" s="8"/>
      <c r="AN283" s="8"/>
      <c r="AO283" s="8"/>
    </row>
    <row r="284" spans="1:41" ht="15.7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141">
        <f t="shared" si="31"/>
        <v>2790</v>
      </c>
      <c r="AC284" s="8"/>
      <c r="AD284" s="8"/>
      <c r="AE284" s="8"/>
      <c r="AF284" s="8"/>
      <c r="AG284" s="8"/>
      <c r="AH284" s="8"/>
      <c r="AI284" s="8"/>
      <c r="AJ284" s="8"/>
      <c r="AK284" s="8"/>
      <c r="AL284" s="8"/>
      <c r="AM284" s="8"/>
      <c r="AN284" s="8"/>
      <c r="AO284" s="8"/>
    </row>
    <row r="285" spans="1:41" ht="15.7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141">
        <f t="shared" si="31"/>
        <v>2800</v>
      </c>
      <c r="AC285" s="8"/>
      <c r="AD285" s="8"/>
      <c r="AE285" s="8"/>
      <c r="AF285" s="8"/>
      <c r="AG285" s="8"/>
      <c r="AH285" s="8"/>
      <c r="AI285" s="8"/>
      <c r="AJ285" s="8"/>
      <c r="AK285" s="8"/>
      <c r="AL285" s="8"/>
      <c r="AM285" s="8"/>
      <c r="AN285" s="8"/>
      <c r="AO285" s="8"/>
    </row>
    <row r="286" spans="1:41" ht="15.7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141">
        <f t="shared" si="31"/>
        <v>2810</v>
      </c>
      <c r="AC286" s="8"/>
      <c r="AD286" s="8"/>
      <c r="AE286" s="8"/>
      <c r="AF286" s="8"/>
      <c r="AG286" s="8"/>
      <c r="AH286" s="8"/>
      <c r="AI286" s="8"/>
      <c r="AJ286" s="8"/>
      <c r="AK286" s="8"/>
      <c r="AL286" s="8"/>
      <c r="AM286" s="8"/>
      <c r="AN286" s="8"/>
      <c r="AO286" s="8"/>
    </row>
    <row r="287" spans="1:41" ht="15.7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141">
        <f t="shared" si="31"/>
        <v>2820</v>
      </c>
      <c r="AC287" s="8"/>
      <c r="AD287" s="8"/>
      <c r="AE287" s="8"/>
      <c r="AF287" s="8"/>
      <c r="AG287" s="8"/>
      <c r="AH287" s="8"/>
      <c r="AI287" s="8"/>
      <c r="AJ287" s="8"/>
      <c r="AK287" s="8"/>
      <c r="AL287" s="8"/>
      <c r="AM287" s="8"/>
      <c r="AN287" s="8"/>
      <c r="AO287" s="8"/>
    </row>
    <row r="288" spans="1:41" ht="15.7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141">
        <f t="shared" si="31"/>
        <v>2830</v>
      </c>
      <c r="AC288" s="8"/>
      <c r="AD288" s="8"/>
      <c r="AE288" s="8"/>
      <c r="AF288" s="8"/>
      <c r="AG288" s="8"/>
      <c r="AH288" s="8"/>
      <c r="AI288" s="8"/>
      <c r="AJ288" s="8"/>
      <c r="AK288" s="8"/>
      <c r="AL288" s="8"/>
      <c r="AM288" s="8"/>
      <c r="AN288" s="8"/>
      <c r="AO288" s="8"/>
    </row>
    <row r="289" spans="1:41" ht="15.7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141">
        <f t="shared" si="31"/>
        <v>2840</v>
      </c>
      <c r="AC289" s="8"/>
      <c r="AD289" s="8"/>
      <c r="AE289" s="8"/>
      <c r="AF289" s="8"/>
      <c r="AG289" s="8"/>
      <c r="AH289" s="8"/>
      <c r="AI289" s="8"/>
      <c r="AJ289" s="8"/>
      <c r="AK289" s="8"/>
      <c r="AL289" s="8"/>
      <c r="AM289" s="8"/>
      <c r="AN289" s="8"/>
      <c r="AO289" s="8"/>
    </row>
    <row r="290" spans="1:41" ht="15.7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141">
        <f t="shared" si="31"/>
        <v>2850</v>
      </c>
      <c r="AC290" s="8"/>
      <c r="AD290" s="8"/>
      <c r="AE290" s="8"/>
      <c r="AF290" s="8"/>
      <c r="AG290" s="8"/>
      <c r="AH290" s="8"/>
      <c r="AI290" s="8"/>
      <c r="AJ290" s="8"/>
      <c r="AK290" s="8"/>
      <c r="AL290" s="8"/>
      <c r="AM290" s="8"/>
      <c r="AN290" s="8"/>
      <c r="AO290" s="8"/>
    </row>
    <row r="291" spans="1:41" ht="15.7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141">
        <f t="shared" si="31"/>
        <v>2860</v>
      </c>
      <c r="AC291" s="8"/>
      <c r="AD291" s="8"/>
      <c r="AE291" s="8"/>
      <c r="AF291" s="8"/>
      <c r="AG291" s="8"/>
      <c r="AH291" s="8"/>
      <c r="AI291" s="8"/>
      <c r="AJ291" s="8"/>
      <c r="AK291" s="8"/>
      <c r="AL291" s="8"/>
      <c r="AM291" s="8"/>
      <c r="AN291" s="8"/>
      <c r="AO291" s="8"/>
    </row>
    <row r="292" spans="1:41" ht="15.7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141">
        <f t="shared" si="31"/>
        <v>2870</v>
      </c>
      <c r="AC292" s="8"/>
      <c r="AD292" s="8"/>
      <c r="AE292" s="8"/>
      <c r="AF292" s="8"/>
      <c r="AG292" s="8"/>
      <c r="AH292" s="8"/>
      <c r="AI292" s="8"/>
      <c r="AJ292" s="8"/>
      <c r="AK292" s="8"/>
      <c r="AL292" s="8"/>
      <c r="AM292" s="8"/>
      <c r="AN292" s="8"/>
      <c r="AO292" s="8"/>
    </row>
    <row r="293" spans="1:41" ht="15.7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141">
        <f t="shared" ref="AB293:AB301" si="32">AB292+10</f>
        <v>2880</v>
      </c>
      <c r="AC293" s="8"/>
      <c r="AD293" s="8"/>
      <c r="AE293" s="8"/>
      <c r="AF293" s="8"/>
      <c r="AG293" s="8"/>
      <c r="AH293" s="8"/>
      <c r="AI293" s="8"/>
      <c r="AJ293" s="8"/>
      <c r="AK293" s="8"/>
      <c r="AL293" s="8"/>
      <c r="AM293" s="8"/>
      <c r="AN293" s="8"/>
      <c r="AO293" s="8"/>
    </row>
    <row r="294" spans="1:41" ht="15.7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141">
        <f t="shared" si="32"/>
        <v>2890</v>
      </c>
      <c r="AC294" s="8"/>
      <c r="AD294" s="8"/>
      <c r="AE294" s="8"/>
      <c r="AF294" s="8"/>
      <c r="AG294" s="8"/>
      <c r="AH294" s="8"/>
      <c r="AI294" s="8"/>
      <c r="AJ294" s="8"/>
      <c r="AK294" s="8"/>
      <c r="AL294" s="8"/>
      <c r="AM294" s="8"/>
      <c r="AN294" s="8"/>
      <c r="AO294" s="8"/>
    </row>
    <row r="295" spans="1:41" ht="15.7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141">
        <f t="shared" si="32"/>
        <v>2900</v>
      </c>
      <c r="AC295" s="8"/>
      <c r="AD295" s="8"/>
      <c r="AE295" s="8"/>
      <c r="AF295" s="8"/>
      <c r="AG295" s="8"/>
      <c r="AH295" s="8"/>
      <c r="AI295" s="8"/>
      <c r="AJ295" s="8"/>
      <c r="AK295" s="8"/>
      <c r="AL295" s="8"/>
      <c r="AM295" s="8"/>
      <c r="AN295" s="8"/>
      <c r="AO295" s="8"/>
    </row>
    <row r="296" spans="1:41" ht="15.7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141">
        <f t="shared" si="32"/>
        <v>2910</v>
      </c>
      <c r="AC296" s="8"/>
      <c r="AD296" s="8"/>
      <c r="AE296" s="8"/>
      <c r="AF296" s="8"/>
      <c r="AG296" s="8"/>
      <c r="AH296" s="8"/>
      <c r="AI296" s="8"/>
      <c r="AJ296" s="8"/>
      <c r="AK296" s="8"/>
      <c r="AL296" s="8"/>
      <c r="AM296" s="8"/>
      <c r="AN296" s="8"/>
      <c r="AO296" s="8"/>
    </row>
    <row r="297" spans="1:41" ht="15.7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141">
        <f t="shared" si="32"/>
        <v>2920</v>
      </c>
      <c r="AC297" s="8"/>
      <c r="AD297" s="8"/>
      <c r="AE297" s="8"/>
      <c r="AF297" s="8"/>
      <c r="AG297" s="8"/>
      <c r="AH297" s="8"/>
      <c r="AI297" s="8"/>
      <c r="AJ297" s="8"/>
      <c r="AK297" s="8"/>
      <c r="AL297" s="8"/>
      <c r="AM297" s="8"/>
      <c r="AN297" s="8"/>
      <c r="AO297" s="8"/>
    </row>
    <row r="298" spans="1:41" ht="15.7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141">
        <f t="shared" si="32"/>
        <v>2930</v>
      </c>
      <c r="AC298" s="8"/>
      <c r="AD298" s="8"/>
      <c r="AE298" s="8"/>
      <c r="AF298" s="8"/>
      <c r="AG298" s="8"/>
      <c r="AH298" s="8"/>
      <c r="AI298" s="8"/>
      <c r="AJ298" s="8"/>
      <c r="AK298" s="8"/>
      <c r="AL298" s="8"/>
      <c r="AM298" s="8"/>
      <c r="AN298" s="8"/>
      <c r="AO298" s="8"/>
    </row>
    <row r="299" spans="1:41" ht="15.7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141">
        <f t="shared" si="32"/>
        <v>2940</v>
      </c>
      <c r="AC299" s="8"/>
      <c r="AD299" s="8"/>
      <c r="AE299" s="8"/>
      <c r="AF299" s="8"/>
      <c r="AG299" s="8"/>
      <c r="AH299" s="8"/>
      <c r="AI299" s="8"/>
      <c r="AJ299" s="8"/>
      <c r="AK299" s="8"/>
      <c r="AL299" s="8"/>
      <c r="AM299" s="8"/>
      <c r="AN299" s="8"/>
      <c r="AO299" s="8"/>
    </row>
    <row r="300" spans="1:41" ht="15.7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141">
        <f t="shared" si="32"/>
        <v>2950</v>
      </c>
      <c r="AC300" s="8"/>
      <c r="AD300" s="8"/>
      <c r="AE300" s="8"/>
      <c r="AF300" s="8"/>
      <c r="AG300" s="8"/>
      <c r="AH300" s="8"/>
      <c r="AI300" s="8"/>
      <c r="AJ300" s="8"/>
      <c r="AK300" s="8"/>
      <c r="AL300" s="8"/>
      <c r="AM300" s="8"/>
      <c r="AN300" s="8"/>
      <c r="AO300" s="8"/>
    </row>
    <row r="301" spans="1:41" ht="15.7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141">
        <f t="shared" si="32"/>
        <v>2960</v>
      </c>
      <c r="AC301" s="8"/>
      <c r="AD301" s="8"/>
      <c r="AE301" s="8"/>
      <c r="AF301" s="8"/>
      <c r="AG301" s="8"/>
      <c r="AH301" s="8"/>
      <c r="AI301" s="8"/>
      <c r="AJ301" s="8"/>
      <c r="AK301" s="8"/>
      <c r="AL301" s="8"/>
      <c r="AM301" s="8"/>
      <c r="AN301" s="8"/>
      <c r="AO301" s="8"/>
    </row>
    <row r="302" spans="1:4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row>
    <row r="303" spans="1:4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row>
    <row r="304" spans="1:4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row>
    <row r="305" spans="1:4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row>
    <row r="306" spans="1:4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row>
    <row r="307" spans="1:4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row>
    <row r="308" spans="1:4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row>
    <row r="309" spans="1:4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row>
    <row r="310" spans="1:4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row>
    <row r="311" spans="1:4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row>
    <row r="312" spans="1:4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row>
    <row r="313" spans="1:4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row>
    <row r="314" spans="1:4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row>
    <row r="315" spans="1:4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row>
    <row r="316" spans="1:4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row>
    <row r="317" spans="1:4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row>
    <row r="318" spans="1:4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row>
    <row r="319" spans="1:4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row>
    <row r="320" spans="1:4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row>
    <row r="321" spans="1:4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row>
    <row r="322" spans="1:4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row>
    <row r="323" spans="1:4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row>
    <row r="324" spans="1:4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row>
    <row r="325" spans="1:4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row>
    <row r="326" spans="1:4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row>
    <row r="327" spans="1:4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row>
    <row r="328" spans="1:4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row>
    <row r="329" spans="1:4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row>
    <row r="330" spans="1:4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row>
    <row r="331" spans="1:4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row>
    <row r="332" spans="1:4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row>
    <row r="333" spans="1:4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row>
    <row r="334" spans="1:4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row>
    <row r="335" spans="1:4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row>
    <row r="336" spans="1:4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row>
    <row r="337" spans="1:4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row>
    <row r="338" spans="1:4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row>
    <row r="339" spans="1:4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row>
    <row r="340" spans="1:4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row>
    <row r="341" spans="1:4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row>
    <row r="342" spans="1:4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row>
    <row r="343" spans="1:4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row>
    <row r="344" spans="1:4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row>
    <row r="345" spans="1:4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row>
    <row r="346" spans="1:4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row>
    <row r="347" spans="1:4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row>
    <row r="348" spans="1:4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row>
    <row r="349" spans="1:4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row>
    <row r="350" spans="1:4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row>
    <row r="351" spans="1:4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row>
    <row r="352" spans="1:4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row>
    <row r="353" spans="1:4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row>
    <row r="354" spans="1:4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row>
    <row r="355" spans="1:4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row>
    <row r="356" spans="1:4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row>
    <row r="357" spans="1:4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row>
    <row r="358" spans="1:4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row>
    <row r="359" spans="1:4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row>
    <row r="360" spans="1:4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row>
    <row r="361" spans="1:4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row>
    <row r="362" spans="1:4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row>
    <row r="363" spans="1:4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row>
    <row r="364" spans="1:4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row>
    <row r="365" spans="1:4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row>
    <row r="366" spans="1:4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row>
    <row r="367" spans="1:4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row>
    <row r="368" spans="1:4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row>
    <row r="369" spans="1:4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row>
    <row r="370" spans="1:4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row>
    <row r="371" spans="1:4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row>
    <row r="372" spans="1:4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row>
    <row r="373" spans="1:4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row>
    <row r="374" spans="1:4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row>
    <row r="375" spans="1:4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row>
    <row r="376" spans="1:4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row>
    <row r="377" spans="1:4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row>
    <row r="378" spans="1:4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row>
    <row r="379" spans="1:4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row>
    <row r="380" spans="1:4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row>
    <row r="381" spans="1:4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row>
    <row r="382" spans="1:4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row>
    <row r="383" spans="1:4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row>
    <row r="384" spans="1:4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row>
    <row r="385" spans="1:4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row>
    <row r="386" spans="1:4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row>
    <row r="387" spans="1:4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row>
    <row r="388" spans="1:4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row>
    <row r="389" spans="1:4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row>
    <row r="390" spans="1:4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row>
    <row r="391" spans="1:4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row>
    <row r="392" spans="1:4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row>
    <row r="393" spans="1:4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row>
    <row r="394" spans="1:4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row>
    <row r="395" spans="1:4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row>
    <row r="396" spans="1:4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row>
    <row r="397" spans="1:4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row>
    <row r="398" spans="1:4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row>
    <row r="399" spans="1:4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row>
    <row r="400" spans="1:4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row>
    <row r="401" spans="1:4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row>
    <row r="402" spans="1:4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row>
    <row r="403" spans="1:4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row>
    <row r="404" spans="1:4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row>
    <row r="405" spans="1:4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row>
    <row r="406" spans="1:4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row>
    <row r="407" spans="1:4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row>
    <row r="408" spans="1:4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row>
    <row r="409" spans="1:4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row>
    <row r="410" spans="1:4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row>
    <row r="411" spans="1:4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row>
    <row r="412" spans="1:4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row>
    <row r="413" spans="1:4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row>
    <row r="414" spans="1:4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row>
    <row r="415" spans="1:4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row>
    <row r="416" spans="1:4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row>
    <row r="417" spans="1:4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row>
    <row r="418" spans="1:4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row>
    <row r="419" spans="1:4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row>
    <row r="420" spans="1:4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row>
    <row r="421" spans="1:4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row>
    <row r="422" spans="1:4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row>
    <row r="423" spans="1:4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row>
    <row r="424" spans="1:4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row>
    <row r="425" spans="1:4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row>
    <row r="426" spans="1:4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row>
    <row r="427" spans="1:4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row>
    <row r="428" spans="1:4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row>
    <row r="429" spans="1:4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row>
    <row r="430" spans="1:4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row>
    <row r="431" spans="1:4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row>
    <row r="432" spans="1:4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row>
    <row r="433" spans="1:4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row>
    <row r="434" spans="1:4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row>
    <row r="435" spans="1:4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row>
    <row r="436" spans="1:4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row>
    <row r="437" spans="1:4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row>
    <row r="438" spans="1:4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row>
    <row r="439" spans="1:4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row>
    <row r="440" spans="1:4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row>
    <row r="441" spans="1:4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row>
    <row r="442" spans="1:4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row>
    <row r="443" spans="1:4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row>
    <row r="444" spans="1:4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row>
    <row r="445" spans="1:4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row>
    <row r="446" spans="1:4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row>
    <row r="447" spans="1:4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row>
    <row r="448" spans="1:4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row>
    <row r="449" spans="1:4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row>
    <row r="450" spans="1:4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row>
    <row r="451" spans="1:4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row>
    <row r="452" spans="1:4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row>
    <row r="453" spans="1:4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row>
    <row r="454" spans="1:4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row>
    <row r="455" spans="1:4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row>
    <row r="456" spans="1:4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row>
    <row r="457" spans="1:4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row>
    <row r="458" spans="1:4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row>
    <row r="459" spans="1:4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row>
    <row r="460" spans="1:4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row>
    <row r="461" spans="1:4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row>
    <row r="462" spans="1:4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row>
    <row r="463" spans="1:4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row>
    <row r="464" spans="1:4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row>
    <row r="465" spans="1:4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row>
    <row r="466" spans="1:4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row>
    <row r="467" spans="1:4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row>
    <row r="468" spans="1:4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row>
    <row r="469" spans="1:4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row>
    <row r="470" spans="1:4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row>
    <row r="471" spans="1:4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row>
    <row r="472" spans="1:4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row>
    <row r="473" spans="1:4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row>
    <row r="474" spans="1:4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row>
    <row r="475" spans="1:4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row>
    <row r="476" spans="1:4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row>
    <row r="477" spans="1:4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row>
    <row r="478" spans="1:4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row>
    <row r="479" spans="1:4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row>
    <row r="480" spans="1:4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row>
    <row r="481" spans="1:4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row>
    <row r="482" spans="1:4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row>
    <row r="483" spans="1:4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row>
    <row r="484" spans="1:4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row>
    <row r="485" spans="1:4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row>
    <row r="486" spans="1:4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row>
    <row r="487" spans="1:4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row>
    <row r="488" spans="1:4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row>
    <row r="489" spans="1:4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row>
    <row r="490" spans="1:4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row>
    <row r="491" spans="1:4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row>
    <row r="492" spans="1:4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row>
    <row r="493" spans="1:4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row>
    <row r="494" spans="1:4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row>
    <row r="495" spans="1:4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row>
    <row r="496" spans="1:4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row>
    <row r="497" spans="1:4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row>
    <row r="498" spans="1:4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row>
    <row r="499" spans="1:4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row>
    <row r="500" spans="1:4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row>
    <row r="501" spans="1:4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row>
    <row r="502" spans="1:4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row>
    <row r="503" spans="1:4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row>
    <row r="504" spans="1:4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row>
    <row r="505" spans="1:4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row>
    <row r="506" spans="1:4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row>
    <row r="507" spans="1:4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row>
    <row r="508" spans="1:4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row>
    <row r="509" spans="1:4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row>
    <row r="510" spans="1:4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row>
    <row r="511" spans="1:4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row>
    <row r="512" spans="1:4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row>
    <row r="513" spans="1:4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row>
    <row r="514" spans="1:4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row>
    <row r="515" spans="1:4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row>
    <row r="516" spans="1:4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row>
    <row r="517" spans="1:4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row>
    <row r="518" spans="1:4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row>
    <row r="519" spans="1:4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row>
    <row r="520" spans="1:4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row>
    <row r="521" spans="1:4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row>
    <row r="522" spans="1:4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row>
    <row r="523" spans="1:4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row>
    <row r="524" spans="1:4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row>
    <row r="525" spans="1:4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row>
    <row r="526" spans="1:4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row>
    <row r="527" spans="1:4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row>
    <row r="528" spans="1:4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row>
    <row r="529" spans="1:4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row>
    <row r="530" spans="1:4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row>
    <row r="531" spans="1:4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row>
    <row r="532" spans="1:4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row>
    <row r="533" spans="1:4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row>
    <row r="534" spans="1:4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row>
    <row r="535" spans="1:4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row>
    <row r="536" spans="1:4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row>
    <row r="537" spans="1:4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row>
    <row r="538" spans="1:4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row>
    <row r="539" spans="1:4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row>
    <row r="540" spans="1:4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row>
    <row r="541" spans="1:4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row>
    <row r="542" spans="1:4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row>
    <row r="543" spans="1:4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row>
    <row r="544" spans="1:4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row>
    <row r="545" spans="1:4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row>
    <row r="546" spans="1:4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row>
    <row r="547" spans="1:4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row>
    <row r="548" spans="1:4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row>
    <row r="549" spans="1:4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row>
    <row r="550" spans="1:4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row>
    <row r="551" spans="1:4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row>
    <row r="552" spans="1:4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row>
    <row r="553" spans="1:4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row>
    <row r="554" spans="1:4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row>
    <row r="555" spans="1:4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row>
    <row r="556" spans="1:4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row>
    <row r="557" spans="1:4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row>
    <row r="558" spans="1:4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row>
    <row r="559" spans="1:4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row>
    <row r="560" spans="1:4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row>
    <row r="561" spans="1:4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row>
    <row r="562" spans="1:4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row>
    <row r="563" spans="1:4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row>
    <row r="564" spans="1:4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row>
    <row r="565" spans="1:4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row>
    <row r="566" spans="1:4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row>
    <row r="567" spans="1:4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row>
    <row r="568" spans="1:4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row>
    <row r="569" spans="1:4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row>
    <row r="570" spans="1:4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row>
    <row r="571" spans="1:4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row>
    <row r="572" spans="1:4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row>
    <row r="573" spans="1:4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row>
    <row r="574" spans="1:4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row>
    <row r="575" spans="1:4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row>
    <row r="576" spans="1:4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row>
    <row r="577" spans="1:4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row>
    <row r="578" spans="1:4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row>
    <row r="579" spans="1:4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row>
    <row r="580" spans="1:4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row>
    <row r="581" spans="1:4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row>
    <row r="582" spans="1:4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row>
    <row r="583" spans="1:4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row>
    <row r="584" spans="1:4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row>
    <row r="585" spans="1:4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row>
    <row r="586" spans="1:4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row>
    <row r="587" spans="1:4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row>
    <row r="588" spans="1:4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row>
    <row r="589" spans="1:4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row>
    <row r="590" spans="1:4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row>
    <row r="591" spans="1:4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row>
    <row r="592" spans="1:4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row>
    <row r="593" spans="1:4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row>
    <row r="594" spans="1:4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row>
    <row r="595" spans="1:4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row>
    <row r="596" spans="1:4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row>
    <row r="597" spans="1:4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row>
    <row r="598" spans="1:4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row>
    <row r="599" spans="1:4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row>
    <row r="600" spans="1:4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row>
    <row r="601" spans="1:4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row>
    <row r="602" spans="1:4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row>
    <row r="603" spans="1:4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row>
    <row r="604" spans="1:4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row>
    <row r="605" spans="1:4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row>
    <row r="606" spans="1:4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row>
    <row r="607" spans="1:4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row>
    <row r="608" spans="1:4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row>
    <row r="609" spans="1:4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row>
    <row r="610" spans="1:4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row>
    <row r="611" spans="1:4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row>
    <row r="612" spans="1:4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row>
    <row r="613" spans="1:4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row>
    <row r="614" spans="1:4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row>
    <row r="615" spans="1:4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row>
    <row r="616" spans="1:4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row>
    <row r="617" spans="1:4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row>
    <row r="618" spans="1:4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row>
    <row r="619" spans="1:4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row>
    <row r="620" spans="1:4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row>
    <row r="621" spans="1:4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row>
    <row r="622" spans="1:4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row>
    <row r="623" spans="1:4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row>
    <row r="624" spans="1:4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row>
    <row r="625" spans="1:4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row>
    <row r="626" spans="1:4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row>
    <row r="627" spans="1:4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row>
    <row r="628" spans="1:4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row>
    <row r="629" spans="1:4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row>
    <row r="630" spans="1:4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row>
    <row r="631" spans="1:4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row>
    <row r="632" spans="1:4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row>
    <row r="633" spans="1:4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row>
    <row r="634" spans="1:4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row>
    <row r="635" spans="1:4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row>
    <row r="636" spans="1:4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row>
    <row r="637" spans="1:4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row>
    <row r="638" spans="1:4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row>
    <row r="639" spans="1:4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row>
    <row r="640" spans="1:4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row>
    <row r="641" spans="1:4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row>
    <row r="642" spans="1:4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row>
    <row r="643" spans="1:4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row>
    <row r="644" spans="1:4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row>
    <row r="645" spans="1:4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row>
    <row r="646" spans="1:4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row>
    <row r="647" spans="1:4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row>
    <row r="648" spans="1:4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row>
    <row r="649" spans="1:4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row>
    <row r="650" spans="1:4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row>
    <row r="651" spans="1:4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row>
    <row r="652" spans="1:4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row>
    <row r="653" spans="1:4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row>
    <row r="654" spans="1:4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row>
    <row r="655" spans="1:4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row>
    <row r="656" spans="1:4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row>
    <row r="657" spans="1:4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row>
    <row r="658" spans="1:4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row>
    <row r="659" spans="1:4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row>
    <row r="660" spans="1:4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row>
    <row r="661" spans="1:4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row>
    <row r="662" spans="1:4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row>
    <row r="663" spans="1:4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row>
    <row r="664" spans="1:4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row>
    <row r="665" spans="1:4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row>
    <row r="666" spans="1:4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row>
    <row r="667" spans="1:4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row>
    <row r="668" spans="1:4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row>
    <row r="669" spans="1:4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row>
    <row r="670" spans="1:4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row>
    <row r="671" spans="1:4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row>
    <row r="672" spans="1:4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row>
    <row r="673" spans="1:4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row>
    <row r="674" spans="1:4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row>
    <row r="675" spans="1:4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row>
    <row r="676" spans="1:4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row>
    <row r="677" spans="1:4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row>
    <row r="678" spans="1:4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row>
    <row r="679" spans="1:4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row>
    <row r="680" spans="1:4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row>
    <row r="681" spans="1:4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row>
    <row r="682" spans="1:4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row>
    <row r="683" spans="1:4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row>
    <row r="684" spans="1:4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row>
    <row r="685" spans="1:4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row>
    <row r="686" spans="1:4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row>
    <row r="687" spans="1:4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row>
    <row r="688" spans="1:4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row>
    <row r="689" spans="1:4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row>
    <row r="690" spans="1:4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row>
    <row r="691" spans="1:4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row>
    <row r="692" spans="1:4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row>
    <row r="693" spans="1:4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row>
    <row r="694" spans="1:4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row>
    <row r="695" spans="1:4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row>
    <row r="696" spans="1:4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row>
    <row r="697" spans="1:4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row>
    <row r="698" spans="1:4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row>
    <row r="699" spans="1:4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row>
    <row r="700" spans="1:4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row>
    <row r="701" spans="1:4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row>
    <row r="702" spans="1:4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row>
    <row r="703" spans="1:4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row>
    <row r="704" spans="1:4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row>
    <row r="705" spans="1:4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row>
    <row r="706" spans="1:4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row>
    <row r="707" spans="1:4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row>
    <row r="708" spans="1:4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row>
    <row r="709" spans="1:4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row>
    <row r="710" spans="1:4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row>
    <row r="711" spans="1:4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row>
    <row r="712" spans="1:4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row>
    <row r="713" spans="1:4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row>
    <row r="714" spans="1:4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row>
    <row r="715" spans="1:4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row>
    <row r="716" spans="1:4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row>
    <row r="717" spans="1:4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row>
    <row r="718" spans="1:4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row>
    <row r="719" spans="1:4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row>
    <row r="720" spans="1:4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row>
    <row r="721" spans="1:4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row>
    <row r="722" spans="1:4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row>
    <row r="723" spans="1:4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row>
    <row r="724" spans="1:4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row>
    <row r="725" spans="1:4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row>
    <row r="726" spans="1:4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row>
    <row r="727" spans="1:4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row>
    <row r="728" spans="1:4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row>
    <row r="729" spans="1:4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row>
    <row r="730" spans="1:4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row>
    <row r="731" spans="1:4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row>
    <row r="732" spans="1:4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row>
    <row r="733" spans="1:4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row>
    <row r="734" spans="1:4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row>
    <row r="735" spans="1:4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row>
    <row r="736" spans="1:4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row>
    <row r="737" spans="1:4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row>
    <row r="738" spans="1:4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row>
    <row r="739" spans="1:4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row>
    <row r="740" spans="1:4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row>
    <row r="741" spans="1:4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row>
    <row r="742" spans="1:4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row>
    <row r="743" spans="1:4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row>
    <row r="744" spans="1:4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row>
    <row r="745" spans="1:4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row>
    <row r="746" spans="1:4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row>
    <row r="747" spans="1:4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row>
    <row r="748" spans="1:4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row>
    <row r="749" spans="1:4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row>
    <row r="750" spans="1:4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row>
    <row r="751" spans="1:4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row>
    <row r="752" spans="1:4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row>
    <row r="753" spans="1:4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row>
    <row r="754" spans="1:4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row>
    <row r="755" spans="1:4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row>
    <row r="756" spans="1:4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row>
    <row r="757" spans="1:4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row>
    <row r="758" spans="1:4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row>
    <row r="759" spans="1:4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row>
    <row r="760" spans="1:4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row>
    <row r="761" spans="1:4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row>
    <row r="762" spans="1:4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row>
    <row r="763" spans="1:4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row>
    <row r="764" spans="1:4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row>
    <row r="765" spans="1:4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row>
    <row r="766" spans="1:4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row>
    <row r="767" spans="1:4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row>
    <row r="768" spans="1:4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row>
    <row r="769" spans="1:4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row>
    <row r="770" spans="1:4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row>
    <row r="771" spans="1:4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row>
    <row r="772" spans="1:4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row>
    <row r="773" spans="1:4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row>
    <row r="774" spans="1:4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row>
    <row r="775" spans="1:4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row>
    <row r="776" spans="1:4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row>
    <row r="777" spans="1:4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row>
    <row r="778" spans="1:4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row>
    <row r="779" spans="1:4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row>
    <row r="780" spans="1:4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row>
    <row r="781" spans="1:4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row>
    <row r="782" spans="1:4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row>
    <row r="783" spans="1:4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row>
    <row r="784" spans="1:4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row>
    <row r="785" spans="1:4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row>
    <row r="786" spans="1:4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row>
    <row r="787" spans="1:4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row>
    <row r="788" spans="1:4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row>
    <row r="789" spans="1:4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row>
    <row r="790" spans="1:4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row>
    <row r="791" spans="1:4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row>
    <row r="792" spans="1:4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row>
    <row r="793" spans="1:4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row>
    <row r="794" spans="1:4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row>
    <row r="795" spans="1:4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row>
    <row r="796" spans="1:4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row>
    <row r="797" spans="1:4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row>
    <row r="798" spans="1:4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row>
    <row r="799" spans="1:4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row>
    <row r="800" spans="1:4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row>
    <row r="801" spans="1:4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row>
    <row r="802" spans="1:4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row>
    <row r="803" spans="1:4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row>
    <row r="804" spans="1:4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row>
    <row r="805" spans="1:4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row>
    <row r="806" spans="1:4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row>
    <row r="807" spans="1:4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row>
    <row r="808" spans="1:4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row>
    <row r="809" spans="1:4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row>
    <row r="810" spans="1:4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row>
    <row r="811" spans="1:4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row>
    <row r="812" spans="1:4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row>
    <row r="813" spans="1:4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row>
    <row r="814" spans="1:4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row>
    <row r="815" spans="1:4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row>
    <row r="816" spans="1:4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row>
    <row r="817" spans="1:4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row>
    <row r="818" spans="1:4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row>
    <row r="819" spans="1:4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row>
    <row r="820" spans="1:4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row>
    <row r="821" spans="1:4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row>
    <row r="822" spans="1:4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row>
    <row r="823" spans="1:4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row>
    <row r="824" spans="1:4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row>
    <row r="825" spans="1:4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row>
    <row r="826" spans="1:4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row>
    <row r="827" spans="1:4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row>
    <row r="828" spans="1:4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row>
    <row r="829" spans="1:4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row>
    <row r="830" spans="1:4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row>
    <row r="831" spans="1:4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row>
    <row r="832" spans="1:4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row>
    <row r="833" spans="1:4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row>
    <row r="834" spans="1:4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row>
    <row r="835" spans="1:4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row>
    <row r="836" spans="1:4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row>
    <row r="837" spans="1:4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row>
    <row r="838" spans="1:4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row>
    <row r="839" spans="1:4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row>
    <row r="840" spans="1:4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row>
    <row r="841" spans="1:4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row>
    <row r="842" spans="1:4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row>
    <row r="843" spans="1:4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row>
    <row r="844" spans="1:4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row>
    <row r="845" spans="1:4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row>
    <row r="846" spans="1:4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row>
    <row r="847" spans="1:4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row>
    <row r="848" spans="1:4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row>
    <row r="849" spans="1:4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row>
    <row r="850" spans="1:4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row>
    <row r="851" spans="1:4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row>
    <row r="852" spans="1:4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row>
    <row r="853" spans="1:4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row>
    <row r="854" spans="1:4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row>
    <row r="855" spans="1:4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row>
    <row r="856" spans="1:4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row>
    <row r="857" spans="1:4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row>
    <row r="858" spans="1:4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row>
    <row r="859" spans="1:4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row>
    <row r="860" spans="1:4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row>
    <row r="861" spans="1:4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row>
    <row r="862" spans="1:4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row>
    <row r="863" spans="1:4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row>
    <row r="864" spans="1:4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row>
    <row r="865" spans="1:4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row>
    <row r="866" spans="1:4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row>
    <row r="867" spans="1:4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row>
    <row r="868" spans="1:4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row>
    <row r="869" spans="1:4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row>
    <row r="870" spans="1:4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row>
    <row r="871" spans="1:4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row>
    <row r="872" spans="1:4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row>
    <row r="873" spans="1:4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row>
    <row r="874" spans="1:4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row>
    <row r="875" spans="1:4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row>
    <row r="876" spans="1:4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row>
    <row r="877" spans="1:4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row>
    <row r="878" spans="1:4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row>
    <row r="879" spans="1:4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row>
    <row r="880" spans="1:4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row>
    <row r="881" spans="1:4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row>
    <row r="882" spans="1:4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row>
    <row r="883" spans="1:4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row>
    <row r="884" spans="1:4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row>
    <row r="885" spans="1:4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row>
    <row r="886" spans="1:4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row>
    <row r="887" spans="1:4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row>
    <row r="888" spans="1:4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row>
    <row r="889" spans="1:4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row>
    <row r="890" spans="1:4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row>
    <row r="891" spans="1:4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row>
    <row r="892" spans="1:4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row>
    <row r="893" spans="1:4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row>
    <row r="894" spans="1:4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row>
    <row r="895" spans="1:4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row>
    <row r="896" spans="1:4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row>
    <row r="897" spans="1:4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row>
    <row r="898" spans="1:4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row>
    <row r="899" spans="1:4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row>
    <row r="900" spans="1:4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row>
    <row r="901" spans="1:4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row>
    <row r="902" spans="1:4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row>
    <row r="903" spans="1:4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row>
    <row r="904" spans="1:4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row>
    <row r="905" spans="1:4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row>
    <row r="906" spans="1:4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row>
    <row r="907" spans="1:4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row>
    <row r="908" spans="1:4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row>
    <row r="909" spans="1:4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row>
    <row r="910" spans="1:4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row>
    <row r="911" spans="1:4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row>
    <row r="912" spans="1:4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row>
    <row r="913" spans="1:4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row>
    <row r="914" spans="1:4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row>
    <row r="915" spans="1:4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row>
    <row r="916" spans="1:4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row>
    <row r="917" spans="1:4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row>
    <row r="918" spans="1:4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row>
    <row r="919" spans="1:4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row>
    <row r="920" spans="1:4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row>
  </sheetData>
  <mergeCells count="118">
    <mergeCell ref="A1:V1"/>
    <mergeCell ref="A3:V3"/>
    <mergeCell ref="A5:F5"/>
    <mergeCell ref="H5:M5"/>
    <mergeCell ref="O5:U5"/>
    <mergeCell ref="E6:F6"/>
    <mergeCell ref="A7:C7"/>
    <mergeCell ref="H7:L7"/>
    <mergeCell ref="A8:C8"/>
    <mergeCell ref="H8:L8"/>
    <mergeCell ref="O8:S8"/>
    <mergeCell ref="A9:C9"/>
    <mergeCell ref="H9:L9"/>
    <mergeCell ref="O9:S9"/>
    <mergeCell ref="A10:C10"/>
    <mergeCell ref="H10:L10"/>
    <mergeCell ref="O10:S10"/>
    <mergeCell ref="A11:C11"/>
    <mergeCell ref="A12:C12"/>
    <mergeCell ref="A13:C13"/>
    <mergeCell ref="H13:L13"/>
    <mergeCell ref="O13:U13"/>
    <mergeCell ref="A14:C14"/>
    <mergeCell ref="H14:L14"/>
    <mergeCell ref="A15:C15"/>
    <mergeCell ref="H15:L15"/>
    <mergeCell ref="O15:S15"/>
    <mergeCell ref="A16:C16"/>
    <mergeCell ref="H16:L16"/>
    <mergeCell ref="O16:S16"/>
    <mergeCell ref="H17:L17"/>
    <mergeCell ref="O18:S18"/>
    <mergeCell ref="A19:C19"/>
    <mergeCell ref="H19:L19"/>
    <mergeCell ref="O19:S19"/>
    <mergeCell ref="A21:C21"/>
    <mergeCell ref="E21:H21"/>
    <mergeCell ref="J21:M21"/>
    <mergeCell ref="O21:T21"/>
    <mergeCell ref="A22:B22"/>
    <mergeCell ref="J22:L22"/>
    <mergeCell ref="A23:B23"/>
    <mergeCell ref="E23:G23"/>
    <mergeCell ref="J23:L23"/>
    <mergeCell ref="O23:S23"/>
    <mergeCell ref="A24:B24"/>
    <mergeCell ref="E24:G24"/>
    <mergeCell ref="J24:L24"/>
    <mergeCell ref="O24:S24"/>
    <mergeCell ref="A25:B25"/>
    <mergeCell ref="E25:G25"/>
    <mergeCell ref="J25:L25"/>
    <mergeCell ref="O25:U25"/>
    <mergeCell ref="A26:B26"/>
    <mergeCell ref="E26:G26"/>
    <mergeCell ref="J26:L26"/>
    <mergeCell ref="A27:B27"/>
    <mergeCell ref="E27:G27"/>
    <mergeCell ref="J27:L27"/>
    <mergeCell ref="O27:S27"/>
    <mergeCell ref="A31:C31"/>
    <mergeCell ref="F31:I31"/>
    <mergeCell ref="J31:M31"/>
    <mergeCell ref="A33:C33"/>
    <mergeCell ref="L33:M33"/>
    <mergeCell ref="A34:C34"/>
    <mergeCell ref="L34:M34"/>
    <mergeCell ref="A35:C35"/>
    <mergeCell ref="A36:C36"/>
    <mergeCell ref="A37:C37"/>
    <mergeCell ref="O37:U39"/>
    <mergeCell ref="A38:C38"/>
    <mergeCell ref="A40:C40"/>
    <mergeCell ref="E41:F41"/>
    <mergeCell ref="K41:L41"/>
    <mergeCell ref="E42:F42"/>
    <mergeCell ref="K42:L42"/>
    <mergeCell ref="E43:F43"/>
    <mergeCell ref="O44:Q45"/>
    <mergeCell ref="S44:U45"/>
    <mergeCell ref="E45:F45"/>
    <mergeCell ref="E46:F46"/>
    <mergeCell ref="O46:Q47"/>
    <mergeCell ref="S46:U47"/>
    <mergeCell ref="B49:C49"/>
    <mergeCell ref="F49:H50"/>
    <mergeCell ref="I49:K50"/>
    <mergeCell ref="O49:R49"/>
    <mergeCell ref="S49:U49"/>
    <mergeCell ref="B50:C50"/>
    <mergeCell ref="A61:C61"/>
    <mergeCell ref="E61:G61"/>
    <mergeCell ref="E62:F62"/>
    <mergeCell ref="I62:L62"/>
    <mergeCell ref="N62:O62"/>
    <mergeCell ref="A63:B63"/>
    <mergeCell ref="E63:F63"/>
    <mergeCell ref="I63:L63"/>
    <mergeCell ref="N63:O63"/>
    <mergeCell ref="I64:L64"/>
    <mergeCell ref="N64:O64"/>
    <mergeCell ref="I65:L65"/>
    <mergeCell ref="N65:O65"/>
    <mergeCell ref="A66:C66"/>
    <mergeCell ref="I66:L66"/>
    <mergeCell ref="N66:O66"/>
    <mergeCell ref="I67:L67"/>
    <mergeCell ref="N67:O67"/>
    <mergeCell ref="I77:L77"/>
    <mergeCell ref="I68:L68"/>
    <mergeCell ref="N68:O68"/>
    <mergeCell ref="I70:L70"/>
    <mergeCell ref="I71:L71"/>
    <mergeCell ref="I72:L72"/>
    <mergeCell ref="I73:L73"/>
    <mergeCell ref="I74:L74"/>
    <mergeCell ref="I75:L75"/>
    <mergeCell ref="I76:L76"/>
  </mergeCells>
  <conditionalFormatting sqref="S49:U49">
    <cfRule type="cellIs" dxfId="13" priority="8" operator="equal">
      <formula>"Entre 115% et 120%"</formula>
    </cfRule>
  </conditionalFormatting>
  <conditionalFormatting sqref="N68">
    <cfRule type="cellIs" dxfId="12" priority="7" operator="equal">
      <formula>"OK"</formula>
    </cfRule>
  </conditionalFormatting>
  <conditionalFormatting sqref="N66">
    <cfRule type="cellIs" dxfId="11" priority="6" operator="equal">
      <formula>"effet de levier"</formula>
    </cfRule>
  </conditionalFormatting>
  <conditionalFormatting sqref="N67">
    <cfRule type="cellIs" dxfId="10" priority="5" operator="greaterThan">
      <formula>"amorti en 20 ans"</formula>
    </cfRule>
  </conditionalFormatting>
  <conditionalFormatting sqref="N67">
    <cfRule type="cellIs" dxfId="9" priority="4" operator="greaterThan">
      <formula>20</formula>
    </cfRule>
  </conditionalFormatting>
  <conditionalFormatting sqref="S49">
    <cfRule type="cellIs" dxfId="8" priority="3" operator="equal">
      <formula>"Inférieur à 115%"</formula>
    </cfRule>
  </conditionalFormatting>
  <conditionalFormatting sqref="S49">
    <cfRule type="cellIs" dxfId="7" priority="2" operator="equal">
      <formula>"Supérieur à 120%"</formula>
    </cfRule>
  </conditionalFormatting>
  <dataValidations count="2">
    <dataValidation type="list" operator="equal" allowBlank="1" showErrorMessage="1" sqref="E42:F43">
      <formula1>$AK$3:$AK$4</formula1>
      <formula2>0</formula2>
    </dataValidation>
    <dataValidation type="list" operator="equal" allowBlank="1" showInputMessage="1" showErrorMessage="1" sqref="M25:M27">
      <formula1>$AE$4:$AE$25</formula1>
      <formula2>0</formula2>
    </dataValidation>
  </dataValidations>
  <hyperlinks>
    <hyperlink ref="J2" location="Aide!A33" display="AIDE"/>
    <hyperlink ref="O44" location="'Tresorerie mensuelle'!A1" display="Au regard de la trésorerie mensuelle à 36 mois :"/>
    <hyperlink ref="S44" location="'Plan de trésorerie'!A1" display="Au regard de la trésorerie annuelle à 20 ans :"/>
  </hyperlinks>
  <printOptions gridLines="1"/>
  <pageMargins left="0.70833333333333315" right="0.70833333333333315" top="0.19652777777777802" bottom="0.27569444444444402" header="0.51180555555555496" footer="0.51180555555555496"/>
  <pageSetup paperSize="9" firstPageNumber="0" orientation="landscape" horizontalDpi="300" verticalDpi="300"/>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93"/>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9" width="12.140625" style="17" customWidth="1"/>
    <col min="10" max="10" width="18.42578125" style="17" customWidth="1"/>
    <col min="11" max="11" width="18.140625" style="17" customWidth="1"/>
    <col min="12" max="12" width="12.140625" style="17" customWidth="1"/>
    <col min="13" max="19" width="10.140625" style="403"/>
    <col min="20" max="64" width="10.140625" style="17"/>
  </cols>
  <sheetData>
    <row r="1" spans="1:19" ht="15.05">
      <c r="B1" s="1058" t="s">
        <v>315</v>
      </c>
      <c r="C1" s="1058"/>
      <c r="D1" s="1058"/>
      <c r="E1" s="1058"/>
      <c r="F1" s="1058"/>
      <c r="H1" s="405" t="s">
        <v>493</v>
      </c>
      <c r="I1" s="406">
        <f>VLOOKUP(E4,Catalogue!F:J,5,0)</f>
        <v>370</v>
      </c>
      <c r="J1" s="17" t="s">
        <v>494</v>
      </c>
      <c r="K1" s="17" t="s">
        <v>495</v>
      </c>
      <c r="L1" s="58">
        <f>A4*I1</f>
        <v>348910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v>943</v>
      </c>
      <c r="B4" s="413" t="s">
        <v>505</v>
      </c>
      <c r="C4" s="420" t="s">
        <v>1306</v>
      </c>
      <c r="D4" s="413"/>
      <c r="E4" s="420" t="s">
        <v>1308</v>
      </c>
      <c r="F4" s="421">
        <v>90.8</v>
      </c>
      <c r="G4" s="410"/>
      <c r="H4" s="409">
        <f t="shared" ref="H4:H9" si="0">F4*(1-G4)</f>
        <v>90.8</v>
      </c>
      <c r="I4" s="409">
        <f t="shared" ref="I4:I9" si="1">A4*H4</f>
        <v>85624.4</v>
      </c>
      <c r="J4" s="417">
        <f>F4/$I$1</f>
        <v>0.2454054054054054</v>
      </c>
      <c r="K4" s="403" t="s">
        <v>1421</v>
      </c>
      <c r="M4" s="418">
        <f>I4</f>
        <v>85624.4</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f>A4+A5</f>
        <v>943</v>
      </c>
      <c r="B6" s="413" t="s">
        <v>505</v>
      </c>
      <c r="C6" s="413" t="s">
        <v>751</v>
      </c>
      <c r="D6" s="413"/>
      <c r="E6" s="420" t="s">
        <v>1191</v>
      </c>
      <c r="F6" s="421">
        <f>913.68/109</f>
        <v>8.3823853211009176</v>
      </c>
      <c r="G6" s="422"/>
      <c r="H6" s="409">
        <f t="shared" si="0"/>
        <v>8.3823853211009176</v>
      </c>
      <c r="I6" s="409">
        <f t="shared" si="1"/>
        <v>7904.5893577981651</v>
      </c>
      <c r="J6" s="417">
        <f>F6/$I$1</f>
        <v>2.2655095462434913E-2</v>
      </c>
      <c r="K6" s="417"/>
      <c r="L6" s="204"/>
      <c r="M6" s="418">
        <f>I6</f>
        <v>7904.5893577981651</v>
      </c>
      <c r="N6" s="418"/>
      <c r="O6" s="418"/>
      <c r="P6" s="418"/>
      <c r="Q6" s="418"/>
      <c r="R6" s="418"/>
      <c r="S6" s="418"/>
    </row>
    <row r="7" spans="1:19">
      <c r="A7" s="423">
        <v>3</v>
      </c>
      <c r="B7" s="423" t="s">
        <v>530</v>
      </c>
      <c r="C7" s="413" t="s">
        <v>749</v>
      </c>
      <c r="D7" s="423"/>
      <c r="E7" s="420" t="s">
        <v>1234</v>
      </c>
      <c r="F7" s="421">
        <v>887.31</v>
      </c>
      <c r="G7" s="410"/>
      <c r="H7" s="409">
        <f t="shared" si="0"/>
        <v>887.31</v>
      </c>
      <c r="I7" s="409">
        <f t="shared" si="1"/>
        <v>2661.93</v>
      </c>
      <c r="J7" s="204"/>
      <c r="K7" s="17" t="s">
        <v>1533</v>
      </c>
      <c r="L7" s="752" t="s">
        <v>1534</v>
      </c>
      <c r="M7" s="418"/>
      <c r="N7" s="418"/>
      <c r="O7" s="418"/>
      <c r="P7" s="418"/>
      <c r="Q7" s="418"/>
      <c r="R7" s="418">
        <f t="shared" ref="R7:R9" si="2">I7</f>
        <v>2661.93</v>
      </c>
      <c r="S7" s="418"/>
    </row>
    <row r="8" spans="1:19">
      <c r="A8" s="487">
        <v>0</v>
      </c>
      <c r="B8" s="487" t="s">
        <v>522</v>
      </c>
      <c r="C8" s="407" t="s">
        <v>751</v>
      </c>
      <c r="D8" s="407"/>
      <c r="E8" s="408" t="s">
        <v>1505</v>
      </c>
      <c r="F8" s="409">
        <v>464.44</v>
      </c>
      <c r="G8" s="410"/>
      <c r="H8" s="409">
        <f t="shared" si="0"/>
        <v>464.44</v>
      </c>
      <c r="I8" s="409">
        <f t="shared" si="1"/>
        <v>0</v>
      </c>
      <c r="J8" s="204"/>
      <c r="L8" s="442"/>
      <c r="M8" s="418"/>
      <c r="N8" s="418"/>
      <c r="O8" s="418"/>
      <c r="P8" s="418"/>
      <c r="Q8" s="418"/>
      <c r="R8" s="418">
        <f t="shared" si="2"/>
        <v>0</v>
      </c>
      <c r="S8" s="418"/>
    </row>
    <row r="9" spans="1:19">
      <c r="A9" s="413">
        <v>3</v>
      </c>
      <c r="B9" s="413" t="s">
        <v>505</v>
      </c>
      <c r="C9" s="413" t="s">
        <v>531</v>
      </c>
      <c r="D9" s="413"/>
      <c r="E9" s="420" t="s">
        <v>1296</v>
      </c>
      <c r="F9" s="421">
        <v>2000</v>
      </c>
      <c r="G9" s="410"/>
      <c r="H9" s="409">
        <f t="shared" si="0"/>
        <v>2000</v>
      </c>
      <c r="I9" s="409">
        <f t="shared" si="1"/>
        <v>6000</v>
      </c>
      <c r="J9" s="204"/>
      <c r="M9" s="418"/>
      <c r="N9" s="418"/>
      <c r="O9" s="418"/>
      <c r="P9" s="418"/>
      <c r="Q9" s="418"/>
      <c r="R9" s="418">
        <f t="shared" si="2"/>
        <v>6000</v>
      </c>
      <c r="S9" s="418"/>
    </row>
    <row r="10" spans="1:19">
      <c r="A10" s="413">
        <v>2</v>
      </c>
      <c r="B10" s="413" t="s">
        <v>530</v>
      </c>
      <c r="C10" s="420" t="s">
        <v>792</v>
      </c>
      <c r="D10" s="413" t="s">
        <v>1248</v>
      </c>
      <c r="E10" s="420" t="s">
        <v>794</v>
      </c>
      <c r="F10" s="421">
        <v>2600</v>
      </c>
      <c r="G10" s="422"/>
      <c r="H10" s="409">
        <f t="shared" ref="H10:H62" si="3">F10*(1-G10)</f>
        <v>2600</v>
      </c>
      <c r="I10" s="409">
        <f t="shared" ref="I10:I32" si="4">A10*H10</f>
        <v>5200</v>
      </c>
      <c r="J10" s="204"/>
      <c r="M10" s="418"/>
      <c r="N10" s="418"/>
      <c r="O10" s="418"/>
      <c r="P10" s="418"/>
      <c r="Q10" s="418"/>
      <c r="R10" s="418">
        <f t="shared" ref="R10:R23" si="5">I10</f>
        <v>5200</v>
      </c>
      <c r="S10" s="418"/>
    </row>
    <row r="11" spans="1:19" ht="22.25">
      <c r="A11" s="407">
        <v>0</v>
      </c>
      <c r="B11" s="407" t="s">
        <v>505</v>
      </c>
      <c r="C11" s="408" t="s">
        <v>534</v>
      </c>
      <c r="D11" s="407"/>
      <c r="E11" s="408" t="s">
        <v>535</v>
      </c>
      <c r="F11" s="409">
        <v>3.71</v>
      </c>
      <c r="G11" s="410"/>
      <c r="H11" s="409">
        <f t="shared" si="3"/>
        <v>3.71</v>
      </c>
      <c r="I11" s="409">
        <f t="shared" si="4"/>
        <v>0</v>
      </c>
      <c r="J11" s="204" t="s">
        <v>795</v>
      </c>
      <c r="M11" s="418"/>
      <c r="N11" s="418"/>
      <c r="O11" s="418"/>
      <c r="P11" s="418"/>
      <c r="Q11" s="418"/>
      <c r="R11" s="418">
        <f t="shared" si="5"/>
        <v>0</v>
      </c>
      <c r="S11" s="418"/>
    </row>
    <row r="12" spans="1:19" ht="22.25">
      <c r="A12" s="407">
        <f>A11</f>
        <v>0</v>
      </c>
      <c r="B12" s="407" t="s">
        <v>505</v>
      </c>
      <c r="C12" s="408" t="s">
        <v>534</v>
      </c>
      <c r="D12" s="407"/>
      <c r="E12" s="408" t="s">
        <v>537</v>
      </c>
      <c r="F12" s="409">
        <v>3.81</v>
      </c>
      <c r="G12" s="410"/>
      <c r="H12" s="409">
        <f t="shared" si="3"/>
        <v>3.81</v>
      </c>
      <c r="I12" s="409">
        <f t="shared" si="4"/>
        <v>0</v>
      </c>
      <c r="J12" s="204" t="s">
        <v>538</v>
      </c>
      <c r="M12" s="418"/>
      <c r="N12" s="418"/>
      <c r="O12" s="418"/>
      <c r="P12" s="418"/>
      <c r="Q12" s="418"/>
      <c r="R12" s="418">
        <f t="shared" si="5"/>
        <v>0</v>
      </c>
      <c r="S12" s="418"/>
    </row>
    <row r="13" spans="1:19" ht="33.4">
      <c r="A13" s="413">
        <f>42*15</f>
        <v>630</v>
      </c>
      <c r="B13" s="413" t="s">
        <v>539</v>
      </c>
      <c r="C13" s="420" t="s">
        <v>540</v>
      </c>
      <c r="D13" s="413" t="s">
        <v>541</v>
      </c>
      <c r="E13" s="420" t="s">
        <v>542</v>
      </c>
      <c r="F13" s="421">
        <v>0.55647999999999997</v>
      </c>
      <c r="G13" s="410"/>
      <c r="H13" s="409">
        <f t="shared" si="3"/>
        <v>0.55647999999999997</v>
      </c>
      <c r="I13" s="409">
        <f t="shared" si="4"/>
        <v>350.58240000000001</v>
      </c>
      <c r="M13" s="418"/>
      <c r="N13" s="418"/>
      <c r="O13" s="418">
        <f t="shared" ref="O13:O27" si="6">I13</f>
        <v>350.58240000000001</v>
      </c>
      <c r="P13" s="418"/>
      <c r="Q13" s="418"/>
      <c r="R13" s="418"/>
      <c r="S13" s="418"/>
    </row>
    <row r="14" spans="1:19" ht="33.4">
      <c r="A14" s="413">
        <f>A13+A4*2</f>
        <v>2516</v>
      </c>
      <c r="B14" s="413" t="s">
        <v>539</v>
      </c>
      <c r="C14" s="420" t="s">
        <v>540</v>
      </c>
      <c r="D14" s="413" t="s">
        <v>543</v>
      </c>
      <c r="E14" s="420" t="s">
        <v>544</v>
      </c>
      <c r="F14" s="421">
        <v>0.55647999999999997</v>
      </c>
      <c r="G14" s="410"/>
      <c r="H14" s="409">
        <f t="shared" si="3"/>
        <v>0.55647999999999997</v>
      </c>
      <c r="I14" s="409">
        <f t="shared" si="4"/>
        <v>1400.1036799999999</v>
      </c>
      <c r="M14" s="418"/>
      <c r="N14" s="418"/>
      <c r="O14" s="418">
        <f t="shared" si="6"/>
        <v>1400.1036799999999</v>
      </c>
      <c r="P14" s="418"/>
      <c r="Q14" s="418"/>
      <c r="R14" s="418"/>
      <c r="S14" s="418"/>
    </row>
    <row r="15" spans="1:19" ht="33.4">
      <c r="A15" s="413">
        <f>42</f>
        <v>42</v>
      </c>
      <c r="B15" s="413" t="s">
        <v>517</v>
      </c>
      <c r="C15" s="420" t="s">
        <v>540</v>
      </c>
      <c r="D15" s="413" t="s">
        <v>797</v>
      </c>
      <c r="E15" s="420" t="s">
        <v>798</v>
      </c>
      <c r="F15" s="421">
        <v>0.88</v>
      </c>
      <c r="G15" s="410"/>
      <c r="H15" s="409">
        <f t="shared" si="3"/>
        <v>0.88</v>
      </c>
      <c r="I15" s="409">
        <f t="shared" si="4"/>
        <v>36.96</v>
      </c>
      <c r="J15" s="204" t="s">
        <v>1535</v>
      </c>
      <c r="M15" s="418"/>
      <c r="N15" s="418"/>
      <c r="O15" s="418">
        <f t="shared" si="6"/>
        <v>36.96</v>
      </c>
      <c r="P15" s="418"/>
      <c r="Q15" s="418"/>
      <c r="R15" s="418"/>
      <c r="S15" s="418"/>
    </row>
    <row r="16" spans="1:19" ht="33.4">
      <c r="A16" s="413">
        <f>A15</f>
        <v>42</v>
      </c>
      <c r="B16" s="413" t="s">
        <v>517</v>
      </c>
      <c r="C16" s="420" t="s">
        <v>540</v>
      </c>
      <c r="D16" s="413" t="s">
        <v>800</v>
      </c>
      <c r="E16" s="420" t="s">
        <v>801</v>
      </c>
      <c r="F16" s="421">
        <v>0.67</v>
      </c>
      <c r="G16" s="410"/>
      <c r="H16" s="409">
        <f t="shared" si="3"/>
        <v>0.67</v>
      </c>
      <c r="I16" s="409">
        <f t="shared" si="4"/>
        <v>28.14</v>
      </c>
      <c r="J16" s="204"/>
      <c r="M16" s="418"/>
      <c r="N16" s="418"/>
      <c r="O16" s="418">
        <f t="shared" si="6"/>
        <v>28.14</v>
      </c>
      <c r="P16" s="418"/>
      <c r="Q16" s="418"/>
      <c r="R16" s="418"/>
      <c r="S16" s="418"/>
    </row>
    <row r="17" spans="1:19" ht="22.25">
      <c r="A17" s="407">
        <v>0</v>
      </c>
      <c r="B17" s="407" t="s">
        <v>517</v>
      </c>
      <c r="C17" s="408" t="s">
        <v>540</v>
      </c>
      <c r="D17" s="407" t="s">
        <v>556</v>
      </c>
      <c r="E17" s="408" t="s">
        <v>557</v>
      </c>
      <c r="F17" s="409">
        <v>6.58</v>
      </c>
      <c r="G17" s="410"/>
      <c r="H17" s="409">
        <f t="shared" si="3"/>
        <v>6.58</v>
      </c>
      <c r="I17" s="409">
        <f t="shared" si="4"/>
        <v>0</v>
      </c>
      <c r="J17" s="204"/>
      <c r="M17" s="418"/>
      <c r="N17" s="418"/>
      <c r="O17" s="418">
        <f t="shared" si="6"/>
        <v>0</v>
      </c>
      <c r="P17" s="418"/>
      <c r="Q17" s="418"/>
      <c r="R17" s="418"/>
      <c r="S17" s="418"/>
    </row>
    <row r="18" spans="1:19" ht="33.4">
      <c r="A18" s="413">
        <v>3</v>
      </c>
      <c r="B18" s="413" t="s">
        <v>522</v>
      </c>
      <c r="C18" s="413" t="s">
        <v>1223</v>
      </c>
      <c r="D18" s="423"/>
      <c r="E18" s="420" t="s">
        <v>1286</v>
      </c>
      <c r="F18" s="421">
        <f>8232.5/1.2</f>
        <v>6860.416666666667</v>
      </c>
      <c r="G18" s="410"/>
      <c r="H18" s="409">
        <f t="shared" si="3"/>
        <v>6860.416666666667</v>
      </c>
      <c r="I18" s="409">
        <f t="shared" si="4"/>
        <v>20581.25</v>
      </c>
      <c r="J18" s="204" t="s">
        <v>1536</v>
      </c>
      <c r="K18" s="17" t="s">
        <v>1531</v>
      </c>
      <c r="M18" s="418"/>
      <c r="N18" s="418">
        <f t="shared" ref="N18:N20" si="7">I18</f>
        <v>20581.25</v>
      </c>
      <c r="O18" s="418"/>
      <c r="P18" s="418"/>
      <c r="Q18" s="418"/>
      <c r="R18" s="418"/>
      <c r="S18" s="418"/>
    </row>
    <row r="19" spans="1:19">
      <c r="A19" s="413"/>
      <c r="B19" s="413" t="s">
        <v>522</v>
      </c>
      <c r="C19" s="413" t="s">
        <v>1223</v>
      </c>
      <c r="D19" s="423"/>
      <c r="E19" s="420" t="s">
        <v>1225</v>
      </c>
      <c r="F19" s="421">
        <f>5199/1.2</f>
        <v>4332.5</v>
      </c>
      <c r="G19" s="422"/>
      <c r="H19" s="409">
        <f t="shared" si="3"/>
        <v>4332.5</v>
      </c>
      <c r="I19" s="409">
        <f t="shared" si="4"/>
        <v>0</v>
      </c>
      <c r="J19" s="204"/>
      <c r="K19" s="17" t="s">
        <v>1532</v>
      </c>
      <c r="M19" s="418"/>
      <c r="N19" s="418">
        <f t="shared" si="7"/>
        <v>0</v>
      </c>
      <c r="O19" s="418"/>
      <c r="P19" s="418"/>
      <c r="Q19" s="418"/>
      <c r="R19" s="418"/>
      <c r="S19" s="418"/>
    </row>
    <row r="20" spans="1:19">
      <c r="A20" s="407"/>
      <c r="B20" s="407"/>
      <c r="C20" s="408"/>
      <c r="D20" s="407"/>
      <c r="E20" s="408"/>
      <c r="F20" s="409"/>
      <c r="G20" s="410"/>
      <c r="H20" s="409">
        <f t="shared" si="3"/>
        <v>0</v>
      </c>
      <c r="I20" s="409">
        <f t="shared" si="4"/>
        <v>0</v>
      </c>
      <c r="J20" s="204"/>
      <c r="M20" s="418"/>
      <c r="N20" s="418">
        <f t="shared" si="7"/>
        <v>0</v>
      </c>
      <c r="O20" s="418"/>
      <c r="P20" s="418"/>
      <c r="Q20" s="418"/>
      <c r="R20" s="418"/>
      <c r="S20" s="418"/>
    </row>
    <row r="21" spans="1:19" ht="33.4">
      <c r="A21" s="413">
        <f>14*3</f>
        <v>42</v>
      </c>
      <c r="B21" s="413" t="s">
        <v>517</v>
      </c>
      <c r="C21" s="420" t="s">
        <v>540</v>
      </c>
      <c r="D21" s="413" t="s">
        <v>761</v>
      </c>
      <c r="E21" s="420" t="s">
        <v>762</v>
      </c>
      <c r="F21" s="421">
        <v>2.5</v>
      </c>
      <c r="G21" s="410"/>
      <c r="H21" s="409">
        <f t="shared" si="3"/>
        <v>2.5</v>
      </c>
      <c r="I21" s="409">
        <f t="shared" si="4"/>
        <v>105</v>
      </c>
      <c r="J21" s="204"/>
      <c r="M21" s="418"/>
      <c r="N21" s="418"/>
      <c r="O21" s="418"/>
      <c r="P21" s="418"/>
      <c r="Q21" s="418"/>
      <c r="R21" s="418">
        <f t="shared" si="5"/>
        <v>105</v>
      </c>
      <c r="S21" s="418"/>
    </row>
    <row r="22" spans="1:19" ht="35.85" customHeight="1">
      <c r="A22" s="413">
        <v>3</v>
      </c>
      <c r="B22" s="413" t="s">
        <v>522</v>
      </c>
      <c r="C22" s="413" t="s">
        <v>678</v>
      </c>
      <c r="D22" s="413"/>
      <c r="E22" s="420" t="s">
        <v>1160</v>
      </c>
      <c r="F22" s="421">
        <v>1668.3</v>
      </c>
      <c r="G22" s="410"/>
      <c r="H22" s="409">
        <f t="shared" si="3"/>
        <v>1668.3</v>
      </c>
      <c r="I22" s="409">
        <f t="shared" si="4"/>
        <v>5004.8999999999996</v>
      </c>
      <c r="J22" s="1054"/>
      <c r="K22" s="1054"/>
      <c r="L22" s="1054"/>
      <c r="M22" s="418"/>
      <c r="N22" s="418"/>
      <c r="O22" s="418"/>
      <c r="P22" s="418"/>
      <c r="Q22" s="418"/>
      <c r="R22" s="418">
        <f t="shared" si="5"/>
        <v>5004.8999999999996</v>
      </c>
      <c r="S22" s="418"/>
    </row>
    <row r="23" spans="1:19">
      <c r="A23" s="407"/>
      <c r="B23" s="407"/>
      <c r="C23" s="408"/>
      <c r="D23" s="407"/>
      <c r="E23" s="408"/>
      <c r="F23" s="409"/>
      <c r="G23" s="410"/>
      <c r="H23" s="409">
        <f t="shared" si="3"/>
        <v>0</v>
      </c>
      <c r="I23" s="409">
        <f t="shared" si="4"/>
        <v>0</v>
      </c>
      <c r="J23" s="204"/>
      <c r="M23" s="418"/>
      <c r="N23" s="418"/>
      <c r="O23" s="418"/>
      <c r="P23" s="418"/>
      <c r="Q23" s="418"/>
      <c r="R23" s="418">
        <f t="shared" si="5"/>
        <v>0</v>
      </c>
      <c r="S23" s="418"/>
    </row>
    <row r="24" spans="1:19" ht="22.25">
      <c r="A24" s="413">
        <v>1</v>
      </c>
      <c r="B24" s="413" t="s">
        <v>522</v>
      </c>
      <c r="C24" s="420" t="s">
        <v>531</v>
      </c>
      <c r="D24" s="413"/>
      <c r="E24" s="420" t="s">
        <v>695</v>
      </c>
      <c r="F24" s="421">
        <v>500</v>
      </c>
      <c r="G24" s="410"/>
      <c r="H24" s="409">
        <f t="shared" si="3"/>
        <v>500</v>
      </c>
      <c r="I24" s="409">
        <f t="shared" si="4"/>
        <v>500</v>
      </c>
      <c r="J24" s="204"/>
      <c r="M24" s="418"/>
      <c r="N24" s="418"/>
      <c r="O24" s="418">
        <f t="shared" si="6"/>
        <v>500</v>
      </c>
      <c r="P24" s="418"/>
      <c r="Q24" s="418"/>
      <c r="R24" s="418"/>
      <c r="S24" s="418"/>
    </row>
    <row r="25" spans="1:19">
      <c r="A25" s="413">
        <v>1</v>
      </c>
      <c r="B25" s="413" t="s">
        <v>505</v>
      </c>
      <c r="C25" s="413" t="s">
        <v>531</v>
      </c>
      <c r="D25" s="413"/>
      <c r="E25" s="420" t="s">
        <v>1297</v>
      </c>
      <c r="F25" s="421">
        <f>787.5*3</f>
        <v>2362.5</v>
      </c>
      <c r="G25" s="410"/>
      <c r="H25" s="409">
        <f t="shared" si="3"/>
        <v>2362.5</v>
      </c>
      <c r="I25" s="409">
        <f t="shared" si="4"/>
        <v>2362.5</v>
      </c>
      <c r="J25" s="204"/>
      <c r="M25" s="418">
        <f>F25</f>
        <v>2362.5</v>
      </c>
      <c r="N25" s="418"/>
      <c r="O25" s="418"/>
      <c r="P25" s="418"/>
      <c r="Q25" s="418"/>
      <c r="R25" s="418"/>
      <c r="S25" s="418"/>
    </row>
    <row r="26" spans="1:19">
      <c r="A26" s="413">
        <f>3*5</f>
        <v>15</v>
      </c>
      <c r="B26" s="413" t="s">
        <v>539</v>
      </c>
      <c r="C26" s="413" t="s">
        <v>552</v>
      </c>
      <c r="D26" s="413"/>
      <c r="E26" s="413" t="s">
        <v>1057</v>
      </c>
      <c r="F26" s="421">
        <v>37.31</v>
      </c>
      <c r="G26" s="428"/>
      <c r="H26" s="409">
        <f t="shared" si="3"/>
        <v>37.31</v>
      </c>
      <c r="I26" s="409">
        <f t="shared" si="4"/>
        <v>559.65000000000009</v>
      </c>
      <c r="J26" s="204"/>
      <c r="M26" s="418"/>
      <c r="N26" s="418"/>
      <c r="O26" s="418">
        <f t="shared" si="6"/>
        <v>559.65000000000009</v>
      </c>
      <c r="P26" s="418"/>
      <c r="Q26" s="418"/>
      <c r="R26" s="418"/>
      <c r="S26" s="418"/>
    </row>
    <row r="27" spans="1:19" ht="22.25">
      <c r="A27" s="413">
        <f>4*10</f>
        <v>40</v>
      </c>
      <c r="B27" s="423" t="s">
        <v>539</v>
      </c>
      <c r="C27" s="423" t="s">
        <v>531</v>
      </c>
      <c r="D27" s="413"/>
      <c r="E27" s="420" t="s">
        <v>1253</v>
      </c>
      <c r="F27" s="421">
        <v>18.073076923076901</v>
      </c>
      <c r="G27" s="428"/>
      <c r="H27" s="409">
        <f t="shared" si="3"/>
        <v>18.073076923076901</v>
      </c>
      <c r="I27" s="409">
        <f t="shared" si="4"/>
        <v>722.923076923076</v>
      </c>
      <c r="J27" s="204" t="s">
        <v>1537</v>
      </c>
      <c r="M27" s="418"/>
      <c r="N27" s="418"/>
      <c r="O27" s="418">
        <f t="shared" si="6"/>
        <v>722.923076923076</v>
      </c>
      <c r="P27" s="418"/>
      <c r="Q27" s="418"/>
      <c r="R27" s="418"/>
      <c r="S27" s="418"/>
    </row>
    <row r="28" spans="1:19" ht="44.55">
      <c r="A28" s="407">
        <v>0</v>
      </c>
      <c r="B28" s="407" t="s">
        <v>517</v>
      </c>
      <c r="C28" s="408" t="s">
        <v>569</v>
      </c>
      <c r="D28" s="407" t="s">
        <v>570</v>
      </c>
      <c r="E28" s="408" t="s">
        <v>571</v>
      </c>
      <c r="F28" s="409">
        <v>1040</v>
      </c>
      <c r="G28" s="429">
        <v>0.48</v>
      </c>
      <c r="H28" s="430">
        <f t="shared" si="3"/>
        <v>540.80000000000007</v>
      </c>
      <c r="I28" s="409">
        <f t="shared" si="4"/>
        <v>0</v>
      </c>
      <c r="J28" s="204"/>
      <c r="M28" s="418"/>
      <c r="N28" s="418"/>
      <c r="O28" s="418"/>
      <c r="P28" s="418"/>
      <c r="Q28" s="418"/>
      <c r="R28" s="418"/>
      <c r="S28" s="418">
        <f t="shared" ref="S28:S32" si="8">I28</f>
        <v>0</v>
      </c>
    </row>
    <row r="29" spans="1:19" ht="55.65">
      <c r="A29" s="413">
        <v>1</v>
      </c>
      <c r="B29" s="413" t="s">
        <v>517</v>
      </c>
      <c r="C29" s="424" t="s">
        <v>569</v>
      </c>
      <c r="D29" s="423" t="s">
        <v>572</v>
      </c>
      <c r="E29" s="424" t="s">
        <v>573</v>
      </c>
      <c r="F29" s="425">
        <v>1190</v>
      </c>
      <c r="G29" s="429">
        <v>0.48</v>
      </c>
      <c r="H29" s="430">
        <f t="shared" si="3"/>
        <v>618.80000000000007</v>
      </c>
      <c r="I29" s="409">
        <f t="shared" si="4"/>
        <v>618.80000000000007</v>
      </c>
      <c r="J29" s="204"/>
      <c r="M29" s="418"/>
      <c r="N29" s="418"/>
      <c r="O29" s="418"/>
      <c r="P29" s="418"/>
      <c r="Q29" s="418"/>
      <c r="R29" s="418"/>
      <c r="S29" s="418">
        <f t="shared" si="8"/>
        <v>618.80000000000007</v>
      </c>
    </row>
    <row r="30" spans="1:19">
      <c r="A30" s="413">
        <v>3</v>
      </c>
      <c r="B30" s="413" t="s">
        <v>517</v>
      </c>
      <c r="C30" s="420" t="s">
        <v>574</v>
      </c>
      <c r="D30" s="413" t="s">
        <v>575</v>
      </c>
      <c r="E30" s="413" t="s">
        <v>576</v>
      </c>
      <c r="F30" s="421">
        <v>36.700000000000003</v>
      </c>
      <c r="G30" s="410"/>
      <c r="H30" s="409">
        <f t="shared" si="3"/>
        <v>36.700000000000003</v>
      </c>
      <c r="I30" s="409">
        <f t="shared" si="4"/>
        <v>110.10000000000001</v>
      </c>
      <c r="J30" s="204"/>
      <c r="M30" s="418"/>
      <c r="N30" s="418"/>
      <c r="O30" s="418"/>
      <c r="P30" s="418"/>
      <c r="Q30" s="418"/>
      <c r="R30" s="418"/>
      <c r="S30" s="418">
        <f t="shared" si="8"/>
        <v>110.10000000000001</v>
      </c>
    </row>
    <row r="31" spans="1:19">
      <c r="A31" s="413">
        <v>5</v>
      </c>
      <c r="B31" s="413" t="s">
        <v>517</v>
      </c>
      <c r="C31" s="420" t="s">
        <v>574</v>
      </c>
      <c r="D31" s="413" t="s">
        <v>577</v>
      </c>
      <c r="E31" s="413" t="s">
        <v>578</v>
      </c>
      <c r="F31" s="421">
        <v>75</v>
      </c>
      <c r="G31" s="410"/>
      <c r="H31" s="409">
        <f t="shared" si="3"/>
        <v>75</v>
      </c>
      <c r="I31" s="409">
        <f t="shared" si="4"/>
        <v>375</v>
      </c>
      <c r="J31" s="204"/>
      <c r="M31" s="418"/>
      <c r="N31" s="418"/>
      <c r="O31" s="418"/>
      <c r="P31" s="418"/>
      <c r="Q31" s="418"/>
      <c r="R31" s="418"/>
      <c r="S31" s="418">
        <f t="shared" si="8"/>
        <v>375</v>
      </c>
    </row>
    <row r="32" spans="1:19">
      <c r="A32" s="413">
        <v>1</v>
      </c>
      <c r="B32" s="413" t="s">
        <v>517</v>
      </c>
      <c r="C32" s="420" t="s">
        <v>574</v>
      </c>
      <c r="D32" s="413"/>
      <c r="E32" s="413" t="s">
        <v>579</v>
      </c>
      <c r="F32" s="421">
        <f>35/4</f>
        <v>8.75</v>
      </c>
      <c r="G32" s="410"/>
      <c r="H32" s="409">
        <f t="shared" si="3"/>
        <v>8.75</v>
      </c>
      <c r="I32" s="409">
        <f t="shared" si="4"/>
        <v>8.75</v>
      </c>
      <c r="J32" s="204"/>
      <c r="M32" s="418"/>
      <c r="N32" s="418"/>
      <c r="O32" s="418"/>
      <c r="P32" s="418"/>
      <c r="Q32" s="418"/>
      <c r="R32" s="418"/>
      <c r="S32" s="418">
        <f t="shared" si="8"/>
        <v>8.75</v>
      </c>
    </row>
    <row r="33" spans="1:19" ht="12.45">
      <c r="A33" s="407"/>
      <c r="B33" s="407"/>
      <c r="C33" s="408"/>
      <c r="D33" s="407"/>
      <c r="E33" s="431"/>
      <c r="F33" s="409"/>
      <c r="G33" s="410"/>
      <c r="H33" s="409"/>
      <c r="I33" s="409"/>
      <c r="J33" s="204"/>
      <c r="M33" s="418"/>
      <c r="N33" s="418"/>
      <c r="O33" s="418"/>
      <c r="P33" s="418"/>
      <c r="Q33" s="418"/>
      <c r="R33" s="418"/>
      <c r="S33" s="418"/>
    </row>
    <row r="34" spans="1:19">
      <c r="A34" s="407"/>
      <c r="B34" s="407"/>
      <c r="C34" s="408"/>
      <c r="D34" s="407"/>
      <c r="E34" s="407"/>
      <c r="F34" s="409"/>
      <c r="G34" s="410"/>
      <c r="H34" s="409"/>
      <c r="I34" s="409"/>
      <c r="J34" s="204"/>
      <c r="M34" s="418"/>
      <c r="N34" s="418"/>
      <c r="O34" s="418"/>
      <c r="P34" s="418"/>
      <c r="Q34" s="418"/>
      <c r="R34" s="418"/>
      <c r="S34" s="418"/>
    </row>
    <row r="35" spans="1:19">
      <c r="A35" s="407"/>
      <c r="B35" s="407"/>
      <c r="C35" s="408"/>
      <c r="D35" s="407"/>
      <c r="E35" s="432" t="s">
        <v>580</v>
      </c>
      <c r="F35" s="409"/>
      <c r="G35" s="410"/>
      <c r="H35" s="409"/>
      <c r="I35" s="421">
        <f>SUM(I4:I33)</f>
        <v>140155.57851472122</v>
      </c>
      <c r="J35" s="204"/>
      <c r="M35" s="418">
        <f>SUM(M4:M33)</f>
        <v>95891.489357798157</v>
      </c>
      <c r="N35" s="418">
        <f>SUM(N4:N33)</f>
        <v>20581.25</v>
      </c>
      <c r="O35" s="418">
        <f>SUM(O4:O33)</f>
        <v>3598.3591569230757</v>
      </c>
      <c r="P35" s="418"/>
      <c r="Q35" s="418"/>
      <c r="R35" s="418">
        <f>SUM(R4:R33)</f>
        <v>18971.830000000002</v>
      </c>
      <c r="S35" s="418">
        <f>SUM(S4:S33)</f>
        <v>1112.6500000000001</v>
      </c>
    </row>
    <row r="36" spans="1:19">
      <c r="A36" s="407"/>
      <c r="B36" s="407"/>
      <c r="C36" s="408"/>
      <c r="D36" s="407"/>
      <c r="E36" s="413" t="s">
        <v>581</v>
      </c>
      <c r="F36" s="409"/>
      <c r="G36" s="410">
        <v>0.25</v>
      </c>
      <c r="H36" s="409"/>
      <c r="I36" s="421"/>
      <c r="J36" s="204"/>
      <c r="M36" s="418"/>
      <c r="N36" s="418"/>
      <c r="O36" s="418"/>
      <c r="P36" s="418"/>
      <c r="Q36" s="418"/>
      <c r="R36" s="418"/>
      <c r="S36" s="418"/>
    </row>
    <row r="37" spans="1:19" ht="15.75">
      <c r="E37" s="433" t="s">
        <v>582</v>
      </c>
      <c r="F37" s="418"/>
      <c r="G37" s="434"/>
      <c r="H37" s="418"/>
      <c r="I37" s="435">
        <f>I35*(1+$G$36)</f>
        <v>175194.47314340153</v>
      </c>
      <c r="J37" s="436"/>
      <c r="K37" s="437"/>
      <c r="L37" s="437"/>
      <c r="M37" s="438">
        <f>M35*(1+$G$36)</f>
        <v>119864.36169724769</v>
      </c>
      <c r="N37" s="438">
        <f>N35*(1+$G$36)</f>
        <v>25726.5625</v>
      </c>
      <c r="O37" s="438">
        <f>O35*(1+$G$36)</f>
        <v>4497.9489461538451</v>
      </c>
      <c r="P37" s="438">
        <f>P66</f>
        <v>30040</v>
      </c>
      <c r="Q37" s="438">
        <f>Q126</f>
        <v>16048.359999999999</v>
      </c>
      <c r="R37" s="438">
        <f>R35*(1+$G$36)</f>
        <v>23714.787500000002</v>
      </c>
      <c r="S37" s="438">
        <f>S35*(1+$G$36)</f>
        <v>1390.8125</v>
      </c>
    </row>
    <row r="40" spans="1:19">
      <c r="E40" s="439" t="s">
        <v>585</v>
      </c>
    </row>
    <row r="41" spans="1:19">
      <c r="A41" s="441">
        <f>4*8</f>
        <v>32</v>
      </c>
      <c r="B41" s="17" t="s">
        <v>619</v>
      </c>
      <c r="E41" s="17" t="s">
        <v>586</v>
      </c>
      <c r="F41" s="403">
        <f t="shared" ref="F41:F57" si="9">F$61</f>
        <v>55</v>
      </c>
      <c r="H41" s="403">
        <f t="shared" si="3"/>
        <v>55</v>
      </c>
      <c r="I41" s="403">
        <f t="shared" ref="I41:I63" si="10">A41*H41</f>
        <v>1760</v>
      </c>
      <c r="J41" s="17" t="s">
        <v>1538</v>
      </c>
    </row>
    <row r="42" spans="1:19">
      <c r="A42" s="441">
        <f>A6/120*8*2</f>
        <v>125.73333333333333</v>
      </c>
      <c r="B42" s="17" t="s">
        <v>619</v>
      </c>
      <c r="E42" s="17" t="s">
        <v>589</v>
      </c>
      <c r="F42" s="403">
        <f t="shared" si="9"/>
        <v>55</v>
      </c>
      <c r="H42" s="403">
        <f t="shared" si="3"/>
        <v>55</v>
      </c>
      <c r="I42" s="403">
        <f t="shared" si="10"/>
        <v>6915.333333333333</v>
      </c>
      <c r="J42" s="17" t="s">
        <v>592</v>
      </c>
    </row>
    <row r="43" spans="1:19">
      <c r="A43" s="441">
        <f>8/14*42</f>
        <v>24</v>
      </c>
      <c r="B43" s="17" t="s">
        <v>619</v>
      </c>
      <c r="E43" s="17" t="s">
        <v>1426</v>
      </c>
      <c r="F43" s="403">
        <f t="shared" si="9"/>
        <v>55</v>
      </c>
      <c r="H43" s="403">
        <f t="shared" si="3"/>
        <v>55</v>
      </c>
      <c r="I43" s="403">
        <f t="shared" si="10"/>
        <v>1320</v>
      </c>
      <c r="J43" s="17" t="s">
        <v>1539</v>
      </c>
    </row>
    <row r="44" spans="1:19">
      <c r="A44" s="441">
        <f>A6/120*16*2</f>
        <v>251.46666666666667</v>
      </c>
      <c r="B44" s="17" t="s">
        <v>619</v>
      </c>
      <c r="E44" s="17" t="s">
        <v>591</v>
      </c>
      <c r="F44" s="403">
        <f t="shared" si="9"/>
        <v>55</v>
      </c>
      <c r="H44" s="403">
        <f t="shared" si="3"/>
        <v>55</v>
      </c>
      <c r="I44" s="403">
        <f t="shared" si="10"/>
        <v>13830.666666666666</v>
      </c>
      <c r="J44" s="17" t="s">
        <v>592</v>
      </c>
    </row>
    <row r="45" spans="1:19">
      <c r="A45" s="441">
        <v>14</v>
      </c>
      <c r="B45" s="17" t="s">
        <v>619</v>
      </c>
      <c r="E45" s="17" t="s">
        <v>1428</v>
      </c>
      <c r="F45" s="403">
        <f t="shared" si="9"/>
        <v>55</v>
      </c>
      <c r="H45" s="403">
        <f t="shared" si="3"/>
        <v>55</v>
      </c>
      <c r="I45" s="403">
        <f t="shared" si="10"/>
        <v>770</v>
      </c>
    </row>
    <row r="46" spans="1:19">
      <c r="A46" s="441">
        <v>4</v>
      </c>
      <c r="B46" s="17" t="s">
        <v>619</v>
      </c>
      <c r="E46" s="17" t="s">
        <v>1429</v>
      </c>
      <c r="F46" s="403">
        <f t="shared" si="9"/>
        <v>55</v>
      </c>
      <c r="H46" s="403">
        <f t="shared" si="3"/>
        <v>55</v>
      </c>
      <c r="I46" s="403">
        <f t="shared" si="10"/>
        <v>220</v>
      </c>
    </row>
    <row r="47" spans="1:19">
      <c r="A47" s="441">
        <v>8</v>
      </c>
      <c r="B47" s="17" t="s">
        <v>619</v>
      </c>
      <c r="E47" s="17" t="s">
        <v>605</v>
      </c>
      <c r="F47" s="403">
        <f t="shared" si="9"/>
        <v>55</v>
      </c>
      <c r="H47" s="403">
        <f t="shared" si="3"/>
        <v>55</v>
      </c>
      <c r="I47" s="403">
        <f t="shared" si="10"/>
        <v>440</v>
      </c>
      <c r="J47" s="17" t="s">
        <v>1487</v>
      </c>
    </row>
    <row r="48" spans="1:19">
      <c r="A48" s="441">
        <v>6</v>
      </c>
      <c r="B48" s="17" t="s">
        <v>619</v>
      </c>
      <c r="E48" s="17" t="s">
        <v>607</v>
      </c>
      <c r="F48" s="403">
        <f t="shared" si="9"/>
        <v>55</v>
      </c>
      <c r="H48" s="403">
        <f t="shared" si="3"/>
        <v>55</v>
      </c>
      <c r="I48" s="403">
        <f t="shared" si="10"/>
        <v>330</v>
      </c>
      <c r="J48" s="17" t="s">
        <v>608</v>
      </c>
    </row>
    <row r="49" spans="1:10">
      <c r="A49" s="441">
        <v>0.5</v>
      </c>
      <c r="B49" s="17" t="s">
        <v>619</v>
      </c>
      <c r="E49" s="17" t="s">
        <v>609</v>
      </c>
      <c r="F49" s="403">
        <f t="shared" si="9"/>
        <v>55</v>
      </c>
      <c r="H49" s="403">
        <f t="shared" si="3"/>
        <v>55</v>
      </c>
      <c r="I49" s="403">
        <f t="shared" si="10"/>
        <v>27.5</v>
      </c>
    </row>
    <row r="50" spans="1:10">
      <c r="A50" s="441">
        <f>6*0.5</f>
        <v>3</v>
      </c>
      <c r="B50" s="17" t="s">
        <v>619</v>
      </c>
      <c r="E50" s="17" t="s">
        <v>1540</v>
      </c>
      <c r="F50" s="403">
        <f t="shared" si="9"/>
        <v>55</v>
      </c>
      <c r="H50" s="403">
        <f t="shared" si="3"/>
        <v>55</v>
      </c>
      <c r="I50" s="403">
        <f t="shared" si="10"/>
        <v>165</v>
      </c>
    </row>
    <row r="51" spans="1:10">
      <c r="A51" s="441">
        <v>3</v>
      </c>
      <c r="B51" s="17" t="s">
        <v>619</v>
      </c>
      <c r="E51" s="17" t="s">
        <v>611</v>
      </c>
      <c r="F51" s="403">
        <f t="shared" si="9"/>
        <v>55</v>
      </c>
      <c r="H51" s="403">
        <f t="shared" si="3"/>
        <v>55</v>
      </c>
      <c r="I51" s="403">
        <f t="shared" si="10"/>
        <v>165</v>
      </c>
    </row>
    <row r="52" spans="1:10">
      <c r="A52" s="441">
        <v>1</v>
      </c>
      <c r="B52" s="17" t="s">
        <v>619</v>
      </c>
      <c r="E52" s="17" t="s">
        <v>1431</v>
      </c>
      <c r="F52" s="403">
        <f t="shared" si="9"/>
        <v>55</v>
      </c>
      <c r="H52" s="403">
        <f t="shared" si="3"/>
        <v>55</v>
      </c>
      <c r="I52" s="403">
        <f t="shared" si="10"/>
        <v>55</v>
      </c>
    </row>
    <row r="53" spans="1:10">
      <c r="A53" s="441">
        <f>2*3+4</f>
        <v>10</v>
      </c>
      <c r="B53" s="17" t="s">
        <v>619</v>
      </c>
      <c r="E53" s="17" t="s">
        <v>612</v>
      </c>
      <c r="F53" s="403">
        <f t="shared" si="9"/>
        <v>55</v>
      </c>
      <c r="H53" s="403">
        <f t="shared" si="3"/>
        <v>55</v>
      </c>
      <c r="I53" s="403">
        <f t="shared" si="10"/>
        <v>550</v>
      </c>
    </row>
    <row r="54" spans="1:10">
      <c r="A54" s="441">
        <f>A41</f>
        <v>32</v>
      </c>
      <c r="B54" s="17" t="s">
        <v>619</v>
      </c>
      <c r="E54" s="17" t="s">
        <v>614</v>
      </c>
      <c r="F54" s="403">
        <f t="shared" si="9"/>
        <v>55</v>
      </c>
      <c r="H54" s="403">
        <f t="shared" si="3"/>
        <v>55</v>
      </c>
      <c r="I54" s="403">
        <f t="shared" si="10"/>
        <v>1760</v>
      </c>
    </row>
    <row r="55" spans="1:10">
      <c r="A55" s="441">
        <v>4</v>
      </c>
      <c r="B55" s="17" t="s">
        <v>619</v>
      </c>
      <c r="E55" s="17" t="s">
        <v>615</v>
      </c>
      <c r="F55" s="403">
        <f t="shared" si="9"/>
        <v>55</v>
      </c>
      <c r="H55" s="403">
        <f t="shared" si="3"/>
        <v>55</v>
      </c>
      <c r="I55" s="403">
        <f t="shared" si="10"/>
        <v>220</v>
      </c>
    </row>
    <row r="56" spans="1:10">
      <c r="A56" s="441">
        <v>4</v>
      </c>
      <c r="B56" s="17" t="s">
        <v>619</v>
      </c>
      <c r="E56" s="17" t="s">
        <v>616</v>
      </c>
      <c r="F56" s="403">
        <f t="shared" si="9"/>
        <v>55</v>
      </c>
      <c r="H56" s="403">
        <f t="shared" si="3"/>
        <v>55</v>
      </c>
      <c r="I56" s="403">
        <f t="shared" si="10"/>
        <v>220</v>
      </c>
    </row>
    <row r="57" spans="1:10">
      <c r="A57" s="441">
        <v>0</v>
      </c>
      <c r="B57" s="17" t="s">
        <v>619</v>
      </c>
      <c r="C57" s="446"/>
      <c r="D57" s="442"/>
      <c r="E57" s="17" t="s">
        <v>617</v>
      </c>
      <c r="F57" s="403">
        <f t="shared" si="9"/>
        <v>55</v>
      </c>
      <c r="G57" s="444"/>
      <c r="H57" s="403">
        <f t="shared" si="3"/>
        <v>55</v>
      </c>
      <c r="I57" s="403">
        <f t="shared" si="10"/>
        <v>0</v>
      </c>
      <c r="J57" s="17" t="s">
        <v>618</v>
      </c>
    </row>
    <row r="59" spans="1:10">
      <c r="A59" s="17">
        <f>SUM(A41:A58)</f>
        <v>522.70000000000005</v>
      </c>
      <c r="B59" s="17" t="s">
        <v>619</v>
      </c>
      <c r="E59" s="17" t="s">
        <v>620</v>
      </c>
    </row>
    <row r="60" spans="1:10">
      <c r="A60" s="441">
        <v>3</v>
      </c>
      <c r="B60" s="17" t="s">
        <v>517</v>
      </c>
      <c r="E60" s="17" t="s">
        <v>621</v>
      </c>
    </row>
    <row r="61" spans="1:10">
      <c r="A61" s="17">
        <v>1</v>
      </c>
      <c r="B61" s="17" t="s">
        <v>517</v>
      </c>
      <c r="E61" s="17" t="s">
        <v>622</v>
      </c>
      <c r="F61" s="445">
        <v>55</v>
      </c>
      <c r="H61" s="403">
        <f t="shared" si="3"/>
        <v>55</v>
      </c>
      <c r="I61" s="403">
        <f t="shared" si="10"/>
        <v>55</v>
      </c>
      <c r="J61" s="17" t="s">
        <v>623</v>
      </c>
    </row>
    <row r="62" spans="1:10">
      <c r="A62" s="17">
        <f>ROUNDUP(A59/8/A60,0)</f>
        <v>22</v>
      </c>
      <c r="B62" s="17" t="s">
        <v>624</v>
      </c>
      <c r="E62" s="17" t="s">
        <v>625</v>
      </c>
      <c r="F62" s="403">
        <f>A60*8*F61</f>
        <v>1320</v>
      </c>
      <c r="H62" s="403">
        <f t="shared" si="3"/>
        <v>1320</v>
      </c>
      <c r="I62" s="403">
        <f t="shared" si="10"/>
        <v>29040</v>
      </c>
    </row>
    <row r="63" spans="1:10">
      <c r="A63" s="441">
        <v>1</v>
      </c>
      <c r="B63" s="442" t="s">
        <v>517</v>
      </c>
      <c r="C63" s="446"/>
      <c r="D63" s="442"/>
      <c r="E63" s="442" t="s">
        <v>626</v>
      </c>
      <c r="F63" s="447">
        <v>500</v>
      </c>
      <c r="G63" s="444"/>
      <c r="H63" s="403">
        <v>1000</v>
      </c>
      <c r="I63" s="403">
        <f t="shared" si="10"/>
        <v>1000</v>
      </c>
      <c r="J63" s="17" t="s">
        <v>1541</v>
      </c>
    </row>
    <row r="64" spans="1:10">
      <c r="A64" s="441"/>
      <c r="F64" s="447"/>
      <c r="H64" s="403"/>
      <c r="I64" s="403"/>
    </row>
    <row r="65" spans="1:16">
      <c r="A65" s="441"/>
      <c r="F65" s="447"/>
      <c r="H65" s="403"/>
      <c r="I65" s="403"/>
    </row>
    <row r="66" spans="1:16" ht="15.75">
      <c r="E66" s="439" t="s">
        <v>628</v>
      </c>
      <c r="I66" s="443">
        <f>SUM(I62:I65)</f>
        <v>30040</v>
      </c>
      <c r="P66" s="438">
        <f>I66</f>
        <v>30040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1">A81*H81</f>
        <v>0</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57.4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79.849999999999994"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79.849999999999994" customHeight="1">
      <c r="A100" s="474"/>
      <c r="B100" s="475"/>
      <c r="C100" s="475"/>
      <c r="D100" s="476"/>
      <c r="E100" s="475"/>
      <c r="F100" s="457"/>
      <c r="G100" s="457"/>
      <c r="H100" s="479"/>
      <c r="I100" s="480"/>
      <c r="J100" s="475"/>
      <c r="K100" s="475"/>
      <c r="L100" s="204"/>
    </row>
    <row r="101" spans="1:12" ht="79.849999999999994" customHeight="1">
      <c r="A101" s="474"/>
      <c r="B101" s="475"/>
      <c r="C101" s="475"/>
      <c r="D101" s="476"/>
      <c r="E101" s="475"/>
      <c r="F101" s="457"/>
      <c r="G101" s="457"/>
      <c r="H101" s="479"/>
      <c r="I101" s="480"/>
      <c r="J101" s="475"/>
      <c r="K101" s="475"/>
      <c r="L101" s="204"/>
    </row>
    <row r="102" spans="1:12" ht="13.1">
      <c r="A102" s="474"/>
      <c r="B102" s="475"/>
      <c r="C102" s="475"/>
      <c r="D102" s="476"/>
      <c r="E102" s="483" t="s">
        <v>667</v>
      </c>
      <c r="F102" s="457"/>
      <c r="G102" s="457"/>
      <c r="H102" s="479"/>
      <c r="I102" s="480"/>
      <c r="J102" s="475"/>
      <c r="K102" s="475"/>
    </row>
    <row r="103" spans="1:12" ht="33.4" customHeight="1">
      <c r="A103" s="452">
        <v>1</v>
      </c>
      <c r="B103" s="453" t="s">
        <v>517</v>
      </c>
      <c r="C103" s="454" t="s">
        <v>538</v>
      </c>
      <c r="D103" s="455" t="s">
        <v>636</v>
      </c>
      <c r="E103" s="453" t="s">
        <v>668</v>
      </c>
      <c r="F103" s="463">
        <v>3732</v>
      </c>
      <c r="G103" s="457"/>
      <c r="H103" s="458">
        <f>F103*(1-G78)</f>
        <v>2239.1999999999998</v>
      </c>
      <c r="I103" s="458">
        <f t="shared" ref="I103:I124" si="13">A103*H103</f>
        <v>2239.1999999999998</v>
      </c>
      <c r="J103" s="453" t="s">
        <v>649</v>
      </c>
      <c r="K103" s="1050" t="s">
        <v>669</v>
      </c>
    </row>
    <row r="104" spans="1:12" ht="24.9">
      <c r="A104" s="452">
        <v>1</v>
      </c>
      <c r="B104" s="453" t="s">
        <v>539</v>
      </c>
      <c r="C104" s="454" t="s">
        <v>538</v>
      </c>
      <c r="D104" s="455" t="s">
        <v>670</v>
      </c>
      <c r="E104" s="453" t="s">
        <v>671</v>
      </c>
      <c r="F104" s="463">
        <v>88.7</v>
      </c>
      <c r="G104" s="457"/>
      <c r="H104" s="458">
        <f>F104*(1-G78)</f>
        <v>53.22</v>
      </c>
      <c r="I104" s="458">
        <f t="shared" si="13"/>
        <v>53.22</v>
      </c>
      <c r="J104" s="453" t="s">
        <v>649</v>
      </c>
      <c r="K104" s="1050"/>
      <c r="L104" s="17" t="s">
        <v>672</v>
      </c>
    </row>
    <row r="105" spans="1:12" ht="12.8" customHeight="1">
      <c r="A105" s="461">
        <v>1</v>
      </c>
      <c r="B105" s="453" t="s">
        <v>517</v>
      </c>
      <c r="C105" s="453" t="s">
        <v>538</v>
      </c>
      <c r="D105" s="462" t="s">
        <v>640</v>
      </c>
      <c r="E105" s="453" t="s">
        <v>673</v>
      </c>
      <c r="F105" s="463">
        <v>1968</v>
      </c>
      <c r="G105" s="457"/>
      <c r="H105" s="458">
        <f t="shared" ref="H105:H119" si="14">F105*(1-$G$77)</f>
        <v>1180.8</v>
      </c>
      <c r="I105" s="458">
        <f t="shared" si="13"/>
        <v>1180.8</v>
      </c>
      <c r="J105" s="459" t="s">
        <v>638</v>
      </c>
      <c r="K105" s="1051" t="s">
        <v>642</v>
      </c>
    </row>
    <row r="106" spans="1:12" ht="24.9">
      <c r="A106" s="452">
        <v>25</v>
      </c>
      <c r="B106" s="453" t="s">
        <v>539</v>
      </c>
      <c r="C106" s="453" t="s">
        <v>538</v>
      </c>
      <c r="D106" s="462" t="s">
        <v>643</v>
      </c>
      <c r="E106" s="453" t="s">
        <v>673</v>
      </c>
      <c r="F106" s="463">
        <v>87.9</v>
      </c>
      <c r="G106" s="457"/>
      <c r="H106" s="458">
        <f t="shared" si="14"/>
        <v>52.74</v>
      </c>
      <c r="I106" s="458">
        <f t="shared" si="13"/>
        <v>1318.5</v>
      </c>
      <c r="J106" s="459" t="s">
        <v>638</v>
      </c>
      <c r="K106" s="1051"/>
    </row>
    <row r="107" spans="1:12" ht="12.8"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1</v>
      </c>
      <c r="B108" s="453" t="s">
        <v>517</v>
      </c>
      <c r="C108" s="453" t="s">
        <v>538</v>
      </c>
      <c r="D108" s="464" t="s">
        <v>644</v>
      </c>
      <c r="E108" s="453" t="s">
        <v>647</v>
      </c>
      <c r="F108" s="463">
        <v>17412</v>
      </c>
      <c r="G108" s="457"/>
      <c r="H108" s="458">
        <f t="shared" si="14"/>
        <v>10447.199999999999</v>
      </c>
      <c r="I108" s="458">
        <f t="shared" si="13"/>
        <v>10447.199999999999</v>
      </c>
      <c r="J108" s="459" t="s">
        <v>638</v>
      </c>
      <c r="K108" s="1052"/>
    </row>
    <row r="109" spans="1:12" ht="12.8"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10</v>
      </c>
      <c r="B122" s="453" t="s">
        <v>539</v>
      </c>
      <c r="C122" s="453" t="s">
        <v>538</v>
      </c>
      <c r="D122" s="481" t="s">
        <v>664</v>
      </c>
      <c r="E122" s="453" t="s">
        <v>665</v>
      </c>
      <c r="F122" s="463">
        <v>108</v>
      </c>
      <c r="G122" s="463">
        <v>79</v>
      </c>
      <c r="H122" s="458">
        <f>IFERROR((MIN(A122,400)*F122+MAX(A122-400,0)*G122)*(1-G77)/A122,0)</f>
        <v>64.8</v>
      </c>
      <c r="I122" s="458">
        <f t="shared" si="13"/>
        <v>648</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16048.359999999999</v>
      </c>
      <c r="Q126" s="438">
        <f>I126</f>
        <v>16048.359999999999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90"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F61</f>
        <v>55</v>
      </c>
      <c r="G139" s="410"/>
      <c r="H139" s="409">
        <f t="shared" si="15"/>
        <v>55</v>
      </c>
      <c r="I139" s="409"/>
    </row>
    <row r="140" spans="1:10" ht="66.8">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1">
      <c r="A145" s="407"/>
      <c r="B145" s="407"/>
      <c r="C145" s="408"/>
      <c r="D145" s="407"/>
      <c r="E145" s="408"/>
      <c r="F145" s="409"/>
      <c r="G145" s="410"/>
      <c r="H145" s="409"/>
      <c r="I145" s="409"/>
    </row>
    <row r="146" spans="1:11">
      <c r="E146" s="442" t="s">
        <v>1508</v>
      </c>
    </row>
    <row r="147" spans="1:11">
      <c r="A147" s="407"/>
      <c r="B147" s="407"/>
      <c r="C147" s="408"/>
      <c r="D147" s="407"/>
      <c r="E147" s="408"/>
      <c r="F147" s="409"/>
      <c r="G147" s="410"/>
      <c r="H147" s="409"/>
      <c r="I147" s="409"/>
    </row>
    <row r="148" spans="1:11">
      <c r="A148" s="729">
        <f>2*1900</f>
        <v>3800</v>
      </c>
      <c r="B148" s="729" t="s">
        <v>1289</v>
      </c>
      <c r="C148" s="729" t="s">
        <v>1290</v>
      </c>
      <c r="D148" s="729"/>
      <c r="E148" s="730" t="s">
        <v>1291</v>
      </c>
      <c r="F148" s="731">
        <f>(71238-5409)/898</f>
        <v>73.306236080178181</v>
      </c>
      <c r="G148" s="732"/>
      <c r="H148" s="731">
        <f t="shared" si="15"/>
        <v>73.306236080178181</v>
      </c>
      <c r="I148" s="731">
        <f>A148*H148</f>
        <v>278563.69710467709</v>
      </c>
      <c r="J148" s="403">
        <f>I148/A148</f>
        <v>73.306236080178181</v>
      </c>
      <c r="K148" s="17" t="s">
        <v>1511</v>
      </c>
    </row>
    <row r="149" spans="1:11">
      <c r="A149" s="407"/>
      <c r="B149" s="407"/>
      <c r="C149" s="408"/>
      <c r="D149" s="407"/>
      <c r="E149" s="408"/>
      <c r="F149" s="409"/>
      <c r="G149" s="410"/>
      <c r="H149" s="409"/>
      <c r="I149" s="409"/>
    </row>
    <row r="150" spans="1:11">
      <c r="A150" s="407"/>
      <c r="B150" s="407"/>
      <c r="C150" s="408"/>
      <c r="D150" s="407"/>
      <c r="E150" s="408"/>
      <c r="F150" s="409"/>
      <c r="G150" s="410"/>
      <c r="H150" s="409"/>
      <c r="I150" s="409"/>
    </row>
    <row r="151" spans="1:11">
      <c r="A151" s="407"/>
      <c r="B151" s="407"/>
      <c r="C151" s="408"/>
      <c r="D151" s="407"/>
      <c r="E151" s="408"/>
      <c r="F151" s="409"/>
      <c r="G151" s="410"/>
      <c r="H151" s="409"/>
      <c r="I151" s="409"/>
    </row>
    <row r="152" spans="1:11">
      <c r="A152" s="204"/>
      <c r="F152" s="485"/>
      <c r="H152" s="403"/>
      <c r="I152" s="403"/>
    </row>
    <row r="153" spans="1:11" ht="15.75">
      <c r="E153" s="439" t="s">
        <v>702</v>
      </c>
      <c r="I153" s="168">
        <f>SUM(I131:I152)</f>
        <v>278563.69710467709</v>
      </c>
    </row>
    <row r="154" spans="1:11">
      <c r="E154" s="439"/>
    </row>
    <row r="155" spans="1:11">
      <c r="E155" s="439" t="s">
        <v>101</v>
      </c>
    </row>
    <row r="156" spans="1:11">
      <c r="E156" s="439"/>
    </row>
    <row r="157" spans="1:11" ht="22.25">
      <c r="A157" s="407">
        <f>2*1900</f>
        <v>3800</v>
      </c>
      <c r="B157" s="729" t="s">
        <v>1289</v>
      </c>
      <c r="C157" s="729" t="s">
        <v>1293</v>
      </c>
      <c r="D157" s="729"/>
      <c r="E157" s="730" t="s">
        <v>1294</v>
      </c>
      <c r="F157" s="731">
        <f>74580/898</f>
        <v>83.051224944320708</v>
      </c>
      <c r="G157" s="732"/>
      <c r="H157" s="731">
        <f t="shared" si="15"/>
        <v>83.051224944320708</v>
      </c>
      <c r="I157" s="731">
        <f>A157*H157</f>
        <v>315594.65478841867</v>
      </c>
      <c r="J157" s="403">
        <f>I157/A157</f>
        <v>83.051224944320708</v>
      </c>
      <c r="K157" s="17" t="s">
        <v>1511</v>
      </c>
    </row>
    <row r="158" spans="1:11">
      <c r="E158" s="439"/>
    </row>
    <row r="159" spans="1:11">
      <c r="E159" s="439"/>
    </row>
    <row r="160" spans="1:11" ht="15.75">
      <c r="E160" s="439"/>
      <c r="I160" s="168">
        <f>SUM(I156:I159)</f>
        <v>315594.65478841867</v>
      </c>
    </row>
    <row r="162" spans="1:10" ht="15.05" customHeight="1">
      <c r="A162" s="1002" t="s">
        <v>90</v>
      </c>
      <c r="B162" s="1002"/>
      <c r="C162" s="1002"/>
      <c r="D162" s="1002"/>
      <c r="E162" s="1002"/>
    </row>
    <row r="164" spans="1:10">
      <c r="A164" s="442">
        <v>1</v>
      </c>
      <c r="B164" s="17" t="s">
        <v>517</v>
      </c>
      <c r="E164" s="17" t="s">
        <v>703</v>
      </c>
      <c r="F164" s="403">
        <v>800</v>
      </c>
      <c r="H164" s="403">
        <f t="shared" si="15"/>
        <v>800</v>
      </c>
      <c r="I164" s="403">
        <f t="shared" ref="I164:I180" si="16">A164*H164</f>
        <v>800</v>
      </c>
      <c r="J164" s="17" t="s">
        <v>704</v>
      </c>
    </row>
    <row r="165" spans="1:10">
      <c r="A165" s="442">
        <v>1</v>
      </c>
      <c r="B165" s="17" t="s">
        <v>517</v>
      </c>
      <c r="E165" s="17" t="s">
        <v>705</v>
      </c>
      <c r="F165" s="403">
        <v>500</v>
      </c>
      <c r="H165" s="403">
        <f t="shared" si="15"/>
        <v>500</v>
      </c>
      <c r="I165" s="403">
        <f t="shared" si="16"/>
        <v>500</v>
      </c>
      <c r="J165" s="17" t="s">
        <v>704</v>
      </c>
    </row>
    <row r="166" spans="1:10">
      <c r="A166" s="17">
        <v>1</v>
      </c>
      <c r="B166" s="17" t="s">
        <v>517</v>
      </c>
      <c r="E166" s="17" t="s">
        <v>706</v>
      </c>
      <c r="F166" s="403">
        <v>40</v>
      </c>
      <c r="H166" s="403">
        <f t="shared" si="15"/>
        <v>40</v>
      </c>
      <c r="I166" s="403">
        <f t="shared" si="16"/>
        <v>40</v>
      </c>
    </row>
    <row r="167" spans="1:10">
      <c r="A167" s="442">
        <v>1</v>
      </c>
      <c r="B167" s="17" t="s">
        <v>517</v>
      </c>
      <c r="E167" s="17" t="s">
        <v>707</v>
      </c>
      <c r="F167" s="403">
        <v>1500</v>
      </c>
      <c r="H167" s="403">
        <f t="shared" si="15"/>
        <v>1500</v>
      </c>
      <c r="I167" s="403">
        <f t="shared" si="16"/>
        <v>1500</v>
      </c>
    </row>
    <row r="168" spans="1:10" ht="55.65">
      <c r="A168" s="442">
        <v>1</v>
      </c>
      <c r="B168" s="17" t="s">
        <v>517</v>
      </c>
      <c r="C168" s="204" t="s">
        <v>708</v>
      </c>
      <c r="E168" s="204" t="s">
        <v>709</v>
      </c>
      <c r="F168" s="403">
        <v>460</v>
      </c>
      <c r="H168" s="403">
        <f t="shared" si="15"/>
        <v>460</v>
      </c>
      <c r="I168" s="403">
        <f t="shared" si="16"/>
        <v>460</v>
      </c>
    </row>
    <row r="169" spans="1:10" ht="55.65">
      <c r="A169" s="442">
        <v>0</v>
      </c>
      <c r="B169" s="17" t="s">
        <v>517</v>
      </c>
      <c r="C169" s="204" t="s">
        <v>711</v>
      </c>
      <c r="E169" s="204" t="s">
        <v>712</v>
      </c>
      <c r="F169" s="403">
        <v>320</v>
      </c>
      <c r="H169" s="403">
        <f t="shared" si="15"/>
        <v>320</v>
      </c>
      <c r="I169" s="403">
        <f t="shared" si="16"/>
        <v>0</v>
      </c>
    </row>
    <row r="170" spans="1:10" ht="55.65">
      <c r="A170" s="442">
        <v>1</v>
      </c>
      <c r="B170" s="17" t="s">
        <v>517</v>
      </c>
      <c r="C170" s="17" t="s">
        <v>713</v>
      </c>
      <c r="D170" s="17" t="s">
        <v>714</v>
      </c>
      <c r="E170" s="204" t="s">
        <v>715</v>
      </c>
      <c r="F170" s="403">
        <v>2725</v>
      </c>
      <c r="H170" s="403">
        <f t="shared" si="15"/>
        <v>2725</v>
      </c>
      <c r="I170" s="403">
        <f t="shared" si="16"/>
        <v>2725</v>
      </c>
    </row>
    <row r="171" spans="1:10" ht="33.4">
      <c r="A171" s="442">
        <v>0</v>
      </c>
      <c r="B171" s="17" t="s">
        <v>517</v>
      </c>
      <c r="C171" s="204" t="s">
        <v>716</v>
      </c>
      <c r="E171" s="17" t="s">
        <v>717</v>
      </c>
      <c r="F171" s="403">
        <f>1840*1.04</f>
        <v>1913.6000000000001</v>
      </c>
      <c r="H171" s="403">
        <f t="shared" si="15"/>
        <v>1913.6000000000001</v>
      </c>
      <c r="I171" s="403">
        <f t="shared" si="16"/>
        <v>0</v>
      </c>
      <c r="J171" s="17" t="s">
        <v>718</v>
      </c>
    </row>
    <row r="172" spans="1:10">
      <c r="H172" s="403"/>
      <c r="I172" s="403"/>
    </row>
    <row r="173" spans="1:10">
      <c r="E173" s="446" t="s">
        <v>719</v>
      </c>
      <c r="H173" s="403"/>
      <c r="I173" s="403"/>
    </row>
    <row r="174" spans="1:10" ht="22.25">
      <c r="A174" s="442">
        <v>0</v>
      </c>
      <c r="B174" s="17" t="s">
        <v>619</v>
      </c>
      <c r="C174" s="204" t="s">
        <v>531</v>
      </c>
      <c r="E174" s="17" t="s">
        <v>720</v>
      </c>
      <c r="F174" s="403">
        <v>50</v>
      </c>
      <c r="H174" s="403">
        <f t="shared" si="15"/>
        <v>50</v>
      </c>
      <c r="I174" s="403">
        <f t="shared" si="16"/>
        <v>0</v>
      </c>
    </row>
    <row r="175" spans="1:10">
      <c r="A175" s="442">
        <v>0</v>
      </c>
      <c r="B175" s="17" t="s">
        <v>517</v>
      </c>
      <c r="C175" s="204" t="s">
        <v>721</v>
      </c>
      <c r="E175" s="17" t="s">
        <v>722</v>
      </c>
      <c r="F175" s="403">
        <f>69/100</f>
        <v>0.69</v>
      </c>
      <c r="H175" s="403">
        <f t="shared" si="15"/>
        <v>0.69</v>
      </c>
      <c r="I175" s="403">
        <f t="shared" si="16"/>
        <v>0</v>
      </c>
    </row>
    <row r="176" spans="1:10">
      <c r="A176" s="442">
        <f t="shared" ref="A176:A179" si="17">A175</f>
        <v>0</v>
      </c>
      <c r="B176" s="17" t="s">
        <v>517</v>
      </c>
      <c r="C176" s="204" t="s">
        <v>721</v>
      </c>
      <c r="E176" s="17" t="s">
        <v>723</v>
      </c>
      <c r="F176" s="403">
        <v>0.1</v>
      </c>
      <c r="H176" s="403">
        <f t="shared" si="15"/>
        <v>0.1</v>
      </c>
      <c r="I176" s="403">
        <f t="shared" si="16"/>
        <v>0</v>
      </c>
    </row>
    <row r="177" spans="1:10">
      <c r="A177" s="442">
        <f t="shared" si="17"/>
        <v>0</v>
      </c>
      <c r="B177" s="17" t="s">
        <v>517</v>
      </c>
      <c r="C177" s="204" t="s">
        <v>721</v>
      </c>
      <c r="E177" s="17" t="s">
        <v>724</v>
      </c>
      <c r="F177" s="403">
        <f>13.25/1.2/100</f>
        <v>0.11041666666666668</v>
      </c>
      <c r="H177" s="403">
        <f t="shared" si="15"/>
        <v>0.11041666666666668</v>
      </c>
      <c r="I177" s="403">
        <f t="shared" si="16"/>
        <v>0</v>
      </c>
    </row>
    <row r="178" spans="1:10" ht="22.25">
      <c r="A178" s="442">
        <v>0</v>
      </c>
      <c r="B178" s="17" t="s">
        <v>539</v>
      </c>
      <c r="C178" s="204" t="s">
        <v>725</v>
      </c>
      <c r="E178" s="17" t="s">
        <v>726</v>
      </c>
      <c r="F178" s="403">
        <f>15.73/1.2</f>
        <v>13.108333333333334</v>
      </c>
      <c r="H178" s="403">
        <f t="shared" si="15"/>
        <v>13.108333333333334</v>
      </c>
      <c r="I178" s="403">
        <f t="shared" si="16"/>
        <v>0</v>
      </c>
    </row>
    <row r="179" spans="1:10" ht="22.25">
      <c r="A179" s="442">
        <f t="shared" si="17"/>
        <v>0</v>
      </c>
      <c r="B179" s="17" t="s">
        <v>539</v>
      </c>
      <c r="C179" s="204" t="s">
        <v>531</v>
      </c>
      <c r="E179" s="17" t="s">
        <v>727</v>
      </c>
      <c r="F179" s="403">
        <v>25</v>
      </c>
      <c r="H179" s="403">
        <f t="shared" si="15"/>
        <v>25</v>
      </c>
      <c r="I179" s="403">
        <f t="shared" si="16"/>
        <v>0</v>
      </c>
    </row>
    <row r="180" spans="1:10" ht="22.25">
      <c r="A180" s="442">
        <f>A179*4</f>
        <v>0</v>
      </c>
      <c r="B180" s="17" t="s">
        <v>517</v>
      </c>
      <c r="C180" s="204" t="s">
        <v>531</v>
      </c>
      <c r="E180" s="17" t="s">
        <v>728</v>
      </c>
      <c r="F180" s="403">
        <v>0.1</v>
      </c>
      <c r="H180" s="403">
        <f t="shared" si="15"/>
        <v>0.1</v>
      </c>
      <c r="I180" s="403">
        <f t="shared" si="16"/>
        <v>0</v>
      </c>
    </row>
    <row r="181" spans="1:10">
      <c r="H181" s="403"/>
      <c r="I181" s="403"/>
    </row>
    <row r="182" spans="1:10" ht="15.75">
      <c r="E182" s="439" t="s">
        <v>729</v>
      </c>
      <c r="I182" s="168">
        <f>SUM(I162:I171)</f>
        <v>6025</v>
      </c>
    </row>
    <row r="184" spans="1:10" ht="13.75" customHeight="1">
      <c r="A184" s="997" t="s">
        <v>68</v>
      </c>
      <c r="B184" s="997"/>
      <c r="C184" s="997"/>
      <c r="D184" s="997"/>
      <c r="E184" s="997"/>
    </row>
    <row r="185" spans="1:10">
      <c r="A185" s="442">
        <v>0</v>
      </c>
      <c r="B185" s="17" t="s">
        <v>517</v>
      </c>
      <c r="E185" s="17" t="s">
        <v>1433</v>
      </c>
      <c r="F185" s="403">
        <v>187.5</v>
      </c>
      <c r="H185" s="403">
        <f t="shared" si="15"/>
        <v>187.5</v>
      </c>
      <c r="I185" s="403">
        <f t="shared" ref="I185:I190" si="18">A185*H185</f>
        <v>0</v>
      </c>
      <c r="J185" s="17" t="s">
        <v>1434</v>
      </c>
    </row>
    <row r="186" spans="1:10">
      <c r="A186" s="442">
        <v>0</v>
      </c>
      <c r="B186" s="17" t="s">
        <v>517</v>
      </c>
      <c r="E186" s="17" t="s">
        <v>1435</v>
      </c>
      <c r="F186" s="403">
        <v>250</v>
      </c>
      <c r="H186" s="403">
        <f t="shared" si="15"/>
        <v>250</v>
      </c>
      <c r="I186" s="403">
        <f t="shared" si="18"/>
        <v>0</v>
      </c>
    </row>
    <row r="187" spans="1:10">
      <c r="A187" s="442">
        <v>0</v>
      </c>
      <c r="B187" s="17" t="s">
        <v>505</v>
      </c>
      <c r="E187" s="17" t="s">
        <v>1436</v>
      </c>
      <c r="F187" s="403">
        <v>500</v>
      </c>
      <c r="H187" s="403">
        <f t="shared" si="15"/>
        <v>500</v>
      </c>
      <c r="I187" s="403">
        <f t="shared" si="18"/>
        <v>0</v>
      </c>
    </row>
    <row r="188" spans="1:10">
      <c r="A188" s="442">
        <v>1</v>
      </c>
      <c r="B188" s="17" t="s">
        <v>505</v>
      </c>
      <c r="E188" s="17" t="s">
        <v>1542</v>
      </c>
      <c r="F188" s="403">
        <v>1000</v>
      </c>
      <c r="H188" s="403">
        <f t="shared" si="15"/>
        <v>1000</v>
      </c>
      <c r="I188" s="403">
        <f t="shared" si="18"/>
        <v>1000</v>
      </c>
    </row>
    <row r="189" spans="1:10" ht="55.65">
      <c r="A189" s="442">
        <v>0</v>
      </c>
      <c r="B189" s="17" t="s">
        <v>517</v>
      </c>
      <c r="C189" s="204" t="s">
        <v>708</v>
      </c>
      <c r="E189" s="204" t="s">
        <v>731</v>
      </c>
      <c r="F189" s="403">
        <f>460/2</f>
        <v>230</v>
      </c>
      <c r="H189" s="403">
        <f t="shared" si="15"/>
        <v>230</v>
      </c>
      <c r="I189" s="403">
        <f t="shared" si="18"/>
        <v>0</v>
      </c>
    </row>
    <row r="190" spans="1:10" ht="55.65">
      <c r="A190" s="442">
        <v>0</v>
      </c>
      <c r="B190" s="17" t="s">
        <v>517</v>
      </c>
      <c r="C190" s="204" t="s">
        <v>711</v>
      </c>
      <c r="E190" s="204" t="s">
        <v>732</v>
      </c>
      <c r="F190" s="403">
        <f>320/2</f>
        <v>160</v>
      </c>
      <c r="H190" s="403">
        <f t="shared" si="15"/>
        <v>160</v>
      </c>
      <c r="I190" s="403">
        <f t="shared" si="18"/>
        <v>0</v>
      </c>
    </row>
    <row r="192" spans="1:10" ht="15.75">
      <c r="E192" s="439" t="s">
        <v>733</v>
      </c>
      <c r="I192" s="168">
        <f>SUM(I184:I191)</f>
        <v>1000</v>
      </c>
    </row>
    <row r="193" spans="5:5">
      <c r="E193" s="439"/>
    </row>
  </sheetData>
  <mergeCells count="13">
    <mergeCell ref="B1:F1"/>
    <mergeCell ref="A2:G2"/>
    <mergeCell ref="J22:L22"/>
    <mergeCell ref="K82:K83"/>
    <mergeCell ref="K84:K85"/>
    <mergeCell ref="A128:E128"/>
    <mergeCell ref="A162:E162"/>
    <mergeCell ref="A184:E18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f>VLOOKUP(E4,Catalogue!F:J,5,0)</f>
        <v>370</v>
      </c>
      <c r="J1" s="17" t="s">
        <v>494</v>
      </c>
      <c r="K1" s="17" t="s">
        <v>495</v>
      </c>
      <c r="L1" s="58">
        <f>A4*I1</f>
        <v>46620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v>126</v>
      </c>
      <c r="B4" s="413" t="s">
        <v>505</v>
      </c>
      <c r="C4" s="420" t="s">
        <v>1306</v>
      </c>
      <c r="D4" s="413"/>
      <c r="E4" s="420" t="s">
        <v>1308</v>
      </c>
      <c r="F4" s="421">
        <v>90.8</v>
      </c>
      <c r="G4" s="410"/>
      <c r="H4" s="409">
        <f t="shared" ref="H4:H9" si="0">F4*(1-G4)</f>
        <v>90.8</v>
      </c>
      <c r="I4" s="409">
        <f t="shared" ref="I4:I9" si="1">A4*H4</f>
        <v>11440.8</v>
      </c>
      <c r="J4" s="417">
        <f>F4/$I$1</f>
        <v>0.2454054054054054</v>
      </c>
      <c r="K4" s="403" t="s">
        <v>1421</v>
      </c>
      <c r="M4" s="418">
        <f>I4</f>
        <v>11440.8</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126</v>
      </c>
      <c r="B6" s="413" t="s">
        <v>505</v>
      </c>
      <c r="C6" s="413" t="s">
        <v>781</v>
      </c>
      <c r="D6" s="413"/>
      <c r="E6" s="420" t="s">
        <v>782</v>
      </c>
      <c r="F6" s="421">
        <f>3578/A6</f>
        <v>28.396825396825395</v>
      </c>
      <c r="G6" s="422"/>
      <c r="H6" s="409">
        <f t="shared" si="0"/>
        <v>28.396825396825395</v>
      </c>
      <c r="I6" s="409">
        <f t="shared" si="1"/>
        <v>3578</v>
      </c>
      <c r="J6" s="417">
        <f>F6/$I$1</f>
        <v>7.6748176748176744E-2</v>
      </c>
      <c r="K6" s="417"/>
      <c r="L6" s="204"/>
      <c r="M6" s="418">
        <f>I6</f>
        <v>3578</v>
      </c>
      <c r="N6" s="418"/>
      <c r="O6" s="418"/>
      <c r="P6" s="418"/>
      <c r="Q6" s="418"/>
      <c r="R6" s="418"/>
      <c r="S6" s="418"/>
    </row>
    <row r="7" spans="1:19" ht="22.25">
      <c r="A7" s="413">
        <v>1</v>
      </c>
      <c r="B7" s="413" t="s">
        <v>522</v>
      </c>
      <c r="C7" s="413" t="s">
        <v>531</v>
      </c>
      <c r="D7" s="413"/>
      <c r="E7" s="420" t="s">
        <v>1288</v>
      </c>
      <c r="F7" s="421">
        <v>1000</v>
      </c>
      <c r="G7" s="410"/>
      <c r="H7" s="409">
        <f t="shared" si="0"/>
        <v>1000</v>
      </c>
      <c r="I7" s="409">
        <f t="shared" si="1"/>
        <v>1000</v>
      </c>
      <c r="J7" s="204"/>
      <c r="L7" s="442"/>
      <c r="M7" s="418"/>
      <c r="N7" s="418"/>
      <c r="O7" s="418"/>
      <c r="P7" s="418"/>
      <c r="Q7" s="418"/>
      <c r="R7" s="418">
        <f t="shared" ref="R7:R9" si="2">I7</f>
        <v>1000</v>
      </c>
      <c r="S7" s="418"/>
    </row>
    <row r="8" spans="1:19">
      <c r="A8" s="487"/>
      <c r="B8" s="407" t="s">
        <v>522</v>
      </c>
      <c r="C8" s="407"/>
      <c r="D8" s="407"/>
      <c r="E8" s="408"/>
      <c r="F8" s="409"/>
      <c r="G8" s="410"/>
      <c r="H8" s="409">
        <f t="shared" si="0"/>
        <v>0</v>
      </c>
      <c r="I8" s="409">
        <f t="shared" si="1"/>
        <v>0</v>
      </c>
      <c r="J8" s="204"/>
      <c r="L8" s="442"/>
      <c r="M8" s="418"/>
      <c r="N8" s="418"/>
      <c r="O8" s="418"/>
      <c r="P8" s="418"/>
      <c r="Q8" s="418"/>
      <c r="R8" s="418">
        <f t="shared" si="2"/>
        <v>0</v>
      </c>
      <c r="S8" s="418"/>
    </row>
    <row r="9" spans="1:19">
      <c r="A9" s="413">
        <v>1</v>
      </c>
      <c r="B9" s="413" t="s">
        <v>505</v>
      </c>
      <c r="C9" s="413" t="s">
        <v>540</v>
      </c>
      <c r="D9" s="413" t="s">
        <v>556</v>
      </c>
      <c r="E9" s="420" t="s">
        <v>1215</v>
      </c>
      <c r="F9" s="421">
        <v>1453.33</v>
      </c>
      <c r="G9" s="410"/>
      <c r="H9" s="409">
        <f t="shared" si="0"/>
        <v>1453.33</v>
      </c>
      <c r="I9" s="409">
        <f t="shared" si="1"/>
        <v>1453.33</v>
      </c>
      <c r="J9" s="204"/>
      <c r="M9" s="418"/>
      <c r="N9" s="418"/>
      <c r="O9" s="418"/>
      <c r="P9" s="418"/>
      <c r="Q9" s="418"/>
      <c r="R9" s="418">
        <f t="shared" si="2"/>
        <v>1453.33</v>
      </c>
      <c r="S9" s="418"/>
    </row>
    <row r="10" spans="1:19">
      <c r="A10" s="407"/>
      <c r="B10" s="407"/>
      <c r="C10" s="407"/>
      <c r="D10" s="407"/>
      <c r="E10" s="408"/>
      <c r="F10" s="409"/>
      <c r="G10" s="410"/>
      <c r="H10" s="409">
        <f t="shared" ref="H10:H63" si="3">F10*(1-G10)</f>
        <v>0</v>
      </c>
      <c r="I10" s="409">
        <f t="shared" ref="I10:I33" si="4">A10*H10</f>
        <v>0</v>
      </c>
      <c r="J10" s="204"/>
      <c r="M10" s="418"/>
      <c r="N10" s="418"/>
      <c r="O10" s="418"/>
      <c r="P10" s="418"/>
      <c r="Q10" s="418"/>
      <c r="R10" s="418">
        <f t="shared" ref="R10:R25" si="5">I10</f>
        <v>0</v>
      </c>
      <c r="S10" s="418"/>
    </row>
    <row r="11" spans="1:19">
      <c r="A11" s="413">
        <v>1</v>
      </c>
      <c r="B11" s="413" t="s">
        <v>505</v>
      </c>
      <c r="C11" s="413" t="s">
        <v>792</v>
      </c>
      <c r="D11" s="413" t="s">
        <v>793</v>
      </c>
      <c r="E11" s="420" t="s">
        <v>794</v>
      </c>
      <c r="F11" s="421">
        <v>2000</v>
      </c>
      <c r="G11" s="410"/>
      <c r="H11" s="409">
        <f t="shared" si="3"/>
        <v>2000</v>
      </c>
      <c r="I11" s="409">
        <f t="shared" si="4"/>
        <v>2000</v>
      </c>
      <c r="J11" s="204"/>
      <c r="M11" s="418"/>
      <c r="N11" s="418"/>
      <c r="O11" s="418"/>
      <c r="P11" s="418"/>
      <c r="Q11" s="418"/>
      <c r="R11" s="418">
        <f t="shared" si="5"/>
        <v>2000</v>
      </c>
      <c r="S11" s="418"/>
    </row>
    <row r="12" spans="1:19" ht="33.4">
      <c r="A12" s="407">
        <v>0</v>
      </c>
      <c r="B12" s="407" t="s">
        <v>505</v>
      </c>
      <c r="C12" s="408" t="s">
        <v>534</v>
      </c>
      <c r="D12" s="407"/>
      <c r="E12" s="408" t="s">
        <v>535</v>
      </c>
      <c r="F12" s="409">
        <v>3.71</v>
      </c>
      <c r="G12" s="410"/>
      <c r="H12" s="409">
        <f t="shared" si="3"/>
        <v>3.71</v>
      </c>
      <c r="I12" s="409">
        <f t="shared" si="4"/>
        <v>0</v>
      </c>
      <c r="J12" s="204" t="s">
        <v>795</v>
      </c>
      <c r="M12" s="418"/>
      <c r="N12" s="418"/>
      <c r="O12" s="418"/>
      <c r="P12" s="418"/>
      <c r="Q12" s="418"/>
      <c r="R12" s="418">
        <f t="shared" si="5"/>
        <v>0</v>
      </c>
      <c r="S12" s="418"/>
    </row>
    <row r="13" spans="1:19" ht="22.25">
      <c r="A13" s="407">
        <f>A12</f>
        <v>0</v>
      </c>
      <c r="B13" s="407" t="s">
        <v>505</v>
      </c>
      <c r="C13" s="408" t="s">
        <v>534</v>
      </c>
      <c r="D13" s="407"/>
      <c r="E13" s="408" t="s">
        <v>537</v>
      </c>
      <c r="F13" s="409">
        <v>3.81</v>
      </c>
      <c r="G13" s="410"/>
      <c r="H13" s="409">
        <f t="shared" si="3"/>
        <v>3.81</v>
      </c>
      <c r="I13" s="409">
        <f t="shared" si="4"/>
        <v>0</v>
      </c>
      <c r="J13" s="204" t="s">
        <v>538</v>
      </c>
      <c r="M13" s="418"/>
      <c r="N13" s="418"/>
      <c r="O13" s="418"/>
      <c r="P13" s="418"/>
      <c r="Q13" s="418"/>
      <c r="R13" s="418">
        <f t="shared" si="5"/>
        <v>0</v>
      </c>
      <c r="S13" s="418"/>
    </row>
    <row r="14" spans="1:19" ht="33.4">
      <c r="A14" s="413">
        <f>6*10</f>
        <v>60</v>
      </c>
      <c r="B14" s="413" t="s">
        <v>539</v>
      </c>
      <c r="C14" s="420" t="s">
        <v>540</v>
      </c>
      <c r="D14" s="413" t="s">
        <v>541</v>
      </c>
      <c r="E14" s="420" t="s">
        <v>542</v>
      </c>
      <c r="F14" s="421">
        <v>0.55647999999999997</v>
      </c>
      <c r="G14" s="410"/>
      <c r="H14" s="409">
        <f t="shared" si="3"/>
        <v>0.55647999999999997</v>
      </c>
      <c r="I14" s="409">
        <f t="shared" si="4"/>
        <v>33.388799999999996</v>
      </c>
      <c r="M14" s="418"/>
      <c r="N14" s="418"/>
      <c r="O14" s="418">
        <f t="shared" ref="O14:O28" si="6">I14</f>
        <v>33.388799999999996</v>
      </c>
      <c r="P14" s="418"/>
      <c r="Q14" s="418"/>
      <c r="R14" s="418"/>
      <c r="S14" s="418"/>
    </row>
    <row r="15" spans="1:19" ht="33.4">
      <c r="A15" s="413">
        <f>A14+A4*1</f>
        <v>186</v>
      </c>
      <c r="B15" s="413" t="s">
        <v>539</v>
      </c>
      <c r="C15" s="420" t="s">
        <v>540</v>
      </c>
      <c r="D15" s="413" t="s">
        <v>543</v>
      </c>
      <c r="E15" s="420" t="s">
        <v>544</v>
      </c>
      <c r="F15" s="421">
        <v>0.55647999999999997</v>
      </c>
      <c r="G15" s="410"/>
      <c r="H15" s="409">
        <f t="shared" si="3"/>
        <v>0.55647999999999997</v>
      </c>
      <c r="I15" s="409">
        <f t="shared" si="4"/>
        <v>103.50528</v>
      </c>
      <c r="M15" s="418"/>
      <c r="N15" s="418"/>
      <c r="O15" s="418">
        <f t="shared" si="6"/>
        <v>103.50528</v>
      </c>
      <c r="P15" s="418"/>
      <c r="Q15" s="418"/>
      <c r="R15" s="418"/>
      <c r="S15" s="418"/>
    </row>
    <row r="16" spans="1:19" ht="33.4">
      <c r="A16" s="413">
        <f>4*6</f>
        <v>24</v>
      </c>
      <c r="B16" s="413" t="s">
        <v>517</v>
      </c>
      <c r="C16" s="420" t="s">
        <v>540</v>
      </c>
      <c r="D16" s="413" t="s">
        <v>797</v>
      </c>
      <c r="E16" s="420" t="s">
        <v>798</v>
      </c>
      <c r="F16" s="421">
        <v>0.88</v>
      </c>
      <c r="G16" s="410"/>
      <c r="H16" s="409">
        <f t="shared" si="3"/>
        <v>0.88</v>
      </c>
      <c r="I16" s="409">
        <f t="shared" si="4"/>
        <v>21.12</v>
      </c>
      <c r="J16" s="204" t="s">
        <v>831</v>
      </c>
      <c r="K16" s="17" t="s">
        <v>832</v>
      </c>
      <c r="M16" s="418"/>
      <c r="N16" s="418"/>
      <c r="O16" s="418">
        <f t="shared" si="6"/>
        <v>21.12</v>
      </c>
      <c r="P16" s="418"/>
      <c r="Q16" s="418"/>
      <c r="R16" s="418"/>
      <c r="S16" s="418"/>
    </row>
    <row r="17" spans="1:19" ht="33.4">
      <c r="A17" s="413">
        <f>A16</f>
        <v>24</v>
      </c>
      <c r="B17" s="413" t="s">
        <v>517</v>
      </c>
      <c r="C17" s="420" t="s">
        <v>540</v>
      </c>
      <c r="D17" s="413" t="s">
        <v>800</v>
      </c>
      <c r="E17" s="420" t="s">
        <v>801</v>
      </c>
      <c r="F17" s="421">
        <v>0.67</v>
      </c>
      <c r="G17" s="410"/>
      <c r="H17" s="409">
        <f t="shared" si="3"/>
        <v>0.67</v>
      </c>
      <c r="I17" s="409">
        <f t="shared" si="4"/>
        <v>16.080000000000002</v>
      </c>
      <c r="J17" s="204" t="s">
        <v>831</v>
      </c>
      <c r="K17" s="17" t="s">
        <v>832</v>
      </c>
      <c r="M17" s="418"/>
      <c r="N17" s="418"/>
      <c r="O17" s="418">
        <f t="shared" si="6"/>
        <v>16.080000000000002</v>
      </c>
      <c r="P17" s="418"/>
      <c r="Q17" s="418"/>
      <c r="R17" s="418"/>
      <c r="S17" s="418"/>
    </row>
    <row r="18" spans="1:19" ht="22.25">
      <c r="A18" s="407">
        <v>0</v>
      </c>
      <c r="B18" s="407" t="s">
        <v>517</v>
      </c>
      <c r="C18" s="408" t="s">
        <v>540</v>
      </c>
      <c r="D18" s="407" t="s">
        <v>556</v>
      </c>
      <c r="E18" s="408" t="s">
        <v>557</v>
      </c>
      <c r="F18" s="409">
        <v>6.58</v>
      </c>
      <c r="G18" s="410"/>
      <c r="H18" s="409">
        <f t="shared" si="3"/>
        <v>6.58</v>
      </c>
      <c r="I18" s="409">
        <f t="shared" si="4"/>
        <v>0</v>
      </c>
      <c r="J18" s="204"/>
      <c r="M18" s="418"/>
      <c r="N18" s="418"/>
      <c r="O18" s="418">
        <f t="shared" si="6"/>
        <v>0</v>
      </c>
      <c r="P18" s="418"/>
      <c r="Q18" s="418"/>
      <c r="R18" s="418"/>
      <c r="S18" s="418"/>
    </row>
    <row r="19" spans="1:19">
      <c r="A19" s="413">
        <v>1</v>
      </c>
      <c r="B19" s="413" t="s">
        <v>522</v>
      </c>
      <c r="C19" s="413" t="s">
        <v>1223</v>
      </c>
      <c r="D19" s="423"/>
      <c r="E19" s="420" t="s">
        <v>1225</v>
      </c>
      <c r="F19" s="421">
        <v>4332.5</v>
      </c>
      <c r="G19" s="410"/>
      <c r="H19" s="409">
        <f t="shared" si="3"/>
        <v>4332.5</v>
      </c>
      <c r="I19" s="409">
        <f t="shared" si="4"/>
        <v>4332.5</v>
      </c>
      <c r="J19" s="204"/>
      <c r="M19" s="418"/>
      <c r="N19" s="418">
        <f t="shared" ref="N19:N22" si="7">I19</f>
        <v>4332.5</v>
      </c>
      <c r="O19" s="418"/>
      <c r="P19" s="418"/>
      <c r="Q19" s="418"/>
      <c r="R19" s="418"/>
      <c r="S19" s="418"/>
    </row>
    <row r="20" spans="1:19">
      <c r="A20" s="413"/>
      <c r="B20" s="413"/>
      <c r="C20" s="413"/>
      <c r="D20" s="423"/>
      <c r="E20" s="420"/>
      <c r="F20" s="421"/>
      <c r="G20" s="410"/>
      <c r="H20" s="409">
        <f t="shared" si="3"/>
        <v>0</v>
      </c>
      <c r="I20" s="409">
        <f t="shared" si="4"/>
        <v>0</v>
      </c>
      <c r="J20" s="204"/>
      <c r="M20" s="418"/>
      <c r="N20" s="418">
        <f t="shared" si="7"/>
        <v>0</v>
      </c>
      <c r="O20" s="418"/>
      <c r="P20" s="418"/>
      <c r="Q20" s="418"/>
      <c r="R20" s="418"/>
      <c r="S20" s="418"/>
    </row>
    <row r="21" spans="1:19">
      <c r="A21" s="407"/>
      <c r="B21" s="407"/>
      <c r="C21" s="408"/>
      <c r="D21" s="407"/>
      <c r="E21" s="408"/>
      <c r="F21" s="409"/>
      <c r="G21" s="410"/>
      <c r="H21" s="409">
        <f t="shared" si="3"/>
        <v>0</v>
      </c>
      <c r="I21" s="409">
        <f t="shared" si="4"/>
        <v>0</v>
      </c>
      <c r="J21" s="204"/>
      <c r="M21" s="418"/>
      <c r="N21" s="418">
        <f t="shared" si="7"/>
        <v>0</v>
      </c>
      <c r="O21" s="418"/>
      <c r="P21" s="418"/>
      <c r="Q21" s="418"/>
      <c r="R21" s="418"/>
      <c r="S21" s="418"/>
    </row>
    <row r="22" spans="1:19">
      <c r="A22" s="407"/>
      <c r="B22" s="407"/>
      <c r="C22" s="408"/>
      <c r="D22" s="407"/>
      <c r="E22" s="408"/>
      <c r="F22" s="409"/>
      <c r="G22" s="410"/>
      <c r="H22" s="409">
        <f t="shared" si="3"/>
        <v>0</v>
      </c>
      <c r="I22" s="409">
        <f t="shared" si="4"/>
        <v>0</v>
      </c>
      <c r="J22" s="204"/>
      <c r="M22" s="418"/>
      <c r="N22" s="418">
        <f t="shared" si="7"/>
        <v>0</v>
      </c>
      <c r="O22" s="418"/>
      <c r="P22" s="418"/>
      <c r="Q22" s="418"/>
      <c r="R22" s="418"/>
      <c r="S22" s="418"/>
    </row>
    <row r="23" spans="1:19" ht="33.4">
      <c r="A23" s="413">
        <v>12</v>
      </c>
      <c r="B23" s="413" t="s">
        <v>517</v>
      </c>
      <c r="C23" s="420" t="s">
        <v>540</v>
      </c>
      <c r="D23" s="413" t="s">
        <v>761</v>
      </c>
      <c r="E23" s="420" t="s">
        <v>762</v>
      </c>
      <c r="F23" s="421">
        <v>2.5</v>
      </c>
      <c r="G23" s="410"/>
      <c r="H23" s="409">
        <f t="shared" si="3"/>
        <v>2.5</v>
      </c>
      <c r="I23" s="409">
        <f t="shared" si="4"/>
        <v>30</v>
      </c>
      <c r="J23" s="204"/>
      <c r="M23" s="418"/>
      <c r="N23" s="418"/>
      <c r="O23" s="418"/>
      <c r="P23" s="418"/>
      <c r="Q23" s="418"/>
      <c r="R23" s="418">
        <f t="shared" si="5"/>
        <v>30</v>
      </c>
      <c r="S23" s="418"/>
    </row>
    <row r="24" spans="1:19" ht="35.85" customHeight="1">
      <c r="A24" s="413">
        <v>1</v>
      </c>
      <c r="B24" s="413" t="s">
        <v>522</v>
      </c>
      <c r="C24" s="413" t="s">
        <v>751</v>
      </c>
      <c r="D24" s="413"/>
      <c r="E24" s="420" t="s">
        <v>803</v>
      </c>
      <c r="F24" s="421">
        <v>564.44000000000005</v>
      </c>
      <c r="G24" s="410"/>
      <c r="H24" s="409">
        <f t="shared" si="3"/>
        <v>564.44000000000005</v>
      </c>
      <c r="I24" s="409">
        <f t="shared" si="4"/>
        <v>564.44000000000005</v>
      </c>
      <c r="J24" s="1054" t="s">
        <v>833</v>
      </c>
      <c r="K24" s="1054"/>
      <c r="L24" s="1054"/>
      <c r="M24" s="418"/>
      <c r="N24" s="418"/>
      <c r="O24" s="418"/>
      <c r="P24" s="418"/>
      <c r="Q24" s="418"/>
      <c r="R24" s="418">
        <f t="shared" si="5"/>
        <v>564.44000000000005</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c r="A27" s="413">
        <v>1</v>
      </c>
      <c r="B27" s="413" t="s">
        <v>505</v>
      </c>
      <c r="C27" s="413" t="s">
        <v>751</v>
      </c>
      <c r="D27" s="413"/>
      <c r="E27" s="420" t="s">
        <v>834</v>
      </c>
      <c r="F27" s="421">
        <v>462.5</v>
      </c>
      <c r="G27" s="410"/>
      <c r="H27" s="409">
        <f t="shared" si="3"/>
        <v>462.5</v>
      </c>
      <c r="I27" s="409">
        <f t="shared" si="4"/>
        <v>462.5</v>
      </c>
      <c r="J27" s="204"/>
      <c r="M27" s="418">
        <f>F27</f>
        <v>462.5</v>
      </c>
      <c r="N27" s="418"/>
      <c r="O27" s="418"/>
      <c r="P27" s="418"/>
      <c r="Q27" s="418"/>
      <c r="R27" s="418"/>
      <c r="S27" s="418"/>
    </row>
    <row r="28" spans="1:19" ht="22.25">
      <c r="A28" s="413">
        <v>5</v>
      </c>
      <c r="B28" s="413" t="s">
        <v>539</v>
      </c>
      <c r="C28" s="420" t="s">
        <v>690</v>
      </c>
      <c r="D28" s="413"/>
      <c r="E28" s="413" t="s">
        <v>835</v>
      </c>
      <c r="F28" s="421">
        <v>9.32</v>
      </c>
      <c r="G28" s="428"/>
      <c r="H28" s="409">
        <f t="shared" si="3"/>
        <v>9.32</v>
      </c>
      <c r="I28" s="409">
        <f t="shared" si="4"/>
        <v>46.6</v>
      </c>
      <c r="J28" s="204"/>
      <c r="K28" s="17" t="s">
        <v>836</v>
      </c>
      <c r="M28" s="418"/>
      <c r="N28" s="418"/>
      <c r="O28" s="418">
        <f t="shared" si="6"/>
        <v>46.6</v>
      </c>
      <c r="P28" s="418"/>
      <c r="Q28" s="418"/>
      <c r="R28" s="418"/>
      <c r="S28" s="418"/>
    </row>
    <row r="29" spans="1:19" ht="44.55">
      <c r="A29" s="413">
        <v>1</v>
      </c>
      <c r="B29" s="413" t="s">
        <v>517</v>
      </c>
      <c r="C29" s="420" t="s">
        <v>569</v>
      </c>
      <c r="D29" s="413" t="s">
        <v>570</v>
      </c>
      <c r="E29" s="420" t="s">
        <v>571</v>
      </c>
      <c r="F29" s="421">
        <v>1040</v>
      </c>
      <c r="G29" s="429">
        <v>0.48</v>
      </c>
      <c r="H29" s="430">
        <f t="shared" si="3"/>
        <v>540.80000000000007</v>
      </c>
      <c r="I29" s="409">
        <f t="shared" si="4"/>
        <v>540.80000000000007</v>
      </c>
      <c r="J29" s="204"/>
      <c r="M29" s="418"/>
      <c r="N29" s="418"/>
      <c r="O29" s="418"/>
      <c r="P29" s="418"/>
      <c r="Q29" s="418"/>
      <c r="R29" s="418"/>
      <c r="S29" s="418">
        <f t="shared" ref="S29:S33" si="8">I29</f>
        <v>540.80000000000007</v>
      </c>
    </row>
    <row r="30" spans="1:19" ht="55.65">
      <c r="A30" s="413">
        <v>0</v>
      </c>
      <c r="B30" s="413" t="s">
        <v>517</v>
      </c>
      <c r="C30" s="424" t="s">
        <v>569</v>
      </c>
      <c r="D30" s="423" t="s">
        <v>572</v>
      </c>
      <c r="E30" s="424" t="s">
        <v>573</v>
      </c>
      <c r="F30" s="425">
        <v>1190</v>
      </c>
      <c r="G30" s="429">
        <v>0.48</v>
      </c>
      <c r="H30" s="430">
        <f t="shared" si="3"/>
        <v>618.80000000000007</v>
      </c>
      <c r="I30" s="409">
        <f t="shared" si="4"/>
        <v>0</v>
      </c>
      <c r="J30" s="204"/>
      <c r="M30" s="418"/>
      <c r="N30" s="418"/>
      <c r="O30" s="418"/>
      <c r="P30" s="418"/>
      <c r="Q30" s="418"/>
      <c r="R30" s="418"/>
      <c r="S30" s="418">
        <f t="shared" si="8"/>
        <v>0</v>
      </c>
    </row>
    <row r="31" spans="1:19">
      <c r="A31" s="413">
        <v>0</v>
      </c>
      <c r="B31" s="413" t="s">
        <v>517</v>
      </c>
      <c r="C31" s="420" t="s">
        <v>574</v>
      </c>
      <c r="D31" s="413" t="s">
        <v>575</v>
      </c>
      <c r="E31" s="413" t="s">
        <v>576</v>
      </c>
      <c r="F31" s="421">
        <v>36.700000000000003</v>
      </c>
      <c r="G31" s="410"/>
      <c r="H31" s="409">
        <f t="shared" si="3"/>
        <v>36.700000000000003</v>
      </c>
      <c r="I31" s="409">
        <f t="shared" si="4"/>
        <v>0</v>
      </c>
      <c r="J31" s="204"/>
      <c r="M31" s="418"/>
      <c r="N31" s="418"/>
      <c r="O31" s="418"/>
      <c r="P31" s="418"/>
      <c r="Q31" s="418"/>
      <c r="R31" s="418"/>
      <c r="S31" s="418">
        <f t="shared" si="8"/>
        <v>0</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26106.814079999996</v>
      </c>
      <c r="J36" s="204"/>
      <c r="M36" s="418">
        <f>SUM(M4:M34)</f>
        <v>15481.3</v>
      </c>
      <c r="N36" s="418">
        <f>SUM(N4:N34)</f>
        <v>4332.5</v>
      </c>
      <c r="O36" s="418">
        <f>SUM(O4:O34)</f>
        <v>320.69408000000004</v>
      </c>
      <c r="P36" s="418"/>
      <c r="Q36" s="418"/>
      <c r="R36" s="418">
        <f>SUM(R4:R34)</f>
        <v>5047.7700000000004</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32633.517599999996</v>
      </c>
      <c r="J38" s="436"/>
      <c r="K38" s="437"/>
      <c r="L38" s="437"/>
      <c r="M38" s="438">
        <f>M36*(1+$G$37)</f>
        <v>19351.625</v>
      </c>
      <c r="N38" s="438">
        <f>N36*(1+$G$37)</f>
        <v>5415.625</v>
      </c>
      <c r="O38" s="438">
        <f>O36*(1+$G$37)</f>
        <v>400.86760000000004</v>
      </c>
      <c r="P38" s="438">
        <f>P67</f>
        <v>7600</v>
      </c>
      <c r="Q38" s="438">
        <f>Q126</f>
        <v>1270.8399999999999</v>
      </c>
      <c r="R38" s="438">
        <f>R36*(1+$G$37)</f>
        <v>6309.7125000000005</v>
      </c>
      <c r="S38" s="438">
        <f>S36*(1+$G$37)</f>
        <v>1155.6875</v>
      </c>
    </row>
    <row r="41" spans="1:19">
      <c r="E41" s="439" t="s">
        <v>585</v>
      </c>
    </row>
    <row r="42" spans="1:19">
      <c r="A42" s="441">
        <v>6</v>
      </c>
      <c r="B42" s="17" t="s">
        <v>619</v>
      </c>
      <c r="E42" s="17" t="s">
        <v>586</v>
      </c>
      <c r="F42" s="403">
        <f t="shared" ref="F42:F58" si="9">F$62</f>
        <v>55</v>
      </c>
      <c r="H42" s="403">
        <f t="shared" si="3"/>
        <v>55</v>
      </c>
      <c r="I42" s="403">
        <f t="shared" ref="I42:I64" si="10">A42*H42</f>
        <v>330</v>
      </c>
      <c r="J42" s="17" t="s">
        <v>1543</v>
      </c>
    </row>
    <row r="43" spans="1:19">
      <c r="A43" s="441">
        <f>A6/120*8*2</f>
        <v>16.8</v>
      </c>
      <c r="B43" s="17" t="s">
        <v>619</v>
      </c>
      <c r="E43" s="17" t="s">
        <v>589</v>
      </c>
      <c r="F43" s="403">
        <f t="shared" si="9"/>
        <v>55</v>
      </c>
      <c r="H43" s="403">
        <f t="shared" si="3"/>
        <v>55</v>
      </c>
      <c r="I43" s="403">
        <f t="shared" si="10"/>
        <v>924</v>
      </c>
      <c r="J43" s="17" t="s">
        <v>592</v>
      </c>
    </row>
    <row r="44" spans="1:19">
      <c r="A44" s="441">
        <v>4</v>
      </c>
      <c r="B44" s="17" t="s">
        <v>619</v>
      </c>
      <c r="E44" s="17" t="s">
        <v>1426</v>
      </c>
      <c r="F44" s="403">
        <f t="shared" si="9"/>
        <v>55</v>
      </c>
      <c r="H44" s="403">
        <f t="shared" si="3"/>
        <v>55</v>
      </c>
      <c r="I44" s="403">
        <f t="shared" si="10"/>
        <v>220</v>
      </c>
      <c r="J44" s="17" t="s">
        <v>1544</v>
      </c>
    </row>
    <row r="45" spans="1:19">
      <c r="A45" s="441">
        <f>A6/120*16*2</f>
        <v>33.6</v>
      </c>
      <c r="B45" s="17" t="s">
        <v>619</v>
      </c>
      <c r="E45" s="17" t="s">
        <v>591</v>
      </c>
      <c r="F45" s="403">
        <f t="shared" si="9"/>
        <v>55</v>
      </c>
      <c r="H45" s="403">
        <f t="shared" si="3"/>
        <v>55</v>
      </c>
      <c r="I45" s="403">
        <f t="shared" si="10"/>
        <v>1848</v>
      </c>
      <c r="J45" s="17" t="s">
        <v>592</v>
      </c>
    </row>
    <row r="46" spans="1:19">
      <c r="A46" s="441">
        <v>4</v>
      </c>
      <c r="B46" s="17" t="s">
        <v>619</v>
      </c>
      <c r="E46" s="17" t="s">
        <v>1428</v>
      </c>
      <c r="F46" s="403">
        <f t="shared" si="9"/>
        <v>55</v>
      </c>
      <c r="H46" s="403">
        <f t="shared" si="3"/>
        <v>55</v>
      </c>
      <c r="I46" s="403">
        <f t="shared" si="10"/>
        <v>220</v>
      </c>
    </row>
    <row r="47" spans="1:19">
      <c r="A47" s="441">
        <v>4</v>
      </c>
      <c r="B47" s="17" t="s">
        <v>619</v>
      </c>
      <c r="E47" s="17" t="s">
        <v>1429</v>
      </c>
      <c r="F47" s="403">
        <f t="shared" si="9"/>
        <v>55</v>
      </c>
      <c r="H47" s="403">
        <f t="shared" si="3"/>
        <v>55</v>
      </c>
      <c r="I47" s="403">
        <f t="shared" si="10"/>
        <v>220</v>
      </c>
    </row>
    <row r="48" spans="1:19">
      <c r="A48" s="441">
        <v>8</v>
      </c>
      <c r="B48" s="17" t="s">
        <v>619</v>
      </c>
      <c r="E48" s="17" t="s">
        <v>605</v>
      </c>
      <c r="F48" s="403">
        <f t="shared" si="9"/>
        <v>55</v>
      </c>
      <c r="H48" s="403">
        <f t="shared" si="3"/>
        <v>55</v>
      </c>
      <c r="I48" s="403">
        <f t="shared" si="10"/>
        <v>440</v>
      </c>
      <c r="J48" s="17" t="s">
        <v>1487</v>
      </c>
    </row>
    <row r="49" spans="1:10">
      <c r="A49" s="441">
        <v>6</v>
      </c>
      <c r="B49" s="17" t="s">
        <v>619</v>
      </c>
      <c r="E49" s="17" t="s">
        <v>607</v>
      </c>
      <c r="F49" s="403">
        <f t="shared" si="9"/>
        <v>55</v>
      </c>
      <c r="H49" s="403">
        <f t="shared" si="3"/>
        <v>55</v>
      </c>
      <c r="I49" s="403">
        <f t="shared" si="10"/>
        <v>330</v>
      </c>
      <c r="J49" s="17" t="s">
        <v>608</v>
      </c>
    </row>
    <row r="50" spans="1:10">
      <c r="A50" s="441">
        <v>0.5</v>
      </c>
      <c r="B50" s="17" t="s">
        <v>619</v>
      </c>
      <c r="E50" s="17" t="s">
        <v>609</v>
      </c>
      <c r="F50" s="403">
        <f t="shared" si="9"/>
        <v>55</v>
      </c>
      <c r="H50" s="403">
        <f t="shared" si="3"/>
        <v>55</v>
      </c>
      <c r="I50" s="403">
        <f t="shared" si="10"/>
        <v>27.5</v>
      </c>
    </row>
    <row r="51" spans="1:10">
      <c r="A51" s="441">
        <v>16</v>
      </c>
      <c r="B51" s="17" t="s">
        <v>619</v>
      </c>
      <c r="E51" s="17" t="s">
        <v>610</v>
      </c>
      <c r="F51" s="403">
        <f t="shared" si="9"/>
        <v>55</v>
      </c>
      <c r="H51" s="403">
        <f t="shared" si="3"/>
        <v>55</v>
      </c>
      <c r="I51" s="403">
        <f t="shared" si="10"/>
        <v>880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6</v>
      </c>
      <c r="B55" s="17" t="s">
        <v>619</v>
      </c>
      <c r="E55" s="17" t="s">
        <v>614</v>
      </c>
      <c r="F55" s="403">
        <f t="shared" si="9"/>
        <v>55</v>
      </c>
      <c r="H55" s="403">
        <f t="shared" si="3"/>
        <v>55</v>
      </c>
      <c r="I55" s="403">
        <f t="shared" si="10"/>
        <v>330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441">
        <v>0</v>
      </c>
      <c r="B58" s="17" t="s">
        <v>619</v>
      </c>
      <c r="E58" s="17" t="s">
        <v>617</v>
      </c>
      <c r="F58" s="403">
        <f t="shared" si="9"/>
        <v>55</v>
      </c>
      <c r="H58" s="403">
        <f t="shared" si="3"/>
        <v>55</v>
      </c>
      <c r="I58" s="403">
        <f t="shared" si="10"/>
        <v>0</v>
      </c>
      <c r="J58" s="17" t="s">
        <v>618</v>
      </c>
    </row>
    <row r="60" spans="1:10">
      <c r="A60" s="17">
        <f>SUM(A42:A59)</f>
        <v>118.9</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5</v>
      </c>
      <c r="B63" s="17" t="s">
        <v>624</v>
      </c>
      <c r="E63" s="17" t="s">
        <v>625</v>
      </c>
      <c r="F63" s="403">
        <f>A61*8*F62</f>
        <v>1320</v>
      </c>
      <c r="H63" s="403">
        <f t="shared" si="3"/>
        <v>1320</v>
      </c>
      <c r="I63" s="403">
        <f t="shared" si="10"/>
        <v>6600</v>
      </c>
    </row>
    <row r="64" spans="1:10">
      <c r="A64" s="441">
        <v>1</v>
      </c>
      <c r="B64" s="442" t="s">
        <v>517</v>
      </c>
      <c r="C64" s="446"/>
      <c r="D64" s="442"/>
      <c r="E64" s="442" t="s">
        <v>626</v>
      </c>
      <c r="F64" s="447">
        <v>500</v>
      </c>
      <c r="G64" s="444"/>
      <c r="H64" s="403">
        <v>1000</v>
      </c>
      <c r="I64" s="403">
        <f t="shared" si="10"/>
        <v>1000</v>
      </c>
      <c r="J64" s="17" t="s">
        <v>627</v>
      </c>
    </row>
    <row r="65" spans="1:16">
      <c r="A65" s="441"/>
      <c r="F65" s="447"/>
      <c r="H65" s="403"/>
      <c r="I65" s="403"/>
    </row>
    <row r="66" spans="1:16">
      <c r="A66" s="441"/>
      <c r="F66" s="447"/>
      <c r="H66" s="403"/>
      <c r="I66" s="403"/>
    </row>
    <row r="67" spans="1:16" ht="15.75">
      <c r="E67" s="439" t="s">
        <v>628</v>
      </c>
      <c r="I67" s="443">
        <f>SUM(I63:I66)</f>
        <v>7600</v>
      </c>
      <c r="P67" s="438">
        <f>I67</f>
        <v>7600</v>
      </c>
    </row>
    <row r="75" spans="1:16" ht="5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1</v>
      </c>
      <c r="B81" s="453" t="s">
        <v>517</v>
      </c>
      <c r="C81" s="454" t="s">
        <v>538</v>
      </c>
      <c r="D81" s="455" t="s">
        <v>636</v>
      </c>
      <c r="E81" s="453" t="s">
        <v>637</v>
      </c>
      <c r="F81" s="456">
        <v>1849</v>
      </c>
      <c r="G81" s="457"/>
      <c r="H81" s="458">
        <f>F81*(1-$G$78)</f>
        <v>1109.3999999999999</v>
      </c>
      <c r="I81" s="458">
        <f t="shared" ref="I81:I99" si="11">A81*H81</f>
        <v>1109.3999999999999</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0</v>
      </c>
      <c r="B103" s="453" t="s">
        <v>517</v>
      </c>
      <c r="C103" s="454" t="s">
        <v>538</v>
      </c>
      <c r="D103" s="455" t="s">
        <v>636</v>
      </c>
      <c r="E103" s="453" t="s">
        <v>668</v>
      </c>
      <c r="F103" s="463">
        <v>3732</v>
      </c>
      <c r="G103" s="457"/>
      <c r="H103" s="458">
        <f>F103*(1-G78)</f>
        <v>2239.1999999999998</v>
      </c>
      <c r="I103" s="458">
        <f t="shared" ref="I103:I124" si="13">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3"/>
        <v>0</v>
      </c>
      <c r="J104" s="453" t="s">
        <v>649</v>
      </c>
      <c r="K104" s="1050"/>
      <c r="L104" s="17" t="s">
        <v>672</v>
      </c>
    </row>
    <row r="105" spans="1:12" ht="12.8" customHeight="1">
      <c r="A105" s="461">
        <v>0</v>
      </c>
      <c r="B105" s="453" t="s">
        <v>517</v>
      </c>
      <c r="C105" s="453" t="s">
        <v>538</v>
      </c>
      <c r="D105" s="462" t="s">
        <v>640</v>
      </c>
      <c r="E105" s="453" t="s">
        <v>673</v>
      </c>
      <c r="F105" s="463">
        <v>1968</v>
      </c>
      <c r="G105" s="457"/>
      <c r="H105" s="458">
        <f t="shared" ref="H105:H119" si="14">F105*(1-$G$77)</f>
        <v>1180.8</v>
      </c>
      <c r="I105" s="458">
        <f t="shared" si="13"/>
        <v>0</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12.8"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12.8"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33.4">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1270.8399999999999</v>
      </c>
      <c r="Q126" s="438">
        <f>I126</f>
        <v>1270.8399999999999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7"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66.8">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c r="E150" s="439" t="s">
        <v>702</v>
      </c>
      <c r="I150" s="443">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1</v>
      </c>
      <c r="B157" s="17" t="s">
        <v>517</v>
      </c>
      <c r="E157" s="17" t="s">
        <v>707</v>
      </c>
      <c r="F157" s="403">
        <v>1500</v>
      </c>
      <c r="H157" s="403">
        <f t="shared" si="15"/>
        <v>1500</v>
      </c>
      <c r="I157" s="403">
        <f t="shared" si="16"/>
        <v>1500</v>
      </c>
    </row>
    <row r="158" spans="1:10" ht="55.65">
      <c r="A158" s="442">
        <v>0</v>
      </c>
      <c r="B158" s="17" t="s">
        <v>517</v>
      </c>
      <c r="C158" s="204" t="s">
        <v>708</v>
      </c>
      <c r="E158" s="204" t="s">
        <v>709</v>
      </c>
      <c r="F158" s="403">
        <v>460</v>
      </c>
      <c r="H158" s="403">
        <f t="shared" si="15"/>
        <v>460</v>
      </c>
      <c r="I158" s="403">
        <f t="shared" si="16"/>
        <v>0</v>
      </c>
      <c r="J158" s="17" t="s">
        <v>710</v>
      </c>
    </row>
    <row r="159" spans="1:10" ht="55.65">
      <c r="A159" s="442">
        <v>0</v>
      </c>
      <c r="B159" s="17" t="s">
        <v>517</v>
      </c>
      <c r="C159" s="204" t="s">
        <v>711</v>
      </c>
      <c r="E159" s="204" t="s">
        <v>712</v>
      </c>
      <c r="F159" s="403">
        <v>320</v>
      </c>
      <c r="H159" s="403">
        <f t="shared" si="15"/>
        <v>320</v>
      </c>
      <c r="I159" s="403">
        <f t="shared" si="16"/>
        <v>0</v>
      </c>
    </row>
    <row r="160" spans="1:10" ht="55.65">
      <c r="A160" s="442">
        <v>0</v>
      </c>
      <c r="B160" s="17" t="s">
        <v>517</v>
      </c>
      <c r="C160" s="17" t="s">
        <v>713</v>
      </c>
      <c r="D160" s="17" t="s">
        <v>714</v>
      </c>
      <c r="E160" s="204" t="s">
        <v>715</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ht="22.25">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ht="22.25">
      <c r="A169" s="442">
        <f t="shared" si="17"/>
        <v>0</v>
      </c>
      <c r="B169" s="17" t="s">
        <v>539</v>
      </c>
      <c r="C169" s="204" t="s">
        <v>531</v>
      </c>
      <c r="E169" s="17" t="s">
        <v>727</v>
      </c>
      <c r="F169" s="403">
        <v>25</v>
      </c>
      <c r="H169" s="403">
        <f t="shared" si="15"/>
        <v>25</v>
      </c>
      <c r="I169" s="403">
        <f t="shared" si="16"/>
        <v>0</v>
      </c>
    </row>
    <row r="170" spans="1:10" ht="22.25">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2840</v>
      </c>
    </row>
    <row r="174" spans="1:10" ht="13.75" customHeight="1">
      <c r="A174" s="997" t="s">
        <v>68</v>
      </c>
      <c r="B174" s="997"/>
      <c r="C174" s="997"/>
      <c r="D174" s="997"/>
      <c r="E174" s="997"/>
    </row>
    <row r="175" spans="1:10">
      <c r="A175" s="442">
        <v>1</v>
      </c>
      <c r="B175" s="17" t="s">
        <v>517</v>
      </c>
      <c r="E175" s="17" t="s">
        <v>730</v>
      </c>
      <c r="F175" s="403">
        <v>500</v>
      </c>
      <c r="H175" s="403">
        <f t="shared" si="15"/>
        <v>500</v>
      </c>
      <c r="I175" s="403">
        <f t="shared" ref="I175:I177" si="18">A175*H175</f>
        <v>500</v>
      </c>
    </row>
    <row r="176" spans="1:10" ht="55.65">
      <c r="A176" s="442">
        <v>1</v>
      </c>
      <c r="B176" s="17" t="s">
        <v>517</v>
      </c>
      <c r="C176" s="204" t="s">
        <v>708</v>
      </c>
      <c r="E176" s="204" t="s">
        <v>731</v>
      </c>
      <c r="F176" s="403">
        <f>460/2</f>
        <v>230</v>
      </c>
      <c r="H176" s="403">
        <f t="shared" si="15"/>
        <v>230</v>
      </c>
      <c r="I176" s="403">
        <f t="shared" si="18"/>
        <v>230</v>
      </c>
    </row>
    <row r="177" spans="1:9" ht="55.65">
      <c r="A177" s="442">
        <v>0</v>
      </c>
      <c r="B177" s="17" t="s">
        <v>517</v>
      </c>
      <c r="C177" s="204" t="s">
        <v>711</v>
      </c>
      <c r="E177" s="204" t="s">
        <v>732</v>
      </c>
      <c r="F177" s="403">
        <f>320/2</f>
        <v>160</v>
      </c>
      <c r="H177" s="403">
        <f t="shared" si="15"/>
        <v>160</v>
      </c>
      <c r="I177" s="403">
        <f t="shared" si="18"/>
        <v>0</v>
      </c>
    </row>
    <row r="179" spans="1:9" ht="15.75">
      <c r="E179" s="439" t="s">
        <v>733</v>
      </c>
      <c r="I179" s="168">
        <f>SUM(I174:I178)</f>
        <v>730</v>
      </c>
    </row>
    <row r="180" spans="1:9">
      <c r="E180" s="439"/>
    </row>
  </sheetData>
  <mergeCells count="13">
    <mergeCell ref="B1:F1"/>
    <mergeCell ref="A2:G2"/>
    <mergeCell ref="J24:L24"/>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v>375</v>
      </c>
      <c r="J1" s="17" t="s">
        <v>494</v>
      </c>
      <c r="K1" s="17" t="s">
        <v>495</v>
      </c>
      <c r="L1" s="58">
        <f>A4*I1</f>
        <v>122625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327</v>
      </c>
      <c r="B4" s="413" t="s">
        <v>505</v>
      </c>
      <c r="C4" s="415" t="s">
        <v>815</v>
      </c>
      <c r="D4" s="414"/>
      <c r="E4" s="415" t="s">
        <v>816</v>
      </c>
      <c r="F4" s="416">
        <v>130</v>
      </c>
      <c r="G4" s="410"/>
      <c r="H4" s="409">
        <f t="shared" ref="H4:H9" si="0">F4*(1-G4)</f>
        <v>130</v>
      </c>
      <c r="I4" s="409">
        <f t="shared" ref="I4:I9" si="1">A4*H4</f>
        <v>42510</v>
      </c>
      <c r="J4" s="417">
        <f>F4/$I$1</f>
        <v>0.34666666666666668</v>
      </c>
      <c r="K4" s="403" t="s">
        <v>780</v>
      </c>
      <c r="M4" s="418">
        <f>I4</f>
        <v>42510</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327</v>
      </c>
      <c r="B6" s="413" t="s">
        <v>505</v>
      </c>
      <c r="C6" s="413" t="s">
        <v>781</v>
      </c>
      <c r="D6" s="413"/>
      <c r="E6" s="420" t="s">
        <v>782</v>
      </c>
      <c r="F6" s="421">
        <f>12763*1.036/A6</f>
        <v>40.435681957186546</v>
      </c>
      <c r="G6" s="422"/>
      <c r="H6" s="416">
        <f t="shared" si="0"/>
        <v>40.435681957186546</v>
      </c>
      <c r="I6" s="409">
        <f t="shared" si="1"/>
        <v>13222.468000000001</v>
      </c>
      <c r="J6" s="417">
        <f>F6/$I$1</f>
        <v>0.10782848521916412</v>
      </c>
      <c r="K6" s="417"/>
      <c r="L6" s="204"/>
      <c r="M6" s="418">
        <f>I6</f>
        <v>13222.468000000001</v>
      </c>
      <c r="N6" s="418"/>
      <c r="O6" s="418"/>
      <c r="P6" s="418"/>
      <c r="Q6" s="418"/>
      <c r="R6" s="418"/>
      <c r="S6" s="418"/>
    </row>
    <row r="7" spans="1:19" ht="44.55">
      <c r="A7" s="423">
        <v>2</v>
      </c>
      <c r="B7" s="423" t="s">
        <v>522</v>
      </c>
      <c r="C7" s="420" t="s">
        <v>742</v>
      </c>
      <c r="D7" s="413"/>
      <c r="E7" s="415" t="s">
        <v>745</v>
      </c>
      <c r="F7" s="416">
        <v>3572.58</v>
      </c>
      <c r="G7" s="422"/>
      <c r="H7" s="421">
        <f t="shared" si="0"/>
        <v>3572.58</v>
      </c>
      <c r="I7" s="409">
        <f t="shared" si="1"/>
        <v>7145.16</v>
      </c>
      <c r="J7" s="204"/>
      <c r="M7" s="418"/>
      <c r="N7" s="418">
        <f t="shared" ref="N7:N9" si="2">I7</f>
        <v>7145.16</v>
      </c>
      <c r="O7" s="418"/>
      <c r="P7" s="418"/>
      <c r="Q7" s="418"/>
      <c r="R7" s="418"/>
      <c r="S7" s="418"/>
    </row>
    <row r="8" spans="1:19">
      <c r="A8" s="488"/>
      <c r="B8" s="488"/>
      <c r="C8" s="488"/>
      <c r="D8" s="488"/>
      <c r="E8" s="489"/>
      <c r="F8" s="490"/>
      <c r="G8" s="410"/>
      <c r="H8" s="409">
        <f t="shared" si="0"/>
        <v>0</v>
      </c>
      <c r="I8" s="409">
        <f t="shared" si="1"/>
        <v>0</v>
      </c>
      <c r="J8" s="204"/>
      <c r="M8" s="418"/>
      <c r="N8" s="418">
        <f t="shared" si="2"/>
        <v>0</v>
      </c>
      <c r="O8" s="418"/>
      <c r="P8" s="418"/>
      <c r="Q8" s="418"/>
      <c r="R8" s="418"/>
      <c r="S8" s="418"/>
    </row>
    <row r="9" spans="1:19">
      <c r="A9" s="407"/>
      <c r="B9" s="407"/>
      <c r="C9" s="408"/>
      <c r="D9" s="407"/>
      <c r="E9" s="408"/>
      <c r="F9" s="409"/>
      <c r="G9" s="410"/>
      <c r="H9" s="409">
        <f t="shared" si="0"/>
        <v>0</v>
      </c>
      <c r="I9" s="409">
        <f t="shared" si="1"/>
        <v>0</v>
      </c>
      <c r="J9" s="204"/>
      <c r="M9" s="418"/>
      <c r="N9" s="418">
        <f t="shared" si="2"/>
        <v>0</v>
      </c>
      <c r="O9" s="418"/>
      <c r="P9" s="418"/>
      <c r="Q9" s="418"/>
      <c r="R9" s="418"/>
      <c r="S9" s="418"/>
    </row>
    <row r="10" spans="1:19">
      <c r="A10" s="407"/>
      <c r="B10" s="407"/>
      <c r="C10" s="408"/>
      <c r="D10" s="407"/>
      <c r="E10" s="408"/>
      <c r="F10" s="409"/>
      <c r="G10" s="410"/>
      <c r="H10" s="409">
        <f t="shared" ref="H10:H69" si="3">F10*(1-G10)</f>
        <v>0</v>
      </c>
      <c r="I10" s="409">
        <f t="shared" ref="I10:I34" si="4">A10*H10</f>
        <v>0</v>
      </c>
      <c r="J10" s="204"/>
      <c r="M10" s="418"/>
      <c r="N10" s="418">
        <f>I10</f>
        <v>0</v>
      </c>
      <c r="O10" s="418"/>
      <c r="P10" s="418"/>
      <c r="Q10" s="418"/>
      <c r="R10" s="418"/>
      <c r="S10" s="418"/>
    </row>
    <row r="11" spans="1:19">
      <c r="A11" s="488"/>
      <c r="B11" s="488"/>
      <c r="C11" s="408"/>
      <c r="D11" s="487"/>
      <c r="E11" s="408"/>
      <c r="F11" s="409"/>
      <c r="G11" s="410"/>
      <c r="H11" s="409">
        <f t="shared" si="3"/>
        <v>0</v>
      </c>
      <c r="I11" s="409">
        <f t="shared" si="4"/>
        <v>0</v>
      </c>
      <c r="J11" s="204"/>
      <c r="L11" s="442"/>
      <c r="M11" s="418"/>
      <c r="N11" s="418"/>
      <c r="O11" s="418"/>
      <c r="P11" s="418"/>
      <c r="Q11" s="418"/>
      <c r="R11" s="418">
        <f t="shared" ref="R11:R26" si="5">I11</f>
        <v>0</v>
      </c>
      <c r="S11" s="418"/>
    </row>
    <row r="12" spans="1:19">
      <c r="A12" s="488"/>
      <c r="B12" s="488"/>
      <c r="C12" s="488"/>
      <c r="D12" s="488"/>
      <c r="E12" s="489"/>
      <c r="F12" s="490"/>
      <c r="G12" s="410"/>
      <c r="H12" s="409">
        <f t="shared" si="3"/>
        <v>0</v>
      </c>
      <c r="I12" s="409">
        <f t="shared" si="4"/>
        <v>0</v>
      </c>
      <c r="J12" s="204"/>
      <c r="L12" s="442"/>
      <c r="M12" s="418"/>
      <c r="N12" s="418"/>
      <c r="O12" s="418"/>
      <c r="P12" s="418"/>
      <c r="Q12" s="418"/>
      <c r="R12" s="418">
        <f t="shared" si="5"/>
        <v>0</v>
      </c>
      <c r="S12" s="418"/>
    </row>
    <row r="13" spans="1:19" ht="22.25">
      <c r="A13" s="414">
        <v>1</v>
      </c>
      <c r="B13" s="414" t="s">
        <v>505</v>
      </c>
      <c r="C13" s="415" t="s">
        <v>783</v>
      </c>
      <c r="D13" s="414"/>
      <c r="E13" s="415" t="s">
        <v>791</v>
      </c>
      <c r="F13" s="416">
        <v>1500</v>
      </c>
      <c r="G13" s="419"/>
      <c r="H13" s="416">
        <f t="shared" si="3"/>
        <v>1500</v>
      </c>
      <c r="I13" s="409">
        <f t="shared" si="4"/>
        <v>1500</v>
      </c>
      <c r="J13" s="204"/>
      <c r="M13" s="418"/>
      <c r="N13" s="418"/>
      <c r="O13" s="418"/>
      <c r="P13" s="418"/>
      <c r="Q13" s="418"/>
      <c r="R13" s="418">
        <f t="shared" si="5"/>
        <v>1500</v>
      </c>
      <c r="S13" s="418"/>
    </row>
    <row r="14" spans="1:19">
      <c r="A14" s="407"/>
      <c r="B14" s="407"/>
      <c r="C14" s="407"/>
      <c r="D14" s="407"/>
      <c r="E14" s="408"/>
      <c r="F14" s="409"/>
      <c r="G14" s="410"/>
      <c r="H14" s="409">
        <f t="shared" si="3"/>
        <v>0</v>
      </c>
      <c r="I14" s="409">
        <f t="shared" si="4"/>
        <v>0</v>
      </c>
      <c r="J14" s="204"/>
      <c r="M14" s="418"/>
      <c r="N14" s="418"/>
      <c r="O14" s="418"/>
      <c r="P14" s="418"/>
      <c r="Q14" s="418"/>
      <c r="R14" s="418">
        <f t="shared" si="5"/>
        <v>0</v>
      </c>
      <c r="S14" s="418"/>
    </row>
    <row r="15" spans="1:19">
      <c r="A15" s="413">
        <v>1</v>
      </c>
      <c r="B15" s="413" t="s">
        <v>505</v>
      </c>
      <c r="C15" s="413" t="s">
        <v>792</v>
      </c>
      <c r="D15" s="413" t="s">
        <v>793</v>
      </c>
      <c r="E15" s="420" t="s">
        <v>794</v>
      </c>
      <c r="F15" s="421">
        <v>2000</v>
      </c>
      <c r="G15" s="419"/>
      <c r="H15" s="416">
        <f t="shared" si="3"/>
        <v>2000</v>
      </c>
      <c r="I15" s="409">
        <f t="shared" si="4"/>
        <v>2000</v>
      </c>
      <c r="J15" s="204"/>
      <c r="M15" s="418"/>
      <c r="N15" s="418"/>
      <c r="O15" s="418"/>
      <c r="P15" s="418"/>
      <c r="Q15" s="418"/>
      <c r="R15" s="418">
        <f t="shared" si="5"/>
        <v>2000</v>
      </c>
      <c r="S15" s="418"/>
    </row>
    <row r="16" spans="1:19" ht="33.4">
      <c r="A16" s="407">
        <v>0</v>
      </c>
      <c r="B16" s="407" t="s">
        <v>505</v>
      </c>
      <c r="C16" s="408" t="s">
        <v>534</v>
      </c>
      <c r="D16" s="407"/>
      <c r="E16" s="408" t="s">
        <v>535</v>
      </c>
      <c r="F16" s="409">
        <v>3.71</v>
      </c>
      <c r="G16" s="410"/>
      <c r="H16" s="409">
        <f t="shared" si="3"/>
        <v>3.71</v>
      </c>
      <c r="I16" s="409">
        <f t="shared" si="4"/>
        <v>0</v>
      </c>
      <c r="J16" s="204" t="s">
        <v>795</v>
      </c>
      <c r="M16" s="418"/>
      <c r="N16" s="418"/>
      <c r="O16" s="418"/>
      <c r="P16" s="418"/>
      <c r="Q16" s="418"/>
      <c r="R16" s="418">
        <f t="shared" si="5"/>
        <v>0</v>
      </c>
      <c r="S16" s="418"/>
    </row>
    <row r="17" spans="1:19" ht="22.25">
      <c r="A17" s="407">
        <f>A16</f>
        <v>0</v>
      </c>
      <c r="B17" s="407" t="s">
        <v>505</v>
      </c>
      <c r="C17" s="408" t="s">
        <v>534</v>
      </c>
      <c r="D17" s="407"/>
      <c r="E17" s="408" t="s">
        <v>537</v>
      </c>
      <c r="F17" s="409">
        <v>3.81</v>
      </c>
      <c r="G17" s="410"/>
      <c r="H17" s="409">
        <f t="shared" si="3"/>
        <v>3.81</v>
      </c>
      <c r="I17" s="409">
        <f t="shared" si="4"/>
        <v>0</v>
      </c>
      <c r="J17" s="204" t="s">
        <v>538</v>
      </c>
      <c r="M17" s="418"/>
      <c r="N17" s="418"/>
      <c r="O17" s="418"/>
      <c r="P17" s="418"/>
      <c r="Q17" s="418"/>
      <c r="R17" s="418">
        <f t="shared" si="5"/>
        <v>0</v>
      </c>
      <c r="S17" s="418"/>
    </row>
    <row r="18" spans="1:19" ht="44.55">
      <c r="A18" s="413">
        <v>500</v>
      </c>
      <c r="B18" s="413" t="s">
        <v>539</v>
      </c>
      <c r="C18" s="415" t="s">
        <v>747</v>
      </c>
      <c r="D18" s="413"/>
      <c r="E18" s="420" t="s">
        <v>755</v>
      </c>
      <c r="F18" s="421">
        <f t="shared" ref="F18:F19" si="6">362.73/500</f>
        <v>0.72545999999999999</v>
      </c>
      <c r="G18" s="419"/>
      <c r="H18" s="416">
        <f t="shared" si="3"/>
        <v>0.72545999999999999</v>
      </c>
      <c r="I18" s="409">
        <f t="shared" si="4"/>
        <v>362.73</v>
      </c>
      <c r="J18" s="17" t="s">
        <v>796</v>
      </c>
      <c r="M18" s="418"/>
      <c r="N18" s="418"/>
      <c r="O18" s="418">
        <f t="shared" ref="O18:O29" si="7">I18</f>
        <v>362.73</v>
      </c>
      <c r="P18" s="418"/>
      <c r="Q18" s="418"/>
      <c r="R18" s="418"/>
      <c r="S18" s="418"/>
    </row>
    <row r="19" spans="1:19" ht="44.55">
      <c r="A19" s="413">
        <v>1000</v>
      </c>
      <c r="B19" s="413" t="s">
        <v>539</v>
      </c>
      <c r="C19" s="415" t="s">
        <v>747</v>
      </c>
      <c r="D19" s="413"/>
      <c r="E19" s="420" t="s">
        <v>757</v>
      </c>
      <c r="F19" s="421">
        <f t="shared" si="6"/>
        <v>0.72545999999999999</v>
      </c>
      <c r="G19" s="419"/>
      <c r="H19" s="416">
        <f t="shared" si="3"/>
        <v>0.72545999999999999</v>
      </c>
      <c r="I19" s="409">
        <f t="shared" si="4"/>
        <v>725.46</v>
      </c>
      <c r="J19" s="17" t="s">
        <v>796</v>
      </c>
      <c r="M19" s="418"/>
      <c r="N19" s="418"/>
      <c r="O19" s="418">
        <f t="shared" si="7"/>
        <v>725.46</v>
      </c>
      <c r="P19" s="418"/>
      <c r="Q19" s="418"/>
      <c r="R19" s="418"/>
      <c r="S19" s="418"/>
    </row>
    <row r="20" spans="1:19" ht="44.55">
      <c r="A20" s="413">
        <v>10</v>
      </c>
      <c r="B20" s="413" t="s">
        <v>551</v>
      </c>
      <c r="C20" s="420" t="s">
        <v>552</v>
      </c>
      <c r="D20" s="413" t="s">
        <v>553</v>
      </c>
      <c r="E20" s="420" t="s">
        <v>554</v>
      </c>
      <c r="F20" s="421">
        <v>100</v>
      </c>
      <c r="G20" s="426"/>
      <c r="H20" s="425">
        <f t="shared" si="3"/>
        <v>100</v>
      </c>
      <c r="I20" s="409">
        <f t="shared" si="4"/>
        <v>1000</v>
      </c>
      <c r="J20" s="204" t="s">
        <v>796</v>
      </c>
      <c r="K20" s="17" t="s">
        <v>555</v>
      </c>
      <c r="M20" s="418"/>
      <c r="N20" s="418"/>
      <c r="O20" s="418">
        <f t="shared" si="7"/>
        <v>1000</v>
      </c>
      <c r="P20" s="418"/>
      <c r="Q20" s="418"/>
      <c r="R20" s="418"/>
      <c r="S20" s="418"/>
    </row>
    <row r="21" spans="1:19" ht="33.4">
      <c r="A21" s="413">
        <v>32</v>
      </c>
      <c r="B21" s="413" t="s">
        <v>517</v>
      </c>
      <c r="C21" s="420" t="s">
        <v>540</v>
      </c>
      <c r="D21" s="413" t="s">
        <v>797</v>
      </c>
      <c r="E21" s="420" t="s">
        <v>798</v>
      </c>
      <c r="F21" s="421">
        <v>0.88</v>
      </c>
      <c r="G21" s="419"/>
      <c r="H21" s="416">
        <f t="shared" si="3"/>
        <v>0.88</v>
      </c>
      <c r="I21" s="409">
        <f t="shared" si="4"/>
        <v>28.16</v>
      </c>
      <c r="J21" s="204" t="s">
        <v>1545</v>
      </c>
      <c r="M21" s="418"/>
      <c r="N21" s="418"/>
      <c r="O21" s="418">
        <f t="shared" si="7"/>
        <v>28.16</v>
      </c>
      <c r="P21" s="418"/>
      <c r="Q21" s="418"/>
      <c r="R21" s="418"/>
      <c r="S21" s="418"/>
    </row>
    <row r="22" spans="1:19" ht="33.4">
      <c r="A22" s="413">
        <f>A21</f>
        <v>32</v>
      </c>
      <c r="B22" s="413" t="s">
        <v>517</v>
      </c>
      <c r="C22" s="420" t="s">
        <v>540</v>
      </c>
      <c r="D22" s="413" t="s">
        <v>800</v>
      </c>
      <c r="E22" s="420" t="s">
        <v>801</v>
      </c>
      <c r="F22" s="421">
        <v>0.67</v>
      </c>
      <c r="G22" s="419"/>
      <c r="H22" s="416">
        <f t="shared" si="3"/>
        <v>0.67</v>
      </c>
      <c r="I22" s="409">
        <f t="shared" si="4"/>
        <v>21.44</v>
      </c>
      <c r="J22" s="204" t="str">
        <f>J21</f>
        <v>15 chaînes DC et 1 bretelle</v>
      </c>
      <c r="M22" s="418"/>
      <c r="N22" s="418"/>
      <c r="O22" s="418">
        <f t="shared" si="7"/>
        <v>21.44</v>
      </c>
      <c r="P22" s="418"/>
      <c r="Q22" s="418"/>
      <c r="R22" s="418"/>
      <c r="S22" s="418"/>
    </row>
    <row r="23" spans="1:19" ht="22.25">
      <c r="A23" s="407">
        <v>0</v>
      </c>
      <c r="B23" s="407" t="s">
        <v>517</v>
      </c>
      <c r="C23" s="408" t="s">
        <v>540</v>
      </c>
      <c r="D23" s="407" t="s">
        <v>556</v>
      </c>
      <c r="E23" s="408" t="s">
        <v>557</v>
      </c>
      <c r="F23" s="409">
        <v>6.58</v>
      </c>
      <c r="G23" s="410"/>
      <c r="H23" s="409">
        <f t="shared" si="3"/>
        <v>6.58</v>
      </c>
      <c r="I23" s="409">
        <f t="shared" si="4"/>
        <v>0</v>
      </c>
      <c r="J23" s="204"/>
      <c r="M23" s="418"/>
      <c r="N23" s="418"/>
      <c r="O23" s="418">
        <f t="shared" si="7"/>
        <v>0</v>
      </c>
      <c r="P23" s="418"/>
      <c r="Q23" s="418"/>
      <c r="R23" s="418"/>
      <c r="S23" s="418"/>
    </row>
    <row r="24" spans="1:19" ht="22.25">
      <c r="A24" s="413">
        <v>24</v>
      </c>
      <c r="B24" s="413" t="s">
        <v>517</v>
      </c>
      <c r="C24" s="415" t="s">
        <v>506</v>
      </c>
      <c r="D24" s="414"/>
      <c r="E24" s="415" t="s">
        <v>802</v>
      </c>
      <c r="F24" s="416">
        <f>86.1/28</f>
        <v>3.0749999999999997</v>
      </c>
      <c r="G24" s="419"/>
      <c r="H24" s="416">
        <f t="shared" si="3"/>
        <v>3.0749999999999997</v>
      </c>
      <c r="I24" s="409">
        <f t="shared" si="4"/>
        <v>73.8</v>
      </c>
      <c r="J24" s="204"/>
      <c r="M24" s="418"/>
      <c r="N24" s="418"/>
      <c r="O24" s="418"/>
      <c r="P24" s="418"/>
      <c r="Q24" s="418"/>
      <c r="R24" s="418">
        <f t="shared" si="5"/>
        <v>73.8</v>
      </c>
      <c r="S24" s="418"/>
    </row>
    <row r="25" spans="1:19" ht="35.85" customHeight="1">
      <c r="A25" s="413">
        <v>1</v>
      </c>
      <c r="B25" s="413" t="s">
        <v>522</v>
      </c>
      <c r="C25" s="413" t="s">
        <v>751</v>
      </c>
      <c r="D25" s="413"/>
      <c r="E25" s="420" t="s">
        <v>803</v>
      </c>
      <c r="F25" s="421">
        <v>564.44000000000005</v>
      </c>
      <c r="G25" s="419"/>
      <c r="H25" s="416">
        <f t="shared" si="3"/>
        <v>564.44000000000005</v>
      </c>
      <c r="I25" s="409">
        <f t="shared" si="4"/>
        <v>564.44000000000005</v>
      </c>
      <c r="J25" s="1054"/>
      <c r="K25" s="1054"/>
      <c r="L25" s="1054"/>
      <c r="M25" s="418"/>
      <c r="N25" s="418"/>
      <c r="O25" s="418"/>
      <c r="P25" s="418"/>
      <c r="Q25" s="418"/>
      <c r="R25" s="418">
        <f t="shared" si="5"/>
        <v>564.44000000000005</v>
      </c>
      <c r="S25" s="418"/>
    </row>
    <row r="26" spans="1:19">
      <c r="A26" s="407"/>
      <c r="B26" s="407"/>
      <c r="C26" s="408"/>
      <c r="D26" s="407"/>
      <c r="E26" s="408"/>
      <c r="F26" s="409"/>
      <c r="G26" s="410"/>
      <c r="H26" s="409">
        <f t="shared" si="3"/>
        <v>0</v>
      </c>
      <c r="I26" s="409">
        <f t="shared" si="4"/>
        <v>0</v>
      </c>
      <c r="J26" s="204"/>
      <c r="M26" s="418"/>
      <c r="N26" s="418"/>
      <c r="O26" s="418"/>
      <c r="P26" s="418"/>
      <c r="Q26" s="418"/>
      <c r="R26" s="418">
        <f t="shared" si="5"/>
        <v>0</v>
      </c>
      <c r="S26" s="418"/>
    </row>
    <row r="27" spans="1:19" ht="22.25">
      <c r="A27" s="413">
        <v>1</v>
      </c>
      <c r="B27" s="413" t="s">
        <v>522</v>
      </c>
      <c r="C27" s="420" t="s">
        <v>531</v>
      </c>
      <c r="D27" s="413"/>
      <c r="E27" s="420" t="s">
        <v>695</v>
      </c>
      <c r="F27" s="421">
        <v>100</v>
      </c>
      <c r="G27" s="410"/>
      <c r="H27" s="409">
        <f t="shared" si="3"/>
        <v>100</v>
      </c>
      <c r="I27" s="409">
        <f t="shared" si="4"/>
        <v>100</v>
      </c>
      <c r="J27" s="204"/>
      <c r="M27" s="418"/>
      <c r="N27" s="418"/>
      <c r="O27" s="418">
        <f t="shared" si="7"/>
        <v>100</v>
      </c>
      <c r="P27" s="418"/>
      <c r="Q27" s="418"/>
      <c r="R27" s="418"/>
      <c r="S27" s="418"/>
    </row>
    <row r="28" spans="1:19" ht="22.25">
      <c r="A28" s="413">
        <v>1</v>
      </c>
      <c r="B28" s="413" t="s">
        <v>505</v>
      </c>
      <c r="C28" s="489" t="s">
        <v>540</v>
      </c>
      <c r="D28" s="488" t="s">
        <v>769</v>
      </c>
      <c r="E28" s="489" t="s">
        <v>567</v>
      </c>
      <c r="F28" s="490">
        <v>750</v>
      </c>
      <c r="G28" s="410"/>
      <c r="H28" s="409">
        <f t="shared" si="3"/>
        <v>750</v>
      </c>
      <c r="I28" s="409">
        <f t="shared" si="4"/>
        <v>750</v>
      </c>
      <c r="J28" s="204"/>
      <c r="M28" s="418">
        <f>F28</f>
        <v>750</v>
      </c>
      <c r="N28" s="418"/>
      <c r="O28" s="418"/>
      <c r="P28" s="418"/>
      <c r="Q28" s="418"/>
      <c r="R28" s="418"/>
      <c r="S28" s="418"/>
    </row>
    <row r="29" spans="1:19" ht="44.55">
      <c r="A29" s="488">
        <v>5</v>
      </c>
      <c r="B29" s="414" t="s">
        <v>539</v>
      </c>
      <c r="C29" s="415" t="s">
        <v>552</v>
      </c>
      <c r="D29" s="414"/>
      <c r="E29" s="415" t="s">
        <v>804</v>
      </c>
      <c r="F29" s="416">
        <f>44/1.2</f>
        <v>36.666666666666671</v>
      </c>
      <c r="G29" s="426"/>
      <c r="H29" s="425">
        <f t="shared" si="3"/>
        <v>36.666666666666671</v>
      </c>
      <c r="I29" s="409">
        <f t="shared" si="4"/>
        <v>183.33333333333337</v>
      </c>
      <c r="J29" s="204"/>
      <c r="K29" s="17" t="s">
        <v>805</v>
      </c>
      <c r="M29" s="418"/>
      <c r="N29" s="418"/>
      <c r="O29" s="418">
        <f t="shared" si="7"/>
        <v>183.33333333333337</v>
      </c>
      <c r="P29" s="418"/>
      <c r="Q29" s="418"/>
      <c r="R29" s="418"/>
      <c r="S29" s="418"/>
    </row>
    <row r="30" spans="1:19" ht="44.55">
      <c r="A30" s="413">
        <v>0</v>
      </c>
      <c r="B30" s="413" t="s">
        <v>517</v>
      </c>
      <c r="C30" s="420" t="s">
        <v>569</v>
      </c>
      <c r="D30" s="413" t="s">
        <v>570</v>
      </c>
      <c r="E30" s="420" t="s">
        <v>571</v>
      </c>
      <c r="F30" s="421">
        <v>1040</v>
      </c>
      <c r="G30" s="495">
        <v>0.48</v>
      </c>
      <c r="H30" s="425">
        <f t="shared" si="3"/>
        <v>540.80000000000007</v>
      </c>
      <c r="I30" s="409">
        <f t="shared" si="4"/>
        <v>0</v>
      </c>
      <c r="J30" s="204"/>
      <c r="M30" s="418"/>
      <c r="N30" s="418"/>
      <c r="O30" s="418"/>
      <c r="P30" s="418"/>
      <c r="Q30" s="418"/>
      <c r="R30" s="418"/>
      <c r="S30" s="418">
        <f t="shared" ref="S30:S34" si="8">I30</f>
        <v>0</v>
      </c>
    </row>
    <row r="31" spans="1:19" ht="55.65">
      <c r="A31" s="413">
        <v>1</v>
      </c>
      <c r="B31" s="413" t="s">
        <v>517</v>
      </c>
      <c r="C31" s="424" t="s">
        <v>569</v>
      </c>
      <c r="D31" s="423" t="s">
        <v>572</v>
      </c>
      <c r="E31" s="424" t="s">
        <v>573</v>
      </c>
      <c r="F31" s="425">
        <v>1190</v>
      </c>
      <c r="G31" s="495">
        <v>0.48</v>
      </c>
      <c r="H31" s="425">
        <f t="shared" si="3"/>
        <v>618.80000000000007</v>
      </c>
      <c r="I31" s="409">
        <f t="shared" si="4"/>
        <v>618.80000000000007</v>
      </c>
      <c r="J31" s="204"/>
      <c r="M31" s="418"/>
      <c r="N31" s="418"/>
      <c r="O31" s="418"/>
      <c r="P31" s="418"/>
      <c r="Q31" s="418"/>
      <c r="R31" s="418"/>
      <c r="S31" s="418">
        <f t="shared" si="8"/>
        <v>618.80000000000007</v>
      </c>
    </row>
    <row r="32" spans="1:19">
      <c r="A32" s="413">
        <v>0</v>
      </c>
      <c r="B32" s="413" t="s">
        <v>517</v>
      </c>
      <c r="C32" s="420" t="s">
        <v>574</v>
      </c>
      <c r="D32" s="413" t="s">
        <v>575</v>
      </c>
      <c r="E32" s="413" t="s">
        <v>576</v>
      </c>
      <c r="F32" s="421">
        <v>36.700000000000003</v>
      </c>
      <c r="G32" s="419"/>
      <c r="H32" s="416">
        <f t="shared" si="3"/>
        <v>36.700000000000003</v>
      </c>
      <c r="I32" s="409">
        <f t="shared" si="4"/>
        <v>0</v>
      </c>
      <c r="J32" s="204"/>
      <c r="M32" s="418"/>
      <c r="N32" s="418"/>
      <c r="O32" s="418"/>
      <c r="P32" s="418"/>
      <c r="Q32" s="418"/>
      <c r="R32" s="418"/>
      <c r="S32" s="418">
        <f t="shared" si="8"/>
        <v>0</v>
      </c>
    </row>
    <row r="33" spans="1:19">
      <c r="A33" s="413">
        <v>5</v>
      </c>
      <c r="B33" s="413" t="s">
        <v>517</v>
      </c>
      <c r="C33" s="420" t="s">
        <v>574</v>
      </c>
      <c r="D33" s="413" t="s">
        <v>577</v>
      </c>
      <c r="E33" s="413" t="s">
        <v>578</v>
      </c>
      <c r="F33" s="421">
        <v>75</v>
      </c>
      <c r="G33" s="419"/>
      <c r="H33" s="416">
        <f t="shared" si="3"/>
        <v>75</v>
      </c>
      <c r="I33" s="409">
        <f t="shared" si="4"/>
        <v>375</v>
      </c>
      <c r="J33" s="204"/>
      <c r="M33" s="418"/>
      <c r="N33" s="418"/>
      <c r="O33" s="418"/>
      <c r="P33" s="418"/>
      <c r="Q33" s="418"/>
      <c r="R33" s="418"/>
      <c r="S33" s="418">
        <f t="shared" si="8"/>
        <v>375</v>
      </c>
    </row>
    <row r="34" spans="1:19">
      <c r="A34" s="413">
        <v>1</v>
      </c>
      <c r="B34" s="413" t="s">
        <v>517</v>
      </c>
      <c r="C34" s="420" t="s">
        <v>574</v>
      </c>
      <c r="D34" s="413"/>
      <c r="E34" s="413" t="s">
        <v>579</v>
      </c>
      <c r="F34" s="421">
        <f>35/4</f>
        <v>8.75</v>
      </c>
      <c r="G34" s="419"/>
      <c r="H34" s="416">
        <f t="shared" si="3"/>
        <v>8.75</v>
      </c>
      <c r="I34" s="409">
        <f t="shared" si="4"/>
        <v>8.75</v>
      </c>
      <c r="J34" s="204"/>
      <c r="M34" s="418"/>
      <c r="N34" s="418"/>
      <c r="O34" s="418"/>
      <c r="P34" s="418"/>
      <c r="Q34" s="418"/>
      <c r="R34" s="418"/>
      <c r="S34" s="418">
        <f t="shared" si="8"/>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71189.541333333342</v>
      </c>
      <c r="J37" s="204"/>
      <c r="M37" s="418">
        <f>SUM(M4:M35)</f>
        <v>56482.468000000001</v>
      </c>
      <c r="N37" s="418">
        <f>SUM(N4:N35)</f>
        <v>7145.16</v>
      </c>
      <c r="O37" s="418">
        <f>SUM(O4:O35)</f>
        <v>2421.1233333333334</v>
      </c>
      <c r="P37" s="418"/>
      <c r="Q37" s="418"/>
      <c r="R37" s="418">
        <f>SUM(R4:R35)</f>
        <v>4138.24</v>
      </c>
      <c r="S37" s="418">
        <f>SUM(S4:S35)</f>
        <v>1002.5500000000001</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88986.926666666681</v>
      </c>
      <c r="J39" s="436"/>
      <c r="K39" s="437"/>
      <c r="L39" s="437"/>
      <c r="M39" s="438">
        <f>M37*(1+$G$38)</f>
        <v>70603.085000000006</v>
      </c>
      <c r="N39" s="438">
        <f>N37*(1+$G$38)</f>
        <v>8931.4500000000007</v>
      </c>
      <c r="O39" s="438">
        <f>O37*(1+$G$38)</f>
        <v>3026.4041666666667</v>
      </c>
      <c r="P39" s="438">
        <f>P73</f>
        <v>16840</v>
      </c>
      <c r="Q39" s="438">
        <f>Q132</f>
        <v>25607.859999999997</v>
      </c>
      <c r="R39" s="438">
        <f>R37*(1+$G$38)</f>
        <v>5172.7999999999993</v>
      </c>
      <c r="S39" s="438">
        <f>S37*(1+$G$38)</f>
        <v>1253.1875</v>
      </c>
    </row>
    <row r="42" spans="1:19" ht="33.4">
      <c r="B42" s="204" t="s">
        <v>583</v>
      </c>
      <c r="C42" s="204" t="s">
        <v>584</v>
      </c>
      <c r="E42" s="439" t="s">
        <v>585</v>
      </c>
    </row>
    <row r="43" spans="1:19">
      <c r="A43" s="440">
        <f t="shared" ref="A43:A64" si="9">B43*C43</f>
        <v>12</v>
      </c>
      <c r="B43" s="441">
        <v>6</v>
      </c>
      <c r="C43" s="493">
        <v>2</v>
      </c>
      <c r="E43" s="17" t="s">
        <v>586</v>
      </c>
      <c r="F43" s="403">
        <f t="shared" ref="F43:F64" si="10">F$68</f>
        <v>55</v>
      </c>
      <c r="H43" s="403">
        <f t="shared" si="3"/>
        <v>55</v>
      </c>
      <c r="I43" s="403">
        <f t="shared" ref="I43:I70" si="11">A43*H43</f>
        <v>660</v>
      </c>
    </row>
    <row r="44" spans="1:19">
      <c r="A44" s="440">
        <f t="shared" si="9"/>
        <v>49.05</v>
      </c>
      <c r="B44" s="441">
        <v>0.15</v>
      </c>
      <c r="C44" s="493">
        <f>A6</f>
        <v>327</v>
      </c>
      <c r="D44" s="17" t="s">
        <v>588</v>
      </c>
      <c r="E44" s="17" t="s">
        <v>589</v>
      </c>
      <c r="F44" s="403">
        <f t="shared" si="10"/>
        <v>55</v>
      </c>
      <c r="H44" s="403">
        <f t="shared" si="3"/>
        <v>55</v>
      </c>
      <c r="I44" s="403">
        <f t="shared" si="11"/>
        <v>2697.75</v>
      </c>
    </row>
    <row r="45" spans="1:19">
      <c r="A45" s="440">
        <f t="shared" si="9"/>
        <v>114.44999999999999</v>
      </c>
      <c r="B45" s="441">
        <v>0.35</v>
      </c>
      <c r="C45" s="493">
        <f>A4</f>
        <v>327</v>
      </c>
      <c r="D45" s="17" t="s">
        <v>588</v>
      </c>
      <c r="E45" s="17" t="s">
        <v>591</v>
      </c>
      <c r="F45" s="403">
        <f t="shared" si="10"/>
        <v>55</v>
      </c>
      <c r="H45" s="403">
        <f t="shared" si="3"/>
        <v>55</v>
      </c>
      <c r="I45" s="403">
        <f t="shared" si="11"/>
        <v>6294.7499999999991</v>
      </c>
    </row>
    <row r="46" spans="1:19">
      <c r="A46" s="440">
        <f t="shared" si="9"/>
        <v>1.2</v>
      </c>
      <c r="B46" s="441">
        <v>0.04</v>
      </c>
      <c r="C46" s="493">
        <v>30</v>
      </c>
      <c r="D46" s="17" t="s">
        <v>539</v>
      </c>
      <c r="E46" s="17" t="s">
        <v>593</v>
      </c>
      <c r="F46" s="403">
        <f t="shared" si="10"/>
        <v>55</v>
      </c>
      <c r="H46" s="403">
        <f t="shared" si="3"/>
        <v>55</v>
      </c>
      <c r="I46" s="403">
        <f t="shared" si="11"/>
        <v>66</v>
      </c>
    </row>
    <row r="47" spans="1:19">
      <c r="A47" s="440">
        <f t="shared" si="9"/>
        <v>0.4</v>
      </c>
      <c r="B47" s="441">
        <v>0.04</v>
      </c>
      <c r="C47" s="493">
        <v>10</v>
      </c>
      <c r="D47" s="17" t="s">
        <v>539</v>
      </c>
      <c r="E47" s="17" t="s">
        <v>594</v>
      </c>
      <c r="F47" s="403">
        <f t="shared" si="10"/>
        <v>55</v>
      </c>
      <c r="H47" s="403">
        <f t="shared" si="3"/>
        <v>55</v>
      </c>
      <c r="I47" s="403">
        <f t="shared" si="11"/>
        <v>22</v>
      </c>
    </row>
    <row r="48" spans="1:19">
      <c r="A48" s="440">
        <f t="shared" si="9"/>
        <v>50</v>
      </c>
      <c r="B48" s="441">
        <v>0.02</v>
      </c>
      <c r="C48" s="493">
        <f>A18+A19+A20*100</f>
        <v>2500</v>
      </c>
      <c r="D48" s="17" t="s">
        <v>539</v>
      </c>
      <c r="E48" s="17" t="s">
        <v>595</v>
      </c>
      <c r="F48" s="403">
        <f t="shared" si="10"/>
        <v>55</v>
      </c>
      <c r="H48" s="403">
        <f t="shared" si="3"/>
        <v>55</v>
      </c>
      <c r="I48" s="403">
        <f t="shared" si="11"/>
        <v>2750</v>
      </c>
    </row>
    <row r="49" spans="1:9">
      <c r="A49" s="440">
        <f t="shared" si="9"/>
        <v>0</v>
      </c>
      <c r="B49" s="441">
        <f>2*0.17</f>
        <v>0.34</v>
      </c>
      <c r="C49" s="493">
        <v>0</v>
      </c>
      <c r="D49" s="17" t="s">
        <v>596</v>
      </c>
      <c r="E49" s="17" t="s">
        <v>775</v>
      </c>
      <c r="F49" s="403">
        <f t="shared" si="10"/>
        <v>55</v>
      </c>
      <c r="H49" s="403">
        <f t="shared" si="3"/>
        <v>55</v>
      </c>
      <c r="I49" s="403">
        <f t="shared" si="11"/>
        <v>0</v>
      </c>
    </row>
    <row r="50" spans="1:9">
      <c r="A50" s="440">
        <f t="shared" si="9"/>
        <v>5.2</v>
      </c>
      <c r="B50" s="441">
        <v>0.4</v>
      </c>
      <c r="C50" s="493">
        <v>13</v>
      </c>
      <c r="E50" s="17" t="s">
        <v>600</v>
      </c>
      <c r="F50" s="403">
        <f t="shared" si="10"/>
        <v>55</v>
      </c>
      <c r="H50" s="403">
        <f t="shared" si="3"/>
        <v>55</v>
      </c>
      <c r="I50" s="403">
        <f t="shared" si="11"/>
        <v>286</v>
      </c>
    </row>
    <row r="51" spans="1:9">
      <c r="A51" s="440">
        <f t="shared" si="9"/>
        <v>2</v>
      </c>
      <c r="B51" s="441">
        <v>2</v>
      </c>
      <c r="C51" s="493">
        <v>1</v>
      </c>
      <c r="E51" s="17" t="s">
        <v>601</v>
      </c>
      <c r="F51" s="403">
        <f t="shared" si="10"/>
        <v>55</v>
      </c>
      <c r="H51" s="403">
        <f t="shared" si="3"/>
        <v>55</v>
      </c>
      <c r="I51" s="403">
        <f t="shared" si="11"/>
        <v>110</v>
      </c>
    </row>
    <row r="52" spans="1:9">
      <c r="A52" s="440">
        <f t="shared" si="9"/>
        <v>0</v>
      </c>
      <c r="B52" s="441">
        <f>0.5+10*0.15+2*0.1</f>
        <v>2.2000000000000002</v>
      </c>
      <c r="C52" s="493">
        <v>0</v>
      </c>
      <c r="E52" s="17" t="s">
        <v>602</v>
      </c>
      <c r="F52" s="403">
        <f t="shared" si="10"/>
        <v>55</v>
      </c>
      <c r="H52" s="403">
        <f t="shared" si="3"/>
        <v>55</v>
      </c>
      <c r="I52" s="403">
        <f t="shared" si="11"/>
        <v>0</v>
      </c>
    </row>
    <row r="53" spans="1:9">
      <c r="A53" s="440">
        <f t="shared" si="9"/>
        <v>0</v>
      </c>
      <c r="B53" s="441">
        <f>0.5+4*0.15</f>
        <v>1.1000000000000001</v>
      </c>
      <c r="C53" s="493">
        <v>0</v>
      </c>
      <c r="E53" s="17" t="s">
        <v>776</v>
      </c>
      <c r="F53" s="403">
        <f t="shared" si="10"/>
        <v>55</v>
      </c>
      <c r="H53" s="403">
        <f t="shared" si="3"/>
        <v>55</v>
      </c>
      <c r="I53" s="403">
        <f t="shared" si="11"/>
        <v>0</v>
      </c>
    </row>
    <row r="54" spans="1:9">
      <c r="A54" s="440">
        <f t="shared" si="9"/>
        <v>1.3333333333333333</v>
      </c>
      <c r="B54" s="441">
        <f>8/6</f>
        <v>1.3333333333333333</v>
      </c>
      <c r="C54" s="493">
        <v>1</v>
      </c>
      <c r="D54" s="17" t="s">
        <v>604</v>
      </c>
      <c r="E54" s="17" t="s">
        <v>605</v>
      </c>
      <c r="F54" s="403">
        <f t="shared" si="10"/>
        <v>55</v>
      </c>
      <c r="H54" s="403">
        <f t="shared" si="3"/>
        <v>55</v>
      </c>
      <c r="I54" s="403">
        <f t="shared" si="11"/>
        <v>73.333333333333329</v>
      </c>
    </row>
    <row r="55" spans="1:9">
      <c r="A55" s="440">
        <f t="shared" si="9"/>
        <v>4</v>
      </c>
      <c r="B55" s="441">
        <v>4</v>
      </c>
      <c r="C55" s="493">
        <v>1</v>
      </c>
      <c r="E55" s="17" t="s">
        <v>606</v>
      </c>
      <c r="F55" s="403">
        <f t="shared" si="10"/>
        <v>55</v>
      </c>
      <c r="H55" s="403">
        <f t="shared" si="3"/>
        <v>55</v>
      </c>
      <c r="I55" s="403">
        <f t="shared" si="11"/>
        <v>220</v>
      </c>
    </row>
    <row r="56" spans="1:9">
      <c r="A56" s="440">
        <f t="shared" si="9"/>
        <v>2</v>
      </c>
      <c r="B56" s="441">
        <v>2</v>
      </c>
      <c r="C56" s="493">
        <v>1</v>
      </c>
      <c r="E56" s="17" t="s">
        <v>607</v>
      </c>
      <c r="F56" s="403">
        <f t="shared" si="10"/>
        <v>55</v>
      </c>
      <c r="H56" s="403">
        <f t="shared" si="3"/>
        <v>55</v>
      </c>
      <c r="I56" s="403">
        <f t="shared" si="11"/>
        <v>110</v>
      </c>
    </row>
    <row r="57" spans="1:9">
      <c r="A57" s="440">
        <f t="shared" si="9"/>
        <v>0.93000000000000016</v>
      </c>
      <c r="B57" s="441">
        <f>0.33+6*0.1</f>
        <v>0.93000000000000016</v>
      </c>
      <c r="C57" s="493">
        <v>1</v>
      </c>
      <c r="E57" s="17" t="s">
        <v>609</v>
      </c>
      <c r="F57" s="403">
        <f t="shared" si="10"/>
        <v>55</v>
      </c>
      <c r="H57" s="403">
        <f t="shared" si="3"/>
        <v>55</v>
      </c>
      <c r="I57" s="403">
        <f t="shared" si="11"/>
        <v>51.150000000000006</v>
      </c>
    </row>
    <row r="58" spans="1:9">
      <c r="A58" s="440">
        <f t="shared" si="9"/>
        <v>0</v>
      </c>
      <c r="B58" s="441">
        <v>0.17</v>
      </c>
      <c r="C58" s="493">
        <v>0</v>
      </c>
      <c r="E58" s="17" t="s">
        <v>610</v>
      </c>
      <c r="F58" s="403">
        <f t="shared" si="10"/>
        <v>55</v>
      </c>
      <c r="H58" s="403">
        <f t="shared" si="3"/>
        <v>55</v>
      </c>
      <c r="I58" s="403">
        <f t="shared" si="11"/>
        <v>0</v>
      </c>
    </row>
    <row r="59" spans="1:9">
      <c r="A59" s="440">
        <f t="shared" si="9"/>
        <v>0.5</v>
      </c>
      <c r="B59" s="441">
        <v>0.5</v>
      </c>
      <c r="C59" s="493">
        <v>1</v>
      </c>
      <c r="E59" s="17" t="s">
        <v>611</v>
      </c>
      <c r="F59" s="403">
        <f t="shared" si="10"/>
        <v>55</v>
      </c>
      <c r="H59" s="403">
        <f t="shared" si="3"/>
        <v>55</v>
      </c>
      <c r="I59" s="403">
        <f t="shared" si="11"/>
        <v>27.5</v>
      </c>
    </row>
    <row r="60" spans="1:9">
      <c r="A60" s="440">
        <f t="shared" si="9"/>
        <v>1</v>
      </c>
      <c r="B60" s="441">
        <v>1</v>
      </c>
      <c r="C60" s="493">
        <v>1</v>
      </c>
      <c r="E60" s="17" t="s">
        <v>612</v>
      </c>
      <c r="F60" s="403">
        <f t="shared" si="10"/>
        <v>55</v>
      </c>
      <c r="H60" s="403">
        <f t="shared" si="3"/>
        <v>55</v>
      </c>
      <c r="I60" s="403">
        <f t="shared" si="11"/>
        <v>55</v>
      </c>
    </row>
    <row r="61" spans="1:9">
      <c r="A61" s="440">
        <f t="shared" si="9"/>
        <v>12</v>
      </c>
      <c r="B61" s="441">
        <v>6</v>
      </c>
      <c r="C61" s="493">
        <v>2</v>
      </c>
      <c r="E61" s="17" t="s">
        <v>614</v>
      </c>
      <c r="F61" s="403">
        <f t="shared" si="10"/>
        <v>55</v>
      </c>
      <c r="H61" s="403">
        <f t="shared" si="3"/>
        <v>55</v>
      </c>
      <c r="I61" s="403">
        <f t="shared" si="11"/>
        <v>660</v>
      </c>
    </row>
    <row r="62" spans="1:9">
      <c r="A62" s="440">
        <f t="shared" si="9"/>
        <v>4</v>
      </c>
      <c r="B62" s="441">
        <v>4</v>
      </c>
      <c r="C62" s="493">
        <v>1</v>
      </c>
      <c r="E62" s="17" t="s">
        <v>615</v>
      </c>
      <c r="F62" s="403">
        <f t="shared" si="10"/>
        <v>55</v>
      </c>
      <c r="H62" s="403">
        <f t="shared" si="3"/>
        <v>55</v>
      </c>
      <c r="I62" s="403">
        <f t="shared" si="11"/>
        <v>220</v>
      </c>
    </row>
    <row r="63" spans="1:9">
      <c r="A63" s="440">
        <f t="shared" si="9"/>
        <v>4</v>
      </c>
      <c r="B63" s="441">
        <v>4</v>
      </c>
      <c r="C63" s="493">
        <v>1</v>
      </c>
      <c r="E63" s="17" t="s">
        <v>616</v>
      </c>
      <c r="F63" s="403">
        <f t="shared" si="10"/>
        <v>55</v>
      </c>
      <c r="H63" s="403">
        <f t="shared" si="3"/>
        <v>55</v>
      </c>
      <c r="I63" s="403">
        <f t="shared" si="11"/>
        <v>220</v>
      </c>
    </row>
    <row r="64" spans="1:9">
      <c r="A64" s="440">
        <f t="shared" si="9"/>
        <v>1.25</v>
      </c>
      <c r="B64" s="441">
        <v>0.25</v>
      </c>
      <c r="C64" s="493">
        <v>5</v>
      </c>
      <c r="D64" s="494" t="s">
        <v>539</v>
      </c>
      <c r="E64" s="17" t="s">
        <v>617</v>
      </c>
      <c r="F64" s="403">
        <f t="shared" si="10"/>
        <v>55</v>
      </c>
      <c r="H64" s="403">
        <f t="shared" si="3"/>
        <v>55</v>
      </c>
      <c r="I64" s="403">
        <f t="shared" si="11"/>
        <v>68.75</v>
      </c>
    </row>
    <row r="66" spans="1:16">
      <c r="A66" s="17">
        <f>SUM(A43:A65)</f>
        <v>265.31333333333333</v>
      </c>
      <c r="B66" s="17" t="s">
        <v>619</v>
      </c>
      <c r="E66" s="17" t="s">
        <v>620</v>
      </c>
    </row>
    <row r="67" spans="1:16">
      <c r="A67" s="441">
        <v>3</v>
      </c>
      <c r="B67" s="17" t="s">
        <v>517</v>
      </c>
      <c r="E67" s="17" t="s">
        <v>621</v>
      </c>
    </row>
    <row r="68" spans="1:16">
      <c r="A68" s="17">
        <v>1</v>
      </c>
      <c r="B68" s="17" t="s">
        <v>517</v>
      </c>
      <c r="E68" s="17" t="s">
        <v>622</v>
      </c>
      <c r="F68" s="445">
        <v>55</v>
      </c>
      <c r="H68" s="403">
        <f t="shared" si="3"/>
        <v>55</v>
      </c>
      <c r="I68" s="403">
        <f t="shared" si="11"/>
        <v>55</v>
      </c>
      <c r="J68" s="17" t="s">
        <v>623</v>
      </c>
    </row>
    <row r="69" spans="1:16">
      <c r="A69" s="17">
        <f>ROUNDUP(A66/8/A67,0)</f>
        <v>12</v>
      </c>
      <c r="B69" s="17" t="s">
        <v>624</v>
      </c>
      <c r="E69" s="17" t="s">
        <v>625</v>
      </c>
      <c r="F69" s="403">
        <f>A67*8*F68</f>
        <v>1320</v>
      </c>
      <c r="H69" s="403">
        <f t="shared" si="3"/>
        <v>1320</v>
      </c>
      <c r="I69" s="403">
        <f t="shared" si="11"/>
        <v>15840</v>
      </c>
    </row>
    <row r="70" spans="1:16">
      <c r="A70" s="441">
        <v>1</v>
      </c>
      <c r="B70" s="442" t="s">
        <v>517</v>
      </c>
      <c r="C70" s="446"/>
      <c r="D70" s="442"/>
      <c r="E70" s="442" t="s">
        <v>626</v>
      </c>
      <c r="F70" s="447">
        <v>500</v>
      </c>
      <c r="G70" s="444"/>
      <c r="H70" s="403">
        <v>1000</v>
      </c>
      <c r="I70" s="403">
        <f t="shared" si="11"/>
        <v>1000</v>
      </c>
      <c r="J70" s="17" t="s">
        <v>627</v>
      </c>
    </row>
    <row r="71" spans="1:16">
      <c r="A71" s="441"/>
      <c r="F71" s="447"/>
      <c r="H71" s="403"/>
      <c r="I71" s="403"/>
    </row>
    <row r="72" spans="1:16">
      <c r="A72" s="441"/>
      <c r="F72" s="447"/>
      <c r="H72" s="403"/>
      <c r="I72" s="403"/>
    </row>
    <row r="73" spans="1:16" ht="15.75">
      <c r="E73" s="439" t="s">
        <v>628</v>
      </c>
      <c r="I73" s="443">
        <f>SUM(I69:I72)</f>
        <v>16840</v>
      </c>
      <c r="P73" s="438">
        <f>I73</f>
        <v>16840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2">A87*H87</f>
        <v>0</v>
      </c>
      <c r="J87" s="459" t="s">
        <v>638</v>
      </c>
      <c r="K87" s="460" t="s">
        <v>639</v>
      </c>
    </row>
    <row r="88" spans="1:11" ht="12.8" customHeight="1">
      <c r="A88" s="461">
        <v>0</v>
      </c>
      <c r="B88" s="453" t="s">
        <v>517</v>
      </c>
      <c r="C88" s="453" t="s">
        <v>538</v>
      </c>
      <c r="D88" s="462" t="s">
        <v>640</v>
      </c>
      <c r="E88" s="453" t="s">
        <v>641</v>
      </c>
      <c r="F88" s="463">
        <v>1949</v>
      </c>
      <c r="G88" s="457"/>
      <c r="H88" s="458">
        <f t="shared" ref="H88:H98" si="13">F88*(1-$G$83)</f>
        <v>1169.3999999999999</v>
      </c>
      <c r="I88" s="458">
        <f t="shared" si="12"/>
        <v>0</v>
      </c>
      <c r="J88" s="459" t="s">
        <v>638</v>
      </c>
      <c r="K88" s="1051" t="s">
        <v>642</v>
      </c>
    </row>
    <row r="89" spans="1:11" ht="24.9">
      <c r="A89" s="452">
        <v>0</v>
      </c>
      <c r="B89" s="453" t="s">
        <v>539</v>
      </c>
      <c r="C89" s="453" t="s">
        <v>538</v>
      </c>
      <c r="D89" s="462" t="s">
        <v>643</v>
      </c>
      <c r="E89" s="453" t="s">
        <v>641</v>
      </c>
      <c r="F89" s="463">
        <v>80</v>
      </c>
      <c r="G89" s="457"/>
      <c r="H89" s="458">
        <f t="shared" si="13"/>
        <v>48</v>
      </c>
      <c r="I89" s="458">
        <f t="shared" si="12"/>
        <v>0</v>
      </c>
      <c r="J89" s="459" t="s">
        <v>638</v>
      </c>
      <c r="K89" s="1051"/>
    </row>
    <row r="90" spans="1:11" ht="12.8" customHeight="1">
      <c r="A90" s="461">
        <v>0</v>
      </c>
      <c r="B90" s="453" t="s">
        <v>517</v>
      </c>
      <c r="C90" s="453" t="s">
        <v>538</v>
      </c>
      <c r="D90" s="464" t="s">
        <v>644</v>
      </c>
      <c r="E90" s="453" t="s">
        <v>645</v>
      </c>
      <c r="F90" s="463">
        <v>10051</v>
      </c>
      <c r="G90" s="457"/>
      <c r="H90" s="458">
        <f t="shared" si="13"/>
        <v>6030.5999999999995</v>
      </c>
      <c r="I90" s="458">
        <f t="shared" si="12"/>
        <v>0</v>
      </c>
      <c r="J90" s="459" t="s">
        <v>638</v>
      </c>
      <c r="K90" s="1052" t="s">
        <v>646</v>
      </c>
    </row>
    <row r="91" spans="1:11" ht="24.9">
      <c r="A91" s="461">
        <v>0</v>
      </c>
      <c r="B91" s="453" t="s">
        <v>517</v>
      </c>
      <c r="C91" s="453" t="s">
        <v>538</v>
      </c>
      <c r="D91" s="464" t="s">
        <v>644</v>
      </c>
      <c r="E91" s="453" t="s">
        <v>647</v>
      </c>
      <c r="F91" s="463">
        <v>17412</v>
      </c>
      <c r="G91" s="457"/>
      <c r="H91" s="458">
        <f t="shared" si="13"/>
        <v>10447.199999999999</v>
      </c>
      <c r="I91" s="458">
        <f t="shared" si="12"/>
        <v>0</v>
      </c>
      <c r="J91" s="459" t="s">
        <v>638</v>
      </c>
      <c r="K91" s="1052"/>
    </row>
    <row r="92" spans="1:11" ht="12.8" customHeight="1">
      <c r="A92" s="461">
        <v>0</v>
      </c>
      <c r="B92" s="453" t="s">
        <v>517</v>
      </c>
      <c r="C92" s="453" t="s">
        <v>538</v>
      </c>
      <c r="D92" s="465" t="s">
        <v>644</v>
      </c>
      <c r="E92" s="453" t="s">
        <v>648</v>
      </c>
      <c r="F92" s="466">
        <v>2345</v>
      </c>
      <c r="G92" s="457"/>
      <c r="H92" s="458">
        <f t="shared" si="13"/>
        <v>1407</v>
      </c>
      <c r="I92" s="458">
        <f t="shared" si="12"/>
        <v>0</v>
      </c>
      <c r="J92" s="453" t="s">
        <v>649</v>
      </c>
      <c r="K92" s="1049" t="s">
        <v>650</v>
      </c>
    </row>
    <row r="93" spans="1:11" ht="24.9">
      <c r="A93" s="461">
        <v>0</v>
      </c>
      <c r="B93" s="453" t="s">
        <v>517</v>
      </c>
      <c r="C93" s="453" t="s">
        <v>538</v>
      </c>
      <c r="D93" s="465" t="s">
        <v>644</v>
      </c>
      <c r="E93" s="453" t="s">
        <v>651</v>
      </c>
      <c r="F93" s="466">
        <v>3258</v>
      </c>
      <c r="G93" s="457"/>
      <c r="H93" s="458">
        <f t="shared" si="13"/>
        <v>1954.8</v>
      </c>
      <c r="I93" s="458">
        <f t="shared" si="12"/>
        <v>0</v>
      </c>
      <c r="J93" s="453" t="s">
        <v>649</v>
      </c>
      <c r="K93" s="1049"/>
    </row>
    <row r="94" spans="1:11" ht="24.9">
      <c r="A94" s="461">
        <v>0</v>
      </c>
      <c r="B94" s="453" t="s">
        <v>517</v>
      </c>
      <c r="C94" s="453" t="s">
        <v>538</v>
      </c>
      <c r="D94" s="465" t="s">
        <v>644</v>
      </c>
      <c r="E94" s="453" t="s">
        <v>652</v>
      </c>
      <c r="F94" s="463">
        <v>5649</v>
      </c>
      <c r="G94" s="457"/>
      <c r="H94" s="458">
        <f t="shared" si="13"/>
        <v>3389.4</v>
      </c>
      <c r="I94" s="458">
        <f t="shared" si="12"/>
        <v>0</v>
      </c>
      <c r="J94" s="453" t="s">
        <v>649</v>
      </c>
      <c r="K94" s="1049"/>
    </row>
    <row r="95" spans="1:11" ht="24.9">
      <c r="A95" s="461">
        <v>0</v>
      </c>
      <c r="B95" s="453" t="s">
        <v>517</v>
      </c>
      <c r="C95" s="453" t="s">
        <v>538</v>
      </c>
      <c r="D95" s="465" t="s">
        <v>644</v>
      </c>
      <c r="E95" s="453" t="s">
        <v>653</v>
      </c>
      <c r="F95" s="463">
        <v>1488</v>
      </c>
      <c r="G95" s="457"/>
      <c r="H95" s="458">
        <f t="shared" si="13"/>
        <v>892.8</v>
      </c>
      <c r="I95" s="458">
        <f t="shared" si="12"/>
        <v>0</v>
      </c>
      <c r="J95" s="453" t="s">
        <v>649</v>
      </c>
      <c r="K95" s="1049"/>
    </row>
    <row r="96" spans="1:11" ht="24.9">
      <c r="A96" s="461">
        <v>0</v>
      </c>
      <c r="B96" s="453" t="s">
        <v>517</v>
      </c>
      <c r="C96" s="453" t="s">
        <v>538</v>
      </c>
      <c r="D96" s="465" t="s">
        <v>644</v>
      </c>
      <c r="E96" s="453" t="s">
        <v>654</v>
      </c>
      <c r="F96" s="463">
        <v>5269</v>
      </c>
      <c r="G96" s="457"/>
      <c r="H96" s="458">
        <f t="shared" si="13"/>
        <v>3161.4</v>
      </c>
      <c r="I96" s="458">
        <f t="shared" si="12"/>
        <v>0</v>
      </c>
      <c r="J96" s="453" t="s">
        <v>649</v>
      </c>
      <c r="K96" s="1049"/>
    </row>
    <row r="97" spans="1:12" ht="24.9">
      <c r="A97" s="461">
        <v>0</v>
      </c>
      <c r="B97" s="453" t="s">
        <v>517</v>
      </c>
      <c r="C97" s="453" t="s">
        <v>538</v>
      </c>
      <c r="D97" s="465" t="s">
        <v>644</v>
      </c>
      <c r="E97" s="453" t="s">
        <v>655</v>
      </c>
      <c r="F97" s="463">
        <v>3078</v>
      </c>
      <c r="G97" s="457"/>
      <c r="H97" s="458">
        <f t="shared" si="13"/>
        <v>1846.8</v>
      </c>
      <c r="I97" s="458">
        <f t="shared" si="12"/>
        <v>0</v>
      </c>
      <c r="J97" s="453" t="s">
        <v>649</v>
      </c>
      <c r="K97" s="1049"/>
    </row>
    <row r="98" spans="1:12" ht="24.9">
      <c r="A98" s="461">
        <v>0</v>
      </c>
      <c r="B98" s="453" t="s">
        <v>517</v>
      </c>
      <c r="C98" s="453" t="s">
        <v>538</v>
      </c>
      <c r="D98" s="465" t="s">
        <v>644</v>
      </c>
      <c r="E98" s="453" t="s">
        <v>656</v>
      </c>
      <c r="F98" s="463">
        <v>3489</v>
      </c>
      <c r="G98" s="457"/>
      <c r="H98" s="458">
        <f t="shared" si="13"/>
        <v>2093.4</v>
      </c>
      <c r="I98" s="458">
        <f t="shared" si="12"/>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4">F100*(1-$G$83)</f>
        <v>4473.5999999999995</v>
      </c>
      <c r="I100" s="458">
        <f t="shared" ref="I100:I130" si="15">A100*H100</f>
        <v>0</v>
      </c>
      <c r="J100" s="453" t="s">
        <v>649</v>
      </c>
      <c r="K100" s="1049"/>
    </row>
    <row r="101" spans="1:12" ht="24.9">
      <c r="A101" s="461">
        <v>0</v>
      </c>
      <c r="B101" s="453" t="s">
        <v>517</v>
      </c>
      <c r="C101" s="453" t="s">
        <v>538</v>
      </c>
      <c r="D101" s="465" t="s">
        <v>644</v>
      </c>
      <c r="E101" s="453" t="s">
        <v>660</v>
      </c>
      <c r="F101" s="463">
        <v>8494</v>
      </c>
      <c r="G101" s="457"/>
      <c r="H101" s="458">
        <f t="shared" si="14"/>
        <v>5096.3999999999996</v>
      </c>
      <c r="I101" s="458">
        <f t="shared" si="15"/>
        <v>0</v>
      </c>
      <c r="J101" s="453" t="s">
        <v>649</v>
      </c>
      <c r="K101" s="1049"/>
    </row>
    <row r="102" spans="1:12" ht="68.75" customHeight="1">
      <c r="A102" s="461">
        <v>0</v>
      </c>
      <c r="B102" s="453" t="s">
        <v>517</v>
      </c>
      <c r="C102" s="453" t="s">
        <v>538</v>
      </c>
      <c r="D102" s="465" t="s">
        <v>644</v>
      </c>
      <c r="E102" s="453" t="s">
        <v>661</v>
      </c>
      <c r="F102" s="463">
        <v>9434</v>
      </c>
      <c r="G102" s="457"/>
      <c r="H102" s="458">
        <f t="shared" si="14"/>
        <v>5660.4</v>
      </c>
      <c r="I102" s="458">
        <f t="shared" si="15"/>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5"/>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5"/>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5"/>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6">F111*(1-$G$83)</f>
        <v>1180.8</v>
      </c>
      <c r="I111" s="458">
        <f t="shared" si="15"/>
        <v>1180.8</v>
      </c>
      <c r="J111" s="459" t="s">
        <v>638</v>
      </c>
      <c r="K111" s="1051" t="s">
        <v>642</v>
      </c>
    </row>
    <row r="112" spans="1:12" ht="24.9">
      <c r="A112" s="452">
        <v>320</v>
      </c>
      <c r="B112" s="453" t="s">
        <v>539</v>
      </c>
      <c r="C112" s="453" t="s">
        <v>538</v>
      </c>
      <c r="D112" s="462" t="s">
        <v>643</v>
      </c>
      <c r="E112" s="453" t="s">
        <v>673</v>
      </c>
      <c r="F112" s="463">
        <v>87.9</v>
      </c>
      <c r="G112" s="457"/>
      <c r="H112" s="458">
        <f t="shared" si="16"/>
        <v>52.74</v>
      </c>
      <c r="I112" s="458">
        <f t="shared" si="15"/>
        <v>16876.8</v>
      </c>
      <c r="J112" s="459" t="s">
        <v>638</v>
      </c>
      <c r="K112" s="1051"/>
    </row>
    <row r="113" spans="1:11" ht="12.8" customHeight="1">
      <c r="A113" s="452">
        <v>0</v>
      </c>
      <c r="B113" s="453" t="s">
        <v>517</v>
      </c>
      <c r="C113" s="453" t="s">
        <v>538</v>
      </c>
      <c r="D113" s="464" t="s">
        <v>644</v>
      </c>
      <c r="E113" s="453" t="s">
        <v>645</v>
      </c>
      <c r="F113" s="463">
        <v>10051</v>
      </c>
      <c r="G113" s="457"/>
      <c r="H113" s="458">
        <f t="shared" si="16"/>
        <v>6030.5999999999995</v>
      </c>
      <c r="I113" s="458">
        <f t="shared" si="15"/>
        <v>0</v>
      </c>
      <c r="J113" s="459" t="s">
        <v>638</v>
      </c>
      <c r="K113" s="1052" t="s">
        <v>646</v>
      </c>
    </row>
    <row r="114" spans="1:11" ht="24.9">
      <c r="A114" s="461">
        <v>0</v>
      </c>
      <c r="B114" s="453" t="s">
        <v>517</v>
      </c>
      <c r="C114" s="453" t="s">
        <v>538</v>
      </c>
      <c r="D114" s="464" t="s">
        <v>644</v>
      </c>
      <c r="E114" s="453" t="s">
        <v>647</v>
      </c>
      <c r="F114" s="463">
        <v>17412</v>
      </c>
      <c r="G114" s="457"/>
      <c r="H114" s="458">
        <f t="shared" si="16"/>
        <v>10447.199999999999</v>
      </c>
      <c r="I114" s="458">
        <f t="shared" si="15"/>
        <v>0</v>
      </c>
      <c r="J114" s="459" t="s">
        <v>638</v>
      </c>
      <c r="K114" s="1052"/>
    </row>
    <row r="115" spans="1:11" ht="12.8" customHeight="1">
      <c r="A115" s="461">
        <v>0</v>
      </c>
      <c r="B115" s="453" t="s">
        <v>517</v>
      </c>
      <c r="C115" s="453" t="s">
        <v>538</v>
      </c>
      <c r="D115" s="465" t="s">
        <v>644</v>
      </c>
      <c r="E115" s="453" t="s">
        <v>648</v>
      </c>
      <c r="F115" s="463">
        <v>2345</v>
      </c>
      <c r="G115" s="457"/>
      <c r="H115" s="458">
        <f t="shared" si="16"/>
        <v>1407</v>
      </c>
      <c r="I115" s="458">
        <f t="shared" si="15"/>
        <v>0</v>
      </c>
      <c r="J115" s="453" t="s">
        <v>649</v>
      </c>
      <c r="K115" s="1049" t="s">
        <v>650</v>
      </c>
    </row>
    <row r="116" spans="1:11" ht="24.9">
      <c r="A116" s="461">
        <v>0</v>
      </c>
      <c r="B116" s="453" t="s">
        <v>517</v>
      </c>
      <c r="C116" s="453" t="s">
        <v>538</v>
      </c>
      <c r="D116" s="465" t="s">
        <v>644</v>
      </c>
      <c r="E116" s="453" t="s">
        <v>651</v>
      </c>
      <c r="F116" s="463">
        <v>3258</v>
      </c>
      <c r="G116" s="457"/>
      <c r="H116" s="458">
        <f t="shared" si="16"/>
        <v>1954.8</v>
      </c>
      <c r="I116" s="458">
        <f t="shared" si="15"/>
        <v>0</v>
      </c>
      <c r="J116" s="453" t="s">
        <v>649</v>
      </c>
      <c r="K116" s="1049"/>
    </row>
    <row r="117" spans="1:11" ht="24.9">
      <c r="A117" s="461">
        <v>0</v>
      </c>
      <c r="B117" s="453" t="s">
        <v>517</v>
      </c>
      <c r="C117" s="453" t="s">
        <v>538</v>
      </c>
      <c r="D117" s="465" t="s">
        <v>644</v>
      </c>
      <c r="E117" s="453" t="s">
        <v>652</v>
      </c>
      <c r="F117" s="463">
        <v>5649</v>
      </c>
      <c r="G117" s="457"/>
      <c r="H117" s="458">
        <f t="shared" si="16"/>
        <v>3389.4</v>
      </c>
      <c r="I117" s="458">
        <f t="shared" si="15"/>
        <v>0</v>
      </c>
      <c r="J117" s="453" t="s">
        <v>649</v>
      </c>
      <c r="K117" s="1049"/>
    </row>
    <row r="118" spans="1:11" ht="24.9">
      <c r="A118" s="461">
        <v>0</v>
      </c>
      <c r="B118" s="453" t="s">
        <v>517</v>
      </c>
      <c r="C118" s="453" t="s">
        <v>538</v>
      </c>
      <c r="D118" s="465" t="s">
        <v>644</v>
      </c>
      <c r="E118" s="453" t="s">
        <v>653</v>
      </c>
      <c r="F118" s="463">
        <v>1488</v>
      </c>
      <c r="G118" s="457"/>
      <c r="H118" s="458">
        <f t="shared" si="16"/>
        <v>892.8</v>
      </c>
      <c r="I118" s="458">
        <f t="shared" si="15"/>
        <v>0</v>
      </c>
      <c r="J118" s="453" t="s">
        <v>649</v>
      </c>
      <c r="K118" s="1049"/>
    </row>
    <row r="119" spans="1:11" ht="24.9">
      <c r="A119" s="461">
        <v>0</v>
      </c>
      <c r="B119" s="453" t="s">
        <v>517</v>
      </c>
      <c r="C119" s="453" t="s">
        <v>538</v>
      </c>
      <c r="D119" s="465" t="s">
        <v>644</v>
      </c>
      <c r="E119" s="453" t="s">
        <v>654</v>
      </c>
      <c r="F119" s="463">
        <v>5269</v>
      </c>
      <c r="G119" s="457"/>
      <c r="H119" s="458">
        <f t="shared" si="16"/>
        <v>3161.4</v>
      </c>
      <c r="I119" s="458">
        <f t="shared" si="15"/>
        <v>0</v>
      </c>
      <c r="J119" s="453" t="s">
        <v>649</v>
      </c>
      <c r="K119" s="1049"/>
    </row>
    <row r="120" spans="1:11" ht="24.9">
      <c r="A120" s="461">
        <v>0</v>
      </c>
      <c r="B120" s="453" t="s">
        <v>517</v>
      </c>
      <c r="C120" s="453" t="s">
        <v>538</v>
      </c>
      <c r="D120" s="465" t="s">
        <v>644</v>
      </c>
      <c r="E120" s="453" t="s">
        <v>655</v>
      </c>
      <c r="F120" s="463">
        <v>3078</v>
      </c>
      <c r="G120" s="457"/>
      <c r="H120" s="458">
        <f t="shared" si="16"/>
        <v>1846.8</v>
      </c>
      <c r="I120" s="458">
        <f t="shared" si="15"/>
        <v>0</v>
      </c>
      <c r="J120" s="453" t="s">
        <v>649</v>
      </c>
      <c r="K120" s="1049"/>
    </row>
    <row r="121" spans="1:11" ht="24.9">
      <c r="A121" s="461">
        <v>0</v>
      </c>
      <c r="B121" s="453" t="s">
        <v>517</v>
      </c>
      <c r="C121" s="453" t="s">
        <v>538</v>
      </c>
      <c r="D121" s="465" t="s">
        <v>644</v>
      </c>
      <c r="E121" s="453" t="s">
        <v>656</v>
      </c>
      <c r="F121" s="463">
        <v>3489</v>
      </c>
      <c r="G121" s="457"/>
      <c r="H121" s="458">
        <f t="shared" si="16"/>
        <v>2093.4</v>
      </c>
      <c r="I121" s="458">
        <f t="shared" si="15"/>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6"/>
        <v>4473.5999999999995</v>
      </c>
      <c r="I123" s="458">
        <f t="shared" si="15"/>
        <v>0</v>
      </c>
      <c r="J123" s="453" t="s">
        <v>649</v>
      </c>
      <c r="K123" s="1049"/>
    </row>
    <row r="124" spans="1:11" ht="24.9">
      <c r="A124" s="461">
        <v>1</v>
      </c>
      <c r="B124" s="453" t="s">
        <v>517</v>
      </c>
      <c r="C124" s="453" t="s">
        <v>538</v>
      </c>
      <c r="D124" s="465" t="s">
        <v>644</v>
      </c>
      <c r="E124" s="453" t="s">
        <v>660</v>
      </c>
      <c r="F124" s="463">
        <v>8494</v>
      </c>
      <c r="G124" s="457"/>
      <c r="H124" s="458">
        <f t="shared" si="16"/>
        <v>5096.3999999999996</v>
      </c>
      <c r="I124" s="458">
        <f t="shared" si="15"/>
        <v>5096.3999999999996</v>
      </c>
      <c r="J124" s="453" t="s">
        <v>649</v>
      </c>
      <c r="K124" s="1049"/>
    </row>
    <row r="125" spans="1:11" ht="24.9">
      <c r="A125" s="461">
        <v>0</v>
      </c>
      <c r="B125" s="453" t="s">
        <v>517</v>
      </c>
      <c r="C125" s="453" t="s">
        <v>538</v>
      </c>
      <c r="D125" s="465" t="s">
        <v>644</v>
      </c>
      <c r="E125" s="453" t="s">
        <v>661</v>
      </c>
      <c r="F125" s="463">
        <v>9434</v>
      </c>
      <c r="G125" s="457"/>
      <c r="H125" s="458">
        <f t="shared" si="16"/>
        <v>5660.4</v>
      </c>
      <c r="I125" s="458">
        <f t="shared" si="15"/>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5"/>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5"/>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7">F137*(1-G137)</f>
        <v>2801.13</v>
      </c>
      <c r="I137" s="409"/>
    </row>
    <row r="138" spans="1:17" ht="22.25">
      <c r="A138" s="407">
        <v>0</v>
      </c>
      <c r="B138" s="407" t="s">
        <v>522</v>
      </c>
      <c r="C138" s="408" t="s">
        <v>678</v>
      </c>
      <c r="D138" s="407" t="s">
        <v>681</v>
      </c>
      <c r="E138" s="408" t="s">
        <v>682</v>
      </c>
      <c r="F138" s="409">
        <v>772.15</v>
      </c>
      <c r="G138" s="410"/>
      <c r="H138" s="409">
        <f t="shared" si="17"/>
        <v>772.15</v>
      </c>
      <c r="I138" s="409"/>
    </row>
    <row r="139" spans="1:17" ht="22.25">
      <c r="A139" s="407">
        <v>0</v>
      </c>
      <c r="B139" s="407" t="s">
        <v>522</v>
      </c>
      <c r="C139" s="408" t="s">
        <v>678</v>
      </c>
      <c r="D139" s="407" t="s">
        <v>683</v>
      </c>
      <c r="E139" s="408" t="s">
        <v>684</v>
      </c>
      <c r="F139" s="409">
        <v>150.26</v>
      </c>
      <c r="G139" s="410"/>
      <c r="H139" s="409">
        <f t="shared" si="17"/>
        <v>150.26</v>
      </c>
      <c r="I139" s="409"/>
    </row>
    <row r="140" spans="1:17" ht="22.25">
      <c r="A140" s="407">
        <v>0</v>
      </c>
      <c r="B140" s="407" t="s">
        <v>522</v>
      </c>
      <c r="C140" s="408" t="s">
        <v>678</v>
      </c>
      <c r="D140" s="407" t="s">
        <v>685</v>
      </c>
      <c r="E140" s="408" t="s">
        <v>686</v>
      </c>
      <c r="F140" s="409">
        <v>10.58</v>
      </c>
      <c r="G140" s="410"/>
      <c r="H140" s="409">
        <f t="shared" si="17"/>
        <v>10.58</v>
      </c>
      <c r="I140" s="409"/>
    </row>
    <row r="141" spans="1:17" ht="22.25">
      <c r="A141" s="407">
        <v>0</v>
      </c>
      <c r="B141" s="407" t="s">
        <v>522</v>
      </c>
      <c r="C141" s="408" t="s">
        <v>678</v>
      </c>
      <c r="D141" s="407" t="s">
        <v>687</v>
      </c>
      <c r="E141" s="408" t="s">
        <v>688</v>
      </c>
      <c r="F141" s="409">
        <v>69.78</v>
      </c>
      <c r="G141" s="410"/>
      <c r="H141" s="409">
        <f t="shared" si="17"/>
        <v>69.78</v>
      </c>
      <c r="I141" s="409"/>
      <c r="J141" s="17" t="s">
        <v>689</v>
      </c>
    </row>
    <row r="142" spans="1:17" ht="22.25">
      <c r="A142" s="487">
        <v>0</v>
      </c>
      <c r="B142" s="407" t="s">
        <v>539</v>
      </c>
      <c r="C142" s="408" t="s">
        <v>690</v>
      </c>
      <c r="D142" s="407"/>
      <c r="E142" s="407" t="s">
        <v>691</v>
      </c>
      <c r="F142" s="409">
        <v>7.58</v>
      </c>
      <c r="G142" s="410"/>
      <c r="H142" s="409">
        <f t="shared" si="17"/>
        <v>7.58</v>
      </c>
      <c r="I142" s="409"/>
      <c r="J142" s="17" t="s">
        <v>692</v>
      </c>
    </row>
    <row r="143" spans="1:17" ht="22.25">
      <c r="A143" s="487">
        <v>0</v>
      </c>
      <c r="B143" s="407" t="s">
        <v>539</v>
      </c>
      <c r="C143" s="408" t="s">
        <v>690</v>
      </c>
      <c r="D143" s="407"/>
      <c r="E143" s="407" t="s">
        <v>693</v>
      </c>
      <c r="F143" s="409">
        <v>2.04</v>
      </c>
      <c r="G143" s="410"/>
      <c r="H143" s="409">
        <f t="shared" si="17"/>
        <v>2.04</v>
      </c>
      <c r="I143" s="409"/>
      <c r="J143" s="17" t="s">
        <v>694</v>
      </c>
    </row>
    <row r="144" spans="1:17" ht="22.25">
      <c r="A144" s="407">
        <v>0</v>
      </c>
      <c r="B144" s="407" t="s">
        <v>522</v>
      </c>
      <c r="C144" s="408"/>
      <c r="D144" s="407"/>
      <c r="E144" s="408" t="s">
        <v>695</v>
      </c>
      <c r="F144" s="409">
        <v>50</v>
      </c>
      <c r="G144" s="410"/>
      <c r="H144" s="409">
        <f t="shared" si="17"/>
        <v>50</v>
      </c>
      <c r="I144" s="409"/>
      <c r="J144" s="204" t="s">
        <v>696</v>
      </c>
    </row>
    <row r="145" spans="1:10">
      <c r="A145" s="407">
        <v>0</v>
      </c>
      <c r="B145" s="407" t="s">
        <v>619</v>
      </c>
      <c r="C145" s="408"/>
      <c r="D145" s="407"/>
      <c r="E145" s="408" t="s">
        <v>697</v>
      </c>
      <c r="F145" s="409">
        <f>F68</f>
        <v>55</v>
      </c>
      <c r="G145" s="410"/>
      <c r="H145" s="409">
        <f t="shared" si="17"/>
        <v>55</v>
      </c>
      <c r="I145" s="409"/>
    </row>
    <row r="146" spans="1:10" ht="66.8">
      <c r="A146" s="407">
        <v>0</v>
      </c>
      <c r="B146" s="407" t="s">
        <v>517</v>
      </c>
      <c r="C146" s="408" t="s">
        <v>698</v>
      </c>
      <c r="D146" s="407" t="s">
        <v>636</v>
      </c>
      <c r="E146" s="408" t="s">
        <v>637</v>
      </c>
      <c r="F146" s="409">
        <v>1809</v>
      </c>
      <c r="G146" s="410">
        <v>0.75</v>
      </c>
      <c r="H146" s="409">
        <f t="shared" si="17"/>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7"/>
        <v>800</v>
      </c>
      <c r="I160" s="403">
        <f t="shared" ref="I160:I177" si="18">A160*H160</f>
        <v>800</v>
      </c>
      <c r="J160" s="17" t="s">
        <v>704</v>
      </c>
    </row>
    <row r="161" spans="1:10">
      <c r="A161" s="442">
        <v>1</v>
      </c>
      <c r="B161" s="17" t="s">
        <v>517</v>
      </c>
      <c r="E161" s="17" t="s">
        <v>705</v>
      </c>
      <c r="F161" s="403">
        <v>500</v>
      </c>
      <c r="H161" s="403">
        <f t="shared" si="17"/>
        <v>500</v>
      </c>
      <c r="I161" s="403">
        <f t="shared" si="18"/>
        <v>500</v>
      </c>
      <c r="J161" s="17" t="s">
        <v>704</v>
      </c>
    </row>
    <row r="162" spans="1:10">
      <c r="A162" s="17">
        <v>1</v>
      </c>
      <c r="B162" s="17" t="s">
        <v>517</v>
      </c>
      <c r="E162" s="17" t="s">
        <v>706</v>
      </c>
      <c r="F162" s="403">
        <v>40</v>
      </c>
      <c r="H162" s="403">
        <f t="shared" si="17"/>
        <v>40</v>
      </c>
      <c r="I162" s="403">
        <f t="shared" si="18"/>
        <v>40</v>
      </c>
    </row>
    <row r="163" spans="1:10">
      <c r="A163" s="442">
        <v>1</v>
      </c>
      <c r="B163" s="17" t="s">
        <v>517</v>
      </c>
      <c r="E163" s="17" t="s">
        <v>707</v>
      </c>
      <c r="F163" s="403">
        <v>1500</v>
      </c>
      <c r="H163" s="403">
        <f t="shared" si="17"/>
        <v>1500</v>
      </c>
      <c r="I163" s="403">
        <f t="shared" si="18"/>
        <v>1500</v>
      </c>
      <c r="J163" s="17" t="s">
        <v>806</v>
      </c>
    </row>
    <row r="164" spans="1:10">
      <c r="A164" s="442">
        <v>0</v>
      </c>
      <c r="B164" s="17" t="s">
        <v>517</v>
      </c>
      <c r="E164" s="17" t="s">
        <v>807</v>
      </c>
      <c r="F164" s="403">
        <v>500</v>
      </c>
      <c r="H164" s="403">
        <f t="shared" si="17"/>
        <v>500</v>
      </c>
      <c r="I164" s="403">
        <f t="shared" si="18"/>
        <v>0</v>
      </c>
      <c r="J164" s="17" t="s">
        <v>806</v>
      </c>
    </row>
    <row r="165" spans="1:10" ht="55.65">
      <c r="A165" s="442">
        <v>1</v>
      </c>
      <c r="B165" s="17" t="s">
        <v>517</v>
      </c>
      <c r="C165" s="204" t="s">
        <v>708</v>
      </c>
      <c r="E165" s="204" t="s">
        <v>709</v>
      </c>
      <c r="F165" s="403">
        <v>460</v>
      </c>
      <c r="H165" s="403">
        <f t="shared" si="17"/>
        <v>460</v>
      </c>
      <c r="I165" s="403">
        <f t="shared" si="18"/>
        <v>460</v>
      </c>
    </row>
    <row r="166" spans="1:10" ht="33.4">
      <c r="A166" s="442">
        <v>0</v>
      </c>
      <c r="B166" s="17" t="s">
        <v>517</v>
      </c>
      <c r="C166" s="204" t="s">
        <v>808</v>
      </c>
      <c r="E166" s="204" t="s">
        <v>712</v>
      </c>
      <c r="F166" s="403">
        <v>365</v>
      </c>
      <c r="H166" s="403">
        <f t="shared" si="17"/>
        <v>365</v>
      </c>
      <c r="I166" s="403">
        <f t="shared" si="18"/>
        <v>0</v>
      </c>
    </row>
    <row r="167" spans="1:10" ht="55.65">
      <c r="A167" s="442">
        <v>0</v>
      </c>
      <c r="B167" s="17" t="s">
        <v>517</v>
      </c>
      <c r="C167" s="17" t="s">
        <v>713</v>
      </c>
      <c r="D167" s="17" t="s">
        <v>714</v>
      </c>
      <c r="E167" s="204" t="s">
        <v>715</v>
      </c>
      <c r="F167" s="403">
        <v>2725</v>
      </c>
      <c r="H167" s="403">
        <f t="shared" si="17"/>
        <v>2725</v>
      </c>
      <c r="I167" s="403">
        <f t="shared" si="18"/>
        <v>0</v>
      </c>
    </row>
    <row r="168" spans="1:10" ht="33.4">
      <c r="A168" s="442">
        <v>0</v>
      </c>
      <c r="B168" s="17" t="s">
        <v>517</v>
      </c>
      <c r="C168" s="204" t="s">
        <v>716</v>
      </c>
      <c r="E168" s="17" t="s">
        <v>717</v>
      </c>
      <c r="F168" s="403">
        <f>1840*1.04</f>
        <v>1913.6000000000001</v>
      </c>
      <c r="H168" s="403">
        <f t="shared" si="17"/>
        <v>1913.6000000000001</v>
      </c>
      <c r="I168" s="403">
        <f t="shared" si="18"/>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7"/>
        <v>50</v>
      </c>
      <c r="I171" s="403">
        <f t="shared" si="18"/>
        <v>0</v>
      </c>
    </row>
    <row r="172" spans="1:10">
      <c r="A172" s="442">
        <v>0</v>
      </c>
      <c r="B172" s="17" t="s">
        <v>517</v>
      </c>
      <c r="C172" s="204" t="s">
        <v>721</v>
      </c>
      <c r="E172" s="17" t="s">
        <v>722</v>
      </c>
      <c r="F172" s="403">
        <f>69/100</f>
        <v>0.69</v>
      </c>
      <c r="H172" s="403">
        <f t="shared" si="17"/>
        <v>0.69</v>
      </c>
      <c r="I172" s="403">
        <f t="shared" si="18"/>
        <v>0</v>
      </c>
    </row>
    <row r="173" spans="1:10">
      <c r="A173" s="442">
        <f t="shared" ref="A173:A176" si="19">A172</f>
        <v>0</v>
      </c>
      <c r="B173" s="17" t="s">
        <v>517</v>
      </c>
      <c r="C173" s="204" t="s">
        <v>721</v>
      </c>
      <c r="E173" s="17" t="s">
        <v>723</v>
      </c>
      <c r="F173" s="403">
        <v>0.1</v>
      </c>
      <c r="H173" s="403">
        <f t="shared" si="17"/>
        <v>0.1</v>
      </c>
      <c r="I173" s="403">
        <f t="shared" si="18"/>
        <v>0</v>
      </c>
    </row>
    <row r="174" spans="1:10">
      <c r="A174" s="442">
        <f t="shared" si="19"/>
        <v>0</v>
      </c>
      <c r="B174" s="17" t="s">
        <v>517</v>
      </c>
      <c r="C174" s="204" t="s">
        <v>721</v>
      </c>
      <c r="E174" s="17" t="s">
        <v>724</v>
      </c>
      <c r="F174" s="403">
        <f>13.25/1.2/100</f>
        <v>0.11041666666666668</v>
      </c>
      <c r="H174" s="403">
        <f t="shared" si="17"/>
        <v>0.11041666666666668</v>
      </c>
      <c r="I174" s="403">
        <f t="shared" si="18"/>
        <v>0</v>
      </c>
    </row>
    <row r="175" spans="1:10" ht="22.25">
      <c r="A175" s="442">
        <v>0</v>
      </c>
      <c r="B175" s="17" t="s">
        <v>539</v>
      </c>
      <c r="C175" s="204" t="s">
        <v>725</v>
      </c>
      <c r="E175" s="17" t="s">
        <v>726</v>
      </c>
      <c r="F175" s="403">
        <f>15.73/1.2</f>
        <v>13.108333333333334</v>
      </c>
      <c r="H175" s="403">
        <f t="shared" si="17"/>
        <v>13.108333333333334</v>
      </c>
      <c r="I175" s="403">
        <f t="shared" si="18"/>
        <v>0</v>
      </c>
    </row>
    <row r="176" spans="1:10" ht="22.25">
      <c r="A176" s="442">
        <f t="shared" si="19"/>
        <v>0</v>
      </c>
      <c r="B176" s="17" t="s">
        <v>539</v>
      </c>
      <c r="C176" s="204" t="s">
        <v>531</v>
      </c>
      <c r="E176" s="17" t="s">
        <v>727</v>
      </c>
      <c r="F176" s="403">
        <v>25</v>
      </c>
      <c r="H176" s="403">
        <f t="shared" si="17"/>
        <v>25</v>
      </c>
      <c r="I176" s="403">
        <f t="shared" si="18"/>
        <v>0</v>
      </c>
    </row>
    <row r="177" spans="1:9" ht="22.25">
      <c r="A177" s="442">
        <f>A176*4</f>
        <v>0</v>
      </c>
      <c r="B177" s="17" t="s">
        <v>517</v>
      </c>
      <c r="C177" s="204" t="s">
        <v>531</v>
      </c>
      <c r="E177" s="17" t="s">
        <v>728</v>
      </c>
      <c r="F177" s="403">
        <v>0.1</v>
      </c>
      <c r="H177" s="403">
        <f t="shared" si="17"/>
        <v>0.1</v>
      </c>
      <c r="I177" s="403">
        <f t="shared" si="18"/>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7"/>
        <v>500</v>
      </c>
      <c r="I182" s="403">
        <f t="shared" ref="I182:I184" si="20">A182*H182</f>
        <v>500</v>
      </c>
    </row>
    <row r="183" spans="1:9" ht="55.65">
      <c r="A183" s="442">
        <v>0</v>
      </c>
      <c r="B183" s="17" t="s">
        <v>517</v>
      </c>
      <c r="C183" s="204" t="s">
        <v>708</v>
      </c>
      <c r="E183" s="204" t="s">
        <v>731</v>
      </c>
      <c r="F183" s="403">
        <f>460/2</f>
        <v>230</v>
      </c>
      <c r="H183" s="403">
        <f t="shared" si="17"/>
        <v>230</v>
      </c>
      <c r="I183" s="403">
        <f t="shared" si="20"/>
        <v>0</v>
      </c>
    </row>
    <row r="184" spans="1:9" ht="55.65">
      <c r="A184" s="442">
        <v>0</v>
      </c>
      <c r="B184" s="17" t="s">
        <v>517</v>
      </c>
      <c r="C184" s="204" t="s">
        <v>711</v>
      </c>
      <c r="E184" s="204" t="s">
        <v>732</v>
      </c>
      <c r="F184" s="403">
        <f>320/2</f>
        <v>160</v>
      </c>
      <c r="H184" s="403">
        <f t="shared" si="17"/>
        <v>160</v>
      </c>
      <c r="I184" s="403">
        <f t="shared" si="20"/>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v>405</v>
      </c>
      <c r="J1" s="17" t="s">
        <v>494</v>
      </c>
      <c r="K1" s="17" t="s">
        <v>495</v>
      </c>
      <c r="L1" s="58">
        <f>A4*I1</f>
        <v>52650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130</v>
      </c>
      <c r="B4" s="413" t="s">
        <v>505</v>
      </c>
      <c r="C4" s="415" t="s">
        <v>734</v>
      </c>
      <c r="D4" s="414"/>
      <c r="E4" s="415" t="s">
        <v>735</v>
      </c>
      <c r="F4" s="416">
        <f>0.362*405</f>
        <v>146.60999999999999</v>
      </c>
      <c r="G4" s="419"/>
      <c r="H4" s="416">
        <f t="shared" ref="H4:H9" si="0">F4*(1-G4)</f>
        <v>146.60999999999999</v>
      </c>
      <c r="I4" s="409">
        <f t="shared" ref="I4:I9" si="1">A4*H4</f>
        <v>19059.3</v>
      </c>
      <c r="J4" s="417">
        <f>F4/$I$1</f>
        <v>0.36199999999999999</v>
      </c>
      <c r="K4" s="403" t="s">
        <v>780</v>
      </c>
      <c r="M4" s="418">
        <f>I4</f>
        <v>19059.3</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c r="A6" s="413">
        <f>A4+A5</f>
        <v>130</v>
      </c>
      <c r="B6" s="413" t="s">
        <v>505</v>
      </c>
      <c r="C6" s="413" t="s">
        <v>781</v>
      </c>
      <c r="D6" s="413"/>
      <c r="E6" s="420" t="s">
        <v>782</v>
      </c>
      <c r="F6" s="421">
        <f>5728*1.036/A6</f>
        <v>45.647753846153847</v>
      </c>
      <c r="G6" s="422"/>
      <c r="H6" s="416">
        <f t="shared" si="0"/>
        <v>45.647753846153847</v>
      </c>
      <c r="I6" s="409">
        <f t="shared" si="1"/>
        <v>5934.2080000000005</v>
      </c>
      <c r="J6" s="417">
        <f>F6/$I$1</f>
        <v>0.11271050332383666</v>
      </c>
      <c r="K6" s="417"/>
      <c r="L6" s="204"/>
      <c r="M6" s="418">
        <f>I6</f>
        <v>5934.2080000000005</v>
      </c>
      <c r="N6" s="418"/>
      <c r="O6" s="418"/>
      <c r="P6" s="418"/>
      <c r="Q6" s="418"/>
      <c r="R6" s="418"/>
      <c r="S6" s="418"/>
    </row>
    <row r="7" spans="1:19" ht="44.55">
      <c r="A7" s="423">
        <v>1</v>
      </c>
      <c r="B7" s="423" t="s">
        <v>522</v>
      </c>
      <c r="C7" s="420" t="s">
        <v>742</v>
      </c>
      <c r="D7" s="423"/>
      <c r="E7" s="415" t="s">
        <v>745</v>
      </c>
      <c r="F7" s="416">
        <v>3572.58</v>
      </c>
      <c r="G7" s="422"/>
      <c r="H7" s="421">
        <f t="shared" si="0"/>
        <v>3572.58</v>
      </c>
      <c r="I7" s="409">
        <f t="shared" si="1"/>
        <v>3572.58</v>
      </c>
      <c r="J7" s="204"/>
      <c r="M7" s="418"/>
      <c r="N7" s="418">
        <f t="shared" ref="N7:N9" si="2">I7</f>
        <v>3572.58</v>
      </c>
      <c r="O7" s="418"/>
      <c r="P7" s="418"/>
      <c r="Q7" s="418"/>
      <c r="R7" s="418"/>
      <c r="S7" s="418"/>
    </row>
    <row r="8" spans="1:19">
      <c r="A8" s="488"/>
      <c r="B8" s="488"/>
      <c r="C8" s="488"/>
      <c r="D8" s="488"/>
      <c r="E8" s="489"/>
      <c r="F8" s="490"/>
      <c r="G8" s="410"/>
      <c r="H8" s="409">
        <f t="shared" si="0"/>
        <v>0</v>
      </c>
      <c r="I8" s="409">
        <f t="shared" si="1"/>
        <v>0</v>
      </c>
      <c r="J8" s="204"/>
      <c r="M8" s="418"/>
      <c r="N8" s="418">
        <f t="shared" si="2"/>
        <v>0</v>
      </c>
      <c r="O8" s="418"/>
      <c r="P8" s="418"/>
      <c r="Q8" s="418"/>
      <c r="R8" s="418"/>
      <c r="S8" s="418"/>
    </row>
    <row r="9" spans="1:19">
      <c r="A9" s="407"/>
      <c r="B9" s="407"/>
      <c r="C9" s="408"/>
      <c r="D9" s="407"/>
      <c r="E9" s="408"/>
      <c r="F9" s="409"/>
      <c r="G9" s="410"/>
      <c r="H9" s="409">
        <f t="shared" si="0"/>
        <v>0</v>
      </c>
      <c r="I9" s="409">
        <f t="shared" si="1"/>
        <v>0</v>
      </c>
      <c r="J9" s="204"/>
      <c r="M9" s="418"/>
      <c r="N9" s="418">
        <f t="shared" si="2"/>
        <v>0</v>
      </c>
      <c r="O9" s="418"/>
      <c r="P9" s="418"/>
      <c r="Q9" s="418"/>
      <c r="R9" s="418"/>
      <c r="S9" s="418"/>
    </row>
    <row r="10" spans="1:19">
      <c r="A10" s="407"/>
      <c r="B10" s="407"/>
      <c r="C10" s="408"/>
      <c r="D10" s="407"/>
      <c r="E10" s="408"/>
      <c r="F10" s="409"/>
      <c r="G10" s="410"/>
      <c r="H10" s="409">
        <f t="shared" ref="H10:H69" si="3">F10*(1-G10)</f>
        <v>0</v>
      </c>
      <c r="I10" s="409">
        <f t="shared" ref="I10:I34" si="4">A10*H10</f>
        <v>0</v>
      </c>
      <c r="J10" s="204"/>
      <c r="M10" s="418"/>
      <c r="N10" s="418">
        <f>I10</f>
        <v>0</v>
      </c>
      <c r="O10" s="418"/>
      <c r="P10" s="418"/>
      <c r="Q10" s="418"/>
      <c r="R10" s="418"/>
      <c r="S10" s="418"/>
    </row>
    <row r="11" spans="1:19">
      <c r="A11" s="488"/>
      <c r="B11" s="488"/>
      <c r="C11" s="408"/>
      <c r="D11" s="487"/>
      <c r="E11" s="408"/>
      <c r="F11" s="409"/>
      <c r="G11" s="410"/>
      <c r="H11" s="409">
        <f t="shared" si="3"/>
        <v>0</v>
      </c>
      <c r="I11" s="409">
        <f t="shared" si="4"/>
        <v>0</v>
      </c>
      <c r="J11" s="204"/>
      <c r="L11" s="442"/>
      <c r="M11" s="418"/>
      <c r="N11" s="418"/>
      <c r="O11" s="418"/>
      <c r="P11" s="418"/>
      <c r="Q11" s="418"/>
      <c r="R11" s="418">
        <f t="shared" ref="R11:R26" si="5">I11</f>
        <v>0</v>
      </c>
      <c r="S11" s="418"/>
    </row>
    <row r="12" spans="1:19">
      <c r="A12" s="488"/>
      <c r="B12" s="488"/>
      <c r="C12" s="488"/>
      <c r="D12" s="488"/>
      <c r="E12" s="489"/>
      <c r="F12" s="490"/>
      <c r="G12" s="410"/>
      <c r="H12" s="409">
        <f t="shared" si="3"/>
        <v>0</v>
      </c>
      <c r="I12" s="409">
        <f t="shared" si="4"/>
        <v>0</v>
      </c>
      <c r="J12" s="204"/>
      <c r="L12" s="442"/>
      <c r="M12" s="418"/>
      <c r="N12" s="418"/>
      <c r="O12" s="418"/>
      <c r="P12" s="418"/>
      <c r="Q12" s="418"/>
      <c r="R12" s="418">
        <f t="shared" si="5"/>
        <v>0</v>
      </c>
      <c r="S12" s="418"/>
    </row>
    <row r="13" spans="1:19" ht="22.25">
      <c r="A13" s="414">
        <v>1</v>
      </c>
      <c r="B13" s="414" t="s">
        <v>505</v>
      </c>
      <c r="C13" s="415" t="s">
        <v>783</v>
      </c>
      <c r="D13" s="414"/>
      <c r="E13" s="415" t="s">
        <v>1419</v>
      </c>
      <c r="F13" s="416">
        <v>700</v>
      </c>
      <c r="G13" s="419"/>
      <c r="H13" s="416">
        <f t="shared" si="3"/>
        <v>700</v>
      </c>
      <c r="I13" s="409">
        <f t="shared" si="4"/>
        <v>700</v>
      </c>
      <c r="J13" s="204"/>
      <c r="M13" s="418"/>
      <c r="N13" s="418"/>
      <c r="O13" s="418"/>
      <c r="P13" s="418"/>
      <c r="Q13" s="418"/>
      <c r="R13" s="418">
        <f t="shared" si="5"/>
        <v>700</v>
      </c>
      <c r="S13" s="418"/>
    </row>
    <row r="14" spans="1:19">
      <c r="A14" s="407"/>
      <c r="B14" s="407"/>
      <c r="C14" s="407"/>
      <c r="D14" s="407"/>
      <c r="E14" s="408"/>
      <c r="F14" s="409"/>
      <c r="G14" s="410"/>
      <c r="H14" s="409">
        <f t="shared" si="3"/>
        <v>0</v>
      </c>
      <c r="I14" s="409">
        <f t="shared" si="4"/>
        <v>0</v>
      </c>
      <c r="J14" s="204"/>
      <c r="M14" s="418"/>
      <c r="N14" s="418"/>
      <c r="O14" s="418"/>
      <c r="P14" s="418"/>
      <c r="Q14" s="418"/>
      <c r="R14" s="418">
        <f t="shared" si="5"/>
        <v>0</v>
      </c>
      <c r="S14" s="418"/>
    </row>
    <row r="15" spans="1:19">
      <c r="A15" s="413">
        <v>1</v>
      </c>
      <c r="B15" s="413" t="s">
        <v>505</v>
      </c>
      <c r="C15" s="413" t="s">
        <v>792</v>
      </c>
      <c r="D15" s="413" t="s">
        <v>793</v>
      </c>
      <c r="E15" s="420" t="s">
        <v>794</v>
      </c>
      <c r="F15" s="421">
        <v>2000</v>
      </c>
      <c r="G15" s="419"/>
      <c r="H15" s="416">
        <f t="shared" si="3"/>
        <v>2000</v>
      </c>
      <c r="I15" s="409">
        <f t="shared" si="4"/>
        <v>2000</v>
      </c>
      <c r="J15" s="204"/>
      <c r="M15" s="418"/>
      <c r="N15" s="418"/>
      <c r="O15" s="418"/>
      <c r="P15" s="418"/>
      <c r="Q15" s="418"/>
      <c r="R15" s="418">
        <f t="shared" si="5"/>
        <v>2000</v>
      </c>
      <c r="S15" s="418"/>
    </row>
    <row r="16" spans="1:19" ht="33.4">
      <c r="A16" s="407">
        <v>0</v>
      </c>
      <c r="B16" s="407" t="s">
        <v>505</v>
      </c>
      <c r="C16" s="408" t="s">
        <v>534</v>
      </c>
      <c r="D16" s="407"/>
      <c r="E16" s="408" t="s">
        <v>535</v>
      </c>
      <c r="F16" s="409">
        <v>3.71</v>
      </c>
      <c r="G16" s="410"/>
      <c r="H16" s="409">
        <f t="shared" si="3"/>
        <v>3.71</v>
      </c>
      <c r="I16" s="409">
        <f t="shared" si="4"/>
        <v>0</v>
      </c>
      <c r="J16" s="204" t="s">
        <v>795</v>
      </c>
      <c r="M16" s="418"/>
      <c r="N16" s="418"/>
      <c r="O16" s="418"/>
      <c r="P16" s="418"/>
      <c r="Q16" s="418"/>
      <c r="R16" s="418">
        <f t="shared" si="5"/>
        <v>0</v>
      </c>
      <c r="S16" s="418"/>
    </row>
    <row r="17" spans="1:19" ht="22.25">
      <c r="A17" s="407">
        <f>A16</f>
        <v>0</v>
      </c>
      <c r="B17" s="407" t="s">
        <v>505</v>
      </c>
      <c r="C17" s="408" t="s">
        <v>534</v>
      </c>
      <c r="D17" s="407"/>
      <c r="E17" s="408" t="s">
        <v>537</v>
      </c>
      <c r="F17" s="409">
        <v>3.81</v>
      </c>
      <c r="G17" s="410"/>
      <c r="H17" s="409">
        <f t="shared" si="3"/>
        <v>3.81</v>
      </c>
      <c r="I17" s="409">
        <f t="shared" si="4"/>
        <v>0</v>
      </c>
      <c r="J17" s="204" t="s">
        <v>538</v>
      </c>
      <c r="M17" s="418"/>
      <c r="N17" s="418"/>
      <c r="O17" s="418"/>
      <c r="P17" s="418"/>
      <c r="Q17" s="418"/>
      <c r="R17" s="418">
        <f t="shared" si="5"/>
        <v>0</v>
      </c>
      <c r="S17" s="418"/>
    </row>
    <row r="18" spans="1:19" ht="44.55">
      <c r="A18" s="413">
        <f>223*1.1</f>
        <v>245.3</v>
      </c>
      <c r="B18" s="413" t="s">
        <v>539</v>
      </c>
      <c r="C18" s="415" t="s">
        <v>747</v>
      </c>
      <c r="D18" s="413"/>
      <c r="E18" s="420" t="s">
        <v>755</v>
      </c>
      <c r="F18" s="421">
        <f t="shared" ref="F18:F19" si="6">362.73/500</f>
        <v>0.72545999999999999</v>
      </c>
      <c r="G18" s="419"/>
      <c r="H18" s="416">
        <f t="shared" si="3"/>
        <v>0.72545999999999999</v>
      </c>
      <c r="I18" s="409">
        <f t="shared" si="4"/>
        <v>177.95533800000001</v>
      </c>
      <c r="M18" s="418"/>
      <c r="N18" s="418"/>
      <c r="O18" s="418">
        <f t="shared" ref="O18:O29" si="7">I18</f>
        <v>177.95533800000001</v>
      </c>
      <c r="P18" s="418"/>
      <c r="Q18" s="418"/>
      <c r="R18" s="418"/>
      <c r="S18" s="418"/>
    </row>
    <row r="19" spans="1:19" ht="44.55">
      <c r="A19" s="413">
        <f>488*1.1</f>
        <v>536.80000000000007</v>
      </c>
      <c r="B19" s="413" t="s">
        <v>539</v>
      </c>
      <c r="C19" s="415" t="s">
        <v>747</v>
      </c>
      <c r="D19" s="413"/>
      <c r="E19" s="420" t="s">
        <v>757</v>
      </c>
      <c r="F19" s="421">
        <f t="shared" si="6"/>
        <v>0.72545999999999999</v>
      </c>
      <c r="G19" s="419"/>
      <c r="H19" s="416">
        <f t="shared" si="3"/>
        <v>0.72545999999999999</v>
      </c>
      <c r="I19" s="409">
        <f t="shared" si="4"/>
        <v>389.42692800000003</v>
      </c>
      <c r="M19" s="418"/>
      <c r="N19" s="418"/>
      <c r="O19" s="418">
        <f t="shared" si="7"/>
        <v>389.42692800000003</v>
      </c>
      <c r="P19" s="418"/>
      <c r="Q19" s="418"/>
      <c r="R19" s="418"/>
      <c r="S19" s="418"/>
    </row>
    <row r="20" spans="1:19" ht="44.55">
      <c r="A20" s="413">
        <v>6</v>
      </c>
      <c r="B20" s="413" t="s">
        <v>551</v>
      </c>
      <c r="C20" s="420" t="s">
        <v>552</v>
      </c>
      <c r="D20" s="413" t="s">
        <v>553</v>
      </c>
      <c r="E20" s="420" t="s">
        <v>554</v>
      </c>
      <c r="F20" s="421">
        <v>100</v>
      </c>
      <c r="G20" s="426"/>
      <c r="H20" s="425">
        <f t="shared" si="3"/>
        <v>100</v>
      </c>
      <c r="I20" s="409">
        <f t="shared" si="4"/>
        <v>600</v>
      </c>
      <c r="J20" s="204"/>
      <c r="K20" s="17" t="s">
        <v>555</v>
      </c>
      <c r="M20" s="418"/>
      <c r="N20" s="418"/>
      <c r="O20" s="418">
        <f t="shared" si="7"/>
        <v>600</v>
      </c>
      <c r="P20" s="418"/>
      <c r="Q20" s="418"/>
      <c r="R20" s="418"/>
      <c r="S20" s="418"/>
    </row>
    <row r="21" spans="1:19" ht="33.4">
      <c r="A21" s="413">
        <v>26</v>
      </c>
      <c r="B21" s="413" t="s">
        <v>517</v>
      </c>
      <c r="C21" s="420" t="s">
        <v>540</v>
      </c>
      <c r="D21" s="413" t="s">
        <v>797</v>
      </c>
      <c r="E21" s="420" t="s">
        <v>798</v>
      </c>
      <c r="F21" s="421">
        <v>0.88</v>
      </c>
      <c r="G21" s="419"/>
      <c r="H21" s="416">
        <f t="shared" si="3"/>
        <v>0.88</v>
      </c>
      <c r="I21" s="409">
        <f t="shared" si="4"/>
        <v>22.88</v>
      </c>
      <c r="J21" s="204" t="s">
        <v>1546</v>
      </c>
      <c r="M21" s="418"/>
      <c r="N21" s="418"/>
      <c r="O21" s="418">
        <f t="shared" si="7"/>
        <v>22.88</v>
      </c>
      <c r="P21" s="418"/>
      <c r="Q21" s="418"/>
      <c r="R21" s="418"/>
      <c r="S21" s="418"/>
    </row>
    <row r="22" spans="1:19" ht="33.4">
      <c r="A22" s="413">
        <f>A21</f>
        <v>26</v>
      </c>
      <c r="B22" s="413" t="s">
        <v>517</v>
      </c>
      <c r="C22" s="420" t="s">
        <v>540</v>
      </c>
      <c r="D22" s="413" t="s">
        <v>800</v>
      </c>
      <c r="E22" s="420" t="s">
        <v>801</v>
      </c>
      <c r="F22" s="421">
        <v>0.67</v>
      </c>
      <c r="G22" s="419"/>
      <c r="H22" s="416">
        <f t="shared" si="3"/>
        <v>0.67</v>
      </c>
      <c r="I22" s="409">
        <f t="shared" si="4"/>
        <v>17.420000000000002</v>
      </c>
      <c r="J22" s="204" t="s">
        <v>1546</v>
      </c>
      <c r="M22" s="418"/>
      <c r="N22" s="418"/>
      <c r="O22" s="418">
        <f t="shared" si="7"/>
        <v>17.420000000000002</v>
      </c>
      <c r="P22" s="418"/>
      <c r="Q22" s="418"/>
      <c r="R22" s="418"/>
      <c r="S22" s="418"/>
    </row>
    <row r="23" spans="1:19" ht="22.25">
      <c r="A23" s="407">
        <v>0</v>
      </c>
      <c r="B23" s="407" t="s">
        <v>517</v>
      </c>
      <c r="C23" s="408" t="s">
        <v>540</v>
      </c>
      <c r="D23" s="407" t="s">
        <v>556</v>
      </c>
      <c r="E23" s="408" t="s">
        <v>557</v>
      </c>
      <c r="F23" s="409">
        <v>6.58</v>
      </c>
      <c r="G23" s="410"/>
      <c r="H23" s="409">
        <f t="shared" si="3"/>
        <v>6.58</v>
      </c>
      <c r="I23" s="409">
        <f t="shared" si="4"/>
        <v>0</v>
      </c>
      <c r="J23" s="204"/>
      <c r="M23" s="418"/>
      <c r="N23" s="418"/>
      <c r="O23" s="418">
        <f t="shared" si="7"/>
        <v>0</v>
      </c>
      <c r="P23" s="418"/>
      <c r="Q23" s="418"/>
      <c r="R23" s="418"/>
      <c r="S23" s="418"/>
    </row>
    <row r="24" spans="1:19" ht="22.25">
      <c r="A24" s="413">
        <v>12</v>
      </c>
      <c r="B24" s="413" t="s">
        <v>517</v>
      </c>
      <c r="C24" s="415" t="s">
        <v>506</v>
      </c>
      <c r="D24" s="414"/>
      <c r="E24" s="415" t="s">
        <v>802</v>
      </c>
      <c r="F24" s="416">
        <f>86.1/28</f>
        <v>3.0749999999999997</v>
      </c>
      <c r="G24" s="419"/>
      <c r="H24" s="416">
        <f t="shared" si="3"/>
        <v>3.0749999999999997</v>
      </c>
      <c r="I24" s="409">
        <f t="shared" si="4"/>
        <v>36.9</v>
      </c>
      <c r="J24" s="204"/>
      <c r="M24" s="418"/>
      <c r="N24" s="418"/>
      <c r="O24" s="418"/>
      <c r="P24" s="418"/>
      <c r="Q24" s="418"/>
      <c r="R24" s="418">
        <f t="shared" si="5"/>
        <v>36.9</v>
      </c>
      <c r="S24" s="418"/>
    </row>
    <row r="25" spans="1:19" ht="35.85" customHeight="1">
      <c r="A25" s="413">
        <v>1</v>
      </c>
      <c r="B25" s="413" t="s">
        <v>522</v>
      </c>
      <c r="C25" s="413" t="s">
        <v>751</v>
      </c>
      <c r="D25" s="413"/>
      <c r="E25" s="420" t="s">
        <v>803</v>
      </c>
      <c r="F25" s="421">
        <v>564.44000000000005</v>
      </c>
      <c r="G25" s="419"/>
      <c r="H25" s="416">
        <f t="shared" si="3"/>
        <v>564.44000000000005</v>
      </c>
      <c r="I25" s="409">
        <f t="shared" si="4"/>
        <v>564.44000000000005</v>
      </c>
      <c r="J25" s="1054" t="s">
        <v>1547</v>
      </c>
      <c r="K25" s="1054"/>
      <c r="L25" s="1054"/>
      <c r="M25" s="418"/>
      <c r="N25" s="418"/>
      <c r="O25" s="418"/>
      <c r="P25" s="418"/>
      <c r="Q25" s="418"/>
      <c r="R25" s="418">
        <f t="shared" si="5"/>
        <v>564.44000000000005</v>
      </c>
      <c r="S25" s="418"/>
    </row>
    <row r="26" spans="1:19">
      <c r="A26" s="407"/>
      <c r="B26" s="407"/>
      <c r="C26" s="408"/>
      <c r="D26" s="407"/>
      <c r="E26" s="408"/>
      <c r="F26" s="409"/>
      <c r="G26" s="410"/>
      <c r="H26" s="409">
        <f t="shared" si="3"/>
        <v>0</v>
      </c>
      <c r="I26" s="409">
        <f t="shared" si="4"/>
        <v>0</v>
      </c>
      <c r="J26" s="204"/>
      <c r="M26" s="418"/>
      <c r="N26" s="418"/>
      <c r="O26" s="418"/>
      <c r="P26" s="418"/>
      <c r="Q26" s="418"/>
      <c r="R26" s="418">
        <f t="shared" si="5"/>
        <v>0</v>
      </c>
      <c r="S26" s="418"/>
    </row>
    <row r="27" spans="1:19" ht="22.25">
      <c r="A27" s="413">
        <v>1</v>
      </c>
      <c r="B27" s="413" t="s">
        <v>522</v>
      </c>
      <c r="C27" s="420" t="s">
        <v>531</v>
      </c>
      <c r="D27" s="413"/>
      <c r="E27" s="420" t="s">
        <v>695</v>
      </c>
      <c r="F27" s="421">
        <v>100</v>
      </c>
      <c r="G27" s="410"/>
      <c r="H27" s="409">
        <f t="shared" si="3"/>
        <v>100</v>
      </c>
      <c r="I27" s="409">
        <f t="shared" si="4"/>
        <v>100</v>
      </c>
      <c r="J27" s="204"/>
      <c r="M27" s="418"/>
      <c r="N27" s="418"/>
      <c r="O27" s="418">
        <f t="shared" si="7"/>
        <v>100</v>
      </c>
      <c r="P27" s="418"/>
      <c r="Q27" s="418"/>
      <c r="R27" s="418"/>
      <c r="S27" s="418"/>
    </row>
    <row r="28" spans="1:19">
      <c r="A28" s="413">
        <v>1</v>
      </c>
      <c r="B28" s="413" t="s">
        <v>505</v>
      </c>
      <c r="C28" s="413" t="s">
        <v>751</v>
      </c>
      <c r="D28" s="413"/>
      <c r="E28" s="420" t="s">
        <v>834</v>
      </c>
      <c r="F28" s="421">
        <v>462.5</v>
      </c>
      <c r="G28" s="410"/>
      <c r="H28" s="409">
        <f t="shared" si="3"/>
        <v>462.5</v>
      </c>
      <c r="I28" s="409">
        <f t="shared" si="4"/>
        <v>462.5</v>
      </c>
      <c r="J28" s="204"/>
      <c r="M28" s="418">
        <f>F28</f>
        <v>462.5</v>
      </c>
      <c r="N28" s="418"/>
      <c r="O28" s="418"/>
      <c r="P28" s="418"/>
      <c r="Q28" s="418"/>
      <c r="R28" s="418"/>
      <c r="S28" s="418"/>
    </row>
    <row r="29" spans="1:19" ht="44.55">
      <c r="A29" s="488">
        <v>5</v>
      </c>
      <c r="B29" s="414" t="s">
        <v>539</v>
      </c>
      <c r="C29" s="415" t="s">
        <v>552</v>
      </c>
      <c r="D29" s="414"/>
      <c r="E29" s="415" t="s">
        <v>1304</v>
      </c>
      <c r="F29" s="416">
        <f>24.34/1.2</f>
        <v>20.283333333333335</v>
      </c>
      <c r="G29" s="426"/>
      <c r="H29" s="425">
        <f t="shared" si="3"/>
        <v>20.283333333333335</v>
      </c>
      <c r="I29" s="409">
        <f t="shared" si="4"/>
        <v>101.41666666666667</v>
      </c>
      <c r="J29" s="204"/>
      <c r="K29" s="17" t="s">
        <v>805</v>
      </c>
      <c r="M29" s="418"/>
      <c r="N29" s="418"/>
      <c r="O29" s="418">
        <f t="shared" si="7"/>
        <v>101.41666666666667</v>
      </c>
      <c r="P29" s="418"/>
      <c r="Q29" s="418"/>
      <c r="R29" s="418"/>
      <c r="S29" s="418"/>
    </row>
    <row r="30" spans="1:19" ht="44.55">
      <c r="A30" s="413">
        <v>1</v>
      </c>
      <c r="B30" s="413" t="s">
        <v>517</v>
      </c>
      <c r="C30" s="420" t="s">
        <v>569</v>
      </c>
      <c r="D30" s="413" t="s">
        <v>570</v>
      </c>
      <c r="E30" s="420" t="s">
        <v>571</v>
      </c>
      <c r="F30" s="421">
        <v>1040</v>
      </c>
      <c r="G30" s="495">
        <v>0.48</v>
      </c>
      <c r="H30" s="425">
        <f t="shared" si="3"/>
        <v>540.80000000000007</v>
      </c>
      <c r="I30" s="409">
        <f t="shared" si="4"/>
        <v>540.80000000000007</v>
      </c>
      <c r="J30" s="204"/>
      <c r="M30" s="418"/>
      <c r="N30" s="418"/>
      <c r="O30" s="418"/>
      <c r="P30" s="418"/>
      <c r="Q30" s="418"/>
      <c r="R30" s="418"/>
      <c r="S30" s="418">
        <f t="shared" ref="S30:S34" si="8">I30</f>
        <v>540.80000000000007</v>
      </c>
    </row>
    <row r="31" spans="1:19" ht="55.65">
      <c r="A31" s="413">
        <v>0</v>
      </c>
      <c r="B31" s="413" t="s">
        <v>517</v>
      </c>
      <c r="C31" s="424" t="s">
        <v>569</v>
      </c>
      <c r="D31" s="423" t="s">
        <v>572</v>
      </c>
      <c r="E31" s="424" t="s">
        <v>573</v>
      </c>
      <c r="F31" s="425">
        <v>1190</v>
      </c>
      <c r="G31" s="495">
        <v>0.48</v>
      </c>
      <c r="H31" s="425">
        <f t="shared" si="3"/>
        <v>618.80000000000007</v>
      </c>
      <c r="I31" s="409">
        <f t="shared" si="4"/>
        <v>0</v>
      </c>
      <c r="J31" s="204"/>
      <c r="M31" s="418"/>
      <c r="N31" s="418"/>
      <c r="O31" s="418"/>
      <c r="P31" s="418"/>
      <c r="Q31" s="418"/>
      <c r="R31" s="418"/>
      <c r="S31" s="418">
        <f t="shared" si="8"/>
        <v>0</v>
      </c>
    </row>
    <row r="32" spans="1:19">
      <c r="A32" s="413">
        <v>0</v>
      </c>
      <c r="B32" s="413" t="s">
        <v>517</v>
      </c>
      <c r="C32" s="420" t="s">
        <v>574</v>
      </c>
      <c r="D32" s="413" t="s">
        <v>575</v>
      </c>
      <c r="E32" s="413" t="s">
        <v>576</v>
      </c>
      <c r="F32" s="421">
        <v>36.700000000000003</v>
      </c>
      <c r="G32" s="419"/>
      <c r="H32" s="416">
        <f t="shared" si="3"/>
        <v>36.700000000000003</v>
      </c>
      <c r="I32" s="409">
        <f t="shared" si="4"/>
        <v>0</v>
      </c>
      <c r="J32" s="204"/>
      <c r="M32" s="418"/>
      <c r="N32" s="418"/>
      <c r="O32" s="418"/>
      <c r="P32" s="418"/>
      <c r="Q32" s="418"/>
      <c r="R32" s="418"/>
      <c r="S32" s="418">
        <f t="shared" si="8"/>
        <v>0</v>
      </c>
    </row>
    <row r="33" spans="1:19">
      <c r="A33" s="413">
        <v>5</v>
      </c>
      <c r="B33" s="413" t="s">
        <v>517</v>
      </c>
      <c r="C33" s="420" t="s">
        <v>574</v>
      </c>
      <c r="D33" s="413" t="s">
        <v>577</v>
      </c>
      <c r="E33" s="413" t="s">
        <v>578</v>
      </c>
      <c r="F33" s="421">
        <v>75</v>
      </c>
      <c r="G33" s="419"/>
      <c r="H33" s="416">
        <f t="shared" si="3"/>
        <v>75</v>
      </c>
      <c r="I33" s="409">
        <f t="shared" si="4"/>
        <v>375</v>
      </c>
      <c r="J33" s="204"/>
      <c r="M33" s="418"/>
      <c r="N33" s="418"/>
      <c r="O33" s="418"/>
      <c r="P33" s="418"/>
      <c r="Q33" s="418"/>
      <c r="R33" s="418"/>
      <c r="S33" s="418">
        <f t="shared" si="8"/>
        <v>375</v>
      </c>
    </row>
    <row r="34" spans="1:19">
      <c r="A34" s="413">
        <v>1</v>
      </c>
      <c r="B34" s="413" t="s">
        <v>517</v>
      </c>
      <c r="C34" s="420" t="s">
        <v>574</v>
      </c>
      <c r="D34" s="413"/>
      <c r="E34" s="413" t="s">
        <v>579</v>
      </c>
      <c r="F34" s="421">
        <f>35/4</f>
        <v>8.75</v>
      </c>
      <c r="G34" s="419"/>
      <c r="H34" s="416">
        <f t="shared" si="3"/>
        <v>8.75</v>
      </c>
      <c r="I34" s="409">
        <f t="shared" si="4"/>
        <v>8.75</v>
      </c>
      <c r="J34" s="204"/>
      <c r="M34" s="418"/>
      <c r="N34" s="418"/>
      <c r="O34" s="418"/>
      <c r="P34" s="418"/>
      <c r="Q34" s="418"/>
      <c r="R34" s="418"/>
      <c r="S34" s="418">
        <f t="shared" si="8"/>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34663.57693266667</v>
      </c>
      <c r="J37" s="204"/>
      <c r="M37" s="418">
        <f>SUM(M4:M35)</f>
        <v>25456.008000000002</v>
      </c>
      <c r="N37" s="418">
        <f>SUM(N4:N35)</f>
        <v>3572.58</v>
      </c>
      <c r="O37" s="418">
        <f>SUM(O4:O35)</f>
        <v>1409.098932666667</v>
      </c>
      <c r="P37" s="418"/>
      <c r="Q37" s="418"/>
      <c r="R37" s="418">
        <f>SUM(R4:R35)</f>
        <v>3301.34</v>
      </c>
      <c r="S37" s="418">
        <f>SUM(S4:S35)</f>
        <v>924.55000000000007</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43329.47116583334</v>
      </c>
      <c r="J39" s="436"/>
      <c r="K39" s="437"/>
      <c r="L39" s="437"/>
      <c r="M39" s="438">
        <f>M37*(1+$G$38)</f>
        <v>31820.010000000002</v>
      </c>
      <c r="N39" s="438">
        <f>N37*(1+$G$38)</f>
        <v>4465.7250000000004</v>
      </c>
      <c r="O39" s="438">
        <f>O37*(1+$G$38)</f>
        <v>1761.3736658333337</v>
      </c>
      <c r="P39" s="438">
        <f>P73</f>
        <v>8920</v>
      </c>
      <c r="Q39" s="438">
        <f>Q132</f>
        <v>25607.859999999997</v>
      </c>
      <c r="R39" s="438">
        <f>R37*(1+$G$38)</f>
        <v>4126.6750000000002</v>
      </c>
      <c r="S39" s="438">
        <f>S37*(1+$G$38)</f>
        <v>1155.6875</v>
      </c>
    </row>
    <row r="42" spans="1:19" ht="33.4">
      <c r="B42" s="204" t="s">
        <v>583</v>
      </c>
      <c r="C42" s="204" t="s">
        <v>584</v>
      </c>
      <c r="E42" s="439" t="s">
        <v>585</v>
      </c>
    </row>
    <row r="43" spans="1:19">
      <c r="A43" s="440">
        <f t="shared" ref="A43:A64" si="9">B43*C43</f>
        <v>6</v>
      </c>
      <c r="B43" s="441">
        <v>6</v>
      </c>
      <c r="C43" s="493">
        <v>1</v>
      </c>
      <c r="E43" s="17" t="s">
        <v>586</v>
      </c>
      <c r="F43" s="403">
        <f t="shared" ref="F43:F64" si="10">F$68</f>
        <v>55</v>
      </c>
      <c r="H43" s="403">
        <f t="shared" si="3"/>
        <v>55</v>
      </c>
      <c r="I43" s="403">
        <f t="shared" ref="I43:I70" si="11">A43*H43</f>
        <v>330</v>
      </c>
    </row>
    <row r="44" spans="1:19">
      <c r="A44" s="440">
        <f t="shared" si="9"/>
        <v>19.5</v>
      </c>
      <c r="B44" s="441">
        <v>0.15</v>
      </c>
      <c r="C44" s="493">
        <f>A6</f>
        <v>130</v>
      </c>
      <c r="D44" s="17" t="s">
        <v>588</v>
      </c>
      <c r="E44" s="17" t="s">
        <v>589</v>
      </c>
      <c r="F44" s="403">
        <f t="shared" si="10"/>
        <v>55</v>
      </c>
      <c r="H44" s="403">
        <f t="shared" si="3"/>
        <v>55</v>
      </c>
      <c r="I44" s="403">
        <f t="shared" si="11"/>
        <v>1072.5</v>
      </c>
    </row>
    <row r="45" spans="1:19">
      <c r="A45" s="440">
        <f t="shared" si="9"/>
        <v>45.5</v>
      </c>
      <c r="B45" s="441">
        <v>0.35</v>
      </c>
      <c r="C45" s="493">
        <f>A4</f>
        <v>130</v>
      </c>
      <c r="D45" s="17" t="s">
        <v>588</v>
      </c>
      <c r="E45" s="17" t="s">
        <v>591</v>
      </c>
      <c r="F45" s="403">
        <f t="shared" si="10"/>
        <v>55</v>
      </c>
      <c r="H45" s="403">
        <f t="shared" si="3"/>
        <v>55</v>
      </c>
      <c r="I45" s="403">
        <f t="shared" si="11"/>
        <v>2502.5</v>
      </c>
    </row>
    <row r="46" spans="1:19">
      <c r="A46" s="440">
        <f t="shared" si="9"/>
        <v>1.2</v>
      </c>
      <c r="B46" s="441">
        <v>0.04</v>
      </c>
      <c r="C46" s="493">
        <v>30</v>
      </c>
      <c r="D46" s="17" t="s">
        <v>539</v>
      </c>
      <c r="E46" s="17" t="s">
        <v>593</v>
      </c>
      <c r="F46" s="403">
        <f t="shared" si="10"/>
        <v>55</v>
      </c>
      <c r="H46" s="403">
        <f t="shared" si="3"/>
        <v>55</v>
      </c>
      <c r="I46" s="403">
        <f t="shared" si="11"/>
        <v>66</v>
      </c>
    </row>
    <row r="47" spans="1:19">
      <c r="A47" s="440">
        <f t="shared" si="9"/>
        <v>0.4</v>
      </c>
      <c r="B47" s="441">
        <v>0.04</v>
      </c>
      <c r="C47" s="493">
        <v>10</v>
      </c>
      <c r="D47" s="17" t="s">
        <v>539</v>
      </c>
      <c r="E47" s="17" t="s">
        <v>594</v>
      </c>
      <c r="F47" s="403">
        <f t="shared" si="10"/>
        <v>55</v>
      </c>
      <c r="H47" s="403">
        <f t="shared" si="3"/>
        <v>55</v>
      </c>
      <c r="I47" s="403">
        <f t="shared" si="11"/>
        <v>22</v>
      </c>
    </row>
    <row r="48" spans="1:19">
      <c r="A48" s="440">
        <f t="shared" si="9"/>
        <v>27.642000000000003</v>
      </c>
      <c r="B48" s="441">
        <v>0.02</v>
      </c>
      <c r="C48" s="493">
        <f>A18+A19+A20*100</f>
        <v>1382.1000000000001</v>
      </c>
      <c r="D48" s="17" t="s">
        <v>539</v>
      </c>
      <c r="E48" s="17" t="s">
        <v>595</v>
      </c>
      <c r="F48" s="403">
        <f t="shared" si="10"/>
        <v>55</v>
      </c>
      <c r="H48" s="403">
        <f t="shared" si="3"/>
        <v>55</v>
      </c>
      <c r="I48" s="403">
        <f t="shared" si="11"/>
        <v>1520.3100000000002</v>
      </c>
    </row>
    <row r="49" spans="1:9">
      <c r="A49" s="440">
        <f t="shared" si="9"/>
        <v>0</v>
      </c>
      <c r="B49" s="441">
        <f>2*0.17</f>
        <v>0.34</v>
      </c>
      <c r="C49" s="493">
        <v>0</v>
      </c>
      <c r="D49" s="17" t="s">
        <v>596</v>
      </c>
      <c r="E49" s="17" t="s">
        <v>775</v>
      </c>
      <c r="F49" s="403">
        <f t="shared" si="10"/>
        <v>55</v>
      </c>
      <c r="H49" s="403">
        <f t="shared" si="3"/>
        <v>55</v>
      </c>
      <c r="I49" s="403">
        <f t="shared" si="11"/>
        <v>0</v>
      </c>
    </row>
    <row r="50" spans="1:9">
      <c r="A50" s="440">
        <f t="shared" si="9"/>
        <v>5.2</v>
      </c>
      <c r="B50" s="441">
        <v>0.4</v>
      </c>
      <c r="C50" s="493">
        <v>13</v>
      </c>
      <c r="E50" s="17" t="s">
        <v>600</v>
      </c>
      <c r="F50" s="403">
        <f t="shared" si="10"/>
        <v>55</v>
      </c>
      <c r="H50" s="403">
        <f t="shared" si="3"/>
        <v>55</v>
      </c>
      <c r="I50" s="403">
        <f t="shared" si="11"/>
        <v>286</v>
      </c>
    </row>
    <row r="51" spans="1:9">
      <c r="A51" s="440">
        <f t="shared" si="9"/>
        <v>2</v>
      </c>
      <c r="B51" s="441">
        <v>2</v>
      </c>
      <c r="C51" s="493">
        <v>1</v>
      </c>
      <c r="E51" s="17" t="s">
        <v>601</v>
      </c>
      <c r="F51" s="403">
        <f t="shared" si="10"/>
        <v>55</v>
      </c>
      <c r="H51" s="403">
        <f t="shared" si="3"/>
        <v>55</v>
      </c>
      <c r="I51" s="403">
        <f t="shared" si="11"/>
        <v>110</v>
      </c>
    </row>
    <row r="52" spans="1:9">
      <c r="A52" s="440">
        <f t="shared" si="9"/>
        <v>0</v>
      </c>
      <c r="B52" s="441">
        <f>0.5+10*0.15+2*0.1</f>
        <v>2.2000000000000002</v>
      </c>
      <c r="C52" s="493">
        <v>0</v>
      </c>
      <c r="E52" s="17" t="s">
        <v>602</v>
      </c>
      <c r="F52" s="403">
        <f t="shared" si="10"/>
        <v>55</v>
      </c>
      <c r="H52" s="403">
        <f t="shared" si="3"/>
        <v>55</v>
      </c>
      <c r="I52" s="403">
        <f t="shared" si="11"/>
        <v>0</v>
      </c>
    </row>
    <row r="53" spans="1:9">
      <c r="A53" s="440">
        <f t="shared" si="9"/>
        <v>0</v>
      </c>
      <c r="B53" s="441">
        <f>0.5+4*0.15</f>
        <v>1.1000000000000001</v>
      </c>
      <c r="C53" s="493">
        <v>0</v>
      </c>
      <c r="E53" s="17" t="s">
        <v>776</v>
      </c>
      <c r="F53" s="403">
        <f t="shared" si="10"/>
        <v>55</v>
      </c>
      <c r="H53" s="403">
        <f t="shared" si="3"/>
        <v>55</v>
      </c>
      <c r="I53" s="403">
        <f t="shared" si="11"/>
        <v>0</v>
      </c>
    </row>
    <row r="54" spans="1:9">
      <c r="A54" s="440">
        <f t="shared" si="9"/>
        <v>1.3333333333333333</v>
      </c>
      <c r="B54" s="441">
        <f>8/6</f>
        <v>1.3333333333333333</v>
      </c>
      <c r="C54" s="493">
        <v>1</v>
      </c>
      <c r="D54" s="17" t="s">
        <v>604</v>
      </c>
      <c r="E54" s="17" t="s">
        <v>605</v>
      </c>
      <c r="F54" s="403">
        <f t="shared" si="10"/>
        <v>55</v>
      </c>
      <c r="H54" s="403">
        <f t="shared" si="3"/>
        <v>55</v>
      </c>
      <c r="I54" s="403">
        <f t="shared" si="11"/>
        <v>73.333333333333329</v>
      </c>
    </row>
    <row r="55" spans="1:9">
      <c r="A55" s="440">
        <f t="shared" si="9"/>
        <v>4</v>
      </c>
      <c r="B55" s="441">
        <v>4</v>
      </c>
      <c r="C55" s="493">
        <v>1</v>
      </c>
      <c r="E55" s="17" t="s">
        <v>606</v>
      </c>
      <c r="F55" s="403">
        <f t="shared" si="10"/>
        <v>55</v>
      </c>
      <c r="H55" s="403">
        <f t="shared" si="3"/>
        <v>55</v>
      </c>
      <c r="I55" s="403">
        <f t="shared" si="11"/>
        <v>220</v>
      </c>
    </row>
    <row r="56" spans="1:9">
      <c r="A56" s="440">
        <f t="shared" si="9"/>
        <v>2</v>
      </c>
      <c r="B56" s="441">
        <v>2</v>
      </c>
      <c r="C56" s="493">
        <v>1</v>
      </c>
      <c r="E56" s="17" t="s">
        <v>607</v>
      </c>
      <c r="F56" s="403">
        <f t="shared" si="10"/>
        <v>55</v>
      </c>
      <c r="H56" s="403">
        <f t="shared" si="3"/>
        <v>55</v>
      </c>
      <c r="I56" s="403">
        <f t="shared" si="11"/>
        <v>110</v>
      </c>
    </row>
    <row r="57" spans="1:9">
      <c r="A57" s="440">
        <f t="shared" si="9"/>
        <v>0.93000000000000016</v>
      </c>
      <c r="B57" s="441">
        <f>0.33+6*0.1</f>
        <v>0.93000000000000016</v>
      </c>
      <c r="C57" s="493">
        <v>1</v>
      </c>
      <c r="E57" s="17" t="s">
        <v>609</v>
      </c>
      <c r="F57" s="403">
        <f t="shared" si="10"/>
        <v>55</v>
      </c>
      <c r="H57" s="403">
        <f t="shared" si="3"/>
        <v>55</v>
      </c>
      <c r="I57" s="403">
        <f t="shared" si="11"/>
        <v>51.150000000000006</v>
      </c>
    </row>
    <row r="58" spans="1:9">
      <c r="A58" s="440">
        <f t="shared" si="9"/>
        <v>0</v>
      </c>
      <c r="B58" s="441">
        <v>0.17</v>
      </c>
      <c r="C58" s="493">
        <v>0</v>
      </c>
      <c r="E58" s="17" t="s">
        <v>610</v>
      </c>
      <c r="F58" s="403">
        <f t="shared" si="10"/>
        <v>55</v>
      </c>
      <c r="H58" s="403">
        <f t="shared" si="3"/>
        <v>55</v>
      </c>
      <c r="I58" s="403">
        <f t="shared" si="11"/>
        <v>0</v>
      </c>
    </row>
    <row r="59" spans="1:9">
      <c r="A59" s="440">
        <f t="shared" si="9"/>
        <v>0.5</v>
      </c>
      <c r="B59" s="441">
        <v>0.5</v>
      </c>
      <c r="C59" s="493">
        <v>1</v>
      </c>
      <c r="E59" s="17" t="s">
        <v>611</v>
      </c>
      <c r="F59" s="403">
        <f t="shared" si="10"/>
        <v>55</v>
      </c>
      <c r="H59" s="403">
        <f t="shared" si="3"/>
        <v>55</v>
      </c>
      <c r="I59" s="403">
        <f t="shared" si="11"/>
        <v>27.5</v>
      </c>
    </row>
    <row r="60" spans="1:9">
      <c r="A60" s="440">
        <f t="shared" si="9"/>
        <v>1</v>
      </c>
      <c r="B60" s="441">
        <v>1</v>
      </c>
      <c r="C60" s="493">
        <v>1</v>
      </c>
      <c r="E60" s="17" t="s">
        <v>612</v>
      </c>
      <c r="F60" s="403">
        <f t="shared" si="10"/>
        <v>55</v>
      </c>
      <c r="H60" s="403">
        <f t="shared" si="3"/>
        <v>55</v>
      </c>
      <c r="I60" s="403">
        <f t="shared" si="11"/>
        <v>55</v>
      </c>
    </row>
    <row r="61" spans="1:9">
      <c r="A61" s="440">
        <f t="shared" si="9"/>
        <v>6</v>
      </c>
      <c r="B61" s="441">
        <v>6</v>
      </c>
      <c r="C61" s="493">
        <v>1</v>
      </c>
      <c r="E61" s="17" t="s">
        <v>614</v>
      </c>
      <c r="F61" s="403">
        <f t="shared" si="10"/>
        <v>55</v>
      </c>
      <c r="H61" s="403">
        <f t="shared" si="3"/>
        <v>55</v>
      </c>
      <c r="I61" s="403">
        <f t="shared" si="11"/>
        <v>330</v>
      </c>
    </row>
    <row r="62" spans="1:9">
      <c r="A62" s="440">
        <f t="shared" si="9"/>
        <v>4</v>
      </c>
      <c r="B62" s="441">
        <v>4</v>
      </c>
      <c r="C62" s="493">
        <v>1</v>
      </c>
      <c r="E62" s="17" t="s">
        <v>615</v>
      </c>
      <c r="F62" s="403">
        <f t="shared" si="10"/>
        <v>55</v>
      </c>
      <c r="H62" s="403">
        <f t="shared" si="3"/>
        <v>55</v>
      </c>
      <c r="I62" s="403">
        <f t="shared" si="11"/>
        <v>220</v>
      </c>
    </row>
    <row r="63" spans="1:9">
      <c r="A63" s="440">
        <f t="shared" si="9"/>
        <v>4</v>
      </c>
      <c r="B63" s="441">
        <v>4</v>
      </c>
      <c r="C63" s="493">
        <v>1</v>
      </c>
      <c r="E63" s="17" t="s">
        <v>616</v>
      </c>
      <c r="F63" s="403">
        <f t="shared" si="10"/>
        <v>55</v>
      </c>
      <c r="H63" s="403">
        <f t="shared" si="3"/>
        <v>55</v>
      </c>
      <c r="I63" s="403">
        <f t="shared" si="11"/>
        <v>220</v>
      </c>
    </row>
    <row r="64" spans="1:9">
      <c r="A64" s="440">
        <f t="shared" si="9"/>
        <v>1.25</v>
      </c>
      <c r="B64" s="441">
        <v>0.25</v>
      </c>
      <c r="C64" s="493">
        <v>5</v>
      </c>
      <c r="D64" s="494" t="s">
        <v>539</v>
      </c>
      <c r="E64" s="17" t="s">
        <v>617</v>
      </c>
      <c r="F64" s="403">
        <f t="shared" si="10"/>
        <v>55</v>
      </c>
      <c r="H64" s="403">
        <f t="shared" si="3"/>
        <v>55</v>
      </c>
      <c r="I64" s="403">
        <f t="shared" si="11"/>
        <v>68.75</v>
      </c>
    </row>
    <row r="66" spans="1:16">
      <c r="A66" s="17">
        <f>SUM(A43:A65)</f>
        <v>132.45533333333336</v>
      </c>
      <c r="B66" s="17" t="s">
        <v>619</v>
      </c>
      <c r="E66" s="17" t="s">
        <v>620</v>
      </c>
    </row>
    <row r="67" spans="1:16">
      <c r="A67" s="441">
        <v>3</v>
      </c>
      <c r="B67" s="17" t="s">
        <v>517</v>
      </c>
      <c r="E67" s="17" t="s">
        <v>621</v>
      </c>
    </row>
    <row r="68" spans="1:16">
      <c r="A68" s="17">
        <v>1</v>
      </c>
      <c r="B68" s="17" t="s">
        <v>517</v>
      </c>
      <c r="E68" s="17" t="s">
        <v>622</v>
      </c>
      <c r="F68" s="445">
        <v>55</v>
      </c>
      <c r="H68" s="403">
        <f t="shared" si="3"/>
        <v>55</v>
      </c>
      <c r="I68" s="403">
        <f t="shared" si="11"/>
        <v>55</v>
      </c>
      <c r="J68" s="17" t="s">
        <v>623</v>
      </c>
    </row>
    <row r="69" spans="1:16">
      <c r="A69" s="17">
        <f>ROUNDUP(A66/8/A67,0)</f>
        <v>6</v>
      </c>
      <c r="B69" s="17" t="s">
        <v>624</v>
      </c>
      <c r="E69" s="17" t="s">
        <v>625</v>
      </c>
      <c r="F69" s="403">
        <f>A67*8*F68</f>
        <v>1320</v>
      </c>
      <c r="H69" s="403">
        <f t="shared" si="3"/>
        <v>1320</v>
      </c>
      <c r="I69" s="403">
        <f t="shared" si="11"/>
        <v>7920</v>
      </c>
    </row>
    <row r="70" spans="1:16">
      <c r="A70" s="441">
        <v>1</v>
      </c>
      <c r="B70" s="442" t="s">
        <v>517</v>
      </c>
      <c r="C70" s="446"/>
      <c r="D70" s="442"/>
      <c r="E70" s="442" t="s">
        <v>626</v>
      </c>
      <c r="F70" s="447">
        <v>500</v>
      </c>
      <c r="G70" s="444"/>
      <c r="H70" s="403">
        <v>1000</v>
      </c>
      <c r="I70" s="403">
        <f t="shared" si="11"/>
        <v>1000</v>
      </c>
      <c r="J70" s="17" t="s">
        <v>627</v>
      </c>
    </row>
    <row r="71" spans="1:16">
      <c r="A71" s="441"/>
      <c r="F71" s="447"/>
      <c r="H71" s="403"/>
      <c r="I71" s="403"/>
    </row>
    <row r="72" spans="1:16">
      <c r="A72" s="441"/>
      <c r="F72" s="447"/>
      <c r="H72" s="403"/>
      <c r="I72" s="403"/>
    </row>
    <row r="73" spans="1:16" ht="15.75">
      <c r="E73" s="439" t="s">
        <v>628</v>
      </c>
      <c r="I73" s="443">
        <f>SUM(I69:I72)</f>
        <v>8920</v>
      </c>
      <c r="P73" s="438">
        <f>I73</f>
        <v>8920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2">A87*H87</f>
        <v>0</v>
      </c>
      <c r="J87" s="459" t="s">
        <v>638</v>
      </c>
      <c r="K87" s="460" t="s">
        <v>639</v>
      </c>
    </row>
    <row r="88" spans="1:11" ht="12.8" customHeight="1">
      <c r="A88" s="461">
        <v>0</v>
      </c>
      <c r="B88" s="453" t="s">
        <v>517</v>
      </c>
      <c r="C88" s="453" t="s">
        <v>538</v>
      </c>
      <c r="D88" s="462" t="s">
        <v>640</v>
      </c>
      <c r="E88" s="453" t="s">
        <v>641</v>
      </c>
      <c r="F88" s="463">
        <v>1949</v>
      </c>
      <c r="G88" s="457"/>
      <c r="H88" s="458">
        <f t="shared" ref="H88:H98" si="13">F88*(1-$G$83)</f>
        <v>1169.3999999999999</v>
      </c>
      <c r="I88" s="458">
        <f t="shared" si="12"/>
        <v>0</v>
      </c>
      <c r="J88" s="459" t="s">
        <v>638</v>
      </c>
      <c r="K88" s="1051" t="s">
        <v>642</v>
      </c>
    </row>
    <row r="89" spans="1:11" ht="24.9">
      <c r="A89" s="452">
        <v>0</v>
      </c>
      <c r="B89" s="453" t="s">
        <v>539</v>
      </c>
      <c r="C89" s="453" t="s">
        <v>538</v>
      </c>
      <c r="D89" s="462" t="s">
        <v>643</v>
      </c>
      <c r="E89" s="453" t="s">
        <v>641</v>
      </c>
      <c r="F89" s="463">
        <v>80</v>
      </c>
      <c r="G89" s="457"/>
      <c r="H89" s="458">
        <f t="shared" si="13"/>
        <v>48</v>
      </c>
      <c r="I89" s="458">
        <f t="shared" si="12"/>
        <v>0</v>
      </c>
      <c r="J89" s="459" t="s">
        <v>638</v>
      </c>
      <c r="K89" s="1051"/>
    </row>
    <row r="90" spans="1:11" ht="12.8" customHeight="1">
      <c r="A90" s="461">
        <v>0</v>
      </c>
      <c r="B90" s="453" t="s">
        <v>517</v>
      </c>
      <c r="C90" s="453" t="s">
        <v>538</v>
      </c>
      <c r="D90" s="464" t="s">
        <v>644</v>
      </c>
      <c r="E90" s="453" t="s">
        <v>645</v>
      </c>
      <c r="F90" s="463">
        <v>10051</v>
      </c>
      <c r="G90" s="457"/>
      <c r="H90" s="458">
        <f t="shared" si="13"/>
        <v>6030.5999999999995</v>
      </c>
      <c r="I90" s="458">
        <f t="shared" si="12"/>
        <v>0</v>
      </c>
      <c r="J90" s="459" t="s">
        <v>638</v>
      </c>
      <c r="K90" s="1052" t="s">
        <v>646</v>
      </c>
    </row>
    <row r="91" spans="1:11" ht="24.9">
      <c r="A91" s="461">
        <v>0</v>
      </c>
      <c r="B91" s="453" t="s">
        <v>517</v>
      </c>
      <c r="C91" s="453" t="s">
        <v>538</v>
      </c>
      <c r="D91" s="464" t="s">
        <v>644</v>
      </c>
      <c r="E91" s="453" t="s">
        <v>647</v>
      </c>
      <c r="F91" s="463">
        <v>17412</v>
      </c>
      <c r="G91" s="457"/>
      <c r="H91" s="458">
        <f t="shared" si="13"/>
        <v>10447.199999999999</v>
      </c>
      <c r="I91" s="458">
        <f t="shared" si="12"/>
        <v>0</v>
      </c>
      <c r="J91" s="459" t="s">
        <v>638</v>
      </c>
      <c r="K91" s="1052"/>
    </row>
    <row r="92" spans="1:11" ht="12.8" customHeight="1">
      <c r="A92" s="461">
        <v>0</v>
      </c>
      <c r="B92" s="453" t="s">
        <v>517</v>
      </c>
      <c r="C92" s="453" t="s">
        <v>538</v>
      </c>
      <c r="D92" s="465" t="s">
        <v>644</v>
      </c>
      <c r="E92" s="453" t="s">
        <v>648</v>
      </c>
      <c r="F92" s="466">
        <v>2345</v>
      </c>
      <c r="G92" s="457"/>
      <c r="H92" s="458">
        <f t="shared" si="13"/>
        <v>1407</v>
      </c>
      <c r="I92" s="458">
        <f t="shared" si="12"/>
        <v>0</v>
      </c>
      <c r="J92" s="453" t="s">
        <v>649</v>
      </c>
      <c r="K92" s="1049" t="s">
        <v>650</v>
      </c>
    </row>
    <row r="93" spans="1:11" ht="24.9">
      <c r="A93" s="461">
        <v>0</v>
      </c>
      <c r="B93" s="453" t="s">
        <v>517</v>
      </c>
      <c r="C93" s="453" t="s">
        <v>538</v>
      </c>
      <c r="D93" s="465" t="s">
        <v>644</v>
      </c>
      <c r="E93" s="453" t="s">
        <v>651</v>
      </c>
      <c r="F93" s="466">
        <v>3258</v>
      </c>
      <c r="G93" s="457"/>
      <c r="H93" s="458">
        <f t="shared" si="13"/>
        <v>1954.8</v>
      </c>
      <c r="I93" s="458">
        <f t="shared" si="12"/>
        <v>0</v>
      </c>
      <c r="J93" s="453" t="s">
        <v>649</v>
      </c>
      <c r="K93" s="1049"/>
    </row>
    <row r="94" spans="1:11" ht="24.9">
      <c r="A94" s="461">
        <v>0</v>
      </c>
      <c r="B94" s="453" t="s">
        <v>517</v>
      </c>
      <c r="C94" s="453" t="s">
        <v>538</v>
      </c>
      <c r="D94" s="465" t="s">
        <v>644</v>
      </c>
      <c r="E94" s="453" t="s">
        <v>652</v>
      </c>
      <c r="F94" s="463">
        <v>5649</v>
      </c>
      <c r="G94" s="457"/>
      <c r="H94" s="458">
        <f t="shared" si="13"/>
        <v>3389.4</v>
      </c>
      <c r="I94" s="458">
        <f t="shared" si="12"/>
        <v>0</v>
      </c>
      <c r="J94" s="453" t="s">
        <v>649</v>
      </c>
      <c r="K94" s="1049"/>
    </row>
    <row r="95" spans="1:11" ht="24.9">
      <c r="A95" s="461">
        <v>0</v>
      </c>
      <c r="B95" s="453" t="s">
        <v>517</v>
      </c>
      <c r="C95" s="453" t="s">
        <v>538</v>
      </c>
      <c r="D95" s="465" t="s">
        <v>644</v>
      </c>
      <c r="E95" s="453" t="s">
        <v>653</v>
      </c>
      <c r="F95" s="463">
        <v>1488</v>
      </c>
      <c r="G95" s="457"/>
      <c r="H95" s="458">
        <f t="shared" si="13"/>
        <v>892.8</v>
      </c>
      <c r="I95" s="458">
        <f t="shared" si="12"/>
        <v>0</v>
      </c>
      <c r="J95" s="453" t="s">
        <v>649</v>
      </c>
      <c r="K95" s="1049"/>
    </row>
    <row r="96" spans="1:11" ht="24.9">
      <c r="A96" s="461">
        <v>0</v>
      </c>
      <c r="B96" s="453" t="s">
        <v>517</v>
      </c>
      <c r="C96" s="453" t="s">
        <v>538</v>
      </c>
      <c r="D96" s="465" t="s">
        <v>644</v>
      </c>
      <c r="E96" s="453" t="s">
        <v>654</v>
      </c>
      <c r="F96" s="463">
        <v>5269</v>
      </c>
      <c r="G96" s="457"/>
      <c r="H96" s="458">
        <f t="shared" si="13"/>
        <v>3161.4</v>
      </c>
      <c r="I96" s="458">
        <f t="shared" si="12"/>
        <v>0</v>
      </c>
      <c r="J96" s="453" t="s">
        <v>649</v>
      </c>
      <c r="K96" s="1049"/>
    </row>
    <row r="97" spans="1:12" ht="24.9">
      <c r="A97" s="461">
        <v>0</v>
      </c>
      <c r="B97" s="453" t="s">
        <v>517</v>
      </c>
      <c r="C97" s="453" t="s">
        <v>538</v>
      </c>
      <c r="D97" s="465" t="s">
        <v>644</v>
      </c>
      <c r="E97" s="453" t="s">
        <v>655</v>
      </c>
      <c r="F97" s="463">
        <v>3078</v>
      </c>
      <c r="G97" s="457"/>
      <c r="H97" s="458">
        <f t="shared" si="13"/>
        <v>1846.8</v>
      </c>
      <c r="I97" s="458">
        <f t="shared" si="12"/>
        <v>0</v>
      </c>
      <c r="J97" s="453" t="s">
        <v>649</v>
      </c>
      <c r="K97" s="1049"/>
    </row>
    <row r="98" spans="1:12" ht="24.9">
      <c r="A98" s="461">
        <v>0</v>
      </c>
      <c r="B98" s="453" t="s">
        <v>517</v>
      </c>
      <c r="C98" s="453" t="s">
        <v>538</v>
      </c>
      <c r="D98" s="465" t="s">
        <v>644</v>
      </c>
      <c r="E98" s="453" t="s">
        <v>656</v>
      </c>
      <c r="F98" s="463">
        <v>3489</v>
      </c>
      <c r="G98" s="457"/>
      <c r="H98" s="458">
        <f t="shared" si="13"/>
        <v>2093.4</v>
      </c>
      <c r="I98" s="458">
        <f t="shared" si="12"/>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4">F100*(1-$G$83)</f>
        <v>4473.5999999999995</v>
      </c>
      <c r="I100" s="458">
        <f t="shared" ref="I100:I130" si="15">A100*H100</f>
        <v>0</v>
      </c>
      <c r="J100" s="453" t="s">
        <v>649</v>
      </c>
      <c r="K100" s="1049"/>
    </row>
    <row r="101" spans="1:12" ht="24.9">
      <c r="A101" s="461">
        <v>0</v>
      </c>
      <c r="B101" s="453" t="s">
        <v>517</v>
      </c>
      <c r="C101" s="453" t="s">
        <v>538</v>
      </c>
      <c r="D101" s="465" t="s">
        <v>644</v>
      </c>
      <c r="E101" s="453" t="s">
        <v>660</v>
      </c>
      <c r="F101" s="463">
        <v>8494</v>
      </c>
      <c r="G101" s="457"/>
      <c r="H101" s="458">
        <f t="shared" si="14"/>
        <v>5096.3999999999996</v>
      </c>
      <c r="I101" s="458">
        <f t="shared" si="15"/>
        <v>0</v>
      </c>
      <c r="J101" s="453" t="s">
        <v>649</v>
      </c>
      <c r="K101" s="1049"/>
    </row>
    <row r="102" spans="1:12" ht="68.75" customHeight="1">
      <c r="A102" s="461">
        <v>0</v>
      </c>
      <c r="B102" s="453" t="s">
        <v>517</v>
      </c>
      <c r="C102" s="453" t="s">
        <v>538</v>
      </c>
      <c r="D102" s="465" t="s">
        <v>644</v>
      </c>
      <c r="E102" s="453" t="s">
        <v>661</v>
      </c>
      <c r="F102" s="463">
        <v>9434</v>
      </c>
      <c r="G102" s="457"/>
      <c r="H102" s="458">
        <f t="shared" si="14"/>
        <v>5660.4</v>
      </c>
      <c r="I102" s="458">
        <f t="shared" si="15"/>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5"/>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5"/>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5"/>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6">F111*(1-$G$83)</f>
        <v>1180.8</v>
      </c>
      <c r="I111" s="458">
        <f t="shared" si="15"/>
        <v>1180.8</v>
      </c>
      <c r="J111" s="459" t="s">
        <v>638</v>
      </c>
      <c r="K111" s="1051" t="s">
        <v>642</v>
      </c>
    </row>
    <row r="112" spans="1:12" ht="24.9">
      <c r="A112" s="452">
        <v>320</v>
      </c>
      <c r="B112" s="453" t="s">
        <v>539</v>
      </c>
      <c r="C112" s="453" t="s">
        <v>538</v>
      </c>
      <c r="D112" s="462" t="s">
        <v>643</v>
      </c>
      <c r="E112" s="453" t="s">
        <v>673</v>
      </c>
      <c r="F112" s="463">
        <v>87.9</v>
      </c>
      <c r="G112" s="457"/>
      <c r="H112" s="458">
        <f t="shared" si="16"/>
        <v>52.74</v>
      </c>
      <c r="I112" s="458">
        <f t="shared" si="15"/>
        <v>16876.8</v>
      </c>
      <c r="J112" s="459" t="s">
        <v>638</v>
      </c>
      <c r="K112" s="1051"/>
    </row>
    <row r="113" spans="1:11" ht="12.8" customHeight="1">
      <c r="A113" s="452">
        <v>0</v>
      </c>
      <c r="B113" s="453" t="s">
        <v>517</v>
      </c>
      <c r="C113" s="453" t="s">
        <v>538</v>
      </c>
      <c r="D113" s="464" t="s">
        <v>644</v>
      </c>
      <c r="E113" s="453" t="s">
        <v>645</v>
      </c>
      <c r="F113" s="463">
        <v>10051</v>
      </c>
      <c r="G113" s="457"/>
      <c r="H113" s="458">
        <f t="shared" si="16"/>
        <v>6030.5999999999995</v>
      </c>
      <c r="I113" s="458">
        <f t="shared" si="15"/>
        <v>0</v>
      </c>
      <c r="J113" s="459" t="s">
        <v>638</v>
      </c>
      <c r="K113" s="1052" t="s">
        <v>646</v>
      </c>
    </row>
    <row r="114" spans="1:11" ht="24.9">
      <c r="A114" s="461">
        <v>0</v>
      </c>
      <c r="B114" s="453" t="s">
        <v>517</v>
      </c>
      <c r="C114" s="453" t="s">
        <v>538</v>
      </c>
      <c r="D114" s="464" t="s">
        <v>644</v>
      </c>
      <c r="E114" s="453" t="s">
        <v>647</v>
      </c>
      <c r="F114" s="463">
        <v>17412</v>
      </c>
      <c r="G114" s="457"/>
      <c r="H114" s="458">
        <f t="shared" si="16"/>
        <v>10447.199999999999</v>
      </c>
      <c r="I114" s="458">
        <f t="shared" si="15"/>
        <v>0</v>
      </c>
      <c r="J114" s="459" t="s">
        <v>638</v>
      </c>
      <c r="K114" s="1052"/>
    </row>
    <row r="115" spans="1:11" ht="12.8" customHeight="1">
      <c r="A115" s="461">
        <v>0</v>
      </c>
      <c r="B115" s="453" t="s">
        <v>517</v>
      </c>
      <c r="C115" s="453" t="s">
        <v>538</v>
      </c>
      <c r="D115" s="465" t="s">
        <v>644</v>
      </c>
      <c r="E115" s="453" t="s">
        <v>648</v>
      </c>
      <c r="F115" s="463">
        <v>2345</v>
      </c>
      <c r="G115" s="457"/>
      <c r="H115" s="458">
        <f t="shared" si="16"/>
        <v>1407</v>
      </c>
      <c r="I115" s="458">
        <f t="shared" si="15"/>
        <v>0</v>
      </c>
      <c r="J115" s="453" t="s">
        <v>649</v>
      </c>
      <c r="K115" s="1049" t="s">
        <v>650</v>
      </c>
    </row>
    <row r="116" spans="1:11" ht="24.9">
      <c r="A116" s="461">
        <v>0</v>
      </c>
      <c r="B116" s="453" t="s">
        <v>517</v>
      </c>
      <c r="C116" s="453" t="s">
        <v>538</v>
      </c>
      <c r="D116" s="465" t="s">
        <v>644</v>
      </c>
      <c r="E116" s="453" t="s">
        <v>651</v>
      </c>
      <c r="F116" s="463">
        <v>3258</v>
      </c>
      <c r="G116" s="457"/>
      <c r="H116" s="458">
        <f t="shared" si="16"/>
        <v>1954.8</v>
      </c>
      <c r="I116" s="458">
        <f t="shared" si="15"/>
        <v>0</v>
      </c>
      <c r="J116" s="453" t="s">
        <v>649</v>
      </c>
      <c r="K116" s="1049"/>
    </row>
    <row r="117" spans="1:11" ht="24.9">
      <c r="A117" s="461">
        <v>0</v>
      </c>
      <c r="B117" s="453" t="s">
        <v>517</v>
      </c>
      <c r="C117" s="453" t="s">
        <v>538</v>
      </c>
      <c r="D117" s="465" t="s">
        <v>644</v>
      </c>
      <c r="E117" s="453" t="s">
        <v>652</v>
      </c>
      <c r="F117" s="463">
        <v>5649</v>
      </c>
      <c r="G117" s="457"/>
      <c r="H117" s="458">
        <f t="shared" si="16"/>
        <v>3389.4</v>
      </c>
      <c r="I117" s="458">
        <f t="shared" si="15"/>
        <v>0</v>
      </c>
      <c r="J117" s="453" t="s">
        <v>649</v>
      </c>
      <c r="K117" s="1049"/>
    </row>
    <row r="118" spans="1:11" ht="24.9">
      <c r="A118" s="461">
        <v>0</v>
      </c>
      <c r="B118" s="453" t="s">
        <v>517</v>
      </c>
      <c r="C118" s="453" t="s">
        <v>538</v>
      </c>
      <c r="D118" s="465" t="s">
        <v>644</v>
      </c>
      <c r="E118" s="453" t="s">
        <v>653</v>
      </c>
      <c r="F118" s="463">
        <v>1488</v>
      </c>
      <c r="G118" s="457"/>
      <c r="H118" s="458">
        <f t="shared" si="16"/>
        <v>892.8</v>
      </c>
      <c r="I118" s="458">
        <f t="shared" si="15"/>
        <v>0</v>
      </c>
      <c r="J118" s="453" t="s">
        <v>649</v>
      </c>
      <c r="K118" s="1049"/>
    </row>
    <row r="119" spans="1:11" ht="24.9">
      <c r="A119" s="461">
        <v>0</v>
      </c>
      <c r="B119" s="453" t="s">
        <v>517</v>
      </c>
      <c r="C119" s="453" t="s">
        <v>538</v>
      </c>
      <c r="D119" s="465" t="s">
        <v>644</v>
      </c>
      <c r="E119" s="453" t="s">
        <v>654</v>
      </c>
      <c r="F119" s="463">
        <v>5269</v>
      </c>
      <c r="G119" s="457"/>
      <c r="H119" s="458">
        <f t="shared" si="16"/>
        <v>3161.4</v>
      </c>
      <c r="I119" s="458">
        <f t="shared" si="15"/>
        <v>0</v>
      </c>
      <c r="J119" s="453" t="s">
        <v>649</v>
      </c>
      <c r="K119" s="1049"/>
    </row>
    <row r="120" spans="1:11" ht="24.9">
      <c r="A120" s="461">
        <v>0</v>
      </c>
      <c r="B120" s="453" t="s">
        <v>517</v>
      </c>
      <c r="C120" s="453" t="s">
        <v>538</v>
      </c>
      <c r="D120" s="465" t="s">
        <v>644</v>
      </c>
      <c r="E120" s="453" t="s">
        <v>655</v>
      </c>
      <c r="F120" s="463">
        <v>3078</v>
      </c>
      <c r="G120" s="457"/>
      <c r="H120" s="458">
        <f t="shared" si="16"/>
        <v>1846.8</v>
      </c>
      <c r="I120" s="458">
        <f t="shared" si="15"/>
        <v>0</v>
      </c>
      <c r="J120" s="453" t="s">
        <v>649</v>
      </c>
      <c r="K120" s="1049"/>
    </row>
    <row r="121" spans="1:11" ht="24.9">
      <c r="A121" s="461">
        <v>0</v>
      </c>
      <c r="B121" s="453" t="s">
        <v>517</v>
      </c>
      <c r="C121" s="453" t="s">
        <v>538</v>
      </c>
      <c r="D121" s="465" t="s">
        <v>644</v>
      </c>
      <c r="E121" s="453" t="s">
        <v>656</v>
      </c>
      <c r="F121" s="463">
        <v>3489</v>
      </c>
      <c r="G121" s="457"/>
      <c r="H121" s="458">
        <f t="shared" si="16"/>
        <v>2093.4</v>
      </c>
      <c r="I121" s="458">
        <f t="shared" si="15"/>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6"/>
        <v>4473.5999999999995</v>
      </c>
      <c r="I123" s="458">
        <f t="shared" si="15"/>
        <v>0</v>
      </c>
      <c r="J123" s="453" t="s">
        <v>649</v>
      </c>
      <c r="K123" s="1049"/>
    </row>
    <row r="124" spans="1:11" ht="24.9">
      <c r="A124" s="461">
        <v>1</v>
      </c>
      <c r="B124" s="453" t="s">
        <v>517</v>
      </c>
      <c r="C124" s="453" t="s">
        <v>538</v>
      </c>
      <c r="D124" s="465" t="s">
        <v>644</v>
      </c>
      <c r="E124" s="453" t="s">
        <v>660</v>
      </c>
      <c r="F124" s="463">
        <v>8494</v>
      </c>
      <c r="G124" s="457"/>
      <c r="H124" s="458">
        <f t="shared" si="16"/>
        <v>5096.3999999999996</v>
      </c>
      <c r="I124" s="458">
        <f t="shared" si="15"/>
        <v>5096.3999999999996</v>
      </c>
      <c r="J124" s="453" t="s">
        <v>649</v>
      </c>
      <c r="K124" s="1049"/>
    </row>
    <row r="125" spans="1:11" ht="24.9">
      <c r="A125" s="461">
        <v>0</v>
      </c>
      <c r="B125" s="453" t="s">
        <v>517</v>
      </c>
      <c r="C125" s="453" t="s">
        <v>538</v>
      </c>
      <c r="D125" s="465" t="s">
        <v>644</v>
      </c>
      <c r="E125" s="453" t="s">
        <v>661</v>
      </c>
      <c r="F125" s="463">
        <v>9434</v>
      </c>
      <c r="G125" s="457"/>
      <c r="H125" s="458">
        <f t="shared" si="16"/>
        <v>5660.4</v>
      </c>
      <c r="I125" s="458">
        <f t="shared" si="15"/>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5"/>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5"/>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7">F137*(1-G137)</f>
        <v>2801.13</v>
      </c>
      <c r="I137" s="409"/>
    </row>
    <row r="138" spans="1:17" ht="22.25">
      <c r="A138" s="407">
        <v>0</v>
      </c>
      <c r="B138" s="407" t="s">
        <v>522</v>
      </c>
      <c r="C138" s="408" t="s">
        <v>678</v>
      </c>
      <c r="D138" s="407" t="s">
        <v>681</v>
      </c>
      <c r="E138" s="408" t="s">
        <v>682</v>
      </c>
      <c r="F138" s="409">
        <v>772.15</v>
      </c>
      <c r="G138" s="410"/>
      <c r="H138" s="409">
        <f t="shared" si="17"/>
        <v>772.15</v>
      </c>
      <c r="I138" s="409"/>
    </row>
    <row r="139" spans="1:17" ht="22.25">
      <c r="A139" s="407">
        <v>0</v>
      </c>
      <c r="B139" s="407" t="s">
        <v>522</v>
      </c>
      <c r="C139" s="408" t="s">
        <v>678</v>
      </c>
      <c r="D139" s="407" t="s">
        <v>683</v>
      </c>
      <c r="E139" s="408" t="s">
        <v>684</v>
      </c>
      <c r="F139" s="409">
        <v>150.26</v>
      </c>
      <c r="G139" s="410"/>
      <c r="H139" s="409">
        <f t="shared" si="17"/>
        <v>150.26</v>
      </c>
      <c r="I139" s="409"/>
    </row>
    <row r="140" spans="1:17" ht="22.25">
      <c r="A140" s="407">
        <v>0</v>
      </c>
      <c r="B140" s="407" t="s">
        <v>522</v>
      </c>
      <c r="C140" s="408" t="s">
        <v>678</v>
      </c>
      <c r="D140" s="407" t="s">
        <v>685</v>
      </c>
      <c r="E140" s="408" t="s">
        <v>686</v>
      </c>
      <c r="F140" s="409">
        <v>10.58</v>
      </c>
      <c r="G140" s="410"/>
      <c r="H140" s="409">
        <f t="shared" si="17"/>
        <v>10.58</v>
      </c>
      <c r="I140" s="409"/>
    </row>
    <row r="141" spans="1:17" ht="22.25">
      <c r="A141" s="407">
        <v>0</v>
      </c>
      <c r="B141" s="407" t="s">
        <v>522</v>
      </c>
      <c r="C141" s="408" t="s">
        <v>678</v>
      </c>
      <c r="D141" s="407" t="s">
        <v>687</v>
      </c>
      <c r="E141" s="408" t="s">
        <v>688</v>
      </c>
      <c r="F141" s="409">
        <v>69.78</v>
      </c>
      <c r="G141" s="410"/>
      <c r="H141" s="409">
        <f t="shared" si="17"/>
        <v>69.78</v>
      </c>
      <c r="I141" s="409"/>
      <c r="J141" s="17" t="s">
        <v>689</v>
      </c>
    </row>
    <row r="142" spans="1:17" ht="22.25">
      <c r="A142" s="487">
        <v>0</v>
      </c>
      <c r="B142" s="407" t="s">
        <v>539</v>
      </c>
      <c r="C142" s="408" t="s">
        <v>690</v>
      </c>
      <c r="D142" s="407"/>
      <c r="E142" s="407" t="s">
        <v>691</v>
      </c>
      <c r="F142" s="409">
        <v>7.58</v>
      </c>
      <c r="G142" s="410"/>
      <c r="H142" s="409">
        <f t="shared" si="17"/>
        <v>7.58</v>
      </c>
      <c r="I142" s="409"/>
      <c r="J142" s="17" t="s">
        <v>692</v>
      </c>
    </row>
    <row r="143" spans="1:17" ht="22.25">
      <c r="A143" s="487">
        <v>0</v>
      </c>
      <c r="B143" s="407" t="s">
        <v>539</v>
      </c>
      <c r="C143" s="408" t="s">
        <v>690</v>
      </c>
      <c r="D143" s="407"/>
      <c r="E143" s="407" t="s">
        <v>693</v>
      </c>
      <c r="F143" s="409">
        <v>2.04</v>
      </c>
      <c r="G143" s="410"/>
      <c r="H143" s="409">
        <f t="shared" si="17"/>
        <v>2.04</v>
      </c>
      <c r="I143" s="409"/>
      <c r="J143" s="17" t="s">
        <v>694</v>
      </c>
    </row>
    <row r="144" spans="1:17" ht="22.25">
      <c r="A144" s="407">
        <v>0</v>
      </c>
      <c r="B144" s="407" t="s">
        <v>522</v>
      </c>
      <c r="C144" s="408"/>
      <c r="D144" s="407"/>
      <c r="E144" s="408" t="s">
        <v>695</v>
      </c>
      <c r="F144" s="409">
        <v>50</v>
      </c>
      <c r="G144" s="410"/>
      <c r="H144" s="409">
        <f t="shared" si="17"/>
        <v>50</v>
      </c>
      <c r="I144" s="409"/>
      <c r="J144" s="204" t="s">
        <v>696</v>
      </c>
    </row>
    <row r="145" spans="1:10">
      <c r="A145" s="407">
        <v>0</v>
      </c>
      <c r="B145" s="407" t="s">
        <v>619</v>
      </c>
      <c r="C145" s="408"/>
      <c r="D145" s="407"/>
      <c r="E145" s="408" t="s">
        <v>697</v>
      </c>
      <c r="F145" s="409">
        <f>F68</f>
        <v>55</v>
      </c>
      <c r="G145" s="410"/>
      <c r="H145" s="409">
        <f t="shared" si="17"/>
        <v>55</v>
      </c>
      <c r="I145" s="409"/>
    </row>
    <row r="146" spans="1:10" ht="66.8">
      <c r="A146" s="407">
        <v>0</v>
      </c>
      <c r="B146" s="407" t="s">
        <v>517</v>
      </c>
      <c r="C146" s="408" t="s">
        <v>698</v>
      </c>
      <c r="D146" s="407" t="s">
        <v>636</v>
      </c>
      <c r="E146" s="408" t="s">
        <v>637</v>
      </c>
      <c r="F146" s="409">
        <v>1809</v>
      </c>
      <c r="G146" s="410">
        <v>0.75</v>
      </c>
      <c r="H146" s="409">
        <f t="shared" si="17"/>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7"/>
        <v>800</v>
      </c>
      <c r="I160" s="403">
        <f t="shared" ref="I160:I177" si="18">A160*H160</f>
        <v>800</v>
      </c>
      <c r="J160" s="17" t="s">
        <v>704</v>
      </c>
    </row>
    <row r="161" spans="1:10">
      <c r="A161" s="442">
        <v>1</v>
      </c>
      <c r="B161" s="17" t="s">
        <v>517</v>
      </c>
      <c r="E161" s="17" t="s">
        <v>705</v>
      </c>
      <c r="F161" s="403">
        <v>500</v>
      </c>
      <c r="H161" s="403">
        <f t="shared" si="17"/>
        <v>500</v>
      </c>
      <c r="I161" s="403">
        <f t="shared" si="18"/>
        <v>500</v>
      </c>
      <c r="J161" s="17" t="s">
        <v>704</v>
      </c>
    </row>
    <row r="162" spans="1:10">
      <c r="A162" s="17">
        <v>1</v>
      </c>
      <c r="B162" s="17" t="s">
        <v>517</v>
      </c>
      <c r="E162" s="17" t="s">
        <v>706</v>
      </c>
      <c r="F162" s="403">
        <v>40</v>
      </c>
      <c r="H162" s="403">
        <f t="shared" si="17"/>
        <v>40</v>
      </c>
      <c r="I162" s="403">
        <f t="shared" si="18"/>
        <v>40</v>
      </c>
    </row>
    <row r="163" spans="1:10">
      <c r="A163" s="442">
        <v>1</v>
      </c>
      <c r="B163" s="17" t="s">
        <v>517</v>
      </c>
      <c r="E163" s="17" t="s">
        <v>707</v>
      </c>
      <c r="F163" s="403">
        <v>1500</v>
      </c>
      <c r="H163" s="403">
        <f t="shared" si="17"/>
        <v>1500</v>
      </c>
      <c r="I163" s="403">
        <f t="shared" si="18"/>
        <v>1500</v>
      </c>
      <c r="J163" s="17" t="s">
        <v>806</v>
      </c>
    </row>
    <row r="164" spans="1:10">
      <c r="A164" s="442">
        <v>0</v>
      </c>
      <c r="B164" s="17" t="s">
        <v>517</v>
      </c>
      <c r="E164" s="17" t="s">
        <v>807</v>
      </c>
      <c r="F164" s="403">
        <v>500</v>
      </c>
      <c r="H164" s="403">
        <f t="shared" si="17"/>
        <v>500</v>
      </c>
      <c r="I164" s="403">
        <f t="shared" si="18"/>
        <v>0</v>
      </c>
      <c r="J164" s="17" t="s">
        <v>806</v>
      </c>
    </row>
    <row r="165" spans="1:10" ht="55.65">
      <c r="A165" s="442">
        <v>1</v>
      </c>
      <c r="B165" s="17" t="s">
        <v>517</v>
      </c>
      <c r="C165" s="204" t="s">
        <v>708</v>
      </c>
      <c r="E165" s="204" t="s">
        <v>709</v>
      </c>
      <c r="F165" s="403">
        <v>460</v>
      </c>
      <c r="H165" s="403">
        <f t="shared" si="17"/>
        <v>460</v>
      </c>
      <c r="I165" s="403">
        <f t="shared" si="18"/>
        <v>460</v>
      </c>
    </row>
    <row r="166" spans="1:10" ht="33.4">
      <c r="A166" s="442">
        <v>0</v>
      </c>
      <c r="B166" s="17" t="s">
        <v>517</v>
      </c>
      <c r="C166" s="204" t="s">
        <v>808</v>
      </c>
      <c r="E166" s="204" t="s">
        <v>712</v>
      </c>
      <c r="F166" s="403">
        <v>365</v>
      </c>
      <c r="H166" s="403">
        <f t="shared" si="17"/>
        <v>365</v>
      </c>
      <c r="I166" s="403">
        <f t="shared" si="18"/>
        <v>0</v>
      </c>
    </row>
    <row r="167" spans="1:10" ht="55.65">
      <c r="A167" s="442">
        <v>0</v>
      </c>
      <c r="B167" s="17" t="s">
        <v>517</v>
      </c>
      <c r="C167" s="17" t="s">
        <v>713</v>
      </c>
      <c r="D167" s="17" t="s">
        <v>714</v>
      </c>
      <c r="E167" s="204" t="s">
        <v>715</v>
      </c>
      <c r="F167" s="403">
        <v>2725</v>
      </c>
      <c r="H167" s="403">
        <f t="shared" si="17"/>
        <v>2725</v>
      </c>
      <c r="I167" s="403">
        <f t="shared" si="18"/>
        <v>0</v>
      </c>
    </row>
    <row r="168" spans="1:10" ht="33.4">
      <c r="A168" s="442">
        <v>0</v>
      </c>
      <c r="B168" s="17" t="s">
        <v>517</v>
      </c>
      <c r="C168" s="204" t="s">
        <v>716</v>
      </c>
      <c r="E168" s="17" t="s">
        <v>717</v>
      </c>
      <c r="F168" s="403">
        <f>1840*1.04</f>
        <v>1913.6000000000001</v>
      </c>
      <c r="H168" s="403">
        <f t="shared" si="17"/>
        <v>1913.6000000000001</v>
      </c>
      <c r="I168" s="403">
        <f t="shared" si="18"/>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7"/>
        <v>50</v>
      </c>
      <c r="I171" s="403">
        <f t="shared" si="18"/>
        <v>0</v>
      </c>
    </row>
    <row r="172" spans="1:10">
      <c r="A172" s="442">
        <v>0</v>
      </c>
      <c r="B172" s="17" t="s">
        <v>517</v>
      </c>
      <c r="C172" s="204" t="s">
        <v>721</v>
      </c>
      <c r="E172" s="17" t="s">
        <v>722</v>
      </c>
      <c r="F172" s="403">
        <f>69/100</f>
        <v>0.69</v>
      </c>
      <c r="H172" s="403">
        <f t="shared" si="17"/>
        <v>0.69</v>
      </c>
      <c r="I172" s="403">
        <f t="shared" si="18"/>
        <v>0</v>
      </c>
    </row>
    <row r="173" spans="1:10">
      <c r="A173" s="442">
        <f t="shared" ref="A173:A176" si="19">A172</f>
        <v>0</v>
      </c>
      <c r="B173" s="17" t="s">
        <v>517</v>
      </c>
      <c r="C173" s="204" t="s">
        <v>721</v>
      </c>
      <c r="E173" s="17" t="s">
        <v>723</v>
      </c>
      <c r="F173" s="403">
        <v>0.1</v>
      </c>
      <c r="H173" s="403">
        <f t="shared" si="17"/>
        <v>0.1</v>
      </c>
      <c r="I173" s="403">
        <f t="shared" si="18"/>
        <v>0</v>
      </c>
    </row>
    <row r="174" spans="1:10">
      <c r="A174" s="442">
        <f t="shared" si="19"/>
        <v>0</v>
      </c>
      <c r="B174" s="17" t="s">
        <v>517</v>
      </c>
      <c r="C174" s="204" t="s">
        <v>721</v>
      </c>
      <c r="E174" s="17" t="s">
        <v>724</v>
      </c>
      <c r="F174" s="403">
        <f>13.25/1.2/100</f>
        <v>0.11041666666666668</v>
      </c>
      <c r="H174" s="403">
        <f t="shared" si="17"/>
        <v>0.11041666666666668</v>
      </c>
      <c r="I174" s="403">
        <f t="shared" si="18"/>
        <v>0</v>
      </c>
    </row>
    <row r="175" spans="1:10" ht="22.25">
      <c r="A175" s="442">
        <v>0</v>
      </c>
      <c r="B175" s="17" t="s">
        <v>539</v>
      </c>
      <c r="C175" s="204" t="s">
        <v>725</v>
      </c>
      <c r="E175" s="17" t="s">
        <v>726</v>
      </c>
      <c r="F175" s="403">
        <f>15.73/1.2</f>
        <v>13.108333333333334</v>
      </c>
      <c r="H175" s="403">
        <f t="shared" si="17"/>
        <v>13.108333333333334</v>
      </c>
      <c r="I175" s="403">
        <f t="shared" si="18"/>
        <v>0</v>
      </c>
    </row>
    <row r="176" spans="1:10" ht="22.25">
      <c r="A176" s="442">
        <f t="shared" si="19"/>
        <v>0</v>
      </c>
      <c r="B176" s="17" t="s">
        <v>539</v>
      </c>
      <c r="C176" s="204" t="s">
        <v>531</v>
      </c>
      <c r="E176" s="17" t="s">
        <v>727</v>
      </c>
      <c r="F176" s="403">
        <v>25</v>
      </c>
      <c r="H176" s="403">
        <f t="shared" si="17"/>
        <v>25</v>
      </c>
      <c r="I176" s="403">
        <f t="shared" si="18"/>
        <v>0</v>
      </c>
    </row>
    <row r="177" spans="1:9" ht="22.25">
      <c r="A177" s="442">
        <f>A176*4</f>
        <v>0</v>
      </c>
      <c r="B177" s="17" t="s">
        <v>517</v>
      </c>
      <c r="C177" s="204" t="s">
        <v>531</v>
      </c>
      <c r="E177" s="17" t="s">
        <v>728</v>
      </c>
      <c r="F177" s="403">
        <v>0.1</v>
      </c>
      <c r="H177" s="403">
        <f t="shared" si="17"/>
        <v>0.1</v>
      </c>
      <c r="I177" s="403">
        <f t="shared" si="18"/>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7"/>
        <v>500</v>
      </c>
      <c r="I182" s="403">
        <f t="shared" ref="I182:I184" si="20">A182*H182</f>
        <v>500</v>
      </c>
    </row>
    <row r="183" spans="1:9" ht="55.65">
      <c r="A183" s="442">
        <v>0</v>
      </c>
      <c r="B183" s="17" t="s">
        <v>517</v>
      </c>
      <c r="C183" s="204" t="s">
        <v>708</v>
      </c>
      <c r="E183" s="204" t="s">
        <v>731</v>
      </c>
      <c r="F183" s="403">
        <f>460/2</f>
        <v>230</v>
      </c>
      <c r="H183" s="403">
        <f t="shared" si="17"/>
        <v>230</v>
      </c>
      <c r="I183" s="403">
        <f t="shared" si="20"/>
        <v>0</v>
      </c>
    </row>
    <row r="184" spans="1:9" ht="55.65">
      <c r="A184" s="442">
        <v>0</v>
      </c>
      <c r="B184" s="17" t="s">
        <v>517</v>
      </c>
      <c r="C184" s="204" t="s">
        <v>711</v>
      </c>
      <c r="E184" s="204" t="s">
        <v>732</v>
      </c>
      <c r="F184" s="403">
        <f>320/2</f>
        <v>160</v>
      </c>
      <c r="H184" s="403">
        <f t="shared" si="17"/>
        <v>160</v>
      </c>
      <c r="I184" s="403">
        <f t="shared" si="20"/>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2.140625" style="204" customWidth="1"/>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329</v>
      </c>
      <c r="C1" s="1058"/>
      <c r="D1" s="1058"/>
      <c r="E1" s="1058"/>
      <c r="F1" s="1058"/>
      <c r="H1" s="405" t="s">
        <v>493</v>
      </c>
      <c r="I1" s="406">
        <f>VLOOKUP(E4,Catalogue!F:J,5,0)</f>
        <v>375</v>
      </c>
      <c r="J1" s="17" t="s">
        <v>494</v>
      </c>
      <c r="K1" s="17" t="s">
        <v>495</v>
      </c>
      <c r="L1" s="58">
        <f>A4*I1</f>
        <v>28125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75</v>
      </c>
      <c r="B4" s="413" t="s">
        <v>505</v>
      </c>
      <c r="C4" s="420" t="s">
        <v>1306</v>
      </c>
      <c r="D4" s="413"/>
      <c r="E4" s="420" t="s">
        <v>1307</v>
      </c>
      <c r="F4" s="421">
        <v>116.88</v>
      </c>
      <c r="G4" s="410"/>
      <c r="H4" s="409">
        <f t="shared" ref="H4:H9" si="0">F4*(1-G4)</f>
        <v>116.88</v>
      </c>
      <c r="I4" s="409">
        <f t="shared" ref="I4:I9" si="1">A4*H4</f>
        <v>8766</v>
      </c>
      <c r="J4" s="417">
        <f>F4/$I$1</f>
        <v>0.31168000000000001</v>
      </c>
      <c r="K4" s="403" t="s">
        <v>1421</v>
      </c>
      <c r="L4" s="404"/>
      <c r="M4" s="418">
        <f>I4</f>
        <v>8766</v>
      </c>
      <c r="N4" s="418"/>
      <c r="O4" s="418"/>
      <c r="P4" s="418"/>
      <c r="Q4" s="418"/>
      <c r="R4" s="418"/>
      <c r="S4" s="418"/>
    </row>
    <row r="5" spans="1:19" ht="55.65">
      <c r="A5" s="413">
        <v>0</v>
      </c>
      <c r="B5" s="413" t="s">
        <v>505</v>
      </c>
      <c r="C5" s="420" t="s">
        <v>817</v>
      </c>
      <c r="D5" s="413" t="s">
        <v>818</v>
      </c>
      <c r="E5" s="420" t="s">
        <v>819</v>
      </c>
      <c r="F5" s="421">
        <v>267.5</v>
      </c>
      <c r="G5" s="410"/>
      <c r="H5" s="409">
        <f t="shared" si="0"/>
        <v>267.5</v>
      </c>
      <c r="I5" s="409">
        <f t="shared" si="1"/>
        <v>0</v>
      </c>
      <c r="J5" s="417"/>
      <c r="K5" s="403"/>
      <c r="L5" s="404"/>
      <c r="M5" s="418"/>
      <c r="N5" s="418"/>
      <c r="O5" s="418"/>
      <c r="P5" s="418"/>
      <c r="Q5" s="418"/>
      <c r="R5" s="418"/>
      <c r="S5" s="418"/>
    </row>
    <row r="6" spans="1:19" ht="22.25">
      <c r="A6" s="413">
        <f>A4+A5</f>
        <v>75</v>
      </c>
      <c r="B6" s="413" t="s">
        <v>505</v>
      </c>
      <c r="C6" s="423" t="s">
        <v>738</v>
      </c>
      <c r="D6" s="423"/>
      <c r="E6" s="424" t="s">
        <v>1548</v>
      </c>
      <c r="F6" s="425">
        <f>2382/A6</f>
        <v>31.76</v>
      </c>
      <c r="G6" s="422"/>
      <c r="H6" s="409">
        <f t="shared" si="0"/>
        <v>31.76</v>
      </c>
      <c r="I6" s="409">
        <f t="shared" si="1"/>
        <v>2382</v>
      </c>
      <c r="J6" s="417">
        <f>F6/$I$1</f>
        <v>8.4693333333333343E-2</v>
      </c>
      <c r="K6" s="417"/>
      <c r="L6" s="204"/>
      <c r="M6" s="418">
        <f>I6</f>
        <v>2382</v>
      </c>
      <c r="N6" s="418"/>
      <c r="O6" s="418"/>
      <c r="P6" s="418"/>
      <c r="Q6" s="418"/>
      <c r="R6" s="418"/>
      <c r="S6" s="418"/>
    </row>
    <row r="7" spans="1:19" ht="55.65">
      <c r="A7" s="413">
        <v>1</v>
      </c>
      <c r="B7" s="413" t="s">
        <v>522</v>
      </c>
      <c r="C7" s="413" t="s">
        <v>540</v>
      </c>
      <c r="D7" s="413" t="s">
        <v>1217</v>
      </c>
      <c r="E7" s="420" t="s">
        <v>1437</v>
      </c>
      <c r="F7" s="421">
        <v>316.67</v>
      </c>
      <c r="G7" s="422"/>
      <c r="H7" s="409">
        <f t="shared" si="0"/>
        <v>316.67</v>
      </c>
      <c r="I7" s="409">
        <f t="shared" si="1"/>
        <v>316.67</v>
      </c>
      <c r="J7" s="204"/>
      <c r="K7" s="17" t="s">
        <v>1528</v>
      </c>
      <c r="L7" s="442"/>
      <c r="M7" s="418"/>
      <c r="N7" s="418"/>
      <c r="O7" s="418"/>
      <c r="P7" s="418"/>
      <c r="Q7" s="418"/>
      <c r="R7" s="418">
        <f t="shared" ref="R7:R9" si="2">I7</f>
        <v>316.67</v>
      </c>
      <c r="S7" s="418"/>
    </row>
    <row r="8" spans="1:19">
      <c r="A8" s="423">
        <v>0</v>
      </c>
      <c r="B8" s="423" t="s">
        <v>522</v>
      </c>
      <c r="C8" s="413"/>
      <c r="D8" s="413"/>
      <c r="E8" s="420"/>
      <c r="F8" s="421"/>
      <c r="G8" s="410"/>
      <c r="H8" s="409">
        <f t="shared" si="0"/>
        <v>0</v>
      </c>
      <c r="I8" s="409">
        <f t="shared" si="1"/>
        <v>0</v>
      </c>
      <c r="J8" s="204"/>
      <c r="K8" s="17" t="s">
        <v>1529</v>
      </c>
      <c r="L8" s="442"/>
      <c r="M8" s="418"/>
      <c r="N8" s="418"/>
      <c r="O8" s="418"/>
      <c r="P8" s="418"/>
      <c r="Q8" s="418"/>
      <c r="R8" s="418">
        <f t="shared" si="2"/>
        <v>0</v>
      </c>
      <c r="S8" s="418"/>
    </row>
    <row r="9" spans="1:19" ht="22.25">
      <c r="A9" s="413">
        <v>1</v>
      </c>
      <c r="B9" s="413" t="s">
        <v>505</v>
      </c>
      <c r="C9" s="423" t="s">
        <v>1030</v>
      </c>
      <c r="D9" s="413" t="s">
        <v>1015</v>
      </c>
      <c r="E9" s="420" t="s">
        <v>1194</v>
      </c>
      <c r="F9" s="421">
        <v>525.55999999999995</v>
      </c>
      <c r="G9" s="410"/>
      <c r="H9" s="409">
        <f t="shared" si="0"/>
        <v>525.55999999999995</v>
      </c>
      <c r="I9" s="409">
        <f t="shared" si="1"/>
        <v>525.55999999999995</v>
      </c>
      <c r="J9" s="204"/>
      <c r="M9" s="418"/>
      <c r="N9" s="418"/>
      <c r="O9" s="418"/>
      <c r="P9" s="418"/>
      <c r="Q9" s="418"/>
      <c r="R9" s="418">
        <f t="shared" si="2"/>
        <v>525.55999999999995</v>
      </c>
      <c r="S9" s="418"/>
    </row>
    <row r="10" spans="1:19">
      <c r="A10" s="413"/>
      <c r="B10" s="413"/>
      <c r="C10" s="413"/>
      <c r="D10" s="413"/>
      <c r="E10" s="420"/>
      <c r="F10" s="421"/>
      <c r="G10" s="410"/>
      <c r="H10" s="409">
        <f t="shared" ref="H10:H63" si="3">F10*(1-G10)</f>
        <v>0</v>
      </c>
      <c r="I10" s="409">
        <f t="shared" ref="I10:I33" si="4">A10*H10</f>
        <v>0</v>
      </c>
      <c r="J10" s="204"/>
      <c r="M10" s="418"/>
      <c r="N10" s="418"/>
      <c r="O10" s="418"/>
      <c r="P10" s="418"/>
      <c r="Q10" s="418"/>
      <c r="R10" s="418">
        <f t="shared" ref="R10:R25" si="5">I10</f>
        <v>0</v>
      </c>
      <c r="S10" s="418"/>
    </row>
    <row r="11" spans="1:19" ht="22.25">
      <c r="A11" s="413">
        <v>1</v>
      </c>
      <c r="B11" s="413" t="s">
        <v>530</v>
      </c>
      <c r="C11" s="420" t="s">
        <v>531</v>
      </c>
      <c r="D11" s="413"/>
      <c r="E11" s="420" t="s">
        <v>1073</v>
      </c>
      <c r="F11" s="421">
        <v>500</v>
      </c>
      <c r="G11" s="410"/>
      <c r="H11" s="409">
        <f t="shared" si="3"/>
        <v>500</v>
      </c>
      <c r="I11" s="409">
        <f t="shared" si="4"/>
        <v>500</v>
      </c>
      <c r="J11" s="204"/>
      <c r="M11" s="418"/>
      <c r="N11" s="418"/>
      <c r="O11" s="418"/>
      <c r="P11" s="418"/>
      <c r="Q11" s="418"/>
      <c r="R11" s="418">
        <f t="shared" si="5"/>
        <v>500</v>
      </c>
      <c r="S11" s="418"/>
    </row>
    <row r="12" spans="1:19" ht="33.4">
      <c r="A12" s="413">
        <v>0</v>
      </c>
      <c r="B12" s="413" t="s">
        <v>505</v>
      </c>
      <c r="C12" s="420" t="s">
        <v>534</v>
      </c>
      <c r="D12" s="413"/>
      <c r="E12" s="420" t="s">
        <v>535</v>
      </c>
      <c r="F12" s="421">
        <v>3.71</v>
      </c>
      <c r="G12" s="410"/>
      <c r="H12" s="409">
        <f t="shared" si="3"/>
        <v>3.71</v>
      </c>
      <c r="I12" s="409">
        <f t="shared" si="4"/>
        <v>0</v>
      </c>
      <c r="J12" s="204" t="s">
        <v>795</v>
      </c>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13">
        <f>2*(5+3.5+4)+2*(11.4+12+4+2+2.5)</f>
        <v>88.8</v>
      </c>
      <c r="B14" s="413" t="s">
        <v>539</v>
      </c>
      <c r="C14" s="420" t="s">
        <v>540</v>
      </c>
      <c r="D14" s="413" t="s">
        <v>541</v>
      </c>
      <c r="E14" s="420" t="s">
        <v>542</v>
      </c>
      <c r="F14" s="421">
        <v>0.55647999999999997</v>
      </c>
      <c r="G14" s="410"/>
      <c r="H14" s="409">
        <f t="shared" si="3"/>
        <v>0.55647999999999997</v>
      </c>
      <c r="I14" s="409">
        <f t="shared" si="4"/>
        <v>49.415423999999994</v>
      </c>
      <c r="M14" s="418"/>
      <c r="N14" s="418"/>
      <c r="O14" s="418">
        <f t="shared" ref="O14:O28" si="6">I14</f>
        <v>49.415423999999994</v>
      </c>
      <c r="P14" s="418"/>
      <c r="Q14" s="418"/>
      <c r="R14" s="418"/>
      <c r="S14" s="418"/>
    </row>
    <row r="15" spans="1:19" ht="33.4">
      <c r="A15" s="413">
        <f>A14+A4*2*1.1</f>
        <v>253.8</v>
      </c>
      <c r="B15" s="413" t="s">
        <v>539</v>
      </c>
      <c r="C15" s="420" t="s">
        <v>540</v>
      </c>
      <c r="D15" s="413" t="s">
        <v>543</v>
      </c>
      <c r="E15" s="420" t="s">
        <v>544</v>
      </c>
      <c r="F15" s="421">
        <v>0.55647999999999997</v>
      </c>
      <c r="G15" s="410"/>
      <c r="H15" s="409">
        <f t="shared" si="3"/>
        <v>0.55647999999999997</v>
      </c>
      <c r="I15" s="409">
        <f t="shared" si="4"/>
        <v>141.234624</v>
      </c>
      <c r="M15" s="418"/>
      <c r="N15" s="418"/>
      <c r="O15" s="418">
        <f t="shared" si="6"/>
        <v>141.234624</v>
      </c>
      <c r="P15" s="418"/>
      <c r="Q15" s="418"/>
      <c r="R15" s="418"/>
      <c r="S15" s="418"/>
    </row>
    <row r="16" spans="1:19" ht="33.4">
      <c r="A16" s="413">
        <v>16</v>
      </c>
      <c r="B16" s="413" t="s">
        <v>517</v>
      </c>
      <c r="C16" s="420" t="s">
        <v>540</v>
      </c>
      <c r="D16" s="413" t="s">
        <v>797</v>
      </c>
      <c r="E16" s="420" t="s">
        <v>798</v>
      </c>
      <c r="F16" s="421">
        <v>0.88</v>
      </c>
      <c r="G16" s="410"/>
      <c r="H16" s="409">
        <f t="shared" si="3"/>
        <v>0.88</v>
      </c>
      <c r="I16" s="409">
        <f t="shared" si="4"/>
        <v>14.08</v>
      </c>
      <c r="J16" s="204"/>
      <c r="M16" s="418"/>
      <c r="N16" s="418"/>
      <c r="O16" s="418">
        <f t="shared" si="6"/>
        <v>14.08</v>
      </c>
      <c r="P16" s="418"/>
      <c r="Q16" s="418"/>
      <c r="R16" s="418"/>
      <c r="S16" s="418"/>
    </row>
    <row r="17" spans="1:19" ht="33.4">
      <c r="A17" s="413">
        <f>A16</f>
        <v>16</v>
      </c>
      <c r="B17" s="413" t="s">
        <v>517</v>
      </c>
      <c r="C17" s="420" t="s">
        <v>540</v>
      </c>
      <c r="D17" s="413" t="s">
        <v>800</v>
      </c>
      <c r="E17" s="420" t="s">
        <v>801</v>
      </c>
      <c r="F17" s="421">
        <v>0.67</v>
      </c>
      <c r="G17" s="410"/>
      <c r="H17" s="409">
        <f t="shared" si="3"/>
        <v>0.67</v>
      </c>
      <c r="I17" s="409">
        <f t="shared" si="4"/>
        <v>10.72</v>
      </c>
      <c r="J17" s="204"/>
      <c r="M17" s="418"/>
      <c r="N17" s="418"/>
      <c r="O17" s="418">
        <f t="shared" si="6"/>
        <v>10.72</v>
      </c>
      <c r="P17" s="418"/>
      <c r="Q17" s="418"/>
      <c r="R17" s="418"/>
      <c r="S17" s="418"/>
    </row>
    <row r="18" spans="1:19" ht="22.25">
      <c r="A18" s="413">
        <v>0</v>
      </c>
      <c r="B18" s="413" t="s">
        <v>517</v>
      </c>
      <c r="C18" s="420" t="s">
        <v>540</v>
      </c>
      <c r="D18" s="413" t="s">
        <v>556</v>
      </c>
      <c r="E18" s="420" t="s">
        <v>557</v>
      </c>
      <c r="F18" s="421">
        <v>6.58</v>
      </c>
      <c r="G18" s="410"/>
      <c r="H18" s="409">
        <f t="shared" si="3"/>
        <v>6.58</v>
      </c>
      <c r="I18" s="409">
        <f t="shared" si="4"/>
        <v>0</v>
      </c>
      <c r="J18" s="204"/>
      <c r="M18" s="418"/>
      <c r="N18" s="418"/>
      <c r="O18" s="418">
        <f t="shared" si="6"/>
        <v>0</v>
      </c>
      <c r="P18" s="418"/>
      <c r="Q18" s="418"/>
      <c r="R18" s="418"/>
      <c r="S18" s="418"/>
    </row>
    <row r="19" spans="1:19">
      <c r="A19" s="413">
        <v>1</v>
      </c>
      <c r="B19" s="413" t="s">
        <v>505</v>
      </c>
      <c r="C19" s="413" t="s">
        <v>786</v>
      </c>
      <c r="D19" s="413"/>
      <c r="E19" s="420" t="s">
        <v>787</v>
      </c>
      <c r="F19" s="421">
        <v>1878.1</v>
      </c>
      <c r="G19" s="410"/>
      <c r="H19" s="409">
        <f t="shared" si="3"/>
        <v>1878.1</v>
      </c>
      <c r="I19" s="409">
        <f t="shared" si="4"/>
        <v>1878.1</v>
      </c>
      <c r="J19" s="204"/>
      <c r="M19" s="418"/>
      <c r="N19" s="418">
        <f t="shared" ref="N19:N22" si="7">I19</f>
        <v>1878.1</v>
      </c>
      <c r="O19" s="418"/>
      <c r="P19" s="418"/>
      <c r="Q19" s="418"/>
      <c r="R19" s="418"/>
      <c r="S19" s="418"/>
    </row>
    <row r="20" spans="1:19">
      <c r="A20" s="413">
        <v>1</v>
      </c>
      <c r="B20" s="423" t="s">
        <v>522</v>
      </c>
      <c r="C20" s="423" t="s">
        <v>531</v>
      </c>
      <c r="D20" s="423"/>
      <c r="E20" s="424" t="s">
        <v>1104</v>
      </c>
      <c r="F20" s="425">
        <v>1426.67</v>
      </c>
      <c r="G20" s="422"/>
      <c r="H20" s="409">
        <f t="shared" si="3"/>
        <v>1426.67</v>
      </c>
      <c r="I20" s="409">
        <f t="shared" si="4"/>
        <v>1426.67</v>
      </c>
      <c r="J20" s="204"/>
      <c r="M20" s="418"/>
      <c r="N20" s="418">
        <f t="shared" si="7"/>
        <v>1426.67</v>
      </c>
      <c r="O20" s="418"/>
      <c r="P20" s="418"/>
      <c r="Q20" s="418"/>
      <c r="R20" s="418"/>
      <c r="S20" s="418"/>
    </row>
    <row r="21" spans="1:19" ht="33.4">
      <c r="A21" s="413">
        <v>1</v>
      </c>
      <c r="B21" s="413" t="s">
        <v>517</v>
      </c>
      <c r="C21" s="420" t="s">
        <v>540</v>
      </c>
      <c r="D21" s="413" t="s">
        <v>990</v>
      </c>
      <c r="E21" s="420" t="s">
        <v>991</v>
      </c>
      <c r="F21" s="421">
        <v>33.21</v>
      </c>
      <c r="G21" s="410"/>
      <c r="H21" s="409">
        <f t="shared" si="3"/>
        <v>33.21</v>
      </c>
      <c r="I21" s="409">
        <f t="shared" si="4"/>
        <v>33.21</v>
      </c>
      <c r="J21" s="204"/>
      <c r="M21" s="418"/>
      <c r="N21" s="418">
        <f t="shared" si="7"/>
        <v>33.21</v>
      </c>
      <c r="O21" s="418"/>
      <c r="P21" s="418"/>
      <c r="Q21" s="418"/>
      <c r="R21" s="418"/>
      <c r="S21" s="418"/>
    </row>
    <row r="22" spans="1:19" ht="22.25">
      <c r="A22" s="413">
        <v>0</v>
      </c>
      <c r="B22" s="413" t="s">
        <v>517</v>
      </c>
      <c r="C22" s="420" t="s">
        <v>540</v>
      </c>
      <c r="D22" s="413" t="s">
        <v>998</v>
      </c>
      <c r="E22" s="420" t="s">
        <v>999</v>
      </c>
      <c r="F22" s="421">
        <v>116.67</v>
      </c>
      <c r="G22" s="410"/>
      <c r="H22" s="409">
        <f t="shared" si="3"/>
        <v>116.67</v>
      </c>
      <c r="I22" s="409">
        <f t="shared" si="4"/>
        <v>0</v>
      </c>
      <c r="J22" s="204"/>
      <c r="M22" s="418"/>
      <c r="N22" s="418">
        <f t="shared" si="7"/>
        <v>0</v>
      </c>
      <c r="O22" s="418"/>
      <c r="P22" s="418"/>
      <c r="Q22" s="418"/>
      <c r="R22" s="418"/>
      <c r="S22" s="418"/>
    </row>
    <row r="23" spans="1:19" ht="33.4">
      <c r="A23" s="413">
        <v>0</v>
      </c>
      <c r="B23" s="413" t="s">
        <v>517</v>
      </c>
      <c r="C23" s="420" t="s">
        <v>540</v>
      </c>
      <c r="D23" s="413" t="s">
        <v>761</v>
      </c>
      <c r="E23" s="420" t="s">
        <v>762</v>
      </c>
      <c r="F23" s="421">
        <v>2.5</v>
      </c>
      <c r="G23" s="410"/>
      <c r="H23" s="409">
        <f t="shared" si="3"/>
        <v>2.5</v>
      </c>
      <c r="I23" s="409">
        <f t="shared" si="4"/>
        <v>0</v>
      </c>
      <c r="J23" s="204"/>
      <c r="M23" s="418"/>
      <c r="N23" s="418"/>
      <c r="O23" s="418"/>
      <c r="P23" s="418"/>
      <c r="Q23" s="418"/>
      <c r="R23" s="418">
        <f t="shared" si="5"/>
        <v>0</v>
      </c>
      <c r="S23" s="418"/>
    </row>
    <row r="24" spans="1:19" ht="35.85" customHeight="1">
      <c r="A24" s="413">
        <v>0</v>
      </c>
      <c r="B24" s="413" t="s">
        <v>522</v>
      </c>
      <c r="C24" s="413" t="s">
        <v>751</v>
      </c>
      <c r="D24" s="413"/>
      <c r="E24" s="420" t="s">
        <v>803</v>
      </c>
      <c r="F24" s="421">
        <v>564.44000000000005</v>
      </c>
      <c r="G24" s="410"/>
      <c r="H24" s="409">
        <f t="shared" si="3"/>
        <v>564.44000000000005</v>
      </c>
      <c r="I24" s="409">
        <f t="shared" si="4"/>
        <v>0</v>
      </c>
      <c r="J24" s="1054" t="s">
        <v>833</v>
      </c>
      <c r="K24" s="1054"/>
      <c r="L24" s="1054"/>
      <c r="M24" s="418"/>
      <c r="N24" s="418"/>
      <c r="O24" s="418"/>
      <c r="P24" s="418"/>
      <c r="Q24" s="418"/>
      <c r="R24" s="418">
        <f t="shared" si="5"/>
        <v>0</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c r="A27" s="413">
        <v>1</v>
      </c>
      <c r="B27" s="413" t="s">
        <v>517</v>
      </c>
      <c r="C27" s="413" t="s">
        <v>751</v>
      </c>
      <c r="D27" s="413"/>
      <c r="E27" s="420" t="s">
        <v>834</v>
      </c>
      <c r="F27" s="421">
        <v>462.5</v>
      </c>
      <c r="G27" s="410"/>
      <c r="H27" s="409">
        <f t="shared" si="3"/>
        <v>462.5</v>
      </c>
      <c r="I27" s="409">
        <f t="shared" si="4"/>
        <v>462.5</v>
      </c>
      <c r="J27" s="204"/>
      <c r="M27" s="418">
        <f>F27</f>
        <v>462.5</v>
      </c>
      <c r="N27" s="418"/>
      <c r="O27" s="418"/>
      <c r="P27" s="418"/>
      <c r="Q27" s="418"/>
      <c r="R27" s="418"/>
      <c r="S27" s="418"/>
    </row>
    <row r="28" spans="1:19">
      <c r="A28" s="413">
        <v>8</v>
      </c>
      <c r="B28" s="413" t="s">
        <v>539</v>
      </c>
      <c r="C28" s="413" t="s">
        <v>690</v>
      </c>
      <c r="D28" s="413"/>
      <c r="E28" s="413" t="s">
        <v>835</v>
      </c>
      <c r="F28" s="421">
        <v>9.32</v>
      </c>
      <c r="G28" s="428"/>
      <c r="H28" s="409">
        <f t="shared" si="3"/>
        <v>9.32</v>
      </c>
      <c r="I28" s="409">
        <f t="shared" si="4"/>
        <v>74.56</v>
      </c>
      <c r="J28" s="204"/>
      <c r="K28" s="442"/>
      <c r="M28" s="418"/>
      <c r="N28" s="418"/>
      <c r="O28" s="418">
        <f t="shared" si="6"/>
        <v>74.56</v>
      </c>
      <c r="P28" s="418"/>
      <c r="Q28" s="418"/>
      <c r="R28" s="418"/>
      <c r="S28" s="418"/>
    </row>
    <row r="29" spans="1:19" ht="33.4">
      <c r="A29" s="413">
        <v>1</v>
      </c>
      <c r="B29" s="413" t="s">
        <v>517</v>
      </c>
      <c r="C29" s="420" t="s">
        <v>569</v>
      </c>
      <c r="D29" s="413" t="s">
        <v>570</v>
      </c>
      <c r="E29" s="420" t="s">
        <v>571</v>
      </c>
      <c r="F29" s="421">
        <v>1040</v>
      </c>
      <c r="G29" s="429">
        <v>0.48</v>
      </c>
      <c r="H29" s="430">
        <f t="shared" si="3"/>
        <v>540.80000000000007</v>
      </c>
      <c r="I29" s="409">
        <f t="shared" si="4"/>
        <v>540.80000000000007</v>
      </c>
      <c r="J29" s="204"/>
      <c r="M29" s="418"/>
      <c r="N29" s="418"/>
      <c r="O29" s="418"/>
      <c r="P29" s="418"/>
      <c r="Q29" s="418"/>
      <c r="R29" s="418"/>
      <c r="S29" s="418">
        <f t="shared" ref="S29:S33" si="8">I29</f>
        <v>540.80000000000007</v>
      </c>
    </row>
    <row r="30" spans="1:19" ht="44.55">
      <c r="A30" s="413">
        <v>0</v>
      </c>
      <c r="B30" s="413" t="s">
        <v>517</v>
      </c>
      <c r="C30" s="424" t="s">
        <v>569</v>
      </c>
      <c r="D30" s="423" t="s">
        <v>572</v>
      </c>
      <c r="E30" s="424" t="s">
        <v>573</v>
      </c>
      <c r="F30" s="425">
        <v>1190</v>
      </c>
      <c r="G30" s="429">
        <v>0.48</v>
      </c>
      <c r="H30" s="430">
        <f t="shared" si="3"/>
        <v>618.80000000000007</v>
      </c>
      <c r="I30" s="409">
        <f t="shared" si="4"/>
        <v>0</v>
      </c>
      <c r="J30" s="204"/>
      <c r="M30" s="418"/>
      <c r="N30" s="418"/>
      <c r="O30" s="418"/>
      <c r="P30" s="418"/>
      <c r="Q30" s="418"/>
      <c r="R30" s="418"/>
      <c r="S30" s="418">
        <f t="shared" si="8"/>
        <v>0</v>
      </c>
    </row>
    <row r="31" spans="1:19">
      <c r="A31" s="413">
        <v>0</v>
      </c>
      <c r="B31" s="413" t="s">
        <v>517</v>
      </c>
      <c r="C31" s="420" t="s">
        <v>574</v>
      </c>
      <c r="D31" s="413" t="s">
        <v>575</v>
      </c>
      <c r="E31" s="413" t="s">
        <v>576</v>
      </c>
      <c r="F31" s="421">
        <v>36.700000000000003</v>
      </c>
      <c r="G31" s="410"/>
      <c r="H31" s="409">
        <f t="shared" si="3"/>
        <v>36.700000000000003</v>
      </c>
      <c r="I31" s="409">
        <f t="shared" si="4"/>
        <v>0</v>
      </c>
      <c r="J31" s="204"/>
      <c r="M31" s="418"/>
      <c r="N31" s="418"/>
      <c r="O31" s="418"/>
      <c r="P31" s="418"/>
      <c r="Q31" s="418"/>
      <c r="R31" s="418"/>
      <c r="S31" s="418">
        <f t="shared" si="8"/>
        <v>0</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17605.270047999998</v>
      </c>
      <c r="J36" s="204"/>
      <c r="M36" s="418">
        <f>SUM(M4:M34)</f>
        <v>11610.5</v>
      </c>
      <c r="N36" s="418">
        <f>SUM(N4:N34)</f>
        <v>3337.98</v>
      </c>
      <c r="O36" s="418">
        <f>SUM(O4:O34)</f>
        <v>390.01004800000004</v>
      </c>
      <c r="P36" s="418"/>
      <c r="Q36" s="418"/>
      <c r="R36" s="418">
        <f>SUM(R4:R34)</f>
        <v>1342.23</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22006.58756</v>
      </c>
      <c r="J38" s="436"/>
      <c r="K38" s="437"/>
      <c r="L38" s="437"/>
      <c r="M38" s="438">
        <f>M36*(1+$G$37)</f>
        <v>14513.125</v>
      </c>
      <c r="N38" s="438">
        <f>N36*(1+$G$37)</f>
        <v>4172.4750000000004</v>
      </c>
      <c r="O38" s="438">
        <f>O36*(1+$G$37)</f>
        <v>487.51256000000006</v>
      </c>
      <c r="P38" s="438">
        <f>P67</f>
        <v>5280</v>
      </c>
      <c r="Q38" s="438">
        <f>Q126</f>
        <v>4984.2399999999989</v>
      </c>
      <c r="R38" s="438">
        <f>R36*(1+$G$37)</f>
        <v>1677.7874999999999</v>
      </c>
      <c r="S38" s="438">
        <f>S36*(1+$G$37)</f>
        <v>1155.6875</v>
      </c>
    </row>
    <row r="41" spans="1:19">
      <c r="E41" s="439" t="s">
        <v>585</v>
      </c>
    </row>
    <row r="42" spans="1:19">
      <c r="A42" s="441">
        <v>4</v>
      </c>
      <c r="B42" s="17" t="s">
        <v>619</v>
      </c>
      <c r="E42" s="17" t="s">
        <v>586</v>
      </c>
      <c r="F42" s="403">
        <f t="shared" ref="F42:F58" si="9">F$62</f>
        <v>55</v>
      </c>
      <c r="H42" s="403">
        <f t="shared" si="3"/>
        <v>55</v>
      </c>
      <c r="I42" s="403">
        <f t="shared" ref="I42:I64" si="10">A42*H42</f>
        <v>220</v>
      </c>
    </row>
    <row r="43" spans="1:19">
      <c r="A43" s="441">
        <f>A6/120*8*2</f>
        <v>10</v>
      </c>
      <c r="B43" s="17" t="s">
        <v>619</v>
      </c>
      <c r="E43" s="17" t="s">
        <v>589</v>
      </c>
      <c r="F43" s="403">
        <f t="shared" si="9"/>
        <v>55</v>
      </c>
      <c r="H43" s="403">
        <f t="shared" si="3"/>
        <v>55</v>
      </c>
      <c r="I43" s="403">
        <f t="shared" si="10"/>
        <v>550</v>
      </c>
      <c r="J43" s="17" t="s">
        <v>592</v>
      </c>
    </row>
    <row r="44" spans="1:19">
      <c r="A44" s="441">
        <v>8</v>
      </c>
      <c r="B44" s="17" t="s">
        <v>619</v>
      </c>
      <c r="E44" s="17" t="s">
        <v>1426</v>
      </c>
      <c r="F44" s="403">
        <f t="shared" si="9"/>
        <v>55</v>
      </c>
      <c r="H44" s="403">
        <f t="shared" si="3"/>
        <v>55</v>
      </c>
      <c r="I44" s="403">
        <f t="shared" si="10"/>
        <v>440</v>
      </c>
      <c r="J44" s="17" t="s">
        <v>1486</v>
      </c>
    </row>
    <row r="45" spans="1:19">
      <c r="A45" s="441">
        <f>A6/120*16*2</f>
        <v>20</v>
      </c>
      <c r="B45" s="17" t="s">
        <v>619</v>
      </c>
      <c r="E45" s="17" t="s">
        <v>591</v>
      </c>
      <c r="F45" s="403">
        <f t="shared" si="9"/>
        <v>55</v>
      </c>
      <c r="H45" s="403">
        <f t="shared" si="3"/>
        <v>55</v>
      </c>
      <c r="I45" s="403">
        <f t="shared" si="10"/>
        <v>1100</v>
      </c>
      <c r="J45" s="17" t="s">
        <v>592</v>
      </c>
    </row>
    <row r="46" spans="1:19">
      <c r="A46" s="441">
        <v>4</v>
      </c>
      <c r="B46" s="17" t="s">
        <v>619</v>
      </c>
      <c r="E46" s="17" t="s">
        <v>1428</v>
      </c>
      <c r="F46" s="403">
        <f t="shared" si="9"/>
        <v>55</v>
      </c>
      <c r="H46" s="403">
        <f t="shared" si="3"/>
        <v>55</v>
      </c>
      <c r="I46" s="403">
        <f t="shared" si="10"/>
        <v>220</v>
      </c>
    </row>
    <row r="47" spans="1:19">
      <c r="A47" s="441">
        <v>1</v>
      </c>
      <c r="B47" s="17" t="s">
        <v>619</v>
      </c>
      <c r="E47" s="17" t="s">
        <v>1429</v>
      </c>
      <c r="F47" s="403">
        <f t="shared" si="9"/>
        <v>55</v>
      </c>
      <c r="H47" s="403">
        <f t="shared" si="3"/>
        <v>55</v>
      </c>
      <c r="I47" s="403">
        <f t="shared" si="10"/>
        <v>55</v>
      </c>
    </row>
    <row r="48" spans="1:19">
      <c r="A48" s="441">
        <v>3</v>
      </c>
      <c r="B48" s="17" t="s">
        <v>619</v>
      </c>
      <c r="E48" s="17" t="s">
        <v>605</v>
      </c>
      <c r="F48" s="403">
        <f t="shared" si="9"/>
        <v>55</v>
      </c>
      <c r="H48" s="403">
        <f t="shared" si="3"/>
        <v>55</v>
      </c>
      <c r="I48" s="403">
        <f t="shared" si="10"/>
        <v>165</v>
      </c>
      <c r="J48" s="17" t="s">
        <v>1430</v>
      </c>
    </row>
    <row r="49" spans="1:10">
      <c r="A49" s="441">
        <v>4</v>
      </c>
      <c r="B49" s="17" t="s">
        <v>619</v>
      </c>
      <c r="E49" s="17" t="s">
        <v>607</v>
      </c>
      <c r="F49" s="403">
        <f t="shared" si="9"/>
        <v>55</v>
      </c>
      <c r="H49" s="403">
        <f t="shared" si="3"/>
        <v>55</v>
      </c>
      <c r="I49" s="403">
        <f t="shared" si="10"/>
        <v>220</v>
      </c>
      <c r="J49" s="17" t="s">
        <v>608</v>
      </c>
    </row>
    <row r="50" spans="1:10">
      <c r="A50" s="441">
        <v>0.5</v>
      </c>
      <c r="B50" s="17" t="s">
        <v>619</v>
      </c>
      <c r="E50" s="17" t="s">
        <v>609</v>
      </c>
      <c r="F50" s="403">
        <f t="shared" si="9"/>
        <v>55</v>
      </c>
      <c r="H50" s="403">
        <f t="shared" si="3"/>
        <v>55</v>
      </c>
      <c r="I50" s="403">
        <f t="shared" si="10"/>
        <v>27.5</v>
      </c>
    </row>
    <row r="51" spans="1:10">
      <c r="A51" s="441">
        <v>8</v>
      </c>
      <c r="B51" s="17" t="s">
        <v>619</v>
      </c>
      <c r="E51" s="17" t="s">
        <v>610</v>
      </c>
      <c r="F51" s="403">
        <f t="shared" si="9"/>
        <v>55</v>
      </c>
      <c r="H51" s="403">
        <f t="shared" si="3"/>
        <v>55</v>
      </c>
      <c r="I51" s="403">
        <f t="shared" si="10"/>
        <v>440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4</v>
      </c>
      <c r="B55" s="17" t="s">
        <v>619</v>
      </c>
      <c r="E55" s="17" t="s">
        <v>614</v>
      </c>
      <c r="F55" s="403">
        <f t="shared" si="9"/>
        <v>55</v>
      </c>
      <c r="H55" s="403">
        <f t="shared" si="3"/>
        <v>55</v>
      </c>
      <c r="I55" s="403">
        <f t="shared" si="10"/>
        <v>220</v>
      </c>
    </row>
    <row r="56" spans="1:10">
      <c r="A56" s="441">
        <v>0</v>
      </c>
      <c r="B56" s="17" t="s">
        <v>619</v>
      </c>
      <c r="E56" s="17" t="s">
        <v>615</v>
      </c>
      <c r="F56" s="403">
        <f t="shared" si="9"/>
        <v>55</v>
      </c>
      <c r="H56" s="403">
        <f t="shared" si="3"/>
        <v>55</v>
      </c>
      <c r="I56" s="403">
        <f t="shared" si="10"/>
        <v>0</v>
      </c>
    </row>
    <row r="57" spans="1:10">
      <c r="A57" s="441">
        <v>4</v>
      </c>
      <c r="B57" s="17" t="s">
        <v>619</v>
      </c>
      <c r="E57" s="17" t="s">
        <v>616</v>
      </c>
      <c r="F57" s="403">
        <f t="shared" si="9"/>
        <v>55</v>
      </c>
      <c r="H57" s="403">
        <f t="shared" si="3"/>
        <v>55</v>
      </c>
      <c r="I57" s="403">
        <f t="shared" si="10"/>
        <v>220</v>
      </c>
    </row>
    <row r="58" spans="1:10">
      <c r="A58" s="441">
        <v>0</v>
      </c>
      <c r="B58" s="442" t="s">
        <v>619</v>
      </c>
      <c r="C58" s="446"/>
      <c r="D58" s="442"/>
      <c r="E58" s="17" t="s">
        <v>617</v>
      </c>
      <c r="F58" s="443">
        <f t="shared" si="9"/>
        <v>55</v>
      </c>
      <c r="G58" s="444"/>
      <c r="H58" s="443">
        <f t="shared" si="3"/>
        <v>55</v>
      </c>
      <c r="I58" s="443">
        <f t="shared" si="10"/>
        <v>0</v>
      </c>
      <c r="J58" s="17" t="s">
        <v>618</v>
      </c>
    </row>
    <row r="60" spans="1:10">
      <c r="A60" s="17">
        <f>SUM(A42:A59)</f>
        <v>76.5</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4</v>
      </c>
      <c r="B63" s="17" t="s">
        <v>624</v>
      </c>
      <c r="E63" s="17" t="s">
        <v>625</v>
      </c>
      <c r="F63" s="403">
        <f>A61*8*F62</f>
        <v>1320</v>
      </c>
      <c r="H63" s="403">
        <f t="shared" si="3"/>
        <v>1320</v>
      </c>
      <c r="I63" s="403">
        <f t="shared" si="10"/>
        <v>5280</v>
      </c>
    </row>
    <row r="64" spans="1:10">
      <c r="A64" s="441">
        <v>0</v>
      </c>
      <c r="B64" s="442" t="s">
        <v>517</v>
      </c>
      <c r="C64" s="446"/>
      <c r="D64" s="442"/>
      <c r="E64" s="442" t="s">
        <v>626</v>
      </c>
      <c r="F64" s="447">
        <v>500</v>
      </c>
      <c r="G64" s="444"/>
      <c r="H64" s="403">
        <v>1000</v>
      </c>
      <c r="I64" s="403">
        <f t="shared" si="10"/>
        <v>0</v>
      </c>
      <c r="J64" s="17" t="s">
        <v>627</v>
      </c>
    </row>
    <row r="65" spans="1:16">
      <c r="A65" s="441"/>
      <c r="F65" s="447"/>
      <c r="H65" s="403"/>
      <c r="I65" s="403"/>
    </row>
    <row r="66" spans="1:16">
      <c r="A66" s="441"/>
      <c r="F66" s="447"/>
      <c r="H66" s="403"/>
      <c r="I66" s="403"/>
    </row>
    <row r="67" spans="1:16" ht="15.75">
      <c r="E67" s="439" t="s">
        <v>628</v>
      </c>
      <c r="I67" s="443">
        <f>SUM(I63:I66)</f>
        <v>5280</v>
      </c>
      <c r="P67" s="438">
        <f>I67</f>
        <v>5280</v>
      </c>
    </row>
    <row r="75" spans="1:16" ht="36.6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1</v>
      </c>
      <c r="B81" s="453" t="s">
        <v>517</v>
      </c>
      <c r="C81" s="454" t="s">
        <v>538</v>
      </c>
      <c r="D81" s="455" t="s">
        <v>636</v>
      </c>
      <c r="E81" s="453" t="s">
        <v>637</v>
      </c>
      <c r="F81" s="456">
        <v>1849</v>
      </c>
      <c r="G81" s="457"/>
      <c r="H81" s="458">
        <f>F81*(1-$G$78)</f>
        <v>1109.3999999999999</v>
      </c>
      <c r="I81" s="458">
        <f t="shared" ref="I81:I99" si="11">A81*H81</f>
        <v>1109.3999999999999</v>
      </c>
      <c r="J81" s="459" t="s">
        <v>638</v>
      </c>
      <c r="K81" s="460" t="s">
        <v>639</v>
      </c>
    </row>
    <row r="82" spans="1:12" ht="12.8" customHeight="1">
      <c r="A82" s="461">
        <v>1</v>
      </c>
      <c r="B82" s="453" t="s">
        <v>517</v>
      </c>
      <c r="C82" s="453" t="s">
        <v>538</v>
      </c>
      <c r="D82" s="462" t="s">
        <v>640</v>
      </c>
      <c r="E82" s="453" t="s">
        <v>641</v>
      </c>
      <c r="F82" s="463">
        <v>1949</v>
      </c>
      <c r="G82" s="457"/>
      <c r="H82" s="458">
        <f t="shared" ref="H82:H96" si="12">F82*(1-$G$77)</f>
        <v>1169.3999999999999</v>
      </c>
      <c r="I82" s="458">
        <f t="shared" si="11"/>
        <v>1169.3999999999999</v>
      </c>
      <c r="J82" s="459" t="s">
        <v>638</v>
      </c>
      <c r="K82" s="1051" t="s">
        <v>642</v>
      </c>
    </row>
    <row r="83" spans="1:12" ht="24.9">
      <c r="A83" s="452">
        <v>53</v>
      </c>
      <c r="B83" s="453" t="s">
        <v>539</v>
      </c>
      <c r="C83" s="453" t="s">
        <v>538</v>
      </c>
      <c r="D83" s="462" t="s">
        <v>643</v>
      </c>
      <c r="E83" s="453" t="s">
        <v>641</v>
      </c>
      <c r="F83" s="463">
        <v>80</v>
      </c>
      <c r="G83" s="457"/>
      <c r="H83" s="458">
        <f t="shared" si="12"/>
        <v>48</v>
      </c>
      <c r="I83" s="458">
        <f t="shared" si="11"/>
        <v>2544</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0</v>
      </c>
      <c r="B103" s="453" t="s">
        <v>517</v>
      </c>
      <c r="C103" s="454" t="s">
        <v>538</v>
      </c>
      <c r="D103" s="455" t="s">
        <v>636</v>
      </c>
      <c r="E103" s="453" t="s">
        <v>668</v>
      </c>
      <c r="F103" s="463">
        <v>3732</v>
      </c>
      <c r="G103" s="457"/>
      <c r="H103" s="458">
        <f>F103*(1-G78)</f>
        <v>2239.1999999999998</v>
      </c>
      <c r="I103" s="458">
        <f t="shared" ref="I103:I124" si="13">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3"/>
        <v>0</v>
      </c>
      <c r="J104" s="453" t="s">
        <v>649</v>
      </c>
      <c r="K104" s="1050"/>
      <c r="L104" s="17" t="s">
        <v>672</v>
      </c>
    </row>
    <row r="105" spans="1:12" ht="12.8" customHeight="1">
      <c r="A105" s="461">
        <v>0</v>
      </c>
      <c r="B105" s="453" t="s">
        <v>517</v>
      </c>
      <c r="C105" s="453" t="s">
        <v>538</v>
      </c>
      <c r="D105" s="462" t="s">
        <v>640</v>
      </c>
      <c r="E105" s="453" t="s">
        <v>673</v>
      </c>
      <c r="F105" s="463">
        <v>1968</v>
      </c>
      <c r="G105" s="457"/>
      <c r="H105" s="458">
        <f t="shared" ref="H105:H119" si="14">F105*(1-$G$77)</f>
        <v>1180.8</v>
      </c>
      <c r="I105" s="458">
        <f t="shared" si="13"/>
        <v>0</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12.8"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12.8"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22.25">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4984.2399999999989</v>
      </c>
      <c r="Q126" s="438">
        <f>I126</f>
        <v>4984.2399999999989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79"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55.65">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0">
      <c r="A145" s="407"/>
      <c r="B145" s="407"/>
      <c r="C145" s="408"/>
      <c r="D145" s="407"/>
      <c r="E145" s="408"/>
      <c r="F145" s="409"/>
      <c r="G145" s="410"/>
      <c r="H145" s="409"/>
      <c r="I145" s="409"/>
    </row>
    <row r="146" spans="1:10">
      <c r="A146" s="407"/>
      <c r="B146" s="407"/>
      <c r="C146" s="408"/>
      <c r="D146" s="407"/>
      <c r="E146" s="408"/>
      <c r="F146" s="409"/>
      <c r="G146" s="410"/>
      <c r="H146" s="409"/>
      <c r="I146" s="409"/>
    </row>
    <row r="147" spans="1:10">
      <c r="A147" s="407"/>
      <c r="B147" s="407"/>
      <c r="C147" s="408"/>
      <c r="D147" s="407"/>
      <c r="E147" s="408"/>
      <c r="F147" s="409"/>
      <c r="G147" s="410"/>
      <c r="H147" s="409"/>
      <c r="I147" s="409"/>
    </row>
    <row r="148" spans="1:10">
      <c r="A148" s="407"/>
      <c r="B148" s="407"/>
      <c r="C148" s="408"/>
      <c r="D148" s="407"/>
      <c r="E148" s="408"/>
      <c r="F148" s="409"/>
      <c r="G148" s="410"/>
      <c r="H148" s="409"/>
      <c r="I148" s="409"/>
    </row>
    <row r="149" spans="1:10">
      <c r="A149" s="204"/>
      <c r="F149" s="485"/>
      <c r="H149" s="403"/>
      <c r="I149" s="403"/>
    </row>
    <row r="150" spans="1:10" ht="15.75">
      <c r="E150" s="439" t="s">
        <v>702</v>
      </c>
      <c r="I150" s="168">
        <f>SUM(I131:I149)</f>
        <v>0</v>
      </c>
    </row>
    <row r="152" spans="1:10" ht="15.05" customHeight="1">
      <c r="A152" s="1002" t="s">
        <v>90</v>
      </c>
      <c r="B152" s="1002"/>
      <c r="C152" s="1002"/>
      <c r="D152" s="1002"/>
      <c r="E152" s="1002"/>
    </row>
    <row r="154" spans="1:10">
      <c r="A154" s="442">
        <v>1</v>
      </c>
      <c r="B154" s="17" t="s">
        <v>517</v>
      </c>
      <c r="E154" s="17" t="s">
        <v>703</v>
      </c>
      <c r="F154" s="403">
        <v>800</v>
      </c>
      <c r="H154" s="403">
        <f t="shared" si="15"/>
        <v>800</v>
      </c>
      <c r="I154" s="403">
        <f t="shared" ref="I154:I170" si="16">A154*H154</f>
        <v>800</v>
      </c>
      <c r="J154" s="17" t="s">
        <v>704</v>
      </c>
    </row>
    <row r="155" spans="1:10">
      <c r="A155" s="442">
        <v>1</v>
      </c>
      <c r="B155" s="17" t="s">
        <v>517</v>
      </c>
      <c r="E155" s="17" t="s">
        <v>705</v>
      </c>
      <c r="F155" s="403">
        <v>500</v>
      </c>
      <c r="H155" s="403">
        <f t="shared" si="15"/>
        <v>500</v>
      </c>
      <c r="I155" s="403">
        <f t="shared" si="16"/>
        <v>500</v>
      </c>
      <c r="J155" s="17" t="s">
        <v>704</v>
      </c>
    </row>
    <row r="156" spans="1:10">
      <c r="A156" s="17">
        <v>1</v>
      </c>
      <c r="B156" s="17" t="s">
        <v>517</v>
      </c>
      <c r="E156" s="17" t="s">
        <v>706</v>
      </c>
      <c r="F156" s="403">
        <v>40</v>
      </c>
      <c r="H156" s="403">
        <f t="shared" si="15"/>
        <v>40</v>
      </c>
      <c r="I156" s="403">
        <f t="shared" si="16"/>
        <v>40</v>
      </c>
    </row>
    <row r="157" spans="1:10">
      <c r="A157" s="442">
        <v>0</v>
      </c>
      <c r="B157" s="17" t="s">
        <v>517</v>
      </c>
      <c r="E157" s="17" t="s">
        <v>707</v>
      </c>
      <c r="F157" s="403">
        <v>1500</v>
      </c>
      <c r="H157" s="403">
        <f t="shared" si="15"/>
        <v>1500</v>
      </c>
      <c r="I157" s="403">
        <f t="shared" si="16"/>
        <v>0</v>
      </c>
    </row>
    <row r="158" spans="1:10" ht="44.55">
      <c r="A158" s="442">
        <v>0</v>
      </c>
      <c r="B158" s="17" t="s">
        <v>517</v>
      </c>
      <c r="C158" s="204" t="s">
        <v>708</v>
      </c>
      <c r="E158" s="204" t="s">
        <v>709</v>
      </c>
      <c r="F158" s="403">
        <v>460</v>
      </c>
      <c r="H158" s="403">
        <f t="shared" si="15"/>
        <v>460</v>
      </c>
      <c r="I158" s="403">
        <f t="shared" si="16"/>
        <v>0</v>
      </c>
      <c r="J158" s="17" t="s">
        <v>710</v>
      </c>
    </row>
    <row r="159" spans="1:10" ht="44.55">
      <c r="A159" s="442">
        <v>1</v>
      </c>
      <c r="B159" s="17" t="s">
        <v>517</v>
      </c>
      <c r="C159" s="204" t="s">
        <v>711</v>
      </c>
      <c r="E159" s="204" t="s">
        <v>712</v>
      </c>
      <c r="F159" s="403">
        <v>320</v>
      </c>
      <c r="H159" s="403">
        <f t="shared" si="15"/>
        <v>320</v>
      </c>
      <c r="I159" s="403">
        <f t="shared" si="16"/>
        <v>320</v>
      </c>
    </row>
    <row r="160" spans="1:10" ht="55.65">
      <c r="A160" s="442">
        <v>0</v>
      </c>
      <c r="B160" s="17" t="s">
        <v>517</v>
      </c>
      <c r="C160" s="17" t="s">
        <v>713</v>
      </c>
      <c r="D160" s="17" t="s">
        <v>714</v>
      </c>
      <c r="E160" s="204" t="s">
        <v>1432</v>
      </c>
      <c r="F160" s="403">
        <v>2725</v>
      </c>
      <c r="H160" s="403">
        <f t="shared" si="15"/>
        <v>2725</v>
      </c>
      <c r="I160" s="403">
        <f t="shared" si="16"/>
        <v>0</v>
      </c>
    </row>
    <row r="161" spans="1:10" ht="33.4">
      <c r="A161" s="442">
        <v>0</v>
      </c>
      <c r="B161" s="17" t="s">
        <v>517</v>
      </c>
      <c r="C161" s="204" t="s">
        <v>716</v>
      </c>
      <c r="E161" s="17" t="s">
        <v>717</v>
      </c>
      <c r="F161" s="403">
        <f>1840*1.04</f>
        <v>1913.6000000000001</v>
      </c>
      <c r="H161" s="403">
        <f t="shared" si="15"/>
        <v>1913.6000000000001</v>
      </c>
      <c r="I161" s="403">
        <f t="shared" si="16"/>
        <v>0</v>
      </c>
      <c r="J161" s="17" t="s">
        <v>718</v>
      </c>
    </row>
    <row r="162" spans="1:10">
      <c r="H162" s="403"/>
      <c r="I162" s="403"/>
    </row>
    <row r="163" spans="1:10">
      <c r="E163" s="446" t="s">
        <v>719</v>
      </c>
      <c r="H163" s="403"/>
      <c r="I163" s="403"/>
    </row>
    <row r="164" spans="1:10">
      <c r="A164" s="442">
        <v>0</v>
      </c>
      <c r="B164" s="17" t="s">
        <v>619</v>
      </c>
      <c r="C164" s="204" t="s">
        <v>531</v>
      </c>
      <c r="E164" s="17" t="s">
        <v>720</v>
      </c>
      <c r="F164" s="403">
        <v>50</v>
      </c>
      <c r="H164" s="403">
        <f t="shared" si="15"/>
        <v>50</v>
      </c>
      <c r="I164" s="403">
        <f t="shared" si="16"/>
        <v>0</v>
      </c>
    </row>
    <row r="165" spans="1:10">
      <c r="A165" s="442">
        <v>0</v>
      </c>
      <c r="B165" s="17" t="s">
        <v>517</v>
      </c>
      <c r="C165" s="204" t="s">
        <v>721</v>
      </c>
      <c r="E165" s="17" t="s">
        <v>722</v>
      </c>
      <c r="F165" s="403">
        <f>69/100</f>
        <v>0.69</v>
      </c>
      <c r="H165" s="403">
        <f t="shared" si="15"/>
        <v>0.69</v>
      </c>
      <c r="I165" s="403">
        <f t="shared" si="16"/>
        <v>0</v>
      </c>
    </row>
    <row r="166" spans="1:10">
      <c r="A166" s="442">
        <f t="shared" ref="A166:A169" si="17">A165</f>
        <v>0</v>
      </c>
      <c r="B166" s="17" t="s">
        <v>517</v>
      </c>
      <c r="C166" s="204" t="s">
        <v>721</v>
      </c>
      <c r="E166" s="17" t="s">
        <v>723</v>
      </c>
      <c r="F166" s="403">
        <v>0.1</v>
      </c>
      <c r="H166" s="403">
        <f t="shared" si="15"/>
        <v>0.1</v>
      </c>
      <c r="I166" s="403">
        <f t="shared" si="16"/>
        <v>0</v>
      </c>
    </row>
    <row r="167" spans="1:10">
      <c r="A167" s="442">
        <f t="shared" si="17"/>
        <v>0</v>
      </c>
      <c r="B167" s="17" t="s">
        <v>517</v>
      </c>
      <c r="C167" s="204" t="s">
        <v>721</v>
      </c>
      <c r="E167" s="17" t="s">
        <v>724</v>
      </c>
      <c r="F167" s="403">
        <f>13.25/1.2/100</f>
        <v>0.11041666666666668</v>
      </c>
      <c r="H167" s="403">
        <f t="shared" si="15"/>
        <v>0.11041666666666668</v>
      </c>
      <c r="I167" s="403">
        <f t="shared" si="16"/>
        <v>0</v>
      </c>
    </row>
    <row r="168" spans="1:10" ht="22.25">
      <c r="A168" s="442">
        <v>0</v>
      </c>
      <c r="B168" s="17" t="s">
        <v>539</v>
      </c>
      <c r="C168" s="204" t="s">
        <v>725</v>
      </c>
      <c r="E168" s="17" t="s">
        <v>726</v>
      </c>
      <c r="F168" s="403">
        <f>15.73/1.2</f>
        <v>13.108333333333334</v>
      </c>
      <c r="H168" s="403">
        <f t="shared" si="15"/>
        <v>13.108333333333334</v>
      </c>
      <c r="I168" s="403">
        <f t="shared" si="16"/>
        <v>0</v>
      </c>
    </row>
    <row r="169" spans="1:10">
      <c r="A169" s="442">
        <f t="shared" si="17"/>
        <v>0</v>
      </c>
      <c r="B169" s="17" t="s">
        <v>539</v>
      </c>
      <c r="C169" s="204" t="s">
        <v>531</v>
      </c>
      <c r="E169" s="17" t="s">
        <v>727</v>
      </c>
      <c r="F169" s="403">
        <v>25</v>
      </c>
      <c r="H169" s="403">
        <f t="shared" si="15"/>
        <v>25</v>
      </c>
      <c r="I169" s="403">
        <f t="shared" si="16"/>
        <v>0</v>
      </c>
    </row>
    <row r="170" spans="1:10">
      <c r="A170" s="442">
        <f>A169*4</f>
        <v>0</v>
      </c>
      <c r="B170" s="17" t="s">
        <v>517</v>
      </c>
      <c r="C170" s="204" t="s">
        <v>531</v>
      </c>
      <c r="E170" s="17" t="s">
        <v>728</v>
      </c>
      <c r="F170" s="403">
        <v>0.1</v>
      </c>
      <c r="H170" s="403">
        <f t="shared" si="15"/>
        <v>0.1</v>
      </c>
      <c r="I170" s="403">
        <f t="shared" si="16"/>
        <v>0</v>
      </c>
    </row>
    <row r="171" spans="1:10">
      <c r="H171" s="403"/>
      <c r="I171" s="403"/>
    </row>
    <row r="172" spans="1:10" ht="15.75">
      <c r="E172" s="439" t="s">
        <v>729</v>
      </c>
      <c r="I172" s="168">
        <f>SUM(I152:I161)</f>
        <v>1660</v>
      </c>
    </row>
    <row r="174" spans="1:10" ht="13.75" customHeight="1">
      <c r="A174" s="997" t="s">
        <v>68</v>
      </c>
      <c r="B174" s="997"/>
      <c r="C174" s="997"/>
      <c r="D174" s="997"/>
      <c r="E174" s="997"/>
    </row>
    <row r="175" spans="1:10">
      <c r="A175" s="442">
        <v>0</v>
      </c>
      <c r="B175" s="17" t="s">
        <v>517</v>
      </c>
      <c r="E175" s="17" t="s">
        <v>1433</v>
      </c>
      <c r="F175" s="403">
        <v>187.5</v>
      </c>
      <c r="H175" s="403">
        <f t="shared" si="15"/>
        <v>187.5</v>
      </c>
      <c r="I175" s="403">
        <f t="shared" ref="I175:I179" si="18">A175*H175</f>
        <v>0</v>
      </c>
      <c r="J175" s="17" t="s">
        <v>1434</v>
      </c>
    </row>
    <row r="176" spans="1:10">
      <c r="A176" s="442">
        <v>1</v>
      </c>
      <c r="B176" s="17" t="s">
        <v>517</v>
      </c>
      <c r="E176" s="17" t="s">
        <v>1435</v>
      </c>
      <c r="F176" s="403">
        <v>250</v>
      </c>
      <c r="H176" s="403">
        <f t="shared" si="15"/>
        <v>250</v>
      </c>
      <c r="I176" s="403">
        <f t="shared" si="18"/>
        <v>250</v>
      </c>
    </row>
    <row r="177" spans="1:9">
      <c r="A177" s="442">
        <v>0</v>
      </c>
      <c r="B177" s="17" t="s">
        <v>505</v>
      </c>
      <c r="E177" s="17" t="s">
        <v>1436</v>
      </c>
      <c r="F177" s="403">
        <v>500</v>
      </c>
      <c r="H177" s="403">
        <f t="shared" si="15"/>
        <v>500</v>
      </c>
      <c r="I177" s="403">
        <f t="shared" si="18"/>
        <v>0</v>
      </c>
    </row>
    <row r="178" spans="1:9" ht="44.55">
      <c r="A178" s="442">
        <v>0</v>
      </c>
      <c r="B178" s="17" t="s">
        <v>517</v>
      </c>
      <c r="C178" s="204" t="s">
        <v>708</v>
      </c>
      <c r="E178" s="204" t="s">
        <v>731</v>
      </c>
      <c r="F178" s="403">
        <f>460/2</f>
        <v>230</v>
      </c>
      <c r="H178" s="403">
        <f t="shared" si="15"/>
        <v>230</v>
      </c>
      <c r="I178" s="403">
        <f t="shared" si="18"/>
        <v>0</v>
      </c>
    </row>
    <row r="179" spans="1:9" ht="44.55">
      <c r="A179" s="442">
        <v>0</v>
      </c>
      <c r="B179" s="17" t="s">
        <v>517</v>
      </c>
      <c r="C179" s="204" t="s">
        <v>711</v>
      </c>
      <c r="E179" s="204" t="s">
        <v>732</v>
      </c>
      <c r="F179" s="403">
        <f>320/2</f>
        <v>160</v>
      </c>
      <c r="H179" s="403">
        <f t="shared" si="15"/>
        <v>160</v>
      </c>
      <c r="I179" s="403">
        <f t="shared" si="18"/>
        <v>0</v>
      </c>
    </row>
    <row r="181" spans="1:9" ht="15.75">
      <c r="E181" s="439" t="s">
        <v>733</v>
      </c>
      <c r="I181" s="168">
        <f>SUM(I174:I180)</f>
        <v>250</v>
      </c>
    </row>
    <row r="182" spans="1:9">
      <c r="E182" s="439"/>
    </row>
  </sheetData>
  <mergeCells count="13">
    <mergeCell ref="B1:F1"/>
    <mergeCell ref="A2:G2"/>
    <mergeCell ref="J24:L24"/>
    <mergeCell ref="K82:K83"/>
    <mergeCell ref="K84:K85"/>
    <mergeCell ref="A128:E128"/>
    <mergeCell ref="A152:E152"/>
    <mergeCell ref="A174:E174"/>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2.140625" style="204" customWidth="1"/>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329</v>
      </c>
      <c r="C1" s="1058"/>
      <c r="D1" s="1058"/>
      <c r="E1" s="1058"/>
      <c r="F1" s="1058"/>
      <c r="H1" s="405" t="s">
        <v>493</v>
      </c>
      <c r="I1" s="406">
        <f>VLOOKUP(E4,Catalogue!F:J,5,0)</f>
        <v>375</v>
      </c>
      <c r="J1" s="17" t="s">
        <v>494</v>
      </c>
      <c r="K1" s="17" t="s">
        <v>495</v>
      </c>
      <c r="L1" s="58">
        <f>A4*I1</f>
        <v>28500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c r="A4" s="413">
        <v>76</v>
      </c>
      <c r="B4" s="413" t="s">
        <v>505</v>
      </c>
      <c r="C4" s="413" t="s">
        <v>1306</v>
      </c>
      <c r="D4" s="413"/>
      <c r="E4" s="420" t="s">
        <v>1307</v>
      </c>
      <c r="F4" s="421">
        <v>116.88</v>
      </c>
      <c r="G4" s="410"/>
      <c r="H4" s="409">
        <f t="shared" ref="H4:H9" si="0">F4*(1-G4)</f>
        <v>116.88</v>
      </c>
      <c r="I4" s="409">
        <f t="shared" ref="I4:I9" si="1">A4*H4</f>
        <v>8882.8799999999992</v>
      </c>
      <c r="J4" s="417">
        <f>F4/$I$1</f>
        <v>0.31168000000000001</v>
      </c>
      <c r="K4" s="403" t="s">
        <v>1421</v>
      </c>
      <c r="L4" s="404"/>
      <c r="M4" s="418">
        <f>I4</f>
        <v>8882.8799999999992</v>
      </c>
      <c r="N4" s="418"/>
      <c r="O4" s="418"/>
      <c r="P4" s="418"/>
      <c r="Q4" s="418"/>
      <c r="R4" s="418"/>
      <c r="S4" s="418"/>
    </row>
    <row r="5" spans="1:19" ht="55.65">
      <c r="A5" s="413">
        <v>0</v>
      </c>
      <c r="B5" s="413" t="s">
        <v>505</v>
      </c>
      <c r="C5" s="420" t="s">
        <v>817</v>
      </c>
      <c r="D5" s="413" t="s">
        <v>818</v>
      </c>
      <c r="E5" s="420" t="s">
        <v>819</v>
      </c>
      <c r="F5" s="421">
        <v>267.5</v>
      </c>
      <c r="G5" s="410"/>
      <c r="H5" s="409">
        <f t="shared" si="0"/>
        <v>267.5</v>
      </c>
      <c r="I5" s="409">
        <f t="shared" si="1"/>
        <v>0</v>
      </c>
      <c r="J5" s="417"/>
      <c r="K5" s="403"/>
      <c r="L5" s="404"/>
      <c r="M5" s="418"/>
      <c r="N5" s="418"/>
      <c r="O5" s="418"/>
      <c r="P5" s="418"/>
      <c r="Q5" s="418"/>
      <c r="R5" s="418"/>
      <c r="S5" s="418"/>
    </row>
    <row r="6" spans="1:19">
      <c r="A6" s="413">
        <f>A4+A5</f>
        <v>76</v>
      </c>
      <c r="B6" s="413" t="s">
        <v>505</v>
      </c>
      <c r="C6" s="423" t="s">
        <v>738</v>
      </c>
      <c r="D6" s="423"/>
      <c r="E6" s="424" t="s">
        <v>1549</v>
      </c>
      <c r="F6" s="421">
        <f>836/A6</f>
        <v>11</v>
      </c>
      <c r="G6" s="422"/>
      <c r="H6" s="409">
        <f t="shared" si="0"/>
        <v>11</v>
      </c>
      <c r="I6" s="409">
        <f t="shared" si="1"/>
        <v>836</v>
      </c>
      <c r="J6" s="417">
        <f>F6/$I$1</f>
        <v>2.9333333333333333E-2</v>
      </c>
      <c r="K6" s="417"/>
      <c r="L6" s="204"/>
      <c r="M6" s="418">
        <f>I6</f>
        <v>836</v>
      </c>
      <c r="N6" s="418"/>
      <c r="O6" s="418"/>
      <c r="P6" s="418"/>
      <c r="Q6" s="418"/>
      <c r="R6" s="418"/>
      <c r="S6" s="418"/>
    </row>
    <row r="7" spans="1:19" ht="55.65">
      <c r="A7" s="413">
        <v>1</v>
      </c>
      <c r="B7" s="413" t="s">
        <v>522</v>
      </c>
      <c r="C7" s="413" t="s">
        <v>540</v>
      </c>
      <c r="D7" s="413" t="s">
        <v>1217</v>
      </c>
      <c r="E7" s="420" t="s">
        <v>1437</v>
      </c>
      <c r="F7" s="421">
        <v>316.67</v>
      </c>
      <c r="G7" s="422"/>
      <c r="H7" s="409">
        <f t="shared" si="0"/>
        <v>316.67</v>
      </c>
      <c r="I7" s="409">
        <f t="shared" si="1"/>
        <v>316.67</v>
      </c>
      <c r="J7" s="204"/>
      <c r="K7" s="17" t="s">
        <v>1528</v>
      </c>
      <c r="L7" s="442"/>
      <c r="M7" s="418"/>
      <c r="N7" s="418"/>
      <c r="O7" s="418"/>
      <c r="P7" s="418"/>
      <c r="Q7" s="418"/>
      <c r="R7" s="418">
        <f t="shared" ref="R7:R9" si="2">I7</f>
        <v>316.67</v>
      </c>
      <c r="S7" s="418"/>
    </row>
    <row r="8" spans="1:19">
      <c r="A8" s="423">
        <v>0</v>
      </c>
      <c r="B8" s="423" t="s">
        <v>522</v>
      </c>
      <c r="C8" s="413"/>
      <c r="D8" s="413"/>
      <c r="E8" s="420"/>
      <c r="F8" s="421"/>
      <c r="G8" s="410"/>
      <c r="H8" s="409">
        <f t="shared" si="0"/>
        <v>0</v>
      </c>
      <c r="I8" s="409">
        <f t="shared" si="1"/>
        <v>0</v>
      </c>
      <c r="J8" s="204"/>
      <c r="K8" s="17" t="s">
        <v>1529</v>
      </c>
      <c r="L8" s="442"/>
      <c r="M8" s="418"/>
      <c r="N8" s="418"/>
      <c r="O8" s="418"/>
      <c r="P8" s="418"/>
      <c r="Q8" s="418"/>
      <c r="R8" s="418">
        <f t="shared" si="2"/>
        <v>0</v>
      </c>
      <c r="S8" s="418"/>
    </row>
    <row r="9" spans="1:19" ht="22.25">
      <c r="A9" s="413">
        <v>1</v>
      </c>
      <c r="B9" s="413" t="s">
        <v>505</v>
      </c>
      <c r="C9" s="423" t="s">
        <v>1030</v>
      </c>
      <c r="D9" s="413" t="s">
        <v>1015</v>
      </c>
      <c r="E9" s="420" t="s">
        <v>1194</v>
      </c>
      <c r="F9" s="421">
        <v>525.55999999999995</v>
      </c>
      <c r="G9" s="410"/>
      <c r="H9" s="409">
        <f t="shared" si="0"/>
        <v>525.55999999999995</v>
      </c>
      <c r="I9" s="409">
        <f t="shared" si="1"/>
        <v>525.55999999999995</v>
      </c>
      <c r="J9" s="204"/>
      <c r="M9" s="418"/>
      <c r="N9" s="418"/>
      <c r="O9" s="418"/>
      <c r="P9" s="418"/>
      <c r="Q9" s="418"/>
      <c r="R9" s="418">
        <f t="shared" si="2"/>
        <v>525.55999999999995</v>
      </c>
      <c r="S9" s="418"/>
    </row>
    <row r="10" spans="1:19">
      <c r="A10" s="413"/>
      <c r="B10" s="413"/>
      <c r="C10" s="413"/>
      <c r="D10" s="413"/>
      <c r="E10" s="420"/>
      <c r="F10" s="421"/>
      <c r="G10" s="410"/>
      <c r="H10" s="409">
        <f t="shared" ref="H10:H63" si="3">F10*(1-G10)</f>
        <v>0</v>
      </c>
      <c r="I10" s="409">
        <f t="shared" ref="I10:I33" si="4">A10*H10</f>
        <v>0</v>
      </c>
      <c r="J10" s="204"/>
      <c r="M10" s="418"/>
      <c r="N10" s="418"/>
      <c r="O10" s="418"/>
      <c r="P10" s="418"/>
      <c r="Q10" s="418"/>
      <c r="R10" s="418">
        <f t="shared" ref="R10:R25" si="5">I10</f>
        <v>0</v>
      </c>
      <c r="S10" s="418"/>
    </row>
    <row r="11" spans="1:19" ht="22.25">
      <c r="A11" s="413">
        <v>1</v>
      </c>
      <c r="B11" s="413" t="s">
        <v>530</v>
      </c>
      <c r="C11" s="420" t="s">
        <v>531</v>
      </c>
      <c r="D11" s="413"/>
      <c r="E11" s="420" t="s">
        <v>1073</v>
      </c>
      <c r="F11" s="421">
        <v>500</v>
      </c>
      <c r="G11" s="410"/>
      <c r="H11" s="409">
        <f t="shared" si="3"/>
        <v>500</v>
      </c>
      <c r="I11" s="409">
        <f t="shared" si="4"/>
        <v>500</v>
      </c>
      <c r="J11" s="204"/>
      <c r="M11" s="418"/>
      <c r="N11" s="418"/>
      <c r="O11" s="418"/>
      <c r="P11" s="418"/>
      <c r="Q11" s="418"/>
      <c r="R11" s="418">
        <f t="shared" si="5"/>
        <v>500</v>
      </c>
      <c r="S11" s="418"/>
    </row>
    <row r="12" spans="1:19" ht="33.4">
      <c r="A12" s="413">
        <v>0</v>
      </c>
      <c r="B12" s="413" t="s">
        <v>505</v>
      </c>
      <c r="C12" s="420" t="s">
        <v>534</v>
      </c>
      <c r="D12" s="413"/>
      <c r="E12" s="420" t="s">
        <v>535</v>
      </c>
      <c r="F12" s="421">
        <v>3.71</v>
      </c>
      <c r="G12" s="410"/>
      <c r="H12" s="409">
        <f t="shared" si="3"/>
        <v>3.71</v>
      </c>
      <c r="I12" s="409">
        <f t="shared" si="4"/>
        <v>0</v>
      </c>
      <c r="J12" s="204" t="s">
        <v>795</v>
      </c>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13">
        <f>2*(5+3.5+4)+2*(11.4+12+4+2+2.5)</f>
        <v>88.8</v>
      </c>
      <c r="B14" s="413" t="s">
        <v>539</v>
      </c>
      <c r="C14" s="420" t="s">
        <v>540</v>
      </c>
      <c r="D14" s="413" t="s">
        <v>541</v>
      </c>
      <c r="E14" s="420" t="s">
        <v>542</v>
      </c>
      <c r="F14" s="421">
        <v>0.55647999999999997</v>
      </c>
      <c r="G14" s="410"/>
      <c r="H14" s="409">
        <f t="shared" si="3"/>
        <v>0.55647999999999997</v>
      </c>
      <c r="I14" s="409">
        <f t="shared" si="4"/>
        <v>49.415423999999994</v>
      </c>
      <c r="M14" s="418"/>
      <c r="N14" s="418"/>
      <c r="O14" s="418">
        <f t="shared" ref="O14:O28" si="6">I14</f>
        <v>49.415423999999994</v>
      </c>
      <c r="P14" s="418"/>
      <c r="Q14" s="418"/>
      <c r="R14" s="418"/>
      <c r="S14" s="418"/>
    </row>
    <row r="15" spans="1:19" ht="33.4">
      <c r="A15" s="413">
        <f>A14+A4*2*1.1</f>
        <v>256</v>
      </c>
      <c r="B15" s="413" t="s">
        <v>539</v>
      </c>
      <c r="C15" s="420" t="s">
        <v>540</v>
      </c>
      <c r="D15" s="413" t="s">
        <v>543</v>
      </c>
      <c r="E15" s="420" t="s">
        <v>544</v>
      </c>
      <c r="F15" s="421">
        <v>0.55647999999999997</v>
      </c>
      <c r="G15" s="410"/>
      <c r="H15" s="409">
        <f t="shared" si="3"/>
        <v>0.55647999999999997</v>
      </c>
      <c r="I15" s="409">
        <f t="shared" si="4"/>
        <v>142.45887999999999</v>
      </c>
      <c r="M15" s="418"/>
      <c r="N15" s="418"/>
      <c r="O15" s="418">
        <f t="shared" si="6"/>
        <v>142.45887999999999</v>
      </c>
      <c r="P15" s="418"/>
      <c r="Q15" s="418"/>
      <c r="R15" s="418"/>
      <c r="S15" s="418"/>
    </row>
    <row r="16" spans="1:19" ht="33.4">
      <c r="A16" s="413">
        <v>16</v>
      </c>
      <c r="B16" s="413" t="s">
        <v>517</v>
      </c>
      <c r="C16" s="420" t="s">
        <v>540</v>
      </c>
      <c r="D16" s="413" t="s">
        <v>797</v>
      </c>
      <c r="E16" s="420" t="s">
        <v>798</v>
      </c>
      <c r="F16" s="421">
        <v>0.88</v>
      </c>
      <c r="G16" s="410"/>
      <c r="H16" s="409">
        <f t="shared" si="3"/>
        <v>0.88</v>
      </c>
      <c r="I16" s="409">
        <f t="shared" si="4"/>
        <v>14.08</v>
      </c>
      <c r="J16" s="204"/>
      <c r="M16" s="418"/>
      <c r="N16" s="418"/>
      <c r="O16" s="418">
        <f t="shared" si="6"/>
        <v>14.08</v>
      </c>
      <c r="P16" s="418"/>
      <c r="Q16" s="418"/>
      <c r="R16" s="418"/>
      <c r="S16" s="418"/>
    </row>
    <row r="17" spans="1:19" ht="33.4">
      <c r="A17" s="413">
        <f>A16</f>
        <v>16</v>
      </c>
      <c r="B17" s="413" t="s">
        <v>517</v>
      </c>
      <c r="C17" s="420" t="s">
        <v>540</v>
      </c>
      <c r="D17" s="413" t="s">
        <v>800</v>
      </c>
      <c r="E17" s="420" t="s">
        <v>801</v>
      </c>
      <c r="F17" s="421">
        <v>0.67</v>
      </c>
      <c r="G17" s="410"/>
      <c r="H17" s="409">
        <f t="shared" si="3"/>
        <v>0.67</v>
      </c>
      <c r="I17" s="409">
        <f t="shared" si="4"/>
        <v>10.72</v>
      </c>
      <c r="J17" s="204"/>
      <c r="M17" s="418"/>
      <c r="N17" s="418"/>
      <c r="O17" s="418">
        <f t="shared" si="6"/>
        <v>10.72</v>
      </c>
      <c r="P17" s="418"/>
      <c r="Q17" s="418"/>
      <c r="R17" s="418"/>
      <c r="S17" s="418"/>
    </row>
    <row r="18" spans="1:19" ht="22.25">
      <c r="A18" s="413">
        <v>0</v>
      </c>
      <c r="B18" s="413" t="s">
        <v>517</v>
      </c>
      <c r="C18" s="420" t="s">
        <v>540</v>
      </c>
      <c r="D18" s="413" t="s">
        <v>556</v>
      </c>
      <c r="E18" s="420" t="s">
        <v>557</v>
      </c>
      <c r="F18" s="421">
        <v>6.58</v>
      </c>
      <c r="G18" s="410"/>
      <c r="H18" s="409">
        <f t="shared" si="3"/>
        <v>6.58</v>
      </c>
      <c r="I18" s="409">
        <f t="shared" si="4"/>
        <v>0</v>
      </c>
      <c r="J18" s="204"/>
      <c r="M18" s="418"/>
      <c r="N18" s="418"/>
      <c r="O18" s="418">
        <f t="shared" si="6"/>
        <v>0</v>
      </c>
      <c r="P18" s="418"/>
      <c r="Q18" s="418"/>
      <c r="R18" s="418"/>
      <c r="S18" s="418"/>
    </row>
    <row r="19" spans="1:19">
      <c r="A19" s="413">
        <v>1</v>
      </c>
      <c r="B19" s="413" t="s">
        <v>505</v>
      </c>
      <c r="C19" s="413" t="s">
        <v>786</v>
      </c>
      <c r="D19" s="413"/>
      <c r="E19" s="420" t="s">
        <v>787</v>
      </c>
      <c r="F19" s="421">
        <v>1878.1</v>
      </c>
      <c r="G19" s="410"/>
      <c r="H19" s="409">
        <f t="shared" si="3"/>
        <v>1878.1</v>
      </c>
      <c r="I19" s="409">
        <f t="shared" si="4"/>
        <v>1878.1</v>
      </c>
      <c r="J19" s="204"/>
      <c r="M19" s="418"/>
      <c r="N19" s="418">
        <f t="shared" ref="N19:N22" si="7">I19</f>
        <v>1878.1</v>
      </c>
      <c r="O19" s="418"/>
      <c r="P19" s="418"/>
      <c r="Q19" s="418"/>
      <c r="R19" s="418"/>
      <c r="S19" s="418"/>
    </row>
    <row r="20" spans="1:19">
      <c r="A20" s="413">
        <v>1</v>
      </c>
      <c r="B20" s="423" t="s">
        <v>522</v>
      </c>
      <c r="C20" s="423" t="s">
        <v>531</v>
      </c>
      <c r="D20" s="423"/>
      <c r="E20" s="424" t="s">
        <v>1104</v>
      </c>
      <c r="F20" s="425">
        <v>1426.67</v>
      </c>
      <c r="G20" s="422"/>
      <c r="H20" s="409">
        <f t="shared" si="3"/>
        <v>1426.67</v>
      </c>
      <c r="I20" s="409">
        <f t="shared" si="4"/>
        <v>1426.67</v>
      </c>
      <c r="J20" s="204"/>
      <c r="M20" s="418"/>
      <c r="N20" s="418">
        <f t="shared" si="7"/>
        <v>1426.67</v>
      </c>
      <c r="O20" s="418"/>
      <c r="P20" s="418"/>
      <c r="Q20" s="418"/>
      <c r="R20" s="418"/>
      <c r="S20" s="418"/>
    </row>
    <row r="21" spans="1:19" ht="33.4">
      <c r="A21" s="413">
        <v>1</v>
      </c>
      <c r="B21" s="413" t="s">
        <v>517</v>
      </c>
      <c r="C21" s="420" t="s">
        <v>540</v>
      </c>
      <c r="D21" s="413" t="s">
        <v>990</v>
      </c>
      <c r="E21" s="420" t="s">
        <v>991</v>
      </c>
      <c r="F21" s="421">
        <v>33.21</v>
      </c>
      <c r="G21" s="410"/>
      <c r="H21" s="409">
        <f t="shared" si="3"/>
        <v>33.21</v>
      </c>
      <c r="I21" s="409">
        <f t="shared" si="4"/>
        <v>33.21</v>
      </c>
      <c r="J21" s="204"/>
      <c r="M21" s="418"/>
      <c r="N21" s="418">
        <f t="shared" si="7"/>
        <v>33.21</v>
      </c>
      <c r="O21" s="418"/>
      <c r="P21" s="418"/>
      <c r="Q21" s="418"/>
      <c r="R21" s="418"/>
      <c r="S21" s="418"/>
    </row>
    <row r="22" spans="1:19" ht="22.25">
      <c r="A22" s="413">
        <v>0</v>
      </c>
      <c r="B22" s="413" t="s">
        <v>517</v>
      </c>
      <c r="C22" s="420" t="s">
        <v>540</v>
      </c>
      <c r="D22" s="413" t="s">
        <v>998</v>
      </c>
      <c r="E22" s="420" t="s">
        <v>999</v>
      </c>
      <c r="F22" s="421">
        <v>116.67</v>
      </c>
      <c r="G22" s="410"/>
      <c r="H22" s="409">
        <f t="shared" si="3"/>
        <v>116.67</v>
      </c>
      <c r="I22" s="409">
        <f t="shared" si="4"/>
        <v>0</v>
      </c>
      <c r="J22" s="204"/>
      <c r="M22" s="418"/>
      <c r="N22" s="418">
        <f t="shared" si="7"/>
        <v>0</v>
      </c>
      <c r="O22" s="418"/>
      <c r="P22" s="418"/>
      <c r="Q22" s="418"/>
      <c r="R22" s="418"/>
      <c r="S22" s="418"/>
    </row>
    <row r="23" spans="1:19" ht="33.4">
      <c r="A23" s="413">
        <v>0</v>
      </c>
      <c r="B23" s="413" t="s">
        <v>517</v>
      </c>
      <c r="C23" s="420" t="s">
        <v>540</v>
      </c>
      <c r="D23" s="413" t="s">
        <v>761</v>
      </c>
      <c r="E23" s="420" t="s">
        <v>762</v>
      </c>
      <c r="F23" s="421">
        <v>2.5</v>
      </c>
      <c r="G23" s="410"/>
      <c r="H23" s="409">
        <f t="shared" si="3"/>
        <v>2.5</v>
      </c>
      <c r="I23" s="409">
        <f t="shared" si="4"/>
        <v>0</v>
      </c>
      <c r="J23" s="204"/>
      <c r="M23" s="418"/>
      <c r="N23" s="418"/>
      <c r="O23" s="418"/>
      <c r="P23" s="418"/>
      <c r="Q23" s="418"/>
      <c r="R23" s="418">
        <f t="shared" si="5"/>
        <v>0</v>
      </c>
      <c r="S23" s="418"/>
    </row>
    <row r="24" spans="1:19" ht="35.85" customHeight="1">
      <c r="A24" s="413">
        <v>0</v>
      </c>
      <c r="B24" s="413" t="s">
        <v>522</v>
      </c>
      <c r="C24" s="413" t="s">
        <v>751</v>
      </c>
      <c r="D24" s="413"/>
      <c r="E24" s="420" t="s">
        <v>803</v>
      </c>
      <c r="F24" s="421">
        <v>564.44000000000005</v>
      </c>
      <c r="G24" s="410"/>
      <c r="H24" s="409">
        <f t="shared" si="3"/>
        <v>564.44000000000005</v>
      </c>
      <c r="I24" s="409">
        <f t="shared" si="4"/>
        <v>0</v>
      </c>
      <c r="J24" s="1054" t="s">
        <v>833</v>
      </c>
      <c r="K24" s="1054"/>
      <c r="L24" s="1054"/>
      <c r="M24" s="418"/>
      <c r="N24" s="418"/>
      <c r="O24" s="418"/>
      <c r="P24" s="418"/>
      <c r="Q24" s="418"/>
      <c r="R24" s="418">
        <f t="shared" si="5"/>
        <v>0</v>
      </c>
      <c r="S24" s="418"/>
    </row>
    <row r="25" spans="1:19">
      <c r="A25" s="407"/>
      <c r="B25" s="407"/>
      <c r="C25" s="408"/>
      <c r="D25" s="407"/>
      <c r="E25" s="408"/>
      <c r="F25" s="409"/>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c r="A27" s="413">
        <v>1</v>
      </c>
      <c r="B27" s="413" t="s">
        <v>517</v>
      </c>
      <c r="C27" s="413" t="s">
        <v>751</v>
      </c>
      <c r="D27" s="413"/>
      <c r="E27" s="420" t="s">
        <v>834</v>
      </c>
      <c r="F27" s="421">
        <v>462.5</v>
      </c>
      <c r="G27" s="410"/>
      <c r="H27" s="409">
        <f t="shared" si="3"/>
        <v>462.5</v>
      </c>
      <c r="I27" s="409">
        <f t="shared" si="4"/>
        <v>462.5</v>
      </c>
      <c r="J27" s="204"/>
      <c r="M27" s="418">
        <f>F27</f>
        <v>462.5</v>
      </c>
      <c r="N27" s="418"/>
      <c r="O27" s="418"/>
      <c r="P27" s="418"/>
      <c r="Q27" s="418"/>
      <c r="R27" s="418"/>
      <c r="S27" s="418"/>
    </row>
    <row r="28" spans="1:19">
      <c r="A28" s="413">
        <v>8</v>
      </c>
      <c r="B28" s="413" t="s">
        <v>539</v>
      </c>
      <c r="C28" s="413" t="s">
        <v>690</v>
      </c>
      <c r="D28" s="413"/>
      <c r="E28" s="413" t="s">
        <v>835</v>
      </c>
      <c r="F28" s="421">
        <v>9.32</v>
      </c>
      <c r="G28" s="428"/>
      <c r="H28" s="409">
        <f t="shared" si="3"/>
        <v>9.32</v>
      </c>
      <c r="I28" s="409">
        <f t="shared" si="4"/>
        <v>74.56</v>
      </c>
      <c r="J28" s="204"/>
      <c r="K28" s="442"/>
      <c r="M28" s="418"/>
      <c r="N28" s="418"/>
      <c r="O28" s="418">
        <f t="shared" si="6"/>
        <v>74.56</v>
      </c>
      <c r="P28" s="418"/>
      <c r="Q28" s="418"/>
      <c r="R28" s="418"/>
      <c r="S28" s="418"/>
    </row>
    <row r="29" spans="1:19" ht="33.4">
      <c r="A29" s="413">
        <v>1</v>
      </c>
      <c r="B29" s="413" t="s">
        <v>517</v>
      </c>
      <c r="C29" s="420" t="s">
        <v>569</v>
      </c>
      <c r="D29" s="413" t="s">
        <v>570</v>
      </c>
      <c r="E29" s="420" t="s">
        <v>571</v>
      </c>
      <c r="F29" s="421">
        <v>1040</v>
      </c>
      <c r="G29" s="429">
        <v>0.48</v>
      </c>
      <c r="H29" s="430">
        <f t="shared" si="3"/>
        <v>540.80000000000007</v>
      </c>
      <c r="I29" s="409">
        <f t="shared" si="4"/>
        <v>540.80000000000007</v>
      </c>
      <c r="J29" s="204"/>
      <c r="M29" s="418"/>
      <c r="N29" s="418"/>
      <c r="O29" s="418"/>
      <c r="P29" s="418"/>
      <c r="Q29" s="418"/>
      <c r="R29" s="418"/>
      <c r="S29" s="418">
        <f t="shared" ref="S29:S33" si="8">I29</f>
        <v>540.80000000000007</v>
      </c>
    </row>
    <row r="30" spans="1:19" ht="44.55">
      <c r="A30" s="413">
        <v>0</v>
      </c>
      <c r="B30" s="413" t="s">
        <v>517</v>
      </c>
      <c r="C30" s="424" t="s">
        <v>569</v>
      </c>
      <c r="D30" s="423" t="s">
        <v>572</v>
      </c>
      <c r="E30" s="424" t="s">
        <v>573</v>
      </c>
      <c r="F30" s="425">
        <v>1190</v>
      </c>
      <c r="G30" s="429">
        <v>0.48</v>
      </c>
      <c r="H30" s="430">
        <f t="shared" si="3"/>
        <v>618.80000000000007</v>
      </c>
      <c r="I30" s="409">
        <f t="shared" si="4"/>
        <v>0</v>
      </c>
      <c r="J30" s="204"/>
      <c r="M30" s="418"/>
      <c r="N30" s="418"/>
      <c r="O30" s="418"/>
      <c r="P30" s="418"/>
      <c r="Q30" s="418"/>
      <c r="R30" s="418"/>
      <c r="S30" s="418">
        <f t="shared" si="8"/>
        <v>0</v>
      </c>
    </row>
    <row r="31" spans="1:19">
      <c r="A31" s="413">
        <v>0</v>
      </c>
      <c r="B31" s="413" t="s">
        <v>517</v>
      </c>
      <c r="C31" s="420" t="s">
        <v>574</v>
      </c>
      <c r="D31" s="413" t="s">
        <v>575</v>
      </c>
      <c r="E31" s="413" t="s">
        <v>576</v>
      </c>
      <c r="F31" s="421">
        <v>36.700000000000003</v>
      </c>
      <c r="G31" s="410"/>
      <c r="H31" s="409">
        <f t="shared" si="3"/>
        <v>36.700000000000003</v>
      </c>
      <c r="I31" s="409">
        <f t="shared" si="4"/>
        <v>0</v>
      </c>
      <c r="J31" s="204"/>
      <c r="M31" s="418"/>
      <c r="N31" s="418"/>
      <c r="O31" s="418"/>
      <c r="P31" s="418"/>
      <c r="Q31" s="418"/>
      <c r="R31" s="418"/>
      <c r="S31" s="418">
        <f t="shared" si="8"/>
        <v>0</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16177.374303999997</v>
      </c>
      <c r="J36" s="204"/>
      <c r="M36" s="418">
        <f>SUM(M4:M34)</f>
        <v>10181.379999999999</v>
      </c>
      <c r="N36" s="418">
        <f>SUM(N4:N34)</f>
        <v>3337.98</v>
      </c>
      <c r="O36" s="418">
        <f>SUM(O4:O34)</f>
        <v>391.23430400000001</v>
      </c>
      <c r="P36" s="418"/>
      <c r="Q36" s="418"/>
      <c r="R36" s="418">
        <f>SUM(R4:R34)</f>
        <v>1342.23</v>
      </c>
      <c r="S36" s="418">
        <f>SUM(S4:S34)</f>
        <v>924.55000000000007</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20221.717879999997</v>
      </c>
      <c r="J38" s="436"/>
      <c r="K38" s="437"/>
      <c r="L38" s="437"/>
      <c r="M38" s="438">
        <f>M36*(1+$G$37)</f>
        <v>12726.724999999999</v>
      </c>
      <c r="N38" s="438">
        <f>N36*(1+$G$37)</f>
        <v>4172.4750000000004</v>
      </c>
      <c r="O38" s="438">
        <f>O36*(1+$G$37)</f>
        <v>489.04288000000003</v>
      </c>
      <c r="P38" s="438">
        <f>P67</f>
        <v>5280</v>
      </c>
      <c r="Q38" s="438">
        <f>Q126</f>
        <v>4984.2399999999989</v>
      </c>
      <c r="R38" s="438">
        <f>R36*(1+$G$37)</f>
        <v>1677.7874999999999</v>
      </c>
      <c r="S38" s="438">
        <f>S36*(1+$G$37)</f>
        <v>1155.6875</v>
      </c>
    </row>
    <row r="41" spans="1:19">
      <c r="E41" s="439" t="s">
        <v>585</v>
      </c>
    </row>
    <row r="42" spans="1:19">
      <c r="A42" s="441">
        <v>4</v>
      </c>
      <c r="B42" s="17" t="s">
        <v>619</v>
      </c>
      <c r="E42" s="17" t="s">
        <v>586</v>
      </c>
      <c r="F42" s="403">
        <f t="shared" ref="F42:F58" si="9">F$62</f>
        <v>55</v>
      </c>
      <c r="H42" s="403">
        <f t="shared" si="3"/>
        <v>55</v>
      </c>
      <c r="I42" s="403">
        <f t="shared" ref="I42:I64" si="10">A42*H42</f>
        <v>220</v>
      </c>
    </row>
    <row r="43" spans="1:19">
      <c r="A43" s="441">
        <f>A6/120*8*2</f>
        <v>10.133333333333333</v>
      </c>
      <c r="B43" s="17" t="s">
        <v>619</v>
      </c>
      <c r="E43" s="17" t="s">
        <v>589</v>
      </c>
      <c r="F43" s="403">
        <f t="shared" si="9"/>
        <v>55</v>
      </c>
      <c r="H43" s="403">
        <f t="shared" si="3"/>
        <v>55</v>
      </c>
      <c r="I43" s="403">
        <f t="shared" si="10"/>
        <v>557.33333333333326</v>
      </c>
      <c r="J43" s="17" t="s">
        <v>592</v>
      </c>
    </row>
    <row r="44" spans="1:19">
      <c r="A44" s="441">
        <v>8</v>
      </c>
      <c r="B44" s="17" t="s">
        <v>619</v>
      </c>
      <c r="E44" s="17" t="s">
        <v>1426</v>
      </c>
      <c r="F44" s="403">
        <f t="shared" si="9"/>
        <v>55</v>
      </c>
      <c r="H44" s="403">
        <f t="shared" si="3"/>
        <v>55</v>
      </c>
      <c r="I44" s="403">
        <f t="shared" si="10"/>
        <v>440</v>
      </c>
      <c r="J44" s="17" t="s">
        <v>1486</v>
      </c>
    </row>
    <row r="45" spans="1:19">
      <c r="A45" s="441">
        <f>A6/120*16*2</f>
        <v>20.266666666666666</v>
      </c>
      <c r="B45" s="17" t="s">
        <v>619</v>
      </c>
      <c r="E45" s="17" t="s">
        <v>591</v>
      </c>
      <c r="F45" s="403">
        <f t="shared" si="9"/>
        <v>55</v>
      </c>
      <c r="H45" s="403">
        <f t="shared" si="3"/>
        <v>55</v>
      </c>
      <c r="I45" s="403">
        <f t="shared" si="10"/>
        <v>1114.6666666666665</v>
      </c>
      <c r="J45" s="17" t="s">
        <v>592</v>
      </c>
    </row>
    <row r="46" spans="1:19">
      <c r="A46" s="441">
        <v>4</v>
      </c>
      <c r="B46" s="17" t="s">
        <v>619</v>
      </c>
      <c r="E46" s="17" t="s">
        <v>1428</v>
      </c>
      <c r="F46" s="403">
        <f t="shared" si="9"/>
        <v>55</v>
      </c>
      <c r="H46" s="403">
        <f t="shared" si="3"/>
        <v>55</v>
      </c>
      <c r="I46" s="403">
        <f t="shared" si="10"/>
        <v>220</v>
      </c>
    </row>
    <row r="47" spans="1:19">
      <c r="A47" s="441">
        <v>1</v>
      </c>
      <c r="B47" s="17" t="s">
        <v>619</v>
      </c>
      <c r="E47" s="17" t="s">
        <v>1429</v>
      </c>
      <c r="F47" s="403">
        <f t="shared" si="9"/>
        <v>55</v>
      </c>
      <c r="H47" s="403">
        <f t="shared" si="3"/>
        <v>55</v>
      </c>
      <c r="I47" s="403">
        <f t="shared" si="10"/>
        <v>55</v>
      </c>
    </row>
    <row r="48" spans="1:19">
      <c r="A48" s="441">
        <v>3</v>
      </c>
      <c r="B48" s="17" t="s">
        <v>619</v>
      </c>
      <c r="E48" s="17" t="s">
        <v>605</v>
      </c>
      <c r="F48" s="403">
        <f t="shared" si="9"/>
        <v>55</v>
      </c>
      <c r="H48" s="403">
        <f t="shared" si="3"/>
        <v>55</v>
      </c>
      <c r="I48" s="403">
        <f t="shared" si="10"/>
        <v>165</v>
      </c>
      <c r="J48" s="17" t="s">
        <v>1430</v>
      </c>
    </row>
    <row r="49" spans="1:10">
      <c r="A49" s="441">
        <v>4</v>
      </c>
      <c r="B49" s="17" t="s">
        <v>619</v>
      </c>
      <c r="E49" s="17" t="s">
        <v>607</v>
      </c>
      <c r="F49" s="403">
        <f t="shared" si="9"/>
        <v>55</v>
      </c>
      <c r="H49" s="403">
        <f t="shared" si="3"/>
        <v>55</v>
      </c>
      <c r="I49" s="403">
        <f t="shared" si="10"/>
        <v>220</v>
      </c>
      <c r="J49" s="17" t="s">
        <v>608</v>
      </c>
    </row>
    <row r="50" spans="1:10">
      <c r="A50" s="441">
        <v>0.5</v>
      </c>
      <c r="B50" s="17" t="s">
        <v>619</v>
      </c>
      <c r="E50" s="17" t="s">
        <v>609</v>
      </c>
      <c r="F50" s="403">
        <f t="shared" si="9"/>
        <v>55</v>
      </c>
      <c r="H50" s="403">
        <f t="shared" si="3"/>
        <v>55</v>
      </c>
      <c r="I50" s="403">
        <f t="shared" si="10"/>
        <v>27.5</v>
      </c>
    </row>
    <row r="51" spans="1:10">
      <c r="A51" s="441">
        <v>8</v>
      </c>
      <c r="B51" s="17" t="s">
        <v>619</v>
      </c>
      <c r="E51" s="17" t="s">
        <v>610</v>
      </c>
      <c r="F51" s="403">
        <f t="shared" si="9"/>
        <v>55</v>
      </c>
      <c r="H51" s="403">
        <f t="shared" si="3"/>
        <v>55</v>
      </c>
      <c r="I51" s="403">
        <f t="shared" si="10"/>
        <v>440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4</v>
      </c>
      <c r="B55" s="17" t="s">
        <v>619</v>
      </c>
      <c r="E55" s="17" t="s">
        <v>614</v>
      </c>
      <c r="F55" s="403">
        <f t="shared" si="9"/>
        <v>55</v>
      </c>
      <c r="H55" s="403">
        <f t="shared" si="3"/>
        <v>55</v>
      </c>
      <c r="I55" s="403">
        <f t="shared" si="10"/>
        <v>220</v>
      </c>
    </row>
    <row r="56" spans="1:10">
      <c r="A56" s="441">
        <v>0</v>
      </c>
      <c r="B56" s="17" t="s">
        <v>619</v>
      </c>
      <c r="E56" s="17" t="s">
        <v>615</v>
      </c>
      <c r="F56" s="403">
        <f t="shared" si="9"/>
        <v>55</v>
      </c>
      <c r="H56" s="403">
        <f t="shared" si="3"/>
        <v>55</v>
      </c>
      <c r="I56" s="403">
        <f t="shared" si="10"/>
        <v>0</v>
      </c>
    </row>
    <row r="57" spans="1:10">
      <c r="A57" s="441">
        <v>4</v>
      </c>
      <c r="B57" s="17" t="s">
        <v>619</v>
      </c>
      <c r="E57" s="17" t="s">
        <v>616</v>
      </c>
      <c r="F57" s="403">
        <f t="shared" si="9"/>
        <v>55</v>
      </c>
      <c r="H57" s="403">
        <f t="shared" si="3"/>
        <v>55</v>
      </c>
      <c r="I57" s="403">
        <f t="shared" si="10"/>
        <v>220</v>
      </c>
    </row>
    <row r="58" spans="1:10">
      <c r="A58" s="441">
        <v>0</v>
      </c>
      <c r="B58" s="442" t="s">
        <v>619</v>
      </c>
      <c r="C58" s="446"/>
      <c r="D58" s="442"/>
      <c r="E58" s="17" t="s">
        <v>617</v>
      </c>
      <c r="F58" s="443">
        <f t="shared" si="9"/>
        <v>55</v>
      </c>
      <c r="G58" s="444"/>
      <c r="H58" s="443">
        <f t="shared" si="3"/>
        <v>55</v>
      </c>
      <c r="I58" s="443">
        <f t="shared" si="10"/>
        <v>0</v>
      </c>
      <c r="J58" s="17" t="s">
        <v>618</v>
      </c>
    </row>
    <row r="60" spans="1:10">
      <c r="A60" s="17">
        <f>SUM(A42:A59)</f>
        <v>76.900000000000006</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4</v>
      </c>
      <c r="B63" s="17" t="s">
        <v>624</v>
      </c>
      <c r="E63" s="17" t="s">
        <v>625</v>
      </c>
      <c r="F63" s="403">
        <f>A61*8*F62</f>
        <v>1320</v>
      </c>
      <c r="H63" s="403">
        <f t="shared" si="3"/>
        <v>1320</v>
      </c>
      <c r="I63" s="403">
        <f t="shared" si="10"/>
        <v>5280</v>
      </c>
    </row>
    <row r="64" spans="1:10">
      <c r="A64" s="441">
        <v>0</v>
      </c>
      <c r="B64" s="442" t="s">
        <v>517</v>
      </c>
      <c r="C64" s="446"/>
      <c r="D64" s="442"/>
      <c r="E64" s="442" t="s">
        <v>626</v>
      </c>
      <c r="F64" s="447">
        <v>500</v>
      </c>
      <c r="G64" s="444"/>
      <c r="H64" s="403">
        <v>1000</v>
      </c>
      <c r="I64" s="403">
        <f t="shared" si="10"/>
        <v>0</v>
      </c>
      <c r="J64" s="17" t="s">
        <v>627</v>
      </c>
    </row>
    <row r="65" spans="1:16">
      <c r="A65" s="441"/>
      <c r="F65" s="447"/>
      <c r="H65" s="403"/>
      <c r="I65" s="403"/>
    </row>
    <row r="66" spans="1:16">
      <c r="A66" s="441"/>
      <c r="F66" s="447"/>
      <c r="H66" s="403"/>
      <c r="I66" s="403"/>
    </row>
    <row r="67" spans="1:16" ht="15.75">
      <c r="E67" s="439" t="s">
        <v>628</v>
      </c>
      <c r="I67" s="443">
        <f>SUM(I63:I66)</f>
        <v>5280</v>
      </c>
      <c r="P67" s="438">
        <f>I67</f>
        <v>5280</v>
      </c>
    </row>
    <row r="75" spans="1:16" ht="36.6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1</v>
      </c>
      <c r="B81" s="453" t="s">
        <v>517</v>
      </c>
      <c r="C81" s="454" t="s">
        <v>538</v>
      </c>
      <c r="D81" s="455" t="s">
        <v>636</v>
      </c>
      <c r="E81" s="453" t="s">
        <v>637</v>
      </c>
      <c r="F81" s="456">
        <v>1849</v>
      </c>
      <c r="G81" s="457"/>
      <c r="H81" s="458">
        <f>F81*(1-$G$78)</f>
        <v>1109.3999999999999</v>
      </c>
      <c r="I81" s="458">
        <f t="shared" ref="I81:I99" si="11">A81*H81</f>
        <v>1109.3999999999999</v>
      </c>
      <c r="J81" s="459" t="s">
        <v>638</v>
      </c>
      <c r="K81" s="460" t="s">
        <v>639</v>
      </c>
    </row>
    <row r="82" spans="1:12" ht="12.8" customHeight="1">
      <c r="A82" s="461">
        <v>1</v>
      </c>
      <c r="B82" s="453" t="s">
        <v>517</v>
      </c>
      <c r="C82" s="453" t="s">
        <v>538</v>
      </c>
      <c r="D82" s="462" t="s">
        <v>640</v>
      </c>
      <c r="E82" s="453" t="s">
        <v>641</v>
      </c>
      <c r="F82" s="463">
        <v>1949</v>
      </c>
      <c r="G82" s="457"/>
      <c r="H82" s="458">
        <f t="shared" ref="H82:H96" si="12">F82*(1-$G$77)</f>
        <v>1169.3999999999999</v>
      </c>
      <c r="I82" s="458">
        <f t="shared" si="11"/>
        <v>1169.3999999999999</v>
      </c>
      <c r="J82" s="459" t="s">
        <v>638</v>
      </c>
      <c r="K82" s="1051" t="s">
        <v>642</v>
      </c>
    </row>
    <row r="83" spans="1:12" ht="24.9">
      <c r="A83" s="452">
        <v>53</v>
      </c>
      <c r="B83" s="453" t="s">
        <v>539</v>
      </c>
      <c r="C83" s="453" t="s">
        <v>538</v>
      </c>
      <c r="D83" s="462" t="s">
        <v>643</v>
      </c>
      <c r="E83" s="453" t="s">
        <v>641</v>
      </c>
      <c r="F83" s="463">
        <v>80</v>
      </c>
      <c r="G83" s="457"/>
      <c r="H83" s="458">
        <f t="shared" si="12"/>
        <v>48</v>
      </c>
      <c r="I83" s="458">
        <f t="shared" si="11"/>
        <v>2544</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0</v>
      </c>
      <c r="B103" s="453" t="s">
        <v>517</v>
      </c>
      <c r="C103" s="454" t="s">
        <v>538</v>
      </c>
      <c r="D103" s="455" t="s">
        <v>636</v>
      </c>
      <c r="E103" s="453" t="s">
        <v>668</v>
      </c>
      <c r="F103" s="463">
        <v>3732</v>
      </c>
      <c r="G103" s="457"/>
      <c r="H103" s="458">
        <f>F103*(1-G78)</f>
        <v>2239.1999999999998</v>
      </c>
      <c r="I103" s="458">
        <f t="shared" ref="I103:I124" si="13">A103*H103</f>
        <v>0</v>
      </c>
      <c r="J103" s="453" t="s">
        <v>649</v>
      </c>
      <c r="K103" s="1050" t="s">
        <v>669</v>
      </c>
    </row>
    <row r="104" spans="1:12" ht="24.9">
      <c r="A104" s="452">
        <v>0</v>
      </c>
      <c r="B104" s="453" t="s">
        <v>539</v>
      </c>
      <c r="C104" s="454" t="s">
        <v>538</v>
      </c>
      <c r="D104" s="455" t="s">
        <v>670</v>
      </c>
      <c r="E104" s="453" t="s">
        <v>671</v>
      </c>
      <c r="F104" s="463">
        <v>88.7</v>
      </c>
      <c r="G104" s="457"/>
      <c r="H104" s="458">
        <f>F104*(1-G78)</f>
        <v>53.22</v>
      </c>
      <c r="I104" s="458">
        <f t="shared" si="13"/>
        <v>0</v>
      </c>
      <c r="J104" s="453" t="s">
        <v>649</v>
      </c>
      <c r="K104" s="1050"/>
      <c r="L104" s="17" t="s">
        <v>672</v>
      </c>
    </row>
    <row r="105" spans="1:12" ht="12.8" customHeight="1">
      <c r="A105" s="461">
        <v>0</v>
      </c>
      <c r="B105" s="453" t="s">
        <v>517</v>
      </c>
      <c r="C105" s="453" t="s">
        <v>538</v>
      </c>
      <c r="D105" s="462" t="s">
        <v>640</v>
      </c>
      <c r="E105" s="453" t="s">
        <v>673</v>
      </c>
      <c r="F105" s="463">
        <v>1968</v>
      </c>
      <c r="G105" s="457"/>
      <c r="H105" s="458">
        <f t="shared" ref="H105:H119" si="14">F105*(1-$G$77)</f>
        <v>1180.8</v>
      </c>
      <c r="I105" s="458">
        <f t="shared" si="13"/>
        <v>0</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12.8" customHeight="1">
      <c r="A107" s="452">
        <v>0</v>
      </c>
      <c r="B107" s="453" t="s">
        <v>517</v>
      </c>
      <c r="C107" s="453" t="s">
        <v>538</v>
      </c>
      <c r="D107" s="464" t="s">
        <v>644</v>
      </c>
      <c r="E107" s="453" t="s">
        <v>645</v>
      </c>
      <c r="F107" s="463">
        <v>10051</v>
      </c>
      <c r="G107" s="457"/>
      <c r="H107" s="458">
        <f t="shared" si="14"/>
        <v>6030.5999999999995</v>
      </c>
      <c r="I107" s="458">
        <f t="shared" si="13"/>
        <v>0</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12.8"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0</v>
      </c>
      <c r="B122" s="453" t="s">
        <v>539</v>
      </c>
      <c r="C122" s="453" t="s">
        <v>538</v>
      </c>
      <c r="D122" s="481" t="s">
        <v>664</v>
      </c>
      <c r="E122" s="453" t="s">
        <v>665</v>
      </c>
      <c r="F122" s="463">
        <v>108</v>
      </c>
      <c r="G122" s="463">
        <v>79</v>
      </c>
      <c r="H122" s="458">
        <f>IFERROR((MIN(A122,400)*F122+MAX(A122-400,0)*G122)*(1-G77)/A122,0)</f>
        <v>0</v>
      </c>
      <c r="I122" s="458">
        <f t="shared" si="13"/>
        <v>0</v>
      </c>
      <c r="J122" s="453" t="s">
        <v>638</v>
      </c>
      <c r="K122" s="482" t="s">
        <v>666</v>
      </c>
    </row>
    <row r="123" spans="1:17">
      <c r="A123" s="204"/>
      <c r="F123" s="204"/>
      <c r="H123" s="403"/>
      <c r="I123" s="403"/>
    </row>
    <row r="124" spans="1:17" ht="22.25">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4984.2399999999989</v>
      </c>
      <c r="Q126" s="438">
        <f>I126</f>
        <v>4984.2399999999989</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40"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F62</f>
        <v>55</v>
      </c>
      <c r="G139" s="410"/>
      <c r="H139" s="409">
        <f t="shared" si="15"/>
        <v>55</v>
      </c>
      <c r="I139" s="409"/>
    </row>
    <row r="140" spans="1:10" ht="55.65">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1">
      <c r="A145" s="407"/>
      <c r="B145" s="407"/>
      <c r="C145" s="408"/>
      <c r="D145" s="407"/>
      <c r="E145" s="408"/>
      <c r="F145" s="409"/>
      <c r="G145" s="410"/>
      <c r="H145" s="409"/>
      <c r="I145" s="409"/>
    </row>
    <row r="146" spans="1:11">
      <c r="E146" s="442" t="s">
        <v>1508</v>
      </c>
    </row>
    <row r="147" spans="1:11">
      <c r="A147" s="407"/>
      <c r="B147" s="407"/>
      <c r="C147" s="408"/>
      <c r="D147" s="407"/>
      <c r="E147" s="408"/>
      <c r="F147" s="409"/>
      <c r="G147" s="410"/>
      <c r="H147" s="409"/>
      <c r="I147" s="409"/>
    </row>
    <row r="148" spans="1:11" ht="22.25">
      <c r="A148" s="407">
        <f>24*5.9+12.5*5.34</f>
        <v>208.35000000000002</v>
      </c>
      <c r="B148" s="407" t="s">
        <v>1289</v>
      </c>
      <c r="C148" s="408" t="s">
        <v>1509</v>
      </c>
      <c r="D148" s="753">
        <v>900</v>
      </c>
      <c r="E148" s="749" t="s">
        <v>1550</v>
      </c>
      <c r="F148" s="409">
        <f>46860-5410</f>
        <v>41450</v>
      </c>
      <c r="G148" s="410"/>
      <c r="H148" s="409">
        <f t="shared" ref="H148:H149" si="16">F148*(A148/D148)^0.8</f>
        <v>12857.760476941088</v>
      </c>
      <c r="I148" s="421">
        <f t="shared" ref="I148:I149" si="17">H148</f>
        <v>12857.760476941088</v>
      </c>
      <c r="J148" s="403">
        <f>I148/A148</f>
        <v>61.712313304252874</v>
      </c>
      <c r="K148" s="17" t="s">
        <v>1511</v>
      </c>
    </row>
    <row r="149" spans="1:11" ht="22.25">
      <c r="A149" s="407">
        <f>24+14</f>
        <v>38</v>
      </c>
      <c r="B149" s="407" t="s">
        <v>1551</v>
      </c>
      <c r="C149" s="408" t="s">
        <v>1509</v>
      </c>
      <c r="D149" s="754">
        <v>53</v>
      </c>
      <c r="E149" s="408" t="s">
        <v>1552</v>
      </c>
      <c r="F149" s="409">
        <v>6822</v>
      </c>
      <c r="G149" s="410"/>
      <c r="H149" s="409">
        <f t="shared" si="16"/>
        <v>5227.787147222256</v>
      </c>
      <c r="I149" s="421">
        <f t="shared" si="17"/>
        <v>5227.787147222256</v>
      </c>
    </row>
    <row r="150" spans="1:11">
      <c r="A150" s="407"/>
      <c r="B150" s="407"/>
      <c r="C150" s="408"/>
      <c r="D150" s="407"/>
      <c r="E150" s="408"/>
      <c r="F150" s="409"/>
      <c r="G150" s="410"/>
      <c r="H150" s="409"/>
      <c r="I150" s="409"/>
    </row>
    <row r="151" spans="1:11">
      <c r="A151" s="407"/>
      <c r="B151" s="407"/>
      <c r="C151" s="408"/>
      <c r="D151" s="407"/>
      <c r="E151" s="408"/>
      <c r="F151" s="409"/>
      <c r="G151" s="410"/>
      <c r="H151" s="409"/>
      <c r="I151" s="409"/>
    </row>
    <row r="152" spans="1:11">
      <c r="A152" s="204"/>
      <c r="F152" s="485"/>
      <c r="H152" s="403"/>
      <c r="I152" s="403"/>
    </row>
    <row r="153" spans="1:11" ht="15.75">
      <c r="E153" s="439" t="s">
        <v>702</v>
      </c>
      <c r="I153" s="168">
        <f>SUM(I131:I152)</f>
        <v>18085.547624163344</v>
      </c>
    </row>
    <row r="155" spans="1:11" ht="15.05" customHeight="1">
      <c r="A155" s="1002" t="s">
        <v>90</v>
      </c>
      <c r="B155" s="1002"/>
      <c r="C155" s="1002"/>
      <c r="D155" s="1002"/>
      <c r="E155" s="1002"/>
    </row>
    <row r="157" spans="1:11">
      <c r="A157" s="442">
        <v>1</v>
      </c>
      <c r="B157" s="17" t="s">
        <v>517</v>
      </c>
      <c r="E157" s="17" t="s">
        <v>703</v>
      </c>
      <c r="F157" s="403">
        <v>800</v>
      </c>
      <c r="H157" s="403">
        <f t="shared" ref="H157:H182" si="18">F157*(1-G157)</f>
        <v>800</v>
      </c>
      <c r="I157" s="403">
        <f t="shared" ref="I157:I173" si="19">A157*H157</f>
        <v>800</v>
      </c>
      <c r="J157" s="17" t="s">
        <v>704</v>
      </c>
    </row>
    <row r="158" spans="1:11">
      <c r="A158" s="442">
        <v>1</v>
      </c>
      <c r="B158" s="17" t="s">
        <v>517</v>
      </c>
      <c r="E158" s="17" t="s">
        <v>705</v>
      </c>
      <c r="F158" s="403">
        <v>500</v>
      </c>
      <c r="H158" s="403">
        <f t="shared" si="18"/>
        <v>500</v>
      </c>
      <c r="I158" s="403">
        <f t="shared" si="19"/>
        <v>500</v>
      </c>
      <c r="J158" s="17" t="s">
        <v>704</v>
      </c>
    </row>
    <row r="159" spans="1:11">
      <c r="A159" s="17">
        <v>1</v>
      </c>
      <c r="B159" s="17" t="s">
        <v>517</v>
      </c>
      <c r="E159" s="17" t="s">
        <v>706</v>
      </c>
      <c r="F159" s="403">
        <v>40</v>
      </c>
      <c r="H159" s="403">
        <f t="shared" si="18"/>
        <v>40</v>
      </c>
      <c r="I159" s="403">
        <f t="shared" si="19"/>
        <v>40</v>
      </c>
    </row>
    <row r="160" spans="1:11">
      <c r="A160" s="442">
        <v>0</v>
      </c>
      <c r="B160" s="17" t="s">
        <v>517</v>
      </c>
      <c r="E160" s="17" t="s">
        <v>707</v>
      </c>
      <c r="F160" s="403">
        <v>1500</v>
      </c>
      <c r="H160" s="403">
        <f t="shared" si="18"/>
        <v>1500</v>
      </c>
      <c r="I160" s="403">
        <f t="shared" si="19"/>
        <v>0</v>
      </c>
    </row>
    <row r="161" spans="1:10" ht="44.55">
      <c r="A161" s="442">
        <v>0</v>
      </c>
      <c r="B161" s="17" t="s">
        <v>517</v>
      </c>
      <c r="C161" s="204" t="s">
        <v>708</v>
      </c>
      <c r="E161" s="204" t="s">
        <v>709</v>
      </c>
      <c r="F161" s="403">
        <v>460</v>
      </c>
      <c r="H161" s="403">
        <f t="shared" si="18"/>
        <v>460</v>
      </c>
      <c r="I161" s="403">
        <f t="shared" si="19"/>
        <v>0</v>
      </c>
      <c r="J161" s="17" t="s">
        <v>710</v>
      </c>
    </row>
    <row r="162" spans="1:10" ht="44.55">
      <c r="A162" s="442">
        <v>1</v>
      </c>
      <c r="B162" s="17" t="s">
        <v>517</v>
      </c>
      <c r="C162" s="204" t="s">
        <v>711</v>
      </c>
      <c r="E162" s="204" t="s">
        <v>712</v>
      </c>
      <c r="F162" s="403">
        <v>320</v>
      </c>
      <c r="H162" s="403">
        <f t="shared" si="18"/>
        <v>320</v>
      </c>
      <c r="I162" s="403">
        <f t="shared" si="19"/>
        <v>320</v>
      </c>
    </row>
    <row r="163" spans="1:10" ht="55.65">
      <c r="A163" s="442">
        <v>0</v>
      </c>
      <c r="B163" s="17" t="s">
        <v>517</v>
      </c>
      <c r="C163" s="17" t="s">
        <v>713</v>
      </c>
      <c r="D163" s="17" t="s">
        <v>714</v>
      </c>
      <c r="E163" s="204" t="s">
        <v>1432</v>
      </c>
      <c r="F163" s="403">
        <v>2725</v>
      </c>
      <c r="H163" s="403">
        <f t="shared" si="18"/>
        <v>2725</v>
      </c>
      <c r="I163" s="403">
        <f t="shared" si="19"/>
        <v>0</v>
      </c>
    </row>
    <row r="164" spans="1:10" ht="33.4">
      <c r="A164" s="442">
        <v>0</v>
      </c>
      <c r="B164" s="17" t="s">
        <v>517</v>
      </c>
      <c r="C164" s="204" t="s">
        <v>716</v>
      </c>
      <c r="E164" s="17" t="s">
        <v>717</v>
      </c>
      <c r="F164" s="403">
        <f>1840*1.04</f>
        <v>1913.6000000000001</v>
      </c>
      <c r="H164" s="403">
        <f t="shared" si="18"/>
        <v>1913.6000000000001</v>
      </c>
      <c r="I164" s="403">
        <f t="shared" si="19"/>
        <v>0</v>
      </c>
      <c r="J164" s="17" t="s">
        <v>718</v>
      </c>
    </row>
    <row r="165" spans="1:10">
      <c r="H165" s="403"/>
      <c r="I165" s="403"/>
    </row>
    <row r="166" spans="1:10">
      <c r="E166" s="446" t="s">
        <v>719</v>
      </c>
      <c r="H166" s="403"/>
      <c r="I166" s="403"/>
    </row>
    <row r="167" spans="1:10">
      <c r="A167" s="442">
        <v>0</v>
      </c>
      <c r="B167" s="17" t="s">
        <v>619</v>
      </c>
      <c r="C167" s="204" t="s">
        <v>531</v>
      </c>
      <c r="E167" s="17" t="s">
        <v>720</v>
      </c>
      <c r="F167" s="403">
        <v>50</v>
      </c>
      <c r="H167" s="403">
        <f t="shared" si="18"/>
        <v>50</v>
      </c>
      <c r="I167" s="403">
        <f t="shared" si="19"/>
        <v>0</v>
      </c>
    </row>
    <row r="168" spans="1:10">
      <c r="A168" s="442">
        <v>0</v>
      </c>
      <c r="B168" s="17" t="s">
        <v>517</v>
      </c>
      <c r="C168" s="204" t="s">
        <v>721</v>
      </c>
      <c r="E168" s="17" t="s">
        <v>722</v>
      </c>
      <c r="F168" s="403">
        <f>69/100</f>
        <v>0.69</v>
      </c>
      <c r="H168" s="403">
        <f t="shared" si="18"/>
        <v>0.69</v>
      </c>
      <c r="I168" s="403">
        <f t="shared" si="19"/>
        <v>0</v>
      </c>
    </row>
    <row r="169" spans="1:10">
      <c r="A169" s="442">
        <f t="shared" ref="A169:A172" si="20">A168</f>
        <v>0</v>
      </c>
      <c r="B169" s="17" t="s">
        <v>517</v>
      </c>
      <c r="C169" s="204" t="s">
        <v>721</v>
      </c>
      <c r="E169" s="17" t="s">
        <v>723</v>
      </c>
      <c r="F169" s="403">
        <v>0.1</v>
      </c>
      <c r="H169" s="403">
        <f t="shared" si="18"/>
        <v>0.1</v>
      </c>
      <c r="I169" s="403">
        <f t="shared" si="19"/>
        <v>0</v>
      </c>
    </row>
    <row r="170" spans="1:10">
      <c r="A170" s="442">
        <f t="shared" si="20"/>
        <v>0</v>
      </c>
      <c r="B170" s="17" t="s">
        <v>517</v>
      </c>
      <c r="C170" s="204" t="s">
        <v>721</v>
      </c>
      <c r="E170" s="17" t="s">
        <v>724</v>
      </c>
      <c r="F170" s="403">
        <f>13.25/1.2/100</f>
        <v>0.11041666666666668</v>
      </c>
      <c r="H170" s="403">
        <f t="shared" si="18"/>
        <v>0.11041666666666668</v>
      </c>
      <c r="I170" s="403">
        <f t="shared" si="19"/>
        <v>0</v>
      </c>
    </row>
    <row r="171" spans="1:10" ht="22.25">
      <c r="A171" s="442">
        <v>0</v>
      </c>
      <c r="B171" s="17" t="s">
        <v>539</v>
      </c>
      <c r="C171" s="204" t="s">
        <v>725</v>
      </c>
      <c r="E171" s="17" t="s">
        <v>726</v>
      </c>
      <c r="F171" s="403">
        <f>15.73/1.2</f>
        <v>13.108333333333334</v>
      </c>
      <c r="H171" s="403">
        <f t="shared" si="18"/>
        <v>13.108333333333334</v>
      </c>
      <c r="I171" s="403">
        <f t="shared" si="19"/>
        <v>0</v>
      </c>
    </row>
    <row r="172" spans="1:10">
      <c r="A172" s="442">
        <f t="shared" si="20"/>
        <v>0</v>
      </c>
      <c r="B172" s="17" t="s">
        <v>539</v>
      </c>
      <c r="C172" s="204" t="s">
        <v>531</v>
      </c>
      <c r="E172" s="17" t="s">
        <v>727</v>
      </c>
      <c r="F172" s="403">
        <v>25</v>
      </c>
      <c r="H172" s="403">
        <f t="shared" si="18"/>
        <v>25</v>
      </c>
      <c r="I172" s="403">
        <f t="shared" si="19"/>
        <v>0</v>
      </c>
    </row>
    <row r="173" spans="1:10">
      <c r="A173" s="442">
        <f>A172*4</f>
        <v>0</v>
      </c>
      <c r="B173" s="17" t="s">
        <v>517</v>
      </c>
      <c r="C173" s="204" t="s">
        <v>531</v>
      </c>
      <c r="E173" s="17" t="s">
        <v>728</v>
      </c>
      <c r="F173" s="403">
        <v>0.1</v>
      </c>
      <c r="H173" s="403">
        <f t="shared" si="18"/>
        <v>0.1</v>
      </c>
      <c r="I173" s="403">
        <f t="shared" si="19"/>
        <v>0</v>
      </c>
    </row>
    <row r="174" spans="1:10">
      <c r="H174" s="403"/>
      <c r="I174" s="403"/>
    </row>
    <row r="175" spans="1:10" ht="15.75">
      <c r="E175" s="439" t="s">
        <v>729</v>
      </c>
      <c r="I175" s="168">
        <f>SUM(I155:I164)</f>
        <v>1660</v>
      </c>
    </row>
    <row r="177" spans="1:10" ht="13.75" customHeight="1">
      <c r="A177" s="997" t="s">
        <v>68</v>
      </c>
      <c r="B177" s="997"/>
      <c r="C177" s="997"/>
      <c r="D177" s="997"/>
      <c r="E177" s="997"/>
    </row>
    <row r="178" spans="1:10">
      <c r="A178" s="442">
        <v>0</v>
      </c>
      <c r="B178" s="17" t="s">
        <v>517</v>
      </c>
      <c r="E178" s="17" t="s">
        <v>1433</v>
      </c>
      <c r="F178" s="403">
        <v>187.5</v>
      </c>
      <c r="H178" s="403">
        <f t="shared" si="18"/>
        <v>187.5</v>
      </c>
      <c r="I178" s="403">
        <f t="shared" ref="I178:I182" si="21">A178*H178</f>
        <v>0</v>
      </c>
      <c r="J178" s="17" t="s">
        <v>1434</v>
      </c>
    </row>
    <row r="179" spans="1:10">
      <c r="A179" s="442">
        <v>1</v>
      </c>
      <c r="B179" s="17" t="s">
        <v>517</v>
      </c>
      <c r="E179" s="17" t="s">
        <v>1435</v>
      </c>
      <c r="F179" s="403">
        <v>250</v>
      </c>
      <c r="H179" s="403">
        <f t="shared" si="18"/>
        <v>250</v>
      </c>
      <c r="I179" s="403">
        <f t="shared" si="21"/>
        <v>250</v>
      </c>
    </row>
    <row r="180" spans="1:10">
      <c r="A180" s="442">
        <v>0</v>
      </c>
      <c r="B180" s="17" t="s">
        <v>505</v>
      </c>
      <c r="E180" s="17" t="s">
        <v>1436</v>
      </c>
      <c r="F180" s="403">
        <v>500</v>
      </c>
      <c r="H180" s="403">
        <f t="shared" si="18"/>
        <v>500</v>
      </c>
      <c r="I180" s="403">
        <f t="shared" si="21"/>
        <v>0</v>
      </c>
    </row>
    <row r="181" spans="1:10" ht="44.55">
      <c r="A181" s="442">
        <v>0</v>
      </c>
      <c r="B181" s="17" t="s">
        <v>517</v>
      </c>
      <c r="C181" s="204" t="s">
        <v>708</v>
      </c>
      <c r="E181" s="204" t="s">
        <v>731</v>
      </c>
      <c r="F181" s="403">
        <f>460/2</f>
        <v>230</v>
      </c>
      <c r="H181" s="403">
        <f t="shared" si="18"/>
        <v>230</v>
      </c>
      <c r="I181" s="403">
        <f t="shared" si="21"/>
        <v>0</v>
      </c>
    </row>
    <row r="182" spans="1:10" ht="44.55">
      <c r="A182" s="442">
        <v>0</v>
      </c>
      <c r="B182" s="17" t="s">
        <v>517</v>
      </c>
      <c r="C182" s="204" t="s">
        <v>711</v>
      </c>
      <c r="E182" s="204" t="s">
        <v>732</v>
      </c>
      <c r="F182" s="403">
        <f>320/2</f>
        <v>160</v>
      </c>
      <c r="H182" s="403">
        <f t="shared" si="18"/>
        <v>160</v>
      </c>
      <c r="I182" s="403">
        <f t="shared" si="21"/>
        <v>0</v>
      </c>
    </row>
    <row r="184" spans="1:10" ht="15.75">
      <c r="E184" s="439" t="s">
        <v>733</v>
      </c>
      <c r="I184" s="168">
        <f>SUM(I177:I183)</f>
        <v>250</v>
      </c>
    </row>
    <row r="185" spans="1:10">
      <c r="E185" s="439"/>
    </row>
  </sheetData>
  <mergeCells count="13">
    <mergeCell ref="B1:F1"/>
    <mergeCell ref="A2:G2"/>
    <mergeCell ref="J24:L24"/>
    <mergeCell ref="K82:K83"/>
    <mergeCell ref="K84:K85"/>
    <mergeCell ref="A128:E128"/>
    <mergeCell ref="A155:E155"/>
    <mergeCell ref="A177:E177"/>
    <mergeCell ref="K86:K96"/>
    <mergeCell ref="K103:K104"/>
    <mergeCell ref="K105:K106"/>
    <mergeCell ref="K107:K108"/>
    <mergeCell ref="K109:K11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2.140625" style="204" customWidth="1"/>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337</v>
      </c>
      <c r="C1" s="1058"/>
      <c r="D1" s="1058"/>
      <c r="E1" s="1058"/>
      <c r="F1" s="1058"/>
      <c r="H1" s="405" t="s">
        <v>493</v>
      </c>
      <c r="I1" s="406">
        <f>VLOOKUP(E4,Catalogue!F:J,5,0)</f>
        <v>370</v>
      </c>
      <c r="J1" s="17" t="s">
        <v>494</v>
      </c>
      <c r="K1" s="17" t="s">
        <v>495</v>
      </c>
      <c r="L1" s="58">
        <f>A4*I1</f>
        <v>144300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390</v>
      </c>
      <c r="B4" s="413" t="s">
        <v>505</v>
      </c>
      <c r="C4" s="420" t="s">
        <v>1306</v>
      </c>
      <c r="D4" s="413"/>
      <c r="E4" s="420" t="s">
        <v>1308</v>
      </c>
      <c r="F4" s="421">
        <v>90.8</v>
      </c>
      <c r="G4" s="410"/>
      <c r="H4" s="409">
        <f t="shared" ref="H4:H9" si="0">F4*(1-G4)</f>
        <v>90.8</v>
      </c>
      <c r="I4" s="409">
        <f t="shared" ref="I4:I9" si="1">A4*H4</f>
        <v>35412</v>
      </c>
      <c r="J4" s="417">
        <f>F4/$I$1</f>
        <v>0.2454054054054054</v>
      </c>
      <c r="K4" s="403"/>
      <c r="L4" s="404"/>
      <c r="M4" s="418">
        <f>I4</f>
        <v>35412</v>
      </c>
      <c r="N4" s="418"/>
      <c r="O4" s="418"/>
      <c r="P4" s="418"/>
      <c r="Q4" s="418"/>
      <c r="R4" s="418"/>
      <c r="S4" s="418"/>
    </row>
    <row r="5" spans="1:19" ht="55.65">
      <c r="A5" s="413">
        <v>0</v>
      </c>
      <c r="B5" s="413" t="s">
        <v>505</v>
      </c>
      <c r="C5" s="420" t="s">
        <v>817</v>
      </c>
      <c r="D5" s="413" t="s">
        <v>818</v>
      </c>
      <c r="E5" s="420" t="s">
        <v>819</v>
      </c>
      <c r="F5" s="421">
        <v>267.5</v>
      </c>
      <c r="G5" s="410"/>
      <c r="H5" s="409">
        <f t="shared" si="0"/>
        <v>267.5</v>
      </c>
      <c r="I5" s="409">
        <f t="shared" si="1"/>
        <v>0</v>
      </c>
      <c r="J5" s="417"/>
      <c r="K5" s="403"/>
      <c r="L5" s="404"/>
      <c r="M5" s="418"/>
      <c r="N5" s="418"/>
      <c r="O5" s="418"/>
      <c r="P5" s="418"/>
      <c r="Q5" s="418"/>
      <c r="R5" s="418"/>
      <c r="S5" s="418"/>
    </row>
    <row r="6" spans="1:19">
      <c r="A6" s="413">
        <f>A4+A5</f>
        <v>390</v>
      </c>
      <c r="B6" s="413" t="s">
        <v>505</v>
      </c>
      <c r="C6" s="423" t="s">
        <v>738</v>
      </c>
      <c r="D6" s="423"/>
      <c r="E6" s="424" t="s">
        <v>1549</v>
      </c>
      <c r="F6" s="421">
        <f>15418/A6</f>
        <v>39.533333333333331</v>
      </c>
      <c r="G6" s="422"/>
      <c r="H6" s="409">
        <f t="shared" si="0"/>
        <v>39.533333333333331</v>
      </c>
      <c r="I6" s="409">
        <f t="shared" si="1"/>
        <v>15418</v>
      </c>
      <c r="J6" s="417">
        <f>F6/$I$1</f>
        <v>0.10684684684684684</v>
      </c>
      <c r="K6" s="417"/>
      <c r="L6" s="204"/>
      <c r="M6" s="418">
        <f>I6</f>
        <v>15418</v>
      </c>
      <c r="N6" s="418"/>
      <c r="O6" s="418"/>
      <c r="P6" s="418"/>
      <c r="Q6" s="418"/>
      <c r="R6" s="418"/>
      <c r="S6" s="418"/>
    </row>
    <row r="7" spans="1:19">
      <c r="A7" s="413">
        <v>4</v>
      </c>
      <c r="B7" s="413" t="s">
        <v>522</v>
      </c>
      <c r="C7" s="413" t="s">
        <v>751</v>
      </c>
      <c r="D7" s="413"/>
      <c r="E7" s="420" t="s">
        <v>1489</v>
      </c>
      <c r="F7" s="421">
        <v>316.67</v>
      </c>
      <c r="G7" s="422"/>
      <c r="H7" s="409">
        <f t="shared" si="0"/>
        <v>316.67</v>
      </c>
      <c r="I7" s="409">
        <f t="shared" si="1"/>
        <v>1266.68</v>
      </c>
      <c r="J7" s="204"/>
      <c r="L7" s="442"/>
      <c r="M7" s="418"/>
      <c r="N7" s="418"/>
      <c r="O7" s="418"/>
      <c r="P7" s="418"/>
      <c r="Q7" s="418"/>
      <c r="R7" s="418">
        <f t="shared" ref="R7:R9" si="2">I7</f>
        <v>1266.68</v>
      </c>
      <c r="S7" s="418"/>
    </row>
    <row r="8" spans="1:19">
      <c r="A8" s="413">
        <v>4</v>
      </c>
      <c r="B8" s="413" t="s">
        <v>505</v>
      </c>
      <c r="C8" s="413" t="s">
        <v>1041</v>
      </c>
      <c r="D8" s="413" t="s">
        <v>556</v>
      </c>
      <c r="E8" s="420" t="s">
        <v>1044</v>
      </c>
      <c r="F8" s="421">
        <v>450</v>
      </c>
      <c r="G8" s="410"/>
      <c r="H8" s="409">
        <f t="shared" si="0"/>
        <v>450</v>
      </c>
      <c r="I8" s="409">
        <f t="shared" si="1"/>
        <v>1800</v>
      </c>
      <c r="J8" s="204"/>
      <c r="M8" s="418"/>
      <c r="N8" s="418"/>
      <c r="O8" s="418"/>
      <c r="P8" s="418"/>
      <c r="Q8" s="418"/>
      <c r="R8" s="418">
        <f t="shared" si="2"/>
        <v>1800</v>
      </c>
      <c r="S8" s="418"/>
    </row>
    <row r="9" spans="1:19">
      <c r="A9" s="407"/>
      <c r="B9" s="407"/>
      <c r="C9" s="407"/>
      <c r="D9" s="407"/>
      <c r="E9" s="408"/>
      <c r="F9" s="409"/>
      <c r="G9" s="410"/>
      <c r="H9" s="409">
        <f t="shared" si="0"/>
        <v>0</v>
      </c>
      <c r="I9" s="409">
        <f t="shared" si="1"/>
        <v>0</v>
      </c>
      <c r="J9" s="204"/>
      <c r="M9" s="418"/>
      <c r="N9" s="418"/>
      <c r="O9" s="418"/>
      <c r="P9" s="418"/>
      <c r="Q9" s="418"/>
      <c r="R9" s="418">
        <f t="shared" si="2"/>
        <v>0</v>
      </c>
      <c r="S9" s="418"/>
    </row>
    <row r="10" spans="1:19">
      <c r="A10" s="413">
        <v>4</v>
      </c>
      <c r="B10" s="413" t="s">
        <v>505</v>
      </c>
      <c r="C10" s="413" t="s">
        <v>531</v>
      </c>
      <c r="D10" s="413"/>
      <c r="E10" s="420" t="s">
        <v>1073</v>
      </c>
      <c r="F10" s="421">
        <v>500</v>
      </c>
      <c r="G10" s="410"/>
      <c r="H10" s="409">
        <f t="shared" ref="H10:H67" si="3">F10*(1-G10)</f>
        <v>500</v>
      </c>
      <c r="I10" s="409">
        <f t="shared" ref="I10:I37" si="4">A10*H10</f>
        <v>2000</v>
      </c>
      <c r="J10" s="204"/>
      <c r="M10" s="418"/>
      <c r="N10" s="418"/>
      <c r="O10" s="418"/>
      <c r="P10" s="418"/>
      <c r="Q10" s="418"/>
      <c r="R10" s="418">
        <f t="shared" ref="R10:R25" si="5">I10</f>
        <v>2000</v>
      </c>
      <c r="S10" s="418"/>
    </row>
    <row r="11" spans="1:19" ht="33.4">
      <c r="A11" s="407">
        <v>0</v>
      </c>
      <c r="B11" s="407" t="s">
        <v>505</v>
      </c>
      <c r="C11" s="408" t="s">
        <v>534</v>
      </c>
      <c r="D11" s="407"/>
      <c r="E11" s="408" t="s">
        <v>535</v>
      </c>
      <c r="F11" s="409">
        <v>3.71</v>
      </c>
      <c r="G11" s="410"/>
      <c r="H11" s="409">
        <f t="shared" si="3"/>
        <v>3.71</v>
      </c>
      <c r="I11" s="409">
        <f t="shared" si="4"/>
        <v>0</v>
      </c>
      <c r="J11" s="204" t="s">
        <v>795</v>
      </c>
      <c r="M11" s="418"/>
      <c r="N11" s="418"/>
      <c r="O11" s="418"/>
      <c r="P11" s="418"/>
      <c r="Q11" s="418"/>
      <c r="R11" s="418">
        <f t="shared" si="5"/>
        <v>0</v>
      </c>
      <c r="S11" s="418"/>
    </row>
    <row r="12" spans="1:19">
      <c r="A12" s="407">
        <f>A11</f>
        <v>0</v>
      </c>
      <c r="B12" s="407" t="s">
        <v>505</v>
      </c>
      <c r="C12" s="408" t="s">
        <v>534</v>
      </c>
      <c r="D12" s="407"/>
      <c r="E12" s="408" t="s">
        <v>537</v>
      </c>
      <c r="F12" s="409">
        <v>3.81</v>
      </c>
      <c r="G12" s="410"/>
      <c r="H12" s="409">
        <f t="shared" si="3"/>
        <v>3.81</v>
      </c>
      <c r="I12" s="409">
        <f t="shared" si="4"/>
        <v>0</v>
      </c>
      <c r="J12" s="204" t="s">
        <v>538</v>
      </c>
      <c r="M12" s="418"/>
      <c r="N12" s="418"/>
      <c r="O12" s="418"/>
      <c r="P12" s="418"/>
      <c r="Q12" s="418"/>
      <c r="R12" s="418">
        <f t="shared" si="5"/>
        <v>0</v>
      </c>
      <c r="S12" s="418"/>
    </row>
    <row r="13" spans="1:19" ht="33.4">
      <c r="A13" s="413">
        <f>16*30/2</f>
        <v>240</v>
      </c>
      <c r="B13" s="413" t="s">
        <v>539</v>
      </c>
      <c r="C13" s="420" t="s">
        <v>540</v>
      </c>
      <c r="D13" s="413" t="s">
        <v>541</v>
      </c>
      <c r="E13" s="420" t="s">
        <v>542</v>
      </c>
      <c r="F13" s="421">
        <v>0.55647999999999997</v>
      </c>
      <c r="G13" s="410"/>
      <c r="H13" s="409">
        <f t="shared" si="3"/>
        <v>0.55647999999999997</v>
      </c>
      <c r="I13" s="409">
        <f t="shared" si="4"/>
        <v>133.55519999999999</v>
      </c>
      <c r="M13" s="418"/>
      <c r="N13" s="418"/>
      <c r="O13" s="418">
        <f t="shared" ref="O13:O32" si="6">I13</f>
        <v>133.55519999999999</v>
      </c>
      <c r="P13" s="418"/>
      <c r="Q13" s="418"/>
      <c r="R13" s="418"/>
      <c r="S13" s="418"/>
    </row>
    <row r="14" spans="1:19" ht="33.4">
      <c r="A14" s="413">
        <f>A13+A4*1.5</f>
        <v>825</v>
      </c>
      <c r="B14" s="413" t="s">
        <v>539</v>
      </c>
      <c r="C14" s="420" t="s">
        <v>540</v>
      </c>
      <c r="D14" s="413" t="s">
        <v>543</v>
      </c>
      <c r="E14" s="420" t="s">
        <v>544</v>
      </c>
      <c r="F14" s="421">
        <v>0.55647999999999997</v>
      </c>
      <c r="G14" s="410"/>
      <c r="H14" s="409">
        <f t="shared" si="3"/>
        <v>0.55647999999999997</v>
      </c>
      <c r="I14" s="409">
        <f t="shared" si="4"/>
        <v>459.096</v>
      </c>
      <c r="M14" s="418"/>
      <c r="N14" s="418"/>
      <c r="O14" s="418">
        <f t="shared" si="6"/>
        <v>459.096</v>
      </c>
      <c r="P14" s="418"/>
      <c r="Q14" s="418"/>
      <c r="R14" s="418"/>
      <c r="S14" s="418"/>
    </row>
    <row r="15" spans="1:19" ht="33.4">
      <c r="A15" s="413">
        <f>16*4</f>
        <v>64</v>
      </c>
      <c r="B15" s="413" t="s">
        <v>517</v>
      </c>
      <c r="C15" s="420" t="s">
        <v>540</v>
      </c>
      <c r="D15" s="413" t="s">
        <v>797</v>
      </c>
      <c r="E15" s="420" t="s">
        <v>798</v>
      </c>
      <c r="F15" s="421">
        <v>0.88</v>
      </c>
      <c r="G15" s="410"/>
      <c r="H15" s="409">
        <f t="shared" si="3"/>
        <v>0.88</v>
      </c>
      <c r="I15" s="409">
        <f t="shared" si="4"/>
        <v>56.32</v>
      </c>
      <c r="J15" s="204"/>
      <c r="M15" s="418"/>
      <c r="N15" s="418"/>
      <c r="O15" s="418">
        <f t="shared" si="6"/>
        <v>56.32</v>
      </c>
      <c r="P15" s="418"/>
      <c r="Q15" s="418"/>
      <c r="R15" s="418"/>
      <c r="S15" s="418"/>
    </row>
    <row r="16" spans="1:19" ht="33.4">
      <c r="A16" s="413">
        <f>A15</f>
        <v>64</v>
      </c>
      <c r="B16" s="413" t="s">
        <v>517</v>
      </c>
      <c r="C16" s="420" t="s">
        <v>540</v>
      </c>
      <c r="D16" s="413" t="s">
        <v>800</v>
      </c>
      <c r="E16" s="420" t="s">
        <v>801</v>
      </c>
      <c r="F16" s="421">
        <v>0.67</v>
      </c>
      <c r="G16" s="410"/>
      <c r="H16" s="409">
        <f t="shared" si="3"/>
        <v>0.67</v>
      </c>
      <c r="I16" s="409">
        <f t="shared" si="4"/>
        <v>42.88</v>
      </c>
      <c r="J16" s="204"/>
      <c r="M16" s="418"/>
      <c r="N16" s="418"/>
      <c r="O16" s="418">
        <f t="shared" si="6"/>
        <v>42.88</v>
      </c>
      <c r="P16" s="418"/>
      <c r="Q16" s="418"/>
      <c r="R16" s="418"/>
      <c r="S16" s="418"/>
    </row>
    <row r="17" spans="1:19">
      <c r="A17" s="413">
        <v>4</v>
      </c>
      <c r="B17" s="413" t="s">
        <v>505</v>
      </c>
      <c r="C17" s="741" t="s">
        <v>1259</v>
      </c>
      <c r="D17" s="413"/>
      <c r="E17" s="420" t="s">
        <v>1284</v>
      </c>
      <c r="F17" s="421">
        <v>3008.8</v>
      </c>
      <c r="G17" s="410"/>
      <c r="H17" s="409">
        <f t="shared" si="3"/>
        <v>3008.8</v>
      </c>
      <c r="I17" s="409">
        <f t="shared" si="4"/>
        <v>12035.2</v>
      </c>
      <c r="J17" s="204"/>
      <c r="M17" s="418"/>
      <c r="N17" s="418">
        <f t="shared" ref="N17:N23" si="7">I17</f>
        <v>12035.2</v>
      </c>
      <c r="O17" s="418"/>
      <c r="P17" s="418"/>
      <c r="Q17" s="418"/>
      <c r="R17" s="418"/>
      <c r="S17" s="418"/>
    </row>
    <row r="18" spans="1:19">
      <c r="A18" s="413">
        <v>0</v>
      </c>
      <c r="B18" s="423" t="s">
        <v>522</v>
      </c>
      <c r="C18" s="741" t="s">
        <v>1285</v>
      </c>
      <c r="D18" s="413"/>
      <c r="E18" s="420" t="s">
        <v>811</v>
      </c>
      <c r="F18" s="421">
        <v>3765</v>
      </c>
      <c r="G18" s="422"/>
      <c r="H18" s="409">
        <f t="shared" si="3"/>
        <v>3765</v>
      </c>
      <c r="I18" s="409">
        <f t="shared" si="4"/>
        <v>0</v>
      </c>
      <c r="J18" s="204"/>
      <c r="M18" s="418"/>
      <c r="N18" s="418">
        <f t="shared" si="7"/>
        <v>0</v>
      </c>
      <c r="O18" s="418"/>
      <c r="P18" s="418"/>
      <c r="Q18" s="418"/>
      <c r="R18" s="418"/>
      <c r="S18" s="418"/>
    </row>
    <row r="19" spans="1:19">
      <c r="A19" s="413">
        <f>A4/2</f>
        <v>195</v>
      </c>
      <c r="B19" s="413" t="s">
        <v>517</v>
      </c>
      <c r="C19" s="413" t="s">
        <v>786</v>
      </c>
      <c r="D19" s="413"/>
      <c r="E19" s="420" t="s">
        <v>1081</v>
      </c>
      <c r="F19" s="421">
        <v>43.2</v>
      </c>
      <c r="G19" s="410"/>
      <c r="H19" s="409">
        <f t="shared" si="3"/>
        <v>43.2</v>
      </c>
      <c r="I19" s="409">
        <f t="shared" si="4"/>
        <v>8424</v>
      </c>
      <c r="J19" s="204"/>
      <c r="M19" s="418"/>
      <c r="N19" s="418">
        <f t="shared" si="7"/>
        <v>8424</v>
      </c>
      <c r="O19" s="418"/>
      <c r="P19" s="418"/>
      <c r="Q19" s="418"/>
      <c r="R19" s="418"/>
      <c r="S19" s="418"/>
    </row>
    <row r="20" spans="1:19">
      <c r="A20" s="413">
        <v>1</v>
      </c>
      <c r="B20" s="413" t="s">
        <v>517</v>
      </c>
      <c r="C20" s="413" t="s">
        <v>786</v>
      </c>
      <c r="D20" s="413"/>
      <c r="E20" s="420" t="s">
        <v>1026</v>
      </c>
      <c r="F20" s="421">
        <v>19.07</v>
      </c>
      <c r="G20" s="410"/>
      <c r="H20" s="409">
        <f t="shared" si="3"/>
        <v>19.07</v>
      </c>
      <c r="I20" s="409">
        <f t="shared" si="4"/>
        <v>19.07</v>
      </c>
      <c r="J20" s="204"/>
      <c r="M20" s="418"/>
      <c r="N20" s="418"/>
      <c r="O20" s="418"/>
      <c r="P20" s="418"/>
      <c r="Q20" s="418"/>
      <c r="R20" s="418"/>
      <c r="S20" s="418">
        <f t="shared" ref="S20:S37" si="8">I20</f>
        <v>19.07</v>
      </c>
    </row>
    <row r="21" spans="1:19">
      <c r="A21" s="413">
        <v>1</v>
      </c>
      <c r="B21" s="413" t="s">
        <v>517</v>
      </c>
      <c r="C21" s="413" t="s">
        <v>786</v>
      </c>
      <c r="D21" s="413"/>
      <c r="E21" s="420" t="s">
        <v>1083</v>
      </c>
      <c r="F21" s="421">
        <v>179.67</v>
      </c>
      <c r="G21" s="410"/>
      <c r="H21" s="409">
        <f t="shared" si="3"/>
        <v>179.67</v>
      </c>
      <c r="I21" s="409">
        <f t="shared" si="4"/>
        <v>179.67</v>
      </c>
      <c r="J21" s="204"/>
      <c r="M21" s="418"/>
      <c r="N21" s="418"/>
      <c r="O21" s="418"/>
      <c r="P21" s="418"/>
      <c r="Q21" s="418"/>
      <c r="R21" s="418"/>
      <c r="S21" s="418">
        <f t="shared" si="8"/>
        <v>179.67</v>
      </c>
    </row>
    <row r="22" spans="1:19">
      <c r="A22" s="413">
        <v>1</v>
      </c>
      <c r="B22" s="413" t="s">
        <v>517</v>
      </c>
      <c r="C22" s="413" t="s">
        <v>786</v>
      </c>
      <c r="D22" s="413"/>
      <c r="E22" s="420" t="s">
        <v>1084</v>
      </c>
      <c r="F22" s="421">
        <v>470.8</v>
      </c>
      <c r="G22" s="410"/>
      <c r="H22" s="409">
        <f t="shared" si="3"/>
        <v>470.8</v>
      </c>
      <c r="I22" s="409">
        <f t="shared" si="4"/>
        <v>470.8</v>
      </c>
      <c r="J22" s="204"/>
      <c r="M22" s="418"/>
      <c r="N22" s="418"/>
      <c r="O22" s="418"/>
      <c r="P22" s="418"/>
      <c r="Q22" s="418"/>
      <c r="R22" s="418"/>
      <c r="S22" s="418">
        <f t="shared" si="8"/>
        <v>470.8</v>
      </c>
    </row>
    <row r="23" spans="1:19" ht="22.25">
      <c r="A23" s="407">
        <v>0</v>
      </c>
      <c r="B23" s="407" t="s">
        <v>517</v>
      </c>
      <c r="C23" s="408" t="s">
        <v>540</v>
      </c>
      <c r="D23" s="407" t="s">
        <v>998</v>
      </c>
      <c r="E23" s="408" t="s">
        <v>999</v>
      </c>
      <c r="F23" s="409">
        <v>116.67</v>
      </c>
      <c r="G23" s="410"/>
      <c r="H23" s="409">
        <f t="shared" si="3"/>
        <v>116.67</v>
      </c>
      <c r="I23" s="409">
        <f t="shared" si="4"/>
        <v>0</v>
      </c>
      <c r="J23" s="204"/>
      <c r="M23" s="418"/>
      <c r="N23" s="418">
        <f t="shared" si="7"/>
        <v>0</v>
      </c>
      <c r="O23" s="418"/>
      <c r="P23" s="418"/>
      <c r="Q23" s="418"/>
      <c r="R23" s="418"/>
      <c r="S23" s="418"/>
    </row>
    <row r="24" spans="1:19" ht="33.4">
      <c r="A24" s="407">
        <v>0</v>
      </c>
      <c r="B24" s="407" t="s">
        <v>517</v>
      </c>
      <c r="C24" s="408" t="s">
        <v>540</v>
      </c>
      <c r="D24" s="407" t="s">
        <v>761</v>
      </c>
      <c r="E24" s="408" t="s">
        <v>762</v>
      </c>
      <c r="F24" s="409">
        <v>2.5</v>
      </c>
      <c r="G24" s="410"/>
      <c r="H24" s="409">
        <f t="shared" si="3"/>
        <v>2.5</v>
      </c>
      <c r="I24" s="409">
        <f t="shared" si="4"/>
        <v>0</v>
      </c>
      <c r="J24" s="204"/>
      <c r="M24" s="418"/>
      <c r="N24" s="418"/>
      <c r="O24" s="418"/>
      <c r="P24" s="418"/>
      <c r="Q24" s="418"/>
      <c r="R24" s="418">
        <f t="shared" si="5"/>
        <v>0</v>
      </c>
      <c r="S24" s="418"/>
    </row>
    <row r="25" spans="1:19" ht="35.85" customHeight="1">
      <c r="A25" s="413">
        <v>4</v>
      </c>
      <c r="B25" s="413" t="s">
        <v>522</v>
      </c>
      <c r="C25" s="741" t="s">
        <v>1314</v>
      </c>
      <c r="D25" s="413"/>
      <c r="E25" s="420" t="s">
        <v>1315</v>
      </c>
      <c r="F25" s="421">
        <v>614.45000000000005</v>
      </c>
      <c r="G25" s="410"/>
      <c r="H25" s="409">
        <f t="shared" si="3"/>
        <v>614.45000000000005</v>
      </c>
      <c r="I25" s="409">
        <f t="shared" si="4"/>
        <v>2457.8000000000002</v>
      </c>
      <c r="J25" s="1054" t="s">
        <v>1553</v>
      </c>
      <c r="K25" s="1054"/>
      <c r="L25" s="1054"/>
      <c r="M25" s="418"/>
      <c r="N25" s="418"/>
      <c r="O25" s="418"/>
      <c r="P25" s="418"/>
      <c r="Q25" s="418"/>
      <c r="R25" s="418">
        <f t="shared" si="5"/>
        <v>2457.8000000000002</v>
      </c>
      <c r="S25" s="418"/>
    </row>
    <row r="26" spans="1:19" ht="22.25">
      <c r="A26" s="413">
        <v>1</v>
      </c>
      <c r="B26" s="413" t="s">
        <v>522</v>
      </c>
      <c r="C26" s="420" t="s">
        <v>531</v>
      </c>
      <c r="D26" s="413"/>
      <c r="E26" s="420" t="s">
        <v>695</v>
      </c>
      <c r="F26" s="421">
        <v>500</v>
      </c>
      <c r="G26" s="410"/>
      <c r="H26" s="409">
        <f t="shared" si="3"/>
        <v>500</v>
      </c>
      <c r="I26" s="409">
        <f t="shared" si="4"/>
        <v>500</v>
      </c>
      <c r="J26" s="204"/>
      <c r="M26" s="418"/>
      <c r="N26" s="418"/>
      <c r="O26" s="418">
        <f t="shared" si="6"/>
        <v>500</v>
      </c>
      <c r="P26" s="418"/>
      <c r="Q26" s="418"/>
      <c r="R26" s="418"/>
      <c r="S26" s="418"/>
    </row>
    <row r="27" spans="1:19">
      <c r="A27" s="413">
        <v>1</v>
      </c>
      <c r="B27" s="413" t="s">
        <v>517</v>
      </c>
      <c r="C27" s="413" t="s">
        <v>751</v>
      </c>
      <c r="D27" s="413"/>
      <c r="E27" s="420" t="s">
        <v>1212</v>
      </c>
      <c r="F27" s="421">
        <v>787.5</v>
      </c>
      <c r="G27" s="410"/>
      <c r="H27" s="409">
        <f t="shared" si="3"/>
        <v>787.5</v>
      </c>
      <c r="I27" s="409">
        <f t="shared" si="4"/>
        <v>787.5</v>
      </c>
      <c r="J27" s="204"/>
      <c r="M27" s="418">
        <f>F27</f>
        <v>787.5</v>
      </c>
      <c r="N27" s="418"/>
      <c r="O27" s="418"/>
      <c r="P27" s="418"/>
      <c r="Q27" s="418"/>
      <c r="R27" s="418"/>
      <c r="S27" s="418"/>
    </row>
    <row r="28" spans="1:19">
      <c r="A28" s="413">
        <v>100</v>
      </c>
      <c r="B28" s="413" t="s">
        <v>539</v>
      </c>
      <c r="C28" s="413" t="s">
        <v>552</v>
      </c>
      <c r="D28" s="413"/>
      <c r="E28" s="413" t="s">
        <v>1310</v>
      </c>
      <c r="F28" s="421">
        <v>46.79</v>
      </c>
      <c r="G28" s="428"/>
      <c r="H28" s="409">
        <f t="shared" si="3"/>
        <v>46.79</v>
      </c>
      <c r="I28" s="409">
        <f t="shared" si="4"/>
        <v>4679</v>
      </c>
      <c r="J28" s="204"/>
      <c r="K28" s="442"/>
      <c r="M28" s="418"/>
      <c r="N28" s="418"/>
      <c r="O28" s="418">
        <f t="shared" si="6"/>
        <v>4679</v>
      </c>
      <c r="P28" s="418"/>
      <c r="Q28" s="418"/>
      <c r="R28" s="418"/>
      <c r="S28" s="418"/>
    </row>
    <row r="29" spans="1:19">
      <c r="A29" s="413">
        <v>145</v>
      </c>
      <c r="B29" s="413" t="s">
        <v>539</v>
      </c>
      <c r="C29" s="413" t="s">
        <v>552</v>
      </c>
      <c r="D29" s="413"/>
      <c r="E29" s="413" t="s">
        <v>1302</v>
      </c>
      <c r="F29" s="421">
        <v>54.49</v>
      </c>
      <c r="G29" s="428"/>
      <c r="H29" s="409">
        <f t="shared" si="3"/>
        <v>54.49</v>
      </c>
      <c r="I29" s="409">
        <f t="shared" si="4"/>
        <v>7901.05</v>
      </c>
      <c r="J29" s="204"/>
      <c r="K29" s="442"/>
      <c r="M29" s="418"/>
      <c r="N29" s="418"/>
      <c r="O29" s="418">
        <f t="shared" si="6"/>
        <v>7901.05</v>
      </c>
      <c r="P29" s="418"/>
      <c r="Q29" s="418"/>
      <c r="R29" s="418"/>
      <c r="S29" s="418"/>
    </row>
    <row r="30" spans="1:19">
      <c r="A30" s="413">
        <f>4*215</f>
        <v>860</v>
      </c>
      <c r="B30" s="413" t="s">
        <v>539</v>
      </c>
      <c r="C30" s="413" t="s">
        <v>690</v>
      </c>
      <c r="D30" s="413"/>
      <c r="E30" s="413" t="s">
        <v>1300</v>
      </c>
      <c r="F30" s="421">
        <v>15.47</v>
      </c>
      <c r="G30" s="428"/>
      <c r="H30" s="409">
        <f t="shared" si="3"/>
        <v>15.47</v>
      </c>
      <c r="I30" s="409">
        <f t="shared" si="4"/>
        <v>13304.2</v>
      </c>
      <c r="J30" s="204"/>
      <c r="K30" s="442"/>
      <c r="M30" s="418"/>
      <c r="N30" s="418"/>
      <c r="O30" s="418">
        <f t="shared" si="6"/>
        <v>13304.2</v>
      </c>
      <c r="P30" s="418"/>
      <c r="Q30" s="418"/>
      <c r="R30" s="418"/>
      <c r="S30" s="418"/>
    </row>
    <row r="31" spans="1:19">
      <c r="A31" s="413">
        <f>285*4</f>
        <v>1140</v>
      </c>
      <c r="B31" s="413" t="s">
        <v>539</v>
      </c>
      <c r="C31" s="413" t="s">
        <v>531</v>
      </c>
      <c r="D31" s="413"/>
      <c r="E31" s="413" t="s">
        <v>1253</v>
      </c>
      <c r="F31" s="421">
        <v>18.073076923076901</v>
      </c>
      <c r="G31" s="428"/>
      <c r="H31" s="409">
        <f t="shared" si="3"/>
        <v>18.073076923076901</v>
      </c>
      <c r="I31" s="409">
        <f t="shared" si="4"/>
        <v>20603.307692307666</v>
      </c>
      <c r="J31" s="204"/>
      <c r="K31" s="442"/>
      <c r="M31" s="418"/>
      <c r="N31" s="418"/>
      <c r="O31" s="418">
        <f t="shared" si="6"/>
        <v>20603.307692307666</v>
      </c>
      <c r="P31" s="418"/>
      <c r="Q31" s="418"/>
      <c r="R31" s="418"/>
      <c r="S31" s="418"/>
    </row>
    <row r="32" spans="1:19" ht="44.55">
      <c r="A32" s="413">
        <v>300</v>
      </c>
      <c r="B32" s="413" t="s">
        <v>539</v>
      </c>
      <c r="C32" s="413" t="s">
        <v>531</v>
      </c>
      <c r="D32" s="413"/>
      <c r="E32" s="413" t="s">
        <v>1554</v>
      </c>
      <c r="F32" s="421">
        <v>3</v>
      </c>
      <c r="G32" s="428"/>
      <c r="H32" s="409">
        <f t="shared" si="3"/>
        <v>3</v>
      </c>
      <c r="I32" s="409">
        <f t="shared" si="4"/>
        <v>900</v>
      </c>
      <c r="J32" s="204" t="s">
        <v>1555</v>
      </c>
      <c r="K32" s="442"/>
      <c r="M32" s="418"/>
      <c r="N32" s="418"/>
      <c r="O32" s="418">
        <f t="shared" si="6"/>
        <v>900</v>
      </c>
      <c r="P32" s="418"/>
      <c r="Q32" s="418"/>
      <c r="R32" s="418"/>
      <c r="S32" s="418"/>
    </row>
    <row r="33" spans="1:19" ht="33.4">
      <c r="A33" s="413">
        <v>0</v>
      </c>
      <c r="B33" s="413" t="s">
        <v>517</v>
      </c>
      <c r="C33" s="420" t="s">
        <v>569</v>
      </c>
      <c r="D33" s="413" t="s">
        <v>570</v>
      </c>
      <c r="E33" s="420" t="s">
        <v>571</v>
      </c>
      <c r="F33" s="421">
        <v>1040</v>
      </c>
      <c r="G33" s="429">
        <v>0.48</v>
      </c>
      <c r="H33" s="430">
        <f t="shared" si="3"/>
        <v>540.80000000000007</v>
      </c>
      <c r="I33" s="409">
        <f t="shared" si="4"/>
        <v>0</v>
      </c>
      <c r="J33" s="204"/>
      <c r="M33" s="418"/>
      <c r="N33" s="418"/>
      <c r="O33" s="418"/>
      <c r="P33" s="418"/>
      <c r="Q33" s="418"/>
      <c r="R33" s="418"/>
      <c r="S33" s="418">
        <f t="shared" si="8"/>
        <v>0</v>
      </c>
    </row>
    <row r="34" spans="1:19" ht="44.55">
      <c r="A34" s="413">
        <v>0</v>
      </c>
      <c r="B34" s="413" t="s">
        <v>517</v>
      </c>
      <c r="C34" s="424" t="s">
        <v>569</v>
      </c>
      <c r="D34" s="423" t="s">
        <v>572</v>
      </c>
      <c r="E34" s="424" t="s">
        <v>573</v>
      </c>
      <c r="F34" s="425">
        <v>1190</v>
      </c>
      <c r="G34" s="429">
        <v>0.48</v>
      </c>
      <c r="H34" s="430">
        <f t="shared" si="3"/>
        <v>618.80000000000007</v>
      </c>
      <c r="I34" s="409">
        <f t="shared" si="4"/>
        <v>0</v>
      </c>
      <c r="J34" s="204"/>
      <c r="M34" s="418"/>
      <c r="N34" s="418"/>
      <c r="O34" s="418"/>
      <c r="P34" s="418"/>
      <c r="Q34" s="418"/>
      <c r="R34" s="418"/>
      <c r="S34" s="418">
        <f t="shared" si="8"/>
        <v>0</v>
      </c>
    </row>
    <row r="35" spans="1:19">
      <c r="A35" s="413">
        <v>0</v>
      </c>
      <c r="B35" s="413" t="s">
        <v>517</v>
      </c>
      <c r="C35" s="420" t="s">
        <v>574</v>
      </c>
      <c r="D35" s="413" t="s">
        <v>575</v>
      </c>
      <c r="E35" s="413" t="s">
        <v>576</v>
      </c>
      <c r="F35" s="421">
        <v>36.700000000000003</v>
      </c>
      <c r="G35" s="410"/>
      <c r="H35" s="409">
        <f t="shared" si="3"/>
        <v>36.700000000000003</v>
      </c>
      <c r="I35" s="409">
        <f t="shared" si="4"/>
        <v>0</v>
      </c>
      <c r="J35" s="204"/>
      <c r="M35" s="418"/>
      <c r="N35" s="418"/>
      <c r="O35" s="418"/>
      <c r="P35" s="418"/>
      <c r="Q35" s="418"/>
      <c r="R35" s="418"/>
      <c r="S35" s="418">
        <f t="shared" si="8"/>
        <v>0</v>
      </c>
    </row>
    <row r="36" spans="1:19">
      <c r="A36" s="413">
        <v>0</v>
      </c>
      <c r="B36" s="413" t="s">
        <v>517</v>
      </c>
      <c r="C36" s="420" t="s">
        <v>574</v>
      </c>
      <c r="D36" s="413" t="s">
        <v>577</v>
      </c>
      <c r="E36" s="413" t="s">
        <v>578</v>
      </c>
      <c r="F36" s="421">
        <v>75</v>
      </c>
      <c r="G36" s="410"/>
      <c r="H36" s="409">
        <f t="shared" si="3"/>
        <v>75</v>
      </c>
      <c r="I36" s="409">
        <f t="shared" si="4"/>
        <v>0</v>
      </c>
      <c r="J36" s="204"/>
      <c r="M36" s="418"/>
      <c r="N36" s="418"/>
      <c r="O36" s="418"/>
      <c r="P36" s="418"/>
      <c r="Q36" s="418"/>
      <c r="R36" s="418"/>
      <c r="S36" s="418">
        <f t="shared" si="8"/>
        <v>0</v>
      </c>
    </row>
    <row r="37" spans="1:19">
      <c r="A37" s="413">
        <v>0</v>
      </c>
      <c r="B37" s="413" t="s">
        <v>517</v>
      </c>
      <c r="C37" s="420" t="s">
        <v>574</v>
      </c>
      <c r="D37" s="413"/>
      <c r="E37" s="413" t="s">
        <v>579</v>
      </c>
      <c r="F37" s="421">
        <f>35/4</f>
        <v>8.75</v>
      </c>
      <c r="G37" s="410"/>
      <c r="H37" s="409">
        <f t="shared" si="3"/>
        <v>8.75</v>
      </c>
      <c r="I37" s="409">
        <f t="shared" si="4"/>
        <v>0</v>
      </c>
      <c r="J37" s="204"/>
      <c r="M37" s="418"/>
      <c r="N37" s="418"/>
      <c r="O37" s="418"/>
      <c r="P37" s="418"/>
      <c r="Q37" s="418"/>
      <c r="R37" s="418"/>
      <c r="S37" s="418">
        <f t="shared" si="8"/>
        <v>0</v>
      </c>
    </row>
    <row r="38" spans="1:19">
      <c r="A38" s="407"/>
      <c r="B38" s="407"/>
      <c r="C38" s="408"/>
      <c r="D38" s="407"/>
      <c r="E38" s="407"/>
      <c r="F38" s="409"/>
      <c r="G38" s="410"/>
      <c r="H38" s="409"/>
      <c r="I38" s="409"/>
      <c r="J38" s="204"/>
      <c r="M38" s="418"/>
      <c r="N38" s="418"/>
      <c r="O38" s="418"/>
      <c r="P38" s="418"/>
      <c r="Q38" s="418"/>
      <c r="R38" s="418"/>
      <c r="S38" s="418"/>
    </row>
    <row r="39" spans="1:19">
      <c r="A39" s="407"/>
      <c r="B39" s="407"/>
      <c r="C39" s="408"/>
      <c r="D39" s="407"/>
      <c r="E39" s="432" t="s">
        <v>580</v>
      </c>
      <c r="F39" s="409"/>
      <c r="G39" s="410"/>
      <c r="H39" s="409"/>
      <c r="I39" s="421">
        <f>SUM(I4:I37)</f>
        <v>128850.12889230766</v>
      </c>
      <c r="J39" s="204"/>
      <c r="M39" s="418">
        <f>SUM(M4:M37)</f>
        <v>51617.5</v>
      </c>
      <c r="N39" s="418">
        <f>SUM(N4:N37)</f>
        <v>20459.2</v>
      </c>
      <c r="O39" s="418">
        <f>SUM(O4:O37)</f>
        <v>48579.408892307663</v>
      </c>
      <c r="P39" s="418"/>
      <c r="Q39" s="418"/>
      <c r="R39" s="418">
        <f>SUM(R4:R37)</f>
        <v>7524.4800000000005</v>
      </c>
      <c r="S39" s="418">
        <f>SUM(S4:S37)</f>
        <v>669.54</v>
      </c>
    </row>
    <row r="40" spans="1:19">
      <c r="A40" s="407"/>
      <c r="B40" s="407"/>
      <c r="C40" s="408"/>
      <c r="D40" s="407"/>
      <c r="E40" s="413" t="s">
        <v>581</v>
      </c>
      <c r="F40" s="409"/>
      <c r="G40" s="410">
        <v>0.25</v>
      </c>
      <c r="H40" s="409"/>
      <c r="I40" s="421"/>
      <c r="J40" s="204"/>
      <c r="M40" s="418"/>
      <c r="N40" s="418"/>
      <c r="O40" s="418"/>
      <c r="P40" s="418"/>
      <c r="Q40" s="418"/>
      <c r="R40" s="418"/>
      <c r="S40" s="418"/>
    </row>
    <row r="41" spans="1:19" ht="15.75">
      <c r="E41" s="433" t="s">
        <v>582</v>
      </c>
      <c r="F41" s="418"/>
      <c r="G41" s="434"/>
      <c r="H41" s="418"/>
      <c r="I41" s="435">
        <f>I39*(1+$G$40)</f>
        <v>161062.66111538457</v>
      </c>
      <c r="J41" s="436"/>
      <c r="K41" s="437"/>
      <c r="L41" s="437"/>
      <c r="M41" s="438">
        <f>M39*(1+$G$40)</f>
        <v>64521.875</v>
      </c>
      <c r="N41" s="438">
        <f>N39*(1+$G$40)</f>
        <v>25574</v>
      </c>
      <c r="O41" s="438">
        <f>O39*(1+$G$40)</f>
        <v>60724.261115384579</v>
      </c>
      <c r="P41" s="438">
        <f>P71</f>
        <v>44360</v>
      </c>
      <c r="Q41" s="438">
        <f>Q126</f>
        <v>15049.839999999998</v>
      </c>
      <c r="R41" s="438">
        <f>R39*(1+$G$40)</f>
        <v>9405.6</v>
      </c>
      <c r="S41" s="438">
        <f>S39*(1+$G$40)</f>
        <v>836.92499999999995</v>
      </c>
    </row>
    <row r="44" spans="1:19">
      <c r="E44" s="439" t="s">
        <v>585</v>
      </c>
    </row>
    <row r="45" spans="1:19">
      <c r="A45" s="441">
        <f>25*2/3/9*12*4</f>
        <v>88.8888888888889</v>
      </c>
      <c r="B45" s="17" t="s">
        <v>619</v>
      </c>
      <c r="E45" s="17" t="s">
        <v>586</v>
      </c>
      <c r="F45" s="403">
        <f t="shared" ref="F45:F62" si="9">F$66</f>
        <v>55</v>
      </c>
      <c r="H45" s="403">
        <f t="shared" si="3"/>
        <v>55</v>
      </c>
      <c r="I45" s="403">
        <f t="shared" ref="I45:I68" si="10">A45*H45</f>
        <v>4888.8888888888896</v>
      </c>
      <c r="J45" s="17" t="s">
        <v>1556</v>
      </c>
    </row>
    <row r="46" spans="1:19">
      <c r="A46" s="441">
        <v>32</v>
      </c>
      <c r="B46" s="17" t="s">
        <v>619</v>
      </c>
      <c r="E46" s="17" t="s">
        <v>1557</v>
      </c>
      <c r="F46" s="403">
        <f t="shared" si="9"/>
        <v>55</v>
      </c>
      <c r="H46" s="403">
        <f t="shared" si="3"/>
        <v>55</v>
      </c>
      <c r="I46" s="403">
        <f t="shared" si="10"/>
        <v>1760</v>
      </c>
      <c r="J46" s="17" t="s">
        <v>1558</v>
      </c>
    </row>
    <row r="47" spans="1:19">
      <c r="A47" s="441">
        <f>A6/120*8*2</f>
        <v>52</v>
      </c>
      <c r="B47" s="17" t="s">
        <v>619</v>
      </c>
      <c r="E47" s="17" t="s">
        <v>589</v>
      </c>
      <c r="F47" s="403">
        <f t="shared" si="9"/>
        <v>55</v>
      </c>
      <c r="H47" s="403">
        <f t="shared" si="3"/>
        <v>55</v>
      </c>
      <c r="I47" s="403">
        <f t="shared" si="10"/>
        <v>2860</v>
      </c>
      <c r="J47" s="17" t="s">
        <v>592</v>
      </c>
    </row>
    <row r="48" spans="1:19">
      <c r="A48" s="441">
        <v>10</v>
      </c>
      <c r="B48" s="17" t="s">
        <v>619</v>
      </c>
      <c r="E48" s="17" t="s">
        <v>1426</v>
      </c>
      <c r="F48" s="403">
        <f t="shared" si="9"/>
        <v>55</v>
      </c>
      <c r="H48" s="403">
        <f t="shared" si="3"/>
        <v>55</v>
      </c>
      <c r="I48" s="403">
        <f t="shared" si="10"/>
        <v>550</v>
      </c>
      <c r="J48" s="17" t="s">
        <v>1559</v>
      </c>
    </row>
    <row r="49" spans="1:10">
      <c r="A49" s="441">
        <f>A6/120*16*2</f>
        <v>104</v>
      </c>
      <c r="B49" s="17" t="s">
        <v>619</v>
      </c>
      <c r="E49" s="17" t="s">
        <v>591</v>
      </c>
      <c r="F49" s="403">
        <f t="shared" si="9"/>
        <v>55</v>
      </c>
      <c r="H49" s="403">
        <f t="shared" si="3"/>
        <v>55</v>
      </c>
      <c r="I49" s="403">
        <f t="shared" si="10"/>
        <v>5720</v>
      </c>
      <c r="J49" s="17" t="s">
        <v>592</v>
      </c>
    </row>
    <row r="50" spans="1:10">
      <c r="A50" s="441">
        <f>4*4</f>
        <v>16</v>
      </c>
      <c r="B50" s="17" t="s">
        <v>619</v>
      </c>
      <c r="E50" s="17" t="s">
        <v>1428</v>
      </c>
      <c r="F50" s="403">
        <f t="shared" si="9"/>
        <v>55</v>
      </c>
      <c r="H50" s="403">
        <f t="shared" si="3"/>
        <v>55</v>
      </c>
      <c r="I50" s="403">
        <f t="shared" si="10"/>
        <v>880</v>
      </c>
      <c r="J50" s="17" t="s">
        <v>1560</v>
      </c>
    </row>
    <row r="51" spans="1:10">
      <c r="A51" s="441">
        <f>4*1</f>
        <v>4</v>
      </c>
      <c r="B51" s="17" t="s">
        <v>619</v>
      </c>
      <c r="E51" s="17" t="s">
        <v>1429</v>
      </c>
      <c r="F51" s="403">
        <f t="shared" si="9"/>
        <v>55</v>
      </c>
      <c r="H51" s="403">
        <f t="shared" si="3"/>
        <v>55</v>
      </c>
      <c r="I51" s="403">
        <f t="shared" si="10"/>
        <v>220</v>
      </c>
    </row>
    <row r="52" spans="1:10">
      <c r="A52" s="441">
        <f>4*3</f>
        <v>12</v>
      </c>
      <c r="B52" s="17" t="s">
        <v>619</v>
      </c>
      <c r="E52" s="17" t="s">
        <v>605</v>
      </c>
      <c r="F52" s="403">
        <f t="shared" si="9"/>
        <v>55</v>
      </c>
      <c r="H52" s="403">
        <f t="shared" si="3"/>
        <v>55</v>
      </c>
      <c r="I52" s="403">
        <f t="shared" si="10"/>
        <v>660</v>
      </c>
      <c r="J52" s="17" t="s">
        <v>1561</v>
      </c>
    </row>
    <row r="53" spans="1:10">
      <c r="A53" s="441">
        <f>2*4+A19/6</f>
        <v>40.5</v>
      </c>
      <c r="B53" s="17" t="s">
        <v>619</v>
      </c>
      <c r="E53" s="17" t="s">
        <v>607</v>
      </c>
      <c r="F53" s="403">
        <f t="shared" si="9"/>
        <v>55</v>
      </c>
      <c r="H53" s="403">
        <f t="shared" si="3"/>
        <v>55</v>
      </c>
      <c r="I53" s="403">
        <f t="shared" si="10"/>
        <v>2227.5</v>
      </c>
      <c r="J53" s="17" t="s">
        <v>608</v>
      </c>
    </row>
    <row r="54" spans="1:10">
      <c r="A54" s="441">
        <v>2</v>
      </c>
      <c r="B54" s="17" t="s">
        <v>619</v>
      </c>
      <c r="E54" s="17" t="s">
        <v>609</v>
      </c>
      <c r="F54" s="403">
        <f t="shared" si="9"/>
        <v>55</v>
      </c>
      <c r="H54" s="403">
        <f t="shared" si="3"/>
        <v>55</v>
      </c>
      <c r="I54" s="403">
        <f t="shared" si="10"/>
        <v>110</v>
      </c>
    </row>
    <row r="55" spans="1:10">
      <c r="A55" s="441">
        <f>8*4</f>
        <v>32</v>
      </c>
      <c r="B55" s="17" t="s">
        <v>619</v>
      </c>
      <c r="E55" s="17" t="s">
        <v>610</v>
      </c>
      <c r="F55" s="403">
        <f t="shared" si="9"/>
        <v>55</v>
      </c>
      <c r="H55" s="403">
        <f t="shared" si="3"/>
        <v>55</v>
      </c>
      <c r="I55" s="403">
        <f t="shared" si="10"/>
        <v>1760</v>
      </c>
    </row>
    <row r="56" spans="1:10">
      <c r="A56" s="441">
        <v>2</v>
      </c>
      <c r="B56" s="17" t="s">
        <v>619</v>
      </c>
      <c r="E56" s="17" t="s">
        <v>611</v>
      </c>
      <c r="F56" s="403">
        <f t="shared" si="9"/>
        <v>55</v>
      </c>
      <c r="H56" s="403">
        <f t="shared" si="3"/>
        <v>55</v>
      </c>
      <c r="I56" s="403">
        <f t="shared" si="10"/>
        <v>110</v>
      </c>
    </row>
    <row r="57" spans="1:10">
      <c r="A57" s="441">
        <v>1</v>
      </c>
      <c r="B57" s="17" t="s">
        <v>619</v>
      </c>
      <c r="E57" s="17" t="s">
        <v>1431</v>
      </c>
      <c r="F57" s="403">
        <f t="shared" si="9"/>
        <v>55</v>
      </c>
      <c r="H57" s="403">
        <f t="shared" si="3"/>
        <v>55</v>
      </c>
      <c r="I57" s="403">
        <f t="shared" si="10"/>
        <v>55</v>
      </c>
    </row>
    <row r="58" spans="1:10">
      <c r="A58" s="441">
        <v>4</v>
      </c>
      <c r="B58" s="17" t="s">
        <v>619</v>
      </c>
      <c r="E58" s="17" t="s">
        <v>612</v>
      </c>
      <c r="F58" s="403">
        <f t="shared" si="9"/>
        <v>55</v>
      </c>
      <c r="H58" s="403">
        <f t="shared" si="3"/>
        <v>55</v>
      </c>
      <c r="I58" s="403">
        <f t="shared" si="10"/>
        <v>220</v>
      </c>
    </row>
    <row r="59" spans="1:10">
      <c r="A59" s="441">
        <f>A45/2</f>
        <v>44.44444444444445</v>
      </c>
      <c r="B59" s="17" t="s">
        <v>619</v>
      </c>
      <c r="E59" s="17" t="s">
        <v>614</v>
      </c>
      <c r="F59" s="403">
        <f t="shared" si="9"/>
        <v>55</v>
      </c>
      <c r="H59" s="403">
        <f t="shared" si="3"/>
        <v>55</v>
      </c>
      <c r="I59" s="403">
        <f t="shared" si="10"/>
        <v>2444.4444444444448</v>
      </c>
    </row>
    <row r="60" spans="1:10">
      <c r="A60" s="441">
        <v>16</v>
      </c>
      <c r="B60" s="17" t="s">
        <v>619</v>
      </c>
      <c r="E60" s="17" t="s">
        <v>615</v>
      </c>
      <c r="F60" s="403">
        <f t="shared" si="9"/>
        <v>55</v>
      </c>
      <c r="H60" s="403">
        <f t="shared" si="3"/>
        <v>55</v>
      </c>
      <c r="I60" s="403">
        <f t="shared" si="10"/>
        <v>880</v>
      </c>
      <c r="J60" s="17" t="s">
        <v>1562</v>
      </c>
    </row>
    <row r="61" spans="1:10">
      <c r="A61" s="441">
        <v>4</v>
      </c>
      <c r="B61" s="17" t="s">
        <v>619</v>
      </c>
      <c r="E61" s="17" t="s">
        <v>616</v>
      </c>
      <c r="F61" s="403">
        <f t="shared" si="9"/>
        <v>55</v>
      </c>
      <c r="H61" s="403">
        <f t="shared" si="3"/>
        <v>55</v>
      </c>
      <c r="I61" s="403">
        <f t="shared" si="10"/>
        <v>220</v>
      </c>
    </row>
    <row r="62" spans="1:10">
      <c r="A62" s="441">
        <f>1+5.33/25*(300+90)</f>
        <v>84.147999999999996</v>
      </c>
      <c r="B62" s="442" t="s">
        <v>619</v>
      </c>
      <c r="C62" s="446"/>
      <c r="D62" s="442"/>
      <c r="E62" s="17" t="s">
        <v>617</v>
      </c>
      <c r="F62" s="443">
        <f t="shared" si="9"/>
        <v>55</v>
      </c>
      <c r="G62" s="444"/>
      <c r="H62" s="443">
        <f t="shared" si="3"/>
        <v>55</v>
      </c>
      <c r="I62" s="443">
        <f t="shared" si="10"/>
        <v>4628.1399999999994</v>
      </c>
      <c r="J62" s="17" t="s">
        <v>618</v>
      </c>
    </row>
    <row r="64" spans="1:10">
      <c r="A64" s="17">
        <f>SUM(A45:A63)</f>
        <v>548.9813333333334</v>
      </c>
      <c r="B64" s="17" t="s">
        <v>619</v>
      </c>
      <c r="E64" s="17" t="s">
        <v>620</v>
      </c>
    </row>
    <row r="65" spans="1:16">
      <c r="A65" s="441">
        <v>3</v>
      </c>
      <c r="B65" s="17" t="s">
        <v>517</v>
      </c>
      <c r="E65" s="17" t="s">
        <v>621</v>
      </c>
    </row>
    <row r="66" spans="1:16">
      <c r="A66" s="17">
        <v>1</v>
      </c>
      <c r="B66" s="17" t="s">
        <v>517</v>
      </c>
      <c r="E66" s="17" t="s">
        <v>622</v>
      </c>
      <c r="F66" s="445">
        <v>55</v>
      </c>
      <c r="H66" s="403">
        <f t="shared" si="3"/>
        <v>55</v>
      </c>
      <c r="I66" s="403">
        <f t="shared" si="10"/>
        <v>55</v>
      </c>
      <c r="J66" s="17" t="s">
        <v>623</v>
      </c>
    </row>
    <row r="67" spans="1:16">
      <c r="A67" s="17">
        <f>ROUNDUP(A64/8/A65,0)</f>
        <v>23</v>
      </c>
      <c r="B67" s="17" t="s">
        <v>624</v>
      </c>
      <c r="E67" s="17" t="s">
        <v>625</v>
      </c>
      <c r="F67" s="403">
        <f>A65*8*F66</f>
        <v>1320</v>
      </c>
      <c r="H67" s="403">
        <f t="shared" si="3"/>
        <v>1320</v>
      </c>
      <c r="I67" s="403">
        <f t="shared" si="10"/>
        <v>30360</v>
      </c>
    </row>
    <row r="68" spans="1:16">
      <c r="A68" s="441">
        <f>2+2+10</f>
        <v>14</v>
      </c>
      <c r="B68" s="442" t="s">
        <v>517</v>
      </c>
      <c r="C68" s="446"/>
      <c r="D68" s="442"/>
      <c r="E68" s="442" t="s">
        <v>626</v>
      </c>
      <c r="F68" s="447">
        <v>500</v>
      </c>
      <c r="G68" s="444"/>
      <c r="H68" s="403">
        <v>1000</v>
      </c>
      <c r="I68" s="403">
        <f t="shared" si="10"/>
        <v>14000</v>
      </c>
      <c r="J68" s="17" t="s">
        <v>1563</v>
      </c>
    </row>
    <row r="69" spans="1:16">
      <c r="A69" s="441"/>
      <c r="F69" s="447"/>
      <c r="H69" s="403"/>
      <c r="I69" s="403"/>
    </row>
    <row r="70" spans="1:16">
      <c r="A70" s="441"/>
      <c r="F70" s="447"/>
      <c r="H70" s="403"/>
      <c r="I70" s="403"/>
    </row>
    <row r="71" spans="1:16" ht="15.75">
      <c r="E71" s="439" t="s">
        <v>628</v>
      </c>
      <c r="I71" s="443">
        <f>SUM(I67:I70)</f>
        <v>44360</v>
      </c>
      <c r="P71" s="438">
        <f>I71</f>
        <v>44360</v>
      </c>
    </row>
    <row r="72" spans="1:16" ht="15.75">
      <c r="E72" s="439"/>
      <c r="I72" s="443"/>
      <c r="P72" s="755"/>
    </row>
    <row r="73" spans="1:16" ht="15.75">
      <c r="E73" s="439"/>
      <c r="I73" s="443"/>
      <c r="P73" s="755"/>
    </row>
    <row r="75" spans="1:16" ht="36.65">
      <c r="C75" s="448" t="s">
        <v>629</v>
      </c>
      <c r="D75" s="448"/>
      <c r="E75" s="449" t="s">
        <v>630</v>
      </c>
    </row>
    <row r="76" spans="1:16">
      <c r="D76" s="448"/>
      <c r="E76" s="449" t="s">
        <v>631</v>
      </c>
    </row>
    <row r="77" spans="1:16">
      <c r="D77" s="17" t="s">
        <v>632</v>
      </c>
      <c r="E77" s="450" t="s">
        <v>633</v>
      </c>
      <c r="G77" s="451">
        <v>0.4</v>
      </c>
    </row>
    <row r="78" spans="1:16">
      <c r="D78" s="17" t="s">
        <v>517</v>
      </c>
      <c r="E78" s="450" t="s">
        <v>634</v>
      </c>
      <c r="G78" s="451">
        <f>G77</f>
        <v>0.4</v>
      </c>
    </row>
    <row r="79" spans="1:16">
      <c r="D79" s="448"/>
      <c r="E79" s="449"/>
    </row>
    <row r="80" spans="1:16">
      <c r="E80" s="449" t="s">
        <v>635</v>
      </c>
    </row>
    <row r="81" spans="1:12" ht="24.9">
      <c r="A81" s="452">
        <v>0</v>
      </c>
      <c r="B81" s="453" t="s">
        <v>517</v>
      </c>
      <c r="C81" s="454" t="s">
        <v>538</v>
      </c>
      <c r="D81" s="455" t="s">
        <v>636</v>
      </c>
      <c r="E81" s="453" t="s">
        <v>637</v>
      </c>
      <c r="F81" s="456">
        <v>1849</v>
      </c>
      <c r="G81" s="457"/>
      <c r="H81" s="458">
        <f>F81*(1-$G$78)</f>
        <v>1109.3999999999999</v>
      </c>
      <c r="I81" s="458">
        <f t="shared" ref="I81:I99" si="11">A81*H81</f>
        <v>0</v>
      </c>
      <c r="J81" s="459" t="s">
        <v>638</v>
      </c>
      <c r="K81" s="460" t="s">
        <v>639</v>
      </c>
    </row>
    <row r="82" spans="1:12" ht="12.8" customHeight="1">
      <c r="A82" s="461">
        <v>0</v>
      </c>
      <c r="B82" s="453" t="s">
        <v>517</v>
      </c>
      <c r="C82" s="453" t="s">
        <v>538</v>
      </c>
      <c r="D82" s="462" t="s">
        <v>640</v>
      </c>
      <c r="E82" s="453" t="s">
        <v>641</v>
      </c>
      <c r="F82" s="463">
        <v>1949</v>
      </c>
      <c r="G82" s="457"/>
      <c r="H82" s="458">
        <f t="shared" ref="H82:H96" si="12">F82*(1-$G$77)</f>
        <v>1169.3999999999999</v>
      </c>
      <c r="I82" s="458">
        <f t="shared" si="11"/>
        <v>0</v>
      </c>
      <c r="J82" s="459" t="s">
        <v>638</v>
      </c>
      <c r="K82" s="1051" t="s">
        <v>642</v>
      </c>
    </row>
    <row r="83" spans="1:12" ht="24.9">
      <c r="A83" s="452">
        <v>0</v>
      </c>
      <c r="B83" s="453" t="s">
        <v>539</v>
      </c>
      <c r="C83" s="453" t="s">
        <v>538</v>
      </c>
      <c r="D83" s="462" t="s">
        <v>643</v>
      </c>
      <c r="E83" s="453" t="s">
        <v>641</v>
      </c>
      <c r="F83" s="463">
        <v>80</v>
      </c>
      <c r="G83" s="457"/>
      <c r="H83" s="458">
        <f t="shared" si="12"/>
        <v>48</v>
      </c>
      <c r="I83" s="458">
        <f t="shared" si="11"/>
        <v>0</v>
      </c>
      <c r="J83" s="459" t="s">
        <v>638</v>
      </c>
      <c r="K83" s="1051"/>
    </row>
    <row r="84" spans="1:12" ht="12.8" customHeight="1">
      <c r="A84" s="461">
        <v>0</v>
      </c>
      <c r="B84" s="453" t="s">
        <v>517</v>
      </c>
      <c r="C84" s="453" t="s">
        <v>538</v>
      </c>
      <c r="D84" s="464" t="s">
        <v>644</v>
      </c>
      <c r="E84" s="453" t="s">
        <v>645</v>
      </c>
      <c r="F84" s="463">
        <v>10051</v>
      </c>
      <c r="G84" s="457"/>
      <c r="H84" s="458">
        <f t="shared" si="12"/>
        <v>6030.5999999999995</v>
      </c>
      <c r="I84" s="458">
        <f t="shared" si="11"/>
        <v>0</v>
      </c>
      <c r="J84" s="459" t="s">
        <v>638</v>
      </c>
      <c r="K84" s="1052" t="s">
        <v>646</v>
      </c>
    </row>
    <row r="85" spans="1:12" ht="24.9">
      <c r="A85" s="461">
        <v>0</v>
      </c>
      <c r="B85" s="453" t="s">
        <v>517</v>
      </c>
      <c r="C85" s="453" t="s">
        <v>538</v>
      </c>
      <c r="D85" s="464" t="s">
        <v>644</v>
      </c>
      <c r="E85" s="453" t="s">
        <v>647</v>
      </c>
      <c r="F85" s="463">
        <v>17412</v>
      </c>
      <c r="G85" s="457"/>
      <c r="H85" s="458">
        <f t="shared" si="12"/>
        <v>10447.199999999999</v>
      </c>
      <c r="I85" s="458">
        <f t="shared" si="11"/>
        <v>0</v>
      </c>
      <c r="J85" s="459" t="s">
        <v>638</v>
      </c>
      <c r="K85" s="1052"/>
    </row>
    <row r="86" spans="1:12" ht="12.8" customHeight="1">
      <c r="A86" s="461">
        <v>0</v>
      </c>
      <c r="B86" s="453" t="s">
        <v>517</v>
      </c>
      <c r="C86" s="453" t="s">
        <v>538</v>
      </c>
      <c r="D86" s="465" t="s">
        <v>644</v>
      </c>
      <c r="E86" s="453" t="s">
        <v>648</v>
      </c>
      <c r="F86" s="466">
        <v>2345</v>
      </c>
      <c r="G86" s="457"/>
      <c r="H86" s="458">
        <f t="shared" si="12"/>
        <v>1407</v>
      </c>
      <c r="I86" s="458">
        <f t="shared" si="11"/>
        <v>0</v>
      </c>
      <c r="J86" s="453" t="s">
        <v>649</v>
      </c>
      <c r="K86" s="1049" t="s">
        <v>650</v>
      </c>
    </row>
    <row r="87" spans="1:12" ht="24.9">
      <c r="A87" s="461">
        <v>0</v>
      </c>
      <c r="B87" s="453" t="s">
        <v>517</v>
      </c>
      <c r="C87" s="453" t="s">
        <v>538</v>
      </c>
      <c r="D87" s="465" t="s">
        <v>644</v>
      </c>
      <c r="E87" s="453" t="s">
        <v>651</v>
      </c>
      <c r="F87" s="466">
        <v>3258</v>
      </c>
      <c r="G87" s="457"/>
      <c r="H87" s="458">
        <f t="shared" si="12"/>
        <v>1954.8</v>
      </c>
      <c r="I87" s="458">
        <f t="shared" si="11"/>
        <v>0</v>
      </c>
      <c r="J87" s="453" t="s">
        <v>649</v>
      </c>
      <c r="K87" s="1049"/>
    </row>
    <row r="88" spans="1:12" ht="24.9">
      <c r="A88" s="461">
        <v>0</v>
      </c>
      <c r="B88" s="453" t="s">
        <v>517</v>
      </c>
      <c r="C88" s="453" t="s">
        <v>538</v>
      </c>
      <c r="D88" s="465" t="s">
        <v>644</v>
      </c>
      <c r="E88" s="453" t="s">
        <v>652</v>
      </c>
      <c r="F88" s="463">
        <v>5649</v>
      </c>
      <c r="G88" s="457"/>
      <c r="H88" s="458">
        <f t="shared" si="12"/>
        <v>3389.4</v>
      </c>
      <c r="I88" s="458">
        <f t="shared" si="11"/>
        <v>0</v>
      </c>
      <c r="J88" s="453" t="s">
        <v>649</v>
      </c>
      <c r="K88" s="1049"/>
    </row>
    <row r="89" spans="1:12" ht="24.9">
      <c r="A89" s="461">
        <v>0</v>
      </c>
      <c r="B89" s="453" t="s">
        <v>517</v>
      </c>
      <c r="C89" s="453" t="s">
        <v>538</v>
      </c>
      <c r="D89" s="465" t="s">
        <v>644</v>
      </c>
      <c r="E89" s="453" t="s">
        <v>653</v>
      </c>
      <c r="F89" s="463">
        <v>1488</v>
      </c>
      <c r="G89" s="457"/>
      <c r="H89" s="458">
        <f t="shared" si="12"/>
        <v>892.8</v>
      </c>
      <c r="I89" s="458">
        <f t="shared" si="11"/>
        <v>0</v>
      </c>
      <c r="J89" s="453" t="s">
        <v>649</v>
      </c>
      <c r="K89" s="1049"/>
    </row>
    <row r="90" spans="1:12" ht="24.9">
      <c r="A90" s="461">
        <v>0</v>
      </c>
      <c r="B90" s="453" t="s">
        <v>517</v>
      </c>
      <c r="C90" s="453" t="s">
        <v>538</v>
      </c>
      <c r="D90" s="465" t="s">
        <v>644</v>
      </c>
      <c r="E90" s="453" t="s">
        <v>654</v>
      </c>
      <c r="F90" s="463">
        <v>5269</v>
      </c>
      <c r="G90" s="457"/>
      <c r="H90" s="458">
        <f t="shared" si="12"/>
        <v>3161.4</v>
      </c>
      <c r="I90" s="458">
        <f t="shared" si="11"/>
        <v>0</v>
      </c>
      <c r="J90" s="453" t="s">
        <v>649</v>
      </c>
      <c r="K90" s="1049"/>
    </row>
    <row r="91" spans="1:12" ht="24.9">
      <c r="A91" s="461">
        <v>0</v>
      </c>
      <c r="B91" s="453" t="s">
        <v>517</v>
      </c>
      <c r="C91" s="453" t="s">
        <v>538</v>
      </c>
      <c r="D91" s="465" t="s">
        <v>644</v>
      </c>
      <c r="E91" s="453" t="s">
        <v>655</v>
      </c>
      <c r="F91" s="463">
        <v>3078</v>
      </c>
      <c r="G91" s="457"/>
      <c r="H91" s="458">
        <f t="shared" si="12"/>
        <v>1846.8</v>
      </c>
      <c r="I91" s="458">
        <f t="shared" si="11"/>
        <v>0</v>
      </c>
      <c r="J91" s="453" t="s">
        <v>649</v>
      </c>
      <c r="K91" s="1049"/>
    </row>
    <row r="92" spans="1:12" ht="24.9">
      <c r="A92" s="461">
        <v>0</v>
      </c>
      <c r="B92" s="453" t="s">
        <v>517</v>
      </c>
      <c r="C92" s="453" t="s">
        <v>538</v>
      </c>
      <c r="D92" s="465" t="s">
        <v>644</v>
      </c>
      <c r="E92" s="453" t="s">
        <v>656</v>
      </c>
      <c r="F92" s="463">
        <v>3489</v>
      </c>
      <c r="G92" s="457"/>
      <c r="H92" s="458">
        <f t="shared" si="12"/>
        <v>2093.4</v>
      </c>
      <c r="I92" s="458">
        <f t="shared" si="11"/>
        <v>0</v>
      </c>
      <c r="J92" s="453" t="s">
        <v>649</v>
      </c>
      <c r="K92" s="1049"/>
    </row>
    <row r="93" spans="1:12" ht="24.9">
      <c r="A93" s="461">
        <v>0</v>
      </c>
      <c r="B93" s="453" t="s">
        <v>517</v>
      </c>
      <c r="C93" s="453" t="s">
        <v>538</v>
      </c>
      <c r="D93" s="465" t="s">
        <v>644</v>
      </c>
      <c r="E93" s="453" t="s">
        <v>657</v>
      </c>
      <c r="F93" s="467" t="s">
        <v>658</v>
      </c>
      <c r="G93" s="457"/>
      <c r="H93" s="468"/>
      <c r="I93" s="468"/>
      <c r="J93" s="453" t="s">
        <v>649</v>
      </c>
      <c r="K93" s="1049"/>
    </row>
    <row r="94" spans="1:12" ht="24.9">
      <c r="A94" s="461">
        <v>0</v>
      </c>
      <c r="B94" s="453" t="s">
        <v>517</v>
      </c>
      <c r="C94" s="453" t="s">
        <v>538</v>
      </c>
      <c r="D94" s="465" t="s">
        <v>644</v>
      </c>
      <c r="E94" s="453" t="s">
        <v>659</v>
      </c>
      <c r="F94" s="463">
        <v>7456</v>
      </c>
      <c r="G94" s="457"/>
      <c r="H94" s="458">
        <f t="shared" si="12"/>
        <v>4473.5999999999995</v>
      </c>
      <c r="I94" s="458">
        <f t="shared" si="11"/>
        <v>0</v>
      </c>
      <c r="J94" s="453" t="s">
        <v>649</v>
      </c>
      <c r="K94" s="1049"/>
    </row>
    <row r="95" spans="1:12" ht="24.9">
      <c r="A95" s="461">
        <v>0</v>
      </c>
      <c r="B95" s="453" t="s">
        <v>517</v>
      </c>
      <c r="C95" s="453" t="s">
        <v>538</v>
      </c>
      <c r="D95" s="465" t="s">
        <v>644</v>
      </c>
      <c r="E95" s="453" t="s">
        <v>660</v>
      </c>
      <c r="F95" s="463">
        <v>8494</v>
      </c>
      <c r="G95" s="457"/>
      <c r="H95" s="458">
        <f t="shared" si="12"/>
        <v>5096.3999999999996</v>
      </c>
      <c r="I95" s="458">
        <f t="shared" si="11"/>
        <v>0</v>
      </c>
      <c r="J95" s="453" t="s">
        <v>649</v>
      </c>
      <c r="K95" s="1049"/>
    </row>
    <row r="96" spans="1:12" ht="68.75" customHeight="1">
      <c r="A96" s="461">
        <v>0</v>
      </c>
      <c r="B96" s="453" t="s">
        <v>517</v>
      </c>
      <c r="C96" s="453" t="s">
        <v>538</v>
      </c>
      <c r="D96" s="465" t="s">
        <v>644</v>
      </c>
      <c r="E96" s="453" t="s">
        <v>661</v>
      </c>
      <c r="F96" s="463">
        <v>9434</v>
      </c>
      <c r="G96" s="457"/>
      <c r="H96" s="458">
        <f t="shared" si="12"/>
        <v>5660.4</v>
      </c>
      <c r="I96" s="458">
        <f t="shared" si="11"/>
        <v>0</v>
      </c>
      <c r="J96" s="453" t="s">
        <v>649</v>
      </c>
      <c r="K96" s="1049"/>
      <c r="L96" s="204"/>
    </row>
    <row r="97" spans="1:12">
      <c r="A97" s="469"/>
      <c r="B97" s="427"/>
      <c r="C97" s="427"/>
      <c r="D97" s="470"/>
      <c r="E97" s="427"/>
      <c r="F97" s="471"/>
      <c r="G97" s="471"/>
      <c r="H97" s="472"/>
      <c r="I97" s="473"/>
      <c r="J97" s="427"/>
      <c r="K97" s="427"/>
    </row>
    <row r="98" spans="1:12" ht="37.35">
      <c r="A98" s="474"/>
      <c r="B98" s="475"/>
      <c r="C98" s="475"/>
      <c r="D98" s="476"/>
      <c r="E98" s="475"/>
      <c r="F98" s="477" t="s">
        <v>662</v>
      </c>
      <c r="G98" s="478" t="s">
        <v>663</v>
      </c>
      <c r="H98" s="479"/>
      <c r="I98" s="480"/>
      <c r="J98" s="427"/>
      <c r="K98" s="475"/>
    </row>
    <row r="99" spans="1:12" ht="91" customHeight="1">
      <c r="A99" s="461">
        <v>0</v>
      </c>
      <c r="B99" s="453" t="s">
        <v>539</v>
      </c>
      <c r="C99" s="453" t="s">
        <v>538</v>
      </c>
      <c r="D99" s="481" t="s">
        <v>664</v>
      </c>
      <c r="E99" s="453" t="s">
        <v>665</v>
      </c>
      <c r="F99" s="463">
        <v>108</v>
      </c>
      <c r="G99" s="463">
        <v>79</v>
      </c>
      <c r="H99" s="458">
        <f>IFERROR((MIN(A99,400)*F99+MAX(A99-400,0)*G99)*(1-G77)/A99,0)</f>
        <v>0</v>
      </c>
      <c r="I99" s="458">
        <f t="shared" si="11"/>
        <v>0</v>
      </c>
      <c r="J99" s="453" t="s">
        <v>638</v>
      </c>
      <c r="K99" s="482" t="s">
        <v>666</v>
      </c>
      <c r="L99" s="204"/>
    </row>
    <row r="100" spans="1:12" ht="113.4" customHeight="1">
      <c r="A100" s="474"/>
      <c r="B100" s="475"/>
      <c r="C100" s="475"/>
      <c r="D100" s="476"/>
      <c r="E100" s="475"/>
      <c r="F100" s="457"/>
      <c r="G100" s="457"/>
      <c r="H100" s="479"/>
      <c r="I100" s="480"/>
      <c r="J100" s="475"/>
      <c r="K100" s="475"/>
      <c r="L100" s="204"/>
    </row>
    <row r="101" spans="1:12">
      <c r="A101" s="474"/>
      <c r="B101" s="475"/>
      <c r="C101" s="475"/>
      <c r="D101" s="476"/>
      <c r="E101" s="475"/>
      <c r="F101" s="457"/>
      <c r="G101" s="457"/>
      <c r="H101" s="479"/>
      <c r="I101" s="480"/>
      <c r="J101" s="475"/>
      <c r="K101" s="475"/>
    </row>
    <row r="102" spans="1:12" ht="13.1">
      <c r="A102" s="474"/>
      <c r="B102" s="475"/>
      <c r="C102" s="475"/>
      <c r="D102" s="476"/>
      <c r="E102" s="483" t="s">
        <v>667</v>
      </c>
      <c r="F102" s="457"/>
      <c r="G102" s="457"/>
      <c r="H102" s="479"/>
      <c r="I102" s="480"/>
      <c r="J102" s="475"/>
      <c r="K102" s="475"/>
    </row>
    <row r="103" spans="1:12" ht="12.8" customHeight="1">
      <c r="A103" s="452">
        <v>1</v>
      </c>
      <c r="B103" s="453" t="s">
        <v>517</v>
      </c>
      <c r="C103" s="454" t="s">
        <v>538</v>
      </c>
      <c r="D103" s="455" t="s">
        <v>636</v>
      </c>
      <c r="E103" s="453" t="s">
        <v>668</v>
      </c>
      <c r="F103" s="463">
        <v>3732</v>
      </c>
      <c r="G103" s="457"/>
      <c r="H103" s="458">
        <f>F103*(1-G78)</f>
        <v>2239.1999999999998</v>
      </c>
      <c r="I103" s="458">
        <f t="shared" ref="I103:I124" si="13">A103*H103</f>
        <v>2239.1999999999998</v>
      </c>
      <c r="J103" s="453" t="s">
        <v>649</v>
      </c>
      <c r="K103" s="1050" t="s">
        <v>669</v>
      </c>
    </row>
    <row r="104" spans="1:12" ht="24.9">
      <c r="A104" s="452">
        <v>90</v>
      </c>
      <c r="B104" s="453" t="s">
        <v>539</v>
      </c>
      <c r="C104" s="454" t="s">
        <v>538</v>
      </c>
      <c r="D104" s="455" t="s">
        <v>670</v>
      </c>
      <c r="E104" s="453" t="s">
        <v>671</v>
      </c>
      <c r="F104" s="463">
        <v>88.7</v>
      </c>
      <c r="G104" s="457"/>
      <c r="H104" s="458">
        <f>F104*(1-G78)</f>
        <v>53.22</v>
      </c>
      <c r="I104" s="458">
        <f t="shared" si="13"/>
        <v>4789.8</v>
      </c>
      <c r="J104" s="453" t="s">
        <v>649</v>
      </c>
      <c r="K104" s="1050"/>
      <c r="L104" s="17" t="s">
        <v>672</v>
      </c>
    </row>
    <row r="105" spans="1:12" ht="12.8" customHeight="1">
      <c r="A105" s="461">
        <v>1</v>
      </c>
      <c r="B105" s="453" t="s">
        <v>517</v>
      </c>
      <c r="C105" s="453" t="s">
        <v>538</v>
      </c>
      <c r="D105" s="462" t="s">
        <v>640</v>
      </c>
      <c r="E105" s="453" t="s">
        <v>673</v>
      </c>
      <c r="F105" s="463">
        <v>1968</v>
      </c>
      <c r="G105" s="457"/>
      <c r="H105" s="458">
        <f t="shared" ref="H105:H119" si="14">F105*(1-$G$77)</f>
        <v>1180.8</v>
      </c>
      <c r="I105" s="458">
        <f t="shared" si="13"/>
        <v>1180.8</v>
      </c>
      <c r="J105" s="459" t="s">
        <v>638</v>
      </c>
      <c r="K105" s="1051" t="s">
        <v>642</v>
      </c>
    </row>
    <row r="106" spans="1:12" ht="24.9">
      <c r="A106" s="452">
        <v>0</v>
      </c>
      <c r="B106" s="453" t="s">
        <v>539</v>
      </c>
      <c r="C106" s="453" t="s">
        <v>538</v>
      </c>
      <c r="D106" s="462" t="s">
        <v>643</v>
      </c>
      <c r="E106" s="453" t="s">
        <v>673</v>
      </c>
      <c r="F106" s="463">
        <v>87.9</v>
      </c>
      <c r="G106" s="457"/>
      <c r="H106" s="458">
        <f t="shared" si="14"/>
        <v>52.74</v>
      </c>
      <c r="I106" s="458">
        <f t="shared" si="13"/>
        <v>0</v>
      </c>
      <c r="J106" s="459" t="s">
        <v>638</v>
      </c>
      <c r="K106" s="1051"/>
    </row>
    <row r="107" spans="1:12" ht="12.8" customHeight="1">
      <c r="A107" s="452">
        <v>1</v>
      </c>
      <c r="B107" s="453" t="s">
        <v>517</v>
      </c>
      <c r="C107" s="453" t="s">
        <v>538</v>
      </c>
      <c r="D107" s="464" t="s">
        <v>644</v>
      </c>
      <c r="E107" s="453" t="s">
        <v>645</v>
      </c>
      <c r="F107" s="463">
        <v>10051</v>
      </c>
      <c r="G107" s="457"/>
      <c r="H107" s="458">
        <f t="shared" si="14"/>
        <v>6030.5999999999995</v>
      </c>
      <c r="I107" s="458">
        <f t="shared" si="13"/>
        <v>6030.5999999999995</v>
      </c>
      <c r="J107" s="459" t="s">
        <v>638</v>
      </c>
      <c r="K107" s="1052" t="s">
        <v>646</v>
      </c>
    </row>
    <row r="108" spans="1:12" ht="24.9">
      <c r="A108" s="461">
        <v>0</v>
      </c>
      <c r="B108" s="453" t="s">
        <v>517</v>
      </c>
      <c r="C108" s="453" t="s">
        <v>538</v>
      </c>
      <c r="D108" s="464" t="s">
        <v>644</v>
      </c>
      <c r="E108" s="453" t="s">
        <v>647</v>
      </c>
      <c r="F108" s="463">
        <v>17412</v>
      </c>
      <c r="G108" s="457"/>
      <c r="H108" s="458">
        <f t="shared" si="14"/>
        <v>10447.199999999999</v>
      </c>
      <c r="I108" s="458">
        <f t="shared" si="13"/>
        <v>0</v>
      </c>
      <c r="J108" s="459" t="s">
        <v>638</v>
      </c>
      <c r="K108" s="1052"/>
    </row>
    <row r="109" spans="1:12" ht="12.8" customHeight="1">
      <c r="A109" s="461">
        <v>0</v>
      </c>
      <c r="B109" s="453" t="s">
        <v>517</v>
      </c>
      <c r="C109" s="453" t="s">
        <v>538</v>
      </c>
      <c r="D109" s="465" t="s">
        <v>644</v>
      </c>
      <c r="E109" s="453" t="s">
        <v>648</v>
      </c>
      <c r="F109" s="463">
        <v>2345</v>
      </c>
      <c r="G109" s="457"/>
      <c r="H109" s="458">
        <f t="shared" si="14"/>
        <v>1407</v>
      </c>
      <c r="I109" s="458">
        <f t="shared" si="13"/>
        <v>0</v>
      </c>
      <c r="J109" s="453" t="s">
        <v>649</v>
      </c>
      <c r="K109" s="1049" t="s">
        <v>650</v>
      </c>
    </row>
    <row r="110" spans="1:12" ht="24.9">
      <c r="A110" s="461">
        <v>0</v>
      </c>
      <c r="B110" s="453" t="s">
        <v>517</v>
      </c>
      <c r="C110" s="453" t="s">
        <v>538</v>
      </c>
      <c r="D110" s="465" t="s">
        <v>644</v>
      </c>
      <c r="E110" s="453" t="s">
        <v>651</v>
      </c>
      <c r="F110" s="463">
        <v>3258</v>
      </c>
      <c r="G110" s="457"/>
      <c r="H110" s="458">
        <f t="shared" si="14"/>
        <v>1954.8</v>
      </c>
      <c r="I110" s="458">
        <f t="shared" si="13"/>
        <v>0</v>
      </c>
      <c r="J110" s="453" t="s">
        <v>649</v>
      </c>
      <c r="K110" s="1049"/>
    </row>
    <row r="111" spans="1:12" ht="24.9">
      <c r="A111" s="461">
        <v>0</v>
      </c>
      <c r="B111" s="453" t="s">
        <v>517</v>
      </c>
      <c r="C111" s="453" t="s">
        <v>538</v>
      </c>
      <c r="D111" s="465" t="s">
        <v>644</v>
      </c>
      <c r="E111" s="453" t="s">
        <v>652</v>
      </c>
      <c r="F111" s="463">
        <v>5649</v>
      </c>
      <c r="G111" s="457"/>
      <c r="H111" s="458">
        <f t="shared" si="14"/>
        <v>3389.4</v>
      </c>
      <c r="I111" s="458">
        <f t="shared" si="13"/>
        <v>0</v>
      </c>
      <c r="J111" s="453" t="s">
        <v>649</v>
      </c>
      <c r="K111" s="1049"/>
    </row>
    <row r="112" spans="1:12" ht="24.9">
      <c r="A112" s="461">
        <v>0</v>
      </c>
      <c r="B112" s="453" t="s">
        <v>517</v>
      </c>
      <c r="C112" s="453" t="s">
        <v>538</v>
      </c>
      <c r="D112" s="465" t="s">
        <v>644</v>
      </c>
      <c r="E112" s="453" t="s">
        <v>653</v>
      </c>
      <c r="F112" s="463">
        <v>1488</v>
      </c>
      <c r="G112" s="457"/>
      <c r="H112" s="458">
        <f t="shared" si="14"/>
        <v>892.8</v>
      </c>
      <c r="I112" s="458">
        <f t="shared" si="13"/>
        <v>0</v>
      </c>
      <c r="J112" s="453" t="s">
        <v>649</v>
      </c>
      <c r="K112" s="1049"/>
    </row>
    <row r="113" spans="1:17" ht="24.9">
      <c r="A113" s="461">
        <v>0</v>
      </c>
      <c r="B113" s="453" t="s">
        <v>517</v>
      </c>
      <c r="C113" s="453" t="s">
        <v>538</v>
      </c>
      <c r="D113" s="465" t="s">
        <v>644</v>
      </c>
      <c r="E113" s="453" t="s">
        <v>654</v>
      </c>
      <c r="F113" s="463">
        <v>5269</v>
      </c>
      <c r="G113" s="457"/>
      <c r="H113" s="458">
        <f t="shared" si="14"/>
        <v>3161.4</v>
      </c>
      <c r="I113" s="458">
        <f t="shared" si="13"/>
        <v>0</v>
      </c>
      <c r="J113" s="453" t="s">
        <v>649</v>
      </c>
      <c r="K113" s="1049"/>
    </row>
    <row r="114" spans="1:17" ht="24.9">
      <c r="A114" s="461">
        <v>0</v>
      </c>
      <c r="B114" s="453" t="s">
        <v>517</v>
      </c>
      <c r="C114" s="453" t="s">
        <v>538</v>
      </c>
      <c r="D114" s="465" t="s">
        <v>644</v>
      </c>
      <c r="E114" s="453" t="s">
        <v>655</v>
      </c>
      <c r="F114" s="463">
        <v>3078</v>
      </c>
      <c r="G114" s="457"/>
      <c r="H114" s="458">
        <f t="shared" si="14"/>
        <v>1846.8</v>
      </c>
      <c r="I114" s="458">
        <f t="shared" si="13"/>
        <v>0</v>
      </c>
      <c r="J114" s="453" t="s">
        <v>649</v>
      </c>
      <c r="K114" s="1049"/>
    </row>
    <row r="115" spans="1:17" ht="24.9">
      <c r="A115" s="461">
        <v>0</v>
      </c>
      <c r="B115" s="453" t="s">
        <v>517</v>
      </c>
      <c r="C115" s="453" t="s">
        <v>538</v>
      </c>
      <c r="D115" s="465" t="s">
        <v>644</v>
      </c>
      <c r="E115" s="453" t="s">
        <v>656</v>
      </c>
      <c r="F115" s="463">
        <v>3489</v>
      </c>
      <c r="G115" s="457"/>
      <c r="H115" s="458">
        <f t="shared" si="14"/>
        <v>2093.4</v>
      </c>
      <c r="I115" s="458">
        <f t="shared" si="13"/>
        <v>0</v>
      </c>
      <c r="J115" s="453" t="s">
        <v>649</v>
      </c>
      <c r="K115" s="1049"/>
    </row>
    <row r="116" spans="1:17" ht="24.9">
      <c r="A116" s="461">
        <v>0</v>
      </c>
      <c r="B116" s="453" t="s">
        <v>517</v>
      </c>
      <c r="C116" s="453" t="s">
        <v>538</v>
      </c>
      <c r="D116" s="465" t="s">
        <v>644</v>
      </c>
      <c r="E116" s="453" t="s">
        <v>657</v>
      </c>
      <c r="F116" s="467" t="s">
        <v>658</v>
      </c>
      <c r="G116" s="457"/>
      <c r="H116" s="468"/>
      <c r="I116" s="484"/>
      <c r="J116" s="453" t="s">
        <v>649</v>
      </c>
      <c r="K116" s="1049"/>
    </row>
    <row r="117" spans="1:17" ht="24.9">
      <c r="A117" s="461">
        <v>0</v>
      </c>
      <c r="B117" s="453" t="s">
        <v>517</v>
      </c>
      <c r="C117" s="453" t="s">
        <v>538</v>
      </c>
      <c r="D117" s="465" t="s">
        <v>644</v>
      </c>
      <c r="E117" s="453" t="s">
        <v>659</v>
      </c>
      <c r="F117" s="463">
        <v>7456</v>
      </c>
      <c r="G117" s="457"/>
      <c r="H117" s="458">
        <f t="shared" si="14"/>
        <v>4473.5999999999995</v>
      </c>
      <c r="I117" s="458">
        <f t="shared" si="13"/>
        <v>0</v>
      </c>
      <c r="J117" s="453" t="s">
        <v>649</v>
      </c>
      <c r="K117" s="1049"/>
    </row>
    <row r="118" spans="1:17" ht="24.9">
      <c r="A118" s="461">
        <v>0</v>
      </c>
      <c r="B118" s="453" t="s">
        <v>517</v>
      </c>
      <c r="C118" s="453" t="s">
        <v>538</v>
      </c>
      <c r="D118" s="465" t="s">
        <v>644</v>
      </c>
      <c r="E118" s="453" t="s">
        <v>660</v>
      </c>
      <c r="F118" s="463">
        <v>8494</v>
      </c>
      <c r="G118" s="457"/>
      <c r="H118" s="458">
        <f t="shared" si="14"/>
        <v>5096.3999999999996</v>
      </c>
      <c r="I118" s="458">
        <f t="shared" si="13"/>
        <v>0</v>
      </c>
      <c r="J118" s="453" t="s">
        <v>649</v>
      </c>
      <c r="K118" s="1049"/>
    </row>
    <row r="119" spans="1:17" ht="24.9">
      <c r="A119" s="461">
        <v>0</v>
      </c>
      <c r="B119" s="453" t="s">
        <v>517</v>
      </c>
      <c r="C119" s="453" t="s">
        <v>538</v>
      </c>
      <c r="D119" s="465" t="s">
        <v>644</v>
      </c>
      <c r="E119" s="453" t="s">
        <v>661</v>
      </c>
      <c r="F119" s="463">
        <v>9434</v>
      </c>
      <c r="G119" s="457"/>
      <c r="H119" s="458">
        <f t="shared" si="14"/>
        <v>5660.4</v>
      </c>
      <c r="I119" s="458">
        <f t="shared" si="13"/>
        <v>0</v>
      </c>
      <c r="J119" s="453" t="s">
        <v>649</v>
      </c>
      <c r="K119" s="1049"/>
    </row>
    <row r="120" spans="1:17">
      <c r="A120" s="469"/>
      <c r="B120" s="427"/>
      <c r="C120" s="427"/>
      <c r="D120" s="470"/>
      <c r="E120" s="427"/>
      <c r="F120" s="472"/>
      <c r="G120" s="471"/>
      <c r="H120" s="472"/>
      <c r="I120" s="473"/>
      <c r="J120" s="427"/>
      <c r="K120" s="427"/>
    </row>
    <row r="121" spans="1:17" ht="37.35">
      <c r="A121" s="474"/>
      <c r="B121" s="475"/>
      <c r="C121" s="475"/>
      <c r="D121" s="476"/>
      <c r="E121" s="475"/>
      <c r="F121" s="477" t="s">
        <v>662</v>
      </c>
      <c r="G121" s="478" t="s">
        <v>663</v>
      </c>
      <c r="H121" s="479"/>
      <c r="I121" s="480"/>
      <c r="J121" s="427"/>
      <c r="K121" s="475"/>
    </row>
    <row r="122" spans="1:17" ht="87.05">
      <c r="A122" s="461">
        <v>10</v>
      </c>
      <c r="B122" s="453" t="s">
        <v>539</v>
      </c>
      <c r="C122" s="453" t="s">
        <v>538</v>
      </c>
      <c r="D122" s="481" t="s">
        <v>664</v>
      </c>
      <c r="E122" s="453" t="s">
        <v>665</v>
      </c>
      <c r="F122" s="463">
        <v>108</v>
      </c>
      <c r="G122" s="463">
        <v>79</v>
      </c>
      <c r="H122" s="458">
        <f>IFERROR((MIN(A122,400)*F122+MAX(A122-400,0)*G122)*(1-G77)/A122,0)</f>
        <v>64.8</v>
      </c>
      <c r="I122" s="458">
        <f t="shared" si="13"/>
        <v>648</v>
      </c>
      <c r="J122" s="453" t="s">
        <v>638</v>
      </c>
      <c r="K122" s="482" t="s">
        <v>666</v>
      </c>
    </row>
    <row r="123" spans="1:17">
      <c r="A123" s="204"/>
      <c r="F123" s="204"/>
      <c r="H123" s="403"/>
      <c r="I123" s="403"/>
    </row>
    <row r="124" spans="1:17" ht="22.25">
      <c r="A124" s="204">
        <v>1</v>
      </c>
      <c r="B124" s="17" t="s">
        <v>517</v>
      </c>
      <c r="C124" s="204" t="s">
        <v>674</v>
      </c>
      <c r="E124" s="17" t="s">
        <v>675</v>
      </c>
      <c r="F124" s="496">
        <v>161.44</v>
      </c>
      <c r="G124" s="404">
        <v>0</v>
      </c>
      <c r="H124" s="458">
        <f>F124*(1-G124)</f>
        <v>161.44</v>
      </c>
      <c r="I124" s="458">
        <f t="shared" si="13"/>
        <v>161.44</v>
      </c>
    </row>
    <row r="125" spans="1:17">
      <c r="A125" s="204"/>
      <c r="F125" s="485"/>
      <c r="H125" s="403"/>
      <c r="I125" s="403"/>
    </row>
    <row r="126" spans="1:17" ht="15.75">
      <c r="E126" s="439" t="s">
        <v>676</v>
      </c>
      <c r="I126" s="486">
        <f>SUM(I81:I124)</f>
        <v>15049.839999999998</v>
      </c>
      <c r="Q126" s="438">
        <f>I126</f>
        <v>15049.839999999998</v>
      </c>
    </row>
    <row r="128" spans="1:17" ht="13.75" customHeight="1">
      <c r="A128" s="986" t="s">
        <v>100</v>
      </c>
      <c r="B128" s="986"/>
      <c r="C128" s="986"/>
      <c r="D128" s="986"/>
      <c r="E128" s="986"/>
    </row>
    <row r="130" spans="1:10">
      <c r="E130" s="442" t="s">
        <v>677</v>
      </c>
      <c r="J130" s="403"/>
    </row>
    <row r="131" spans="1:10" ht="22.25">
      <c r="A131" s="407">
        <v>0</v>
      </c>
      <c r="B131" s="407" t="s">
        <v>522</v>
      </c>
      <c r="C131" s="408" t="s">
        <v>678</v>
      </c>
      <c r="D131" s="407" t="s">
        <v>679</v>
      </c>
      <c r="E131" s="408" t="s">
        <v>680</v>
      </c>
      <c r="F131" s="409">
        <v>2801.13</v>
      </c>
      <c r="G131" s="410"/>
      <c r="H131" s="409">
        <f t="shared" ref="H131:H140" si="15">F131*(1-G131)</f>
        <v>2801.13</v>
      </c>
      <c r="I131" s="409"/>
    </row>
    <row r="132" spans="1:10" ht="22.25">
      <c r="A132" s="407">
        <v>0</v>
      </c>
      <c r="B132" s="407" t="s">
        <v>522</v>
      </c>
      <c r="C132" s="408" t="s">
        <v>678</v>
      </c>
      <c r="D132" s="407" t="s">
        <v>681</v>
      </c>
      <c r="E132" s="408" t="s">
        <v>682</v>
      </c>
      <c r="F132" s="409">
        <v>772.15</v>
      </c>
      <c r="G132" s="410"/>
      <c r="H132" s="409">
        <f t="shared" si="15"/>
        <v>772.15</v>
      </c>
      <c r="I132" s="409"/>
    </row>
    <row r="133" spans="1:10" ht="22.25">
      <c r="A133" s="407">
        <v>0</v>
      </c>
      <c r="B133" s="407" t="s">
        <v>522</v>
      </c>
      <c r="C133" s="408" t="s">
        <v>678</v>
      </c>
      <c r="D133" s="407" t="s">
        <v>683</v>
      </c>
      <c r="E133" s="408" t="s">
        <v>684</v>
      </c>
      <c r="F133" s="409">
        <v>150.26</v>
      </c>
      <c r="G133" s="410"/>
      <c r="H133" s="409">
        <f t="shared" si="15"/>
        <v>150.26</v>
      </c>
      <c r="I133" s="409"/>
    </row>
    <row r="134" spans="1:10" ht="22.25">
      <c r="A134" s="407">
        <v>0</v>
      </c>
      <c r="B134" s="407" t="s">
        <v>522</v>
      </c>
      <c r="C134" s="408" t="s">
        <v>678</v>
      </c>
      <c r="D134" s="407" t="s">
        <v>685</v>
      </c>
      <c r="E134" s="408" t="s">
        <v>686</v>
      </c>
      <c r="F134" s="409">
        <v>10.58</v>
      </c>
      <c r="G134" s="410"/>
      <c r="H134" s="409">
        <f t="shared" si="15"/>
        <v>10.58</v>
      </c>
      <c r="I134" s="409"/>
    </row>
    <row r="135" spans="1:10" ht="22.25">
      <c r="A135" s="407">
        <v>0</v>
      </c>
      <c r="B135" s="407" t="s">
        <v>522</v>
      </c>
      <c r="C135" s="408" t="s">
        <v>678</v>
      </c>
      <c r="D135" s="407" t="s">
        <v>687</v>
      </c>
      <c r="E135" s="408" t="s">
        <v>688</v>
      </c>
      <c r="F135" s="409">
        <v>69.78</v>
      </c>
      <c r="G135" s="410"/>
      <c r="H135" s="409">
        <f t="shared" si="15"/>
        <v>69.78</v>
      </c>
      <c r="I135" s="409"/>
      <c r="J135" s="17" t="s">
        <v>689</v>
      </c>
    </row>
    <row r="136" spans="1:10" ht="22.25">
      <c r="A136" s="487">
        <v>0</v>
      </c>
      <c r="B136" s="407" t="s">
        <v>539</v>
      </c>
      <c r="C136" s="408" t="s">
        <v>690</v>
      </c>
      <c r="D136" s="407"/>
      <c r="E136" s="407" t="s">
        <v>691</v>
      </c>
      <c r="F136" s="409">
        <v>7.58</v>
      </c>
      <c r="G136" s="410"/>
      <c r="H136" s="409">
        <f t="shared" si="15"/>
        <v>7.58</v>
      </c>
      <c r="I136" s="409"/>
      <c r="J136" s="17" t="s">
        <v>692</v>
      </c>
    </row>
    <row r="137" spans="1:10" ht="22.25">
      <c r="A137" s="487">
        <v>0</v>
      </c>
      <c r="B137" s="407" t="s">
        <v>539</v>
      </c>
      <c r="C137" s="408" t="s">
        <v>690</v>
      </c>
      <c r="D137" s="407"/>
      <c r="E137" s="407" t="s">
        <v>693</v>
      </c>
      <c r="F137" s="409">
        <v>2.04</v>
      </c>
      <c r="G137" s="410"/>
      <c r="H137" s="409">
        <f t="shared" si="15"/>
        <v>2.04</v>
      </c>
      <c r="I137" s="409"/>
      <c r="J137" s="17" t="s">
        <v>694</v>
      </c>
    </row>
    <row r="138" spans="1:10" ht="22.25">
      <c r="A138" s="407">
        <v>0</v>
      </c>
      <c r="B138" s="407" t="s">
        <v>522</v>
      </c>
      <c r="C138" s="408"/>
      <c r="D138" s="407"/>
      <c r="E138" s="408" t="s">
        <v>695</v>
      </c>
      <c r="F138" s="409">
        <v>50</v>
      </c>
      <c r="G138" s="410"/>
      <c r="H138" s="409">
        <f t="shared" si="15"/>
        <v>50</v>
      </c>
      <c r="I138" s="409"/>
      <c r="J138" s="204" t="s">
        <v>696</v>
      </c>
    </row>
    <row r="139" spans="1:10">
      <c r="A139" s="407">
        <v>0</v>
      </c>
      <c r="B139" s="407" t="s">
        <v>619</v>
      </c>
      <c r="C139" s="408"/>
      <c r="D139" s="407"/>
      <c r="E139" s="408" t="s">
        <v>697</v>
      </c>
      <c r="F139" s="409">
        <f>F66</f>
        <v>55</v>
      </c>
      <c r="G139" s="410"/>
      <c r="H139" s="409">
        <f t="shared" si="15"/>
        <v>55</v>
      </c>
      <c r="I139" s="409"/>
    </row>
    <row r="140" spans="1:10" ht="55.65">
      <c r="A140" s="407">
        <v>0</v>
      </c>
      <c r="B140" s="407" t="s">
        <v>517</v>
      </c>
      <c r="C140" s="408" t="s">
        <v>698</v>
      </c>
      <c r="D140" s="407" t="s">
        <v>636</v>
      </c>
      <c r="E140" s="408" t="s">
        <v>637</v>
      </c>
      <c r="F140" s="409">
        <v>1809</v>
      </c>
      <c r="G140" s="410">
        <v>0.75</v>
      </c>
      <c r="H140" s="409">
        <f t="shared" si="15"/>
        <v>452.25</v>
      </c>
      <c r="I140" s="409"/>
      <c r="J140" s="17" t="s">
        <v>699</v>
      </c>
    </row>
    <row r="141" spans="1:10">
      <c r="A141" s="407"/>
      <c r="B141" s="407"/>
      <c r="C141" s="408"/>
      <c r="D141" s="407"/>
      <c r="E141" s="408"/>
      <c r="F141" s="409"/>
      <c r="G141" s="410"/>
      <c r="H141" s="409"/>
      <c r="I141" s="409"/>
    </row>
    <row r="142" spans="1:10">
      <c r="E142" s="442" t="s">
        <v>700</v>
      </c>
    </row>
    <row r="143" spans="1:10">
      <c r="A143" s="407"/>
      <c r="B143" s="407"/>
      <c r="C143" s="408"/>
      <c r="D143" s="407"/>
      <c r="E143" s="408"/>
      <c r="F143" s="409"/>
      <c r="G143" s="410"/>
      <c r="H143" s="409"/>
      <c r="I143" s="409"/>
    </row>
    <row r="144" spans="1:10">
      <c r="A144" s="407"/>
      <c r="B144" s="407"/>
      <c r="C144" s="408"/>
      <c r="D144" s="407"/>
      <c r="E144" s="408" t="s">
        <v>701</v>
      </c>
      <c r="F144" s="409"/>
      <c r="G144" s="410"/>
      <c r="H144" s="409"/>
      <c r="I144" s="409"/>
    </row>
    <row r="145" spans="1:11">
      <c r="A145" s="407"/>
      <c r="B145" s="407"/>
      <c r="C145" s="408"/>
      <c r="D145" s="407"/>
      <c r="E145" s="408"/>
      <c r="F145" s="409"/>
      <c r="G145" s="410"/>
      <c r="H145" s="409"/>
      <c r="I145" s="409"/>
    </row>
    <row r="146" spans="1:11">
      <c r="E146" s="442" t="s">
        <v>1508</v>
      </c>
    </row>
    <row r="147" spans="1:11">
      <c r="A147" s="407"/>
      <c r="B147" s="407"/>
      <c r="C147" s="408"/>
      <c r="D147" s="407"/>
      <c r="E147" s="408"/>
      <c r="F147" s="409"/>
      <c r="G147" s="410"/>
      <c r="H147" s="409"/>
      <c r="I147" s="409"/>
    </row>
    <row r="148" spans="1:11" ht="22.25">
      <c r="A148" s="407">
        <v>0</v>
      </c>
      <c r="B148" s="407" t="s">
        <v>1289</v>
      </c>
      <c r="C148" s="408" t="s">
        <v>1509</v>
      </c>
      <c r="D148" s="753">
        <v>900</v>
      </c>
      <c r="E148" s="749" t="s">
        <v>1550</v>
      </c>
      <c r="F148" s="409">
        <f>46860-5410</f>
        <v>41450</v>
      </c>
      <c r="G148" s="410"/>
      <c r="H148" s="409">
        <f t="shared" ref="H148:H149" si="16">F148*(A148/D148)^0.8</f>
        <v>0</v>
      </c>
      <c r="I148" s="421">
        <f t="shared" ref="I148:I149" si="17">H148</f>
        <v>0</v>
      </c>
      <c r="J148" s="403" t="e">
        <f>I148/A148</f>
        <v>#DIV/0!</v>
      </c>
      <c r="K148" s="17" t="s">
        <v>1511</v>
      </c>
    </row>
    <row r="149" spans="1:11" ht="22.25">
      <c r="A149" s="407">
        <v>0</v>
      </c>
      <c r="B149" s="407" t="s">
        <v>1551</v>
      </c>
      <c r="C149" s="408" t="s">
        <v>1509</v>
      </c>
      <c r="D149" s="754">
        <v>53</v>
      </c>
      <c r="E149" s="408" t="s">
        <v>1552</v>
      </c>
      <c r="F149" s="409">
        <v>6822</v>
      </c>
      <c r="G149" s="410"/>
      <c r="H149" s="409">
        <f t="shared" si="16"/>
        <v>0</v>
      </c>
      <c r="I149" s="421">
        <f t="shared" si="17"/>
        <v>0</v>
      </c>
    </row>
    <row r="150" spans="1:11">
      <c r="A150" s="407"/>
      <c r="B150" s="407"/>
      <c r="C150" s="408"/>
      <c r="D150" s="407"/>
      <c r="E150" s="408"/>
      <c r="F150" s="409"/>
      <c r="G150" s="410"/>
      <c r="H150" s="409"/>
      <c r="I150" s="409"/>
    </row>
    <row r="151" spans="1:11">
      <c r="A151" s="407"/>
      <c r="B151" s="407"/>
      <c r="C151" s="408"/>
      <c r="D151" s="407"/>
      <c r="E151" s="408"/>
      <c r="F151" s="409"/>
      <c r="G151" s="410"/>
      <c r="H151" s="409"/>
      <c r="I151" s="409"/>
    </row>
    <row r="152" spans="1:11">
      <c r="A152" s="204"/>
      <c r="F152" s="485"/>
      <c r="H152" s="403"/>
      <c r="I152" s="403"/>
    </row>
    <row r="153" spans="1:11" ht="15.75">
      <c r="E153" s="439" t="s">
        <v>702</v>
      </c>
      <c r="I153" s="168">
        <f>SUM(I131:I152)</f>
        <v>0</v>
      </c>
    </row>
    <row r="155" spans="1:11" ht="15.05" customHeight="1">
      <c r="A155" s="1002" t="s">
        <v>90</v>
      </c>
      <c r="B155" s="1002"/>
      <c r="C155" s="1002"/>
      <c r="D155" s="1002"/>
      <c r="E155" s="1002"/>
    </row>
    <row r="157" spans="1:11">
      <c r="A157" s="442">
        <v>1</v>
      </c>
      <c r="B157" s="17" t="s">
        <v>517</v>
      </c>
      <c r="E157" s="17" t="s">
        <v>703</v>
      </c>
      <c r="F157" s="403">
        <v>800</v>
      </c>
      <c r="H157" s="403">
        <f t="shared" ref="H157:H182" si="18">F157*(1-G157)</f>
        <v>800</v>
      </c>
      <c r="I157" s="403">
        <f t="shared" ref="I157:I173" si="19">A157*H157</f>
        <v>800</v>
      </c>
      <c r="J157" s="17" t="s">
        <v>704</v>
      </c>
    </row>
    <row r="158" spans="1:11">
      <c r="A158" s="442">
        <v>1</v>
      </c>
      <c r="B158" s="17" t="s">
        <v>517</v>
      </c>
      <c r="E158" s="17" t="s">
        <v>705</v>
      </c>
      <c r="F158" s="403">
        <v>500</v>
      </c>
      <c r="H158" s="403">
        <f t="shared" si="18"/>
        <v>500</v>
      </c>
      <c r="I158" s="403">
        <f t="shared" si="19"/>
        <v>500</v>
      </c>
      <c r="J158" s="17" t="s">
        <v>704</v>
      </c>
    </row>
    <row r="159" spans="1:11">
      <c r="A159" s="17">
        <v>1</v>
      </c>
      <c r="B159" s="17" t="s">
        <v>517</v>
      </c>
      <c r="E159" s="17" t="s">
        <v>706</v>
      </c>
      <c r="F159" s="403">
        <v>40</v>
      </c>
      <c r="H159" s="403">
        <f t="shared" si="18"/>
        <v>40</v>
      </c>
      <c r="I159" s="403">
        <f t="shared" si="19"/>
        <v>40</v>
      </c>
    </row>
    <row r="160" spans="1:11">
      <c r="A160" s="442">
        <v>0</v>
      </c>
      <c r="B160" s="17" t="s">
        <v>517</v>
      </c>
      <c r="E160" s="17" t="s">
        <v>707</v>
      </c>
      <c r="F160" s="403">
        <v>1500</v>
      </c>
      <c r="H160" s="403">
        <f t="shared" si="18"/>
        <v>1500</v>
      </c>
      <c r="I160" s="403">
        <f t="shared" si="19"/>
        <v>0</v>
      </c>
    </row>
    <row r="161" spans="1:10" ht="44.55">
      <c r="A161" s="442">
        <v>0</v>
      </c>
      <c r="B161" s="17" t="s">
        <v>517</v>
      </c>
      <c r="C161" s="204" t="s">
        <v>708</v>
      </c>
      <c r="E161" s="204" t="s">
        <v>709</v>
      </c>
      <c r="F161" s="403">
        <v>460</v>
      </c>
      <c r="H161" s="403">
        <f t="shared" si="18"/>
        <v>460</v>
      </c>
      <c r="I161" s="403">
        <f t="shared" si="19"/>
        <v>0</v>
      </c>
      <c r="J161" s="17" t="s">
        <v>710</v>
      </c>
    </row>
    <row r="162" spans="1:10" ht="44.55">
      <c r="A162" s="442">
        <v>0</v>
      </c>
      <c r="B162" s="17" t="s">
        <v>517</v>
      </c>
      <c r="C162" s="204" t="s">
        <v>711</v>
      </c>
      <c r="E162" s="204" t="s">
        <v>712</v>
      </c>
      <c r="F162" s="403">
        <v>320</v>
      </c>
      <c r="H162" s="403">
        <f t="shared" si="18"/>
        <v>320</v>
      </c>
      <c r="I162" s="403">
        <f t="shared" si="19"/>
        <v>0</v>
      </c>
    </row>
    <row r="163" spans="1:10" ht="55.65">
      <c r="A163" s="442">
        <v>0</v>
      </c>
      <c r="B163" s="17" t="s">
        <v>517</v>
      </c>
      <c r="C163" s="17" t="s">
        <v>713</v>
      </c>
      <c r="D163" s="17" t="s">
        <v>714</v>
      </c>
      <c r="E163" s="204" t="s">
        <v>1432</v>
      </c>
      <c r="F163" s="403">
        <v>2725</v>
      </c>
      <c r="H163" s="403">
        <f t="shared" si="18"/>
        <v>2725</v>
      </c>
      <c r="I163" s="403">
        <f t="shared" si="19"/>
        <v>0</v>
      </c>
    </row>
    <row r="164" spans="1:10" ht="33.4">
      <c r="A164" s="442">
        <v>0</v>
      </c>
      <c r="B164" s="17" t="s">
        <v>517</v>
      </c>
      <c r="C164" s="204" t="s">
        <v>716</v>
      </c>
      <c r="E164" s="17" t="s">
        <v>717</v>
      </c>
      <c r="F164" s="403">
        <f>1840*1.04</f>
        <v>1913.6000000000001</v>
      </c>
      <c r="H164" s="403">
        <f t="shared" si="18"/>
        <v>1913.6000000000001</v>
      </c>
      <c r="I164" s="403">
        <f t="shared" si="19"/>
        <v>0</v>
      </c>
      <c r="J164" s="17" t="s">
        <v>718</v>
      </c>
    </row>
    <row r="165" spans="1:10">
      <c r="H165" s="403"/>
      <c r="I165" s="403"/>
    </row>
    <row r="166" spans="1:10">
      <c r="E166" s="446" t="s">
        <v>719</v>
      </c>
      <c r="H166" s="403"/>
      <c r="I166" s="403"/>
    </row>
    <row r="167" spans="1:10">
      <c r="A167" s="442">
        <v>0</v>
      </c>
      <c r="B167" s="17" t="s">
        <v>619</v>
      </c>
      <c r="C167" s="204" t="s">
        <v>531</v>
      </c>
      <c r="E167" s="17" t="s">
        <v>720</v>
      </c>
      <c r="F167" s="403">
        <v>50</v>
      </c>
      <c r="H167" s="403">
        <f t="shared" si="18"/>
        <v>50</v>
      </c>
      <c r="I167" s="403">
        <f t="shared" si="19"/>
        <v>0</v>
      </c>
    </row>
    <row r="168" spans="1:10">
      <c r="A168" s="442">
        <v>0</v>
      </c>
      <c r="B168" s="17" t="s">
        <v>517</v>
      </c>
      <c r="C168" s="204" t="s">
        <v>721</v>
      </c>
      <c r="E168" s="17" t="s">
        <v>722</v>
      </c>
      <c r="F168" s="403">
        <f>69/100</f>
        <v>0.69</v>
      </c>
      <c r="H168" s="403">
        <f t="shared" si="18"/>
        <v>0.69</v>
      </c>
      <c r="I168" s="403">
        <f t="shared" si="19"/>
        <v>0</v>
      </c>
    </row>
    <row r="169" spans="1:10">
      <c r="A169" s="442">
        <f t="shared" ref="A169:A172" si="20">A168</f>
        <v>0</v>
      </c>
      <c r="B169" s="17" t="s">
        <v>517</v>
      </c>
      <c r="C169" s="204" t="s">
        <v>721</v>
      </c>
      <c r="E169" s="17" t="s">
        <v>723</v>
      </c>
      <c r="F169" s="403">
        <v>0.1</v>
      </c>
      <c r="H169" s="403">
        <f t="shared" si="18"/>
        <v>0.1</v>
      </c>
      <c r="I169" s="403">
        <f t="shared" si="19"/>
        <v>0</v>
      </c>
    </row>
    <row r="170" spans="1:10">
      <c r="A170" s="442">
        <f t="shared" si="20"/>
        <v>0</v>
      </c>
      <c r="B170" s="17" t="s">
        <v>517</v>
      </c>
      <c r="C170" s="204" t="s">
        <v>721</v>
      </c>
      <c r="E170" s="17" t="s">
        <v>724</v>
      </c>
      <c r="F170" s="403">
        <f>13.25/1.2/100</f>
        <v>0.11041666666666668</v>
      </c>
      <c r="H170" s="403">
        <f t="shared" si="18"/>
        <v>0.11041666666666668</v>
      </c>
      <c r="I170" s="403">
        <f t="shared" si="19"/>
        <v>0</v>
      </c>
    </row>
    <row r="171" spans="1:10" ht="22.25">
      <c r="A171" s="442">
        <v>0</v>
      </c>
      <c r="B171" s="17" t="s">
        <v>539</v>
      </c>
      <c r="C171" s="204" t="s">
        <v>725</v>
      </c>
      <c r="E171" s="17" t="s">
        <v>726</v>
      </c>
      <c r="F171" s="403">
        <f>15.73/1.2</f>
        <v>13.108333333333334</v>
      </c>
      <c r="H171" s="403">
        <f t="shared" si="18"/>
        <v>13.108333333333334</v>
      </c>
      <c r="I171" s="403">
        <f t="shared" si="19"/>
        <v>0</v>
      </c>
    </row>
    <row r="172" spans="1:10">
      <c r="A172" s="442">
        <f t="shared" si="20"/>
        <v>0</v>
      </c>
      <c r="B172" s="17" t="s">
        <v>539</v>
      </c>
      <c r="C172" s="204" t="s">
        <v>531</v>
      </c>
      <c r="E172" s="17" t="s">
        <v>727</v>
      </c>
      <c r="F172" s="403">
        <v>25</v>
      </c>
      <c r="H172" s="403">
        <f t="shared" si="18"/>
        <v>25</v>
      </c>
      <c r="I172" s="403">
        <f t="shared" si="19"/>
        <v>0</v>
      </c>
    </row>
    <row r="173" spans="1:10">
      <c r="A173" s="442">
        <f>A172*4</f>
        <v>0</v>
      </c>
      <c r="B173" s="17" t="s">
        <v>517</v>
      </c>
      <c r="C173" s="204" t="s">
        <v>531</v>
      </c>
      <c r="E173" s="17" t="s">
        <v>728</v>
      </c>
      <c r="F173" s="403">
        <v>0.1</v>
      </c>
      <c r="H173" s="403">
        <f t="shared" si="18"/>
        <v>0.1</v>
      </c>
      <c r="I173" s="403">
        <f t="shared" si="19"/>
        <v>0</v>
      </c>
    </row>
    <row r="174" spans="1:10">
      <c r="H174" s="403"/>
      <c r="I174" s="403"/>
    </row>
    <row r="175" spans="1:10" ht="15.75">
      <c r="E175" s="439" t="s">
        <v>729</v>
      </c>
      <c r="I175" s="168">
        <f>SUM(I155:I164)</f>
        <v>1340</v>
      </c>
    </row>
    <row r="177" spans="1:10" ht="13.75" customHeight="1">
      <c r="A177" s="997" t="s">
        <v>68</v>
      </c>
      <c r="B177" s="997"/>
      <c r="C177" s="997"/>
      <c r="D177" s="997"/>
      <c r="E177" s="997"/>
    </row>
    <row r="178" spans="1:10">
      <c r="A178" s="442">
        <v>0</v>
      </c>
      <c r="B178" s="17" t="s">
        <v>517</v>
      </c>
      <c r="E178" s="17" t="s">
        <v>1433</v>
      </c>
      <c r="F178" s="403">
        <v>187.5</v>
      </c>
      <c r="H178" s="403">
        <f t="shared" si="18"/>
        <v>187.5</v>
      </c>
      <c r="I178" s="403">
        <f t="shared" ref="I178:I182" si="21">A178*H178</f>
        <v>0</v>
      </c>
      <c r="J178" s="17" t="s">
        <v>1434</v>
      </c>
    </row>
    <row r="179" spans="1:10">
      <c r="A179" s="442">
        <v>0</v>
      </c>
      <c r="B179" s="17" t="s">
        <v>517</v>
      </c>
      <c r="E179" s="17" t="s">
        <v>1435</v>
      </c>
      <c r="F179" s="403">
        <v>250</v>
      </c>
      <c r="H179" s="403">
        <f t="shared" si="18"/>
        <v>250</v>
      </c>
      <c r="I179" s="403">
        <f t="shared" si="21"/>
        <v>0</v>
      </c>
    </row>
    <row r="180" spans="1:10">
      <c r="A180" s="442">
        <v>1</v>
      </c>
      <c r="B180" s="17" t="s">
        <v>505</v>
      </c>
      <c r="E180" s="17" t="s">
        <v>1436</v>
      </c>
      <c r="F180" s="403">
        <v>500</v>
      </c>
      <c r="H180" s="403">
        <f t="shared" si="18"/>
        <v>500</v>
      </c>
      <c r="I180" s="403">
        <f t="shared" si="21"/>
        <v>500</v>
      </c>
    </row>
    <row r="181" spans="1:10" ht="44.55">
      <c r="A181" s="442">
        <v>0</v>
      </c>
      <c r="B181" s="17" t="s">
        <v>517</v>
      </c>
      <c r="C181" s="204" t="s">
        <v>708</v>
      </c>
      <c r="E181" s="204" t="s">
        <v>731</v>
      </c>
      <c r="F181" s="403">
        <f>460/2</f>
        <v>230</v>
      </c>
      <c r="H181" s="403">
        <f t="shared" si="18"/>
        <v>230</v>
      </c>
      <c r="I181" s="403">
        <f t="shared" si="21"/>
        <v>0</v>
      </c>
    </row>
    <row r="182" spans="1:10" ht="44.55">
      <c r="A182" s="442">
        <v>0</v>
      </c>
      <c r="B182" s="17" t="s">
        <v>517</v>
      </c>
      <c r="C182" s="204" t="s">
        <v>711</v>
      </c>
      <c r="E182" s="204" t="s">
        <v>732</v>
      </c>
      <c r="F182" s="403">
        <f>320/2</f>
        <v>160</v>
      </c>
      <c r="H182" s="403">
        <f t="shared" si="18"/>
        <v>160</v>
      </c>
      <c r="I182" s="403">
        <f t="shared" si="21"/>
        <v>0</v>
      </c>
    </row>
    <row r="184" spans="1:10" ht="15.75">
      <c r="E184" s="439" t="s">
        <v>733</v>
      </c>
      <c r="I184" s="168">
        <f>SUM(I177:I183)</f>
        <v>500</v>
      </c>
    </row>
    <row r="185" spans="1:10">
      <c r="E185" s="439"/>
    </row>
  </sheetData>
  <mergeCells count="13">
    <mergeCell ref="B1:F1"/>
    <mergeCell ref="A2:G2"/>
    <mergeCell ref="J25:L25"/>
    <mergeCell ref="K82:K83"/>
    <mergeCell ref="K84:K85"/>
    <mergeCell ref="A128:E128"/>
    <mergeCell ref="A155:E155"/>
    <mergeCell ref="A177:E177"/>
    <mergeCell ref="K86:K96"/>
    <mergeCell ref="K103:K104"/>
    <mergeCell ref="K105:K106"/>
    <mergeCell ref="K107:K108"/>
    <mergeCell ref="K109:K119"/>
  </mergeCells>
  <hyperlinks>
    <hyperlink ref="C17" r:id="rId1"/>
    <hyperlink ref="C18" r:id="rId2"/>
    <hyperlink ref="C25" r:id="rId3"/>
  </hyperlink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sheetPr>
  <dimension ref="A1:BL66"/>
  <sheetViews>
    <sheetView zoomScale="95" workbookViewId="0">
      <selection activeCell="C17" activeCellId="1" sqref="G16 C17"/>
    </sheetView>
  </sheetViews>
  <sheetFormatPr baseColWidth="10" defaultColWidth="10.140625" defaultRowHeight="17.05"/>
  <cols>
    <col min="1" max="1" width="52.5703125" style="756" customWidth="1"/>
    <col min="2" max="2" width="14.85546875" style="756" customWidth="1"/>
    <col min="3" max="6" width="12.85546875" style="756" customWidth="1"/>
    <col min="7" max="7" width="54.140625" style="756" customWidth="1"/>
    <col min="8" max="64" width="10.140625" style="756"/>
  </cols>
  <sheetData>
    <row r="1" spans="1:7">
      <c r="A1" s="756" t="s">
        <v>1564</v>
      </c>
    </row>
    <row r="4" spans="1:7">
      <c r="A4" s="756" t="s">
        <v>1565</v>
      </c>
    </row>
    <row r="6" spans="1:7" ht="85.1">
      <c r="A6" s="756" t="s">
        <v>1566</v>
      </c>
      <c r="B6" s="756" t="s">
        <v>1464</v>
      </c>
      <c r="C6" s="756" t="s">
        <v>1567</v>
      </c>
      <c r="D6" s="756" t="s">
        <v>1568</v>
      </c>
      <c r="E6" s="756" t="s">
        <v>210</v>
      </c>
      <c r="F6" s="757" t="s">
        <v>1569</v>
      </c>
      <c r="G6" s="756" t="s">
        <v>504</v>
      </c>
    </row>
    <row r="7" spans="1:7">
      <c r="A7" s="756" t="s">
        <v>1570</v>
      </c>
    </row>
    <row r="8" spans="1:7">
      <c r="A8" s="756" t="s">
        <v>1571</v>
      </c>
      <c r="B8" s="758">
        <v>6336</v>
      </c>
      <c r="C8" s="759">
        <v>6953</v>
      </c>
      <c r="D8" s="759">
        <v>5668.88</v>
      </c>
      <c r="E8" s="759">
        <v>8450</v>
      </c>
    </row>
    <row r="9" spans="1:7">
      <c r="A9" s="756" t="s">
        <v>1572</v>
      </c>
      <c r="B9" s="758">
        <v>1641.29</v>
      </c>
      <c r="C9" s="759">
        <v>2250</v>
      </c>
      <c r="D9" s="759">
        <v>7056</v>
      </c>
      <c r="E9" s="759">
        <v>4800</v>
      </c>
    </row>
    <row r="10" spans="1:7">
      <c r="A10" s="756" t="s">
        <v>1573</v>
      </c>
      <c r="B10" s="756">
        <v>0</v>
      </c>
      <c r="C10" s="759">
        <v>900</v>
      </c>
      <c r="D10" s="759">
        <v>1202</v>
      </c>
      <c r="E10" s="759">
        <v>880</v>
      </c>
    </row>
    <row r="11" spans="1:7">
      <c r="A11" s="756" t="s">
        <v>1574</v>
      </c>
      <c r="B11" s="756">
        <v>0</v>
      </c>
      <c r="C11" s="759">
        <v>4650</v>
      </c>
      <c r="D11" s="759">
        <v>358</v>
      </c>
      <c r="E11" s="759">
        <v>1480</v>
      </c>
      <c r="G11" s="756" t="s">
        <v>1575</v>
      </c>
    </row>
    <row r="12" spans="1:7">
      <c r="A12" s="756" t="s">
        <v>1576</v>
      </c>
      <c r="B12" s="758">
        <f t="shared" ref="B12:B13" si="0">B8+B10</f>
        <v>6336</v>
      </c>
      <c r="C12" s="758">
        <f t="shared" ref="C12:C13" si="1">C8+C10</f>
        <v>7853</v>
      </c>
      <c r="D12" s="758">
        <f t="shared" ref="D12:D13" si="2">D8+D10</f>
        <v>6870.88</v>
      </c>
      <c r="E12" s="758">
        <f t="shared" ref="E12:E13" si="3">E8+E10</f>
        <v>9330</v>
      </c>
      <c r="F12" s="760">
        <f>AVERAGE(C12:E12)</f>
        <v>8017.96</v>
      </c>
    </row>
    <row r="13" spans="1:7">
      <c r="A13" s="756" t="s">
        <v>1577</v>
      </c>
      <c r="B13" s="758">
        <f t="shared" si="0"/>
        <v>1641.29</v>
      </c>
      <c r="C13" s="758">
        <f t="shared" si="1"/>
        <v>6900</v>
      </c>
      <c r="D13" s="758">
        <f t="shared" si="2"/>
        <v>7414</v>
      </c>
      <c r="E13" s="758">
        <f t="shared" si="3"/>
        <v>6280</v>
      </c>
    </row>
    <row r="14" spans="1:7">
      <c r="A14" s="756" t="s">
        <v>1578</v>
      </c>
      <c r="B14" s="761">
        <f>B13/50</f>
        <v>32.825800000000001</v>
      </c>
      <c r="C14" s="761">
        <f>C13/45</f>
        <v>153.33333333333334</v>
      </c>
      <c r="D14" s="761">
        <f>D13/45</f>
        <v>164.75555555555556</v>
      </c>
      <c r="E14" s="761">
        <f>E13/45</f>
        <v>139.55555555555554</v>
      </c>
      <c r="F14" s="761">
        <f>AVERAGE(C14:E14)</f>
        <v>152.54814814814816</v>
      </c>
    </row>
    <row r="15" spans="1:7">
      <c r="A15" s="756" t="s">
        <v>1579</v>
      </c>
      <c r="B15" s="758">
        <f>B12+B13</f>
        <v>7977.29</v>
      </c>
      <c r="C15" s="758">
        <f>C12+C13</f>
        <v>14753</v>
      </c>
      <c r="D15" s="758">
        <f>D12+D13</f>
        <v>14284.880000000001</v>
      </c>
      <c r="E15" s="758">
        <f>E12+E13</f>
        <v>15610</v>
      </c>
    </row>
    <row r="17" spans="1:7">
      <c r="A17" s="756" t="s">
        <v>1580</v>
      </c>
      <c r="B17" s="758">
        <f>B12/120</f>
        <v>52.8</v>
      </c>
      <c r="C17" s="758">
        <f>C12/120</f>
        <v>65.441666666666663</v>
      </c>
      <c r="D17" s="758">
        <f>D12/120</f>
        <v>57.257333333333335</v>
      </c>
      <c r="E17" s="758">
        <f>E12/120</f>
        <v>77.75</v>
      </c>
      <c r="F17" s="758">
        <f>AVERAGE(C17:E17)/1.25</f>
        <v>53.453066666666665</v>
      </c>
      <c r="G17" s="756" t="s">
        <v>1581</v>
      </c>
    </row>
    <row r="18" spans="1:7">
      <c r="A18" s="756" t="s">
        <v>1582</v>
      </c>
      <c r="B18" s="758" t="s">
        <v>230</v>
      </c>
      <c r="C18" s="762">
        <f>C17/$B17</f>
        <v>1.239425505050505</v>
      </c>
      <c r="D18" s="762">
        <f>D17/$B17</f>
        <v>1.0844191919191921</v>
      </c>
      <c r="E18" s="762">
        <f>E17/$B17</f>
        <v>1.4725378787878789</v>
      </c>
    </row>
    <row r="19" spans="1:7">
      <c r="A19" s="756" t="s">
        <v>1583</v>
      </c>
      <c r="B19" s="758">
        <f>B13/120</f>
        <v>13.677416666666666</v>
      </c>
      <c r="C19" s="758">
        <f>C13/120</f>
        <v>57.5</v>
      </c>
      <c r="D19" s="758">
        <f>D13/120</f>
        <v>61.783333333333331</v>
      </c>
      <c r="E19" s="758">
        <f>E13/120</f>
        <v>52.333333333333336</v>
      </c>
      <c r="F19" s="758">
        <f>AVERAGE(C19:E19)</f>
        <v>57.205555555555556</v>
      </c>
    </row>
    <row r="20" spans="1:7">
      <c r="A20" s="756" t="s">
        <v>1582</v>
      </c>
      <c r="B20" s="758" t="s">
        <v>230</v>
      </c>
      <c r="C20" s="762">
        <f>C19/$B19</f>
        <v>4.2040102602221427</v>
      </c>
      <c r="D20" s="762">
        <f>D19/$B19</f>
        <v>4.5171785607662267</v>
      </c>
      <c r="E20" s="762">
        <f>E19/$B19</f>
        <v>3.8262586136514574</v>
      </c>
    </row>
    <row r="21" spans="1:7">
      <c r="A21" s="756" t="s">
        <v>1584</v>
      </c>
      <c r="B21" s="761">
        <f>B19/50</f>
        <v>0.27354833333333334</v>
      </c>
      <c r="C21" s="761">
        <f>C19/45</f>
        <v>1.2777777777777777</v>
      </c>
      <c r="D21" s="761">
        <f>D19/45</f>
        <v>1.3729629629629629</v>
      </c>
      <c r="E21" s="761">
        <f>E19/45</f>
        <v>1.162962962962963</v>
      </c>
      <c r="F21" s="761">
        <f t="shared" ref="F21:F22" si="4">AVERAGE(C21:E21)</f>
        <v>1.2712345679012345</v>
      </c>
    </row>
    <row r="22" spans="1:7">
      <c r="A22" s="756" t="s">
        <v>1585</v>
      </c>
      <c r="B22" s="758">
        <f>B15/120</f>
        <v>66.47741666666667</v>
      </c>
      <c r="C22" s="758">
        <f>C15/120</f>
        <v>122.94166666666666</v>
      </c>
      <c r="D22" s="758">
        <f>D15/120</f>
        <v>119.04066666666668</v>
      </c>
      <c r="E22" s="758">
        <f>E15/120</f>
        <v>130.08333333333334</v>
      </c>
      <c r="F22" s="758">
        <f t="shared" si="4"/>
        <v>124.0218888888889</v>
      </c>
    </row>
    <row r="23" spans="1:7">
      <c r="C23" s="762">
        <f>C22/$B22</f>
        <v>1.8493749130343762</v>
      </c>
      <c r="D23" s="762">
        <f>D22/$B22</f>
        <v>1.7906933306925035</v>
      </c>
      <c r="E23" s="762">
        <f>E22/$B22</f>
        <v>1.9568048798526818</v>
      </c>
    </row>
    <row r="27" spans="1:7">
      <c r="A27" s="756" t="s">
        <v>617</v>
      </c>
    </row>
    <row r="28" spans="1:7">
      <c r="A28" s="756" t="s">
        <v>1586</v>
      </c>
    </row>
    <row r="29" spans="1:7">
      <c r="A29" s="756" t="s">
        <v>1587</v>
      </c>
      <c r="B29" s="756">
        <v>8</v>
      </c>
      <c r="C29" s="756" t="s">
        <v>539</v>
      </c>
    </row>
    <row r="30" spans="1:7">
      <c r="A30" s="756" t="s">
        <v>1588</v>
      </c>
      <c r="B30" s="756">
        <v>25</v>
      </c>
      <c r="C30" s="756" t="s">
        <v>539</v>
      </c>
    </row>
    <row r="32" spans="1:7" ht="34.049999999999997">
      <c r="A32" s="757" t="s">
        <v>1589</v>
      </c>
      <c r="B32" s="756" t="s">
        <v>426</v>
      </c>
      <c r="C32" s="757" t="s">
        <v>1590</v>
      </c>
      <c r="D32" s="756" t="s">
        <v>1591</v>
      </c>
      <c r="E32" s="756" t="s">
        <v>1592</v>
      </c>
      <c r="F32" s="756" t="s">
        <v>1593</v>
      </c>
    </row>
    <row r="33" spans="1:6">
      <c r="A33" s="757" t="s">
        <v>1594</v>
      </c>
      <c r="B33" s="763">
        <v>3.125E-2</v>
      </c>
      <c r="C33" s="757">
        <v>1</v>
      </c>
      <c r="D33" s="763">
        <f t="shared" ref="D33:D42" si="5">B33*C33</f>
        <v>3.125E-2</v>
      </c>
      <c r="E33" s="763">
        <f t="shared" ref="E33:E41" si="6">D33</f>
        <v>3.125E-2</v>
      </c>
    </row>
    <row r="34" spans="1:6" ht="34.049999999999997">
      <c r="A34" s="757" t="s">
        <v>1595</v>
      </c>
      <c r="B34" s="763">
        <v>1.38888888888889E-2</v>
      </c>
      <c r="C34" s="756">
        <v>2</v>
      </c>
      <c r="D34" s="763">
        <f t="shared" si="5"/>
        <v>2.7777777777777801E-2</v>
      </c>
      <c r="E34" s="763">
        <f t="shared" si="6"/>
        <v>2.7777777777777801E-2</v>
      </c>
      <c r="F34" s="763"/>
    </row>
    <row r="35" spans="1:6">
      <c r="A35" s="757" t="s">
        <v>1596</v>
      </c>
      <c r="B35" s="763">
        <v>1.38888888888889E-2</v>
      </c>
      <c r="C35" s="756">
        <v>1</v>
      </c>
      <c r="D35" s="763">
        <f t="shared" si="5"/>
        <v>1.38888888888889E-2</v>
      </c>
      <c r="E35" s="763"/>
      <c r="F35" s="763">
        <f>D35</f>
        <v>1.38888888888889E-2</v>
      </c>
    </row>
    <row r="36" spans="1:6" ht="34.049999999999997">
      <c r="A36" s="757" t="s">
        <v>1597</v>
      </c>
      <c r="B36" s="763">
        <v>2.7777777777777801E-2</v>
      </c>
      <c r="C36" s="756">
        <v>2</v>
      </c>
      <c r="D36" s="763">
        <f t="shared" si="5"/>
        <v>5.5555555555555601E-2</v>
      </c>
      <c r="E36" s="763">
        <f t="shared" si="6"/>
        <v>5.5555555555555601E-2</v>
      </c>
      <c r="F36" s="763"/>
    </row>
    <row r="37" spans="1:6" ht="34.049999999999997">
      <c r="A37" s="757" t="s">
        <v>1598</v>
      </c>
      <c r="B37" s="763">
        <v>0.11111111111111099</v>
      </c>
      <c r="C37" s="756">
        <v>1</v>
      </c>
      <c r="D37" s="763">
        <f t="shared" si="5"/>
        <v>0.11111111111111099</v>
      </c>
      <c r="E37" s="763"/>
      <c r="F37" s="763">
        <f>D37</f>
        <v>0.11111111111111099</v>
      </c>
    </row>
    <row r="38" spans="1:6" ht="68.099999999999994">
      <c r="A38" s="757" t="s">
        <v>1599</v>
      </c>
      <c r="B38" s="763">
        <v>6.9444444444444406E-2</v>
      </c>
      <c r="C38" s="756">
        <v>2</v>
      </c>
      <c r="D38" s="763">
        <f t="shared" si="5"/>
        <v>0.13888888888888881</v>
      </c>
      <c r="E38" s="763">
        <f t="shared" si="6"/>
        <v>0.13888888888888881</v>
      </c>
      <c r="F38" s="763"/>
    </row>
    <row r="39" spans="1:6" ht="34.049999999999997">
      <c r="A39" s="757" t="s">
        <v>1600</v>
      </c>
      <c r="B39" s="763">
        <v>4.1666666666666699E-2</v>
      </c>
      <c r="C39" s="756">
        <v>1.5</v>
      </c>
      <c r="D39" s="763">
        <f t="shared" si="5"/>
        <v>6.2500000000000056E-2</v>
      </c>
      <c r="E39" s="763">
        <f t="shared" si="6"/>
        <v>6.2500000000000056E-2</v>
      </c>
      <c r="F39" s="763"/>
    </row>
    <row r="40" spans="1:6" ht="34.049999999999997">
      <c r="A40" s="757" t="s">
        <v>1601</v>
      </c>
      <c r="B40" s="763">
        <v>0.11111111111111099</v>
      </c>
      <c r="C40" s="756">
        <v>1</v>
      </c>
      <c r="D40" s="763">
        <f t="shared" si="5"/>
        <v>0.11111111111111099</v>
      </c>
      <c r="E40" s="763"/>
      <c r="F40" s="763">
        <f>D40</f>
        <v>0.11111111111111099</v>
      </c>
    </row>
    <row r="41" spans="1:6">
      <c r="A41" s="757" t="s">
        <v>1602</v>
      </c>
      <c r="B41" s="763">
        <v>4.1666666666666699E-2</v>
      </c>
      <c r="C41" s="756">
        <v>1.5</v>
      </c>
      <c r="D41" s="763">
        <f t="shared" si="5"/>
        <v>6.2500000000000056E-2</v>
      </c>
      <c r="E41" s="763">
        <f t="shared" si="6"/>
        <v>6.2500000000000056E-2</v>
      </c>
      <c r="F41" s="763"/>
    </row>
    <row r="42" spans="1:6">
      <c r="A42" s="757" t="s">
        <v>1603</v>
      </c>
      <c r="B42" s="763">
        <v>3.4722222222222203E-2</v>
      </c>
      <c r="C42" s="756">
        <v>1</v>
      </c>
      <c r="D42" s="763">
        <f t="shared" si="5"/>
        <v>3.4722222222222203E-2</v>
      </c>
      <c r="E42" s="763"/>
      <c r="F42" s="763">
        <f>D42</f>
        <v>3.4722222222222203E-2</v>
      </c>
    </row>
    <row r="43" spans="1:6">
      <c r="E43" s="763"/>
      <c r="F43" s="763"/>
    </row>
    <row r="44" spans="1:6">
      <c r="C44" s="756" t="s">
        <v>1579</v>
      </c>
      <c r="D44" s="764">
        <f>SUM(D33:D42)</f>
        <v>0.64930555555555547</v>
      </c>
      <c r="E44" s="763">
        <f>SUM(E33:E42)</f>
        <v>0.37847222222222232</v>
      </c>
      <c r="F44" s="763">
        <f>SUM(F33:F42)</f>
        <v>0.27083333333333309</v>
      </c>
    </row>
    <row r="45" spans="1:6">
      <c r="C45" s="756" t="s">
        <v>1604</v>
      </c>
      <c r="E45" s="763">
        <f>E44/B29</f>
        <v>4.730902777777779E-2</v>
      </c>
      <c r="F45" s="763">
        <f>F44/B30</f>
        <v>1.0833333333333323E-2</v>
      </c>
    </row>
    <row r="47" spans="1:6">
      <c r="A47" s="765"/>
    </row>
    <row r="49" spans="1:3">
      <c r="A49" s="766" t="s">
        <v>1605</v>
      </c>
      <c r="B49" s="766"/>
      <c r="C49" s="766"/>
    </row>
    <row r="50" spans="1:3">
      <c r="A50" s="766"/>
      <c r="B50" s="766"/>
      <c r="C50" s="766"/>
    </row>
    <row r="51" spans="1:3">
      <c r="A51" s="766" t="s">
        <v>1606</v>
      </c>
      <c r="B51" s="766" t="s">
        <v>1607</v>
      </c>
      <c r="C51" s="766" t="s">
        <v>1608</v>
      </c>
    </row>
    <row r="52" spans="1:3">
      <c r="A52" s="766" t="s">
        <v>1609</v>
      </c>
      <c r="B52" s="766">
        <v>104</v>
      </c>
      <c r="C52" s="766">
        <v>101</v>
      </c>
    </row>
    <row r="53" spans="1:3" ht="68.099999999999994">
      <c r="A53" s="766" t="s">
        <v>1610</v>
      </c>
      <c r="B53" s="767" t="s">
        <v>1611</v>
      </c>
      <c r="C53" s="767" t="s">
        <v>1612</v>
      </c>
    </row>
    <row r="54" spans="1:3">
      <c r="A54" s="766" t="s">
        <v>1613</v>
      </c>
      <c r="B54" s="767">
        <v>335</v>
      </c>
      <c r="C54" s="767">
        <v>355</v>
      </c>
    </row>
    <row r="55" spans="1:3">
      <c r="A55" s="766" t="s">
        <v>1614</v>
      </c>
      <c r="B55" s="767">
        <f>B52*B54/1000</f>
        <v>34.840000000000003</v>
      </c>
      <c r="C55" s="767">
        <f>C52*C54/1000</f>
        <v>35.854999999999997</v>
      </c>
    </row>
    <row r="56" spans="1:3" ht="68.099999999999994">
      <c r="A56" s="766" t="s">
        <v>952</v>
      </c>
      <c r="B56" s="767" t="s">
        <v>1615</v>
      </c>
      <c r="C56" s="767" t="s">
        <v>1616</v>
      </c>
    </row>
    <row r="57" spans="1:3" ht="34.049999999999997">
      <c r="A57" s="766" t="s">
        <v>1617</v>
      </c>
      <c r="B57" s="767" t="s">
        <v>1618</v>
      </c>
      <c r="C57" s="767" t="s">
        <v>1618</v>
      </c>
    </row>
    <row r="58" spans="1:3" ht="102.15">
      <c r="A58" s="766" t="s">
        <v>1619</v>
      </c>
      <c r="B58" s="767" t="s">
        <v>1620</v>
      </c>
      <c r="C58" s="767" t="s">
        <v>1621</v>
      </c>
    </row>
    <row r="59" spans="1:3">
      <c r="A59" s="766" t="s">
        <v>1622</v>
      </c>
      <c r="B59" s="768">
        <v>27594</v>
      </c>
      <c r="C59" s="768">
        <v>37500</v>
      </c>
    </row>
    <row r="60" spans="1:3">
      <c r="A60" s="766" t="s">
        <v>1623</v>
      </c>
      <c r="B60" s="768">
        <f>B59/B52</f>
        <v>265.32692307692309</v>
      </c>
      <c r="C60" s="768">
        <f>C59/C52</f>
        <v>371.28712871287127</v>
      </c>
    </row>
    <row r="61" spans="1:3">
      <c r="A61" s="766" t="s">
        <v>1624</v>
      </c>
      <c r="B61" s="768">
        <v>7820</v>
      </c>
      <c r="C61" s="768">
        <v>8040</v>
      </c>
    </row>
    <row r="62" spans="1:3">
      <c r="A62" s="766" t="s">
        <v>1625</v>
      </c>
      <c r="B62" s="768">
        <f>B61/B52</f>
        <v>75.192307692307693</v>
      </c>
      <c r="C62" s="768">
        <f>C61/C52</f>
        <v>79.603960396039611</v>
      </c>
    </row>
    <row r="63" spans="1:3">
      <c r="A63" s="766" t="s">
        <v>1626</v>
      </c>
      <c r="B63" s="768">
        <v>55</v>
      </c>
      <c r="C63" s="768">
        <v>55</v>
      </c>
    </row>
    <row r="64" spans="1:3">
      <c r="A64" s="769" t="s">
        <v>1627</v>
      </c>
      <c r="B64" s="770">
        <f>B61/B63</f>
        <v>142.18181818181819</v>
      </c>
      <c r="C64" s="770">
        <f>C61/C63</f>
        <v>146.18181818181819</v>
      </c>
    </row>
    <row r="65" spans="1:3">
      <c r="A65" s="766" t="s">
        <v>1628</v>
      </c>
      <c r="B65" s="770">
        <f>B62/B63</f>
        <v>1.3671328671328671</v>
      </c>
      <c r="C65" s="768">
        <f>C62/C63</f>
        <v>1.4473447344734474</v>
      </c>
    </row>
    <row r="66" spans="1:3">
      <c r="A66" s="766" t="s">
        <v>1629</v>
      </c>
      <c r="B66" s="766"/>
      <c r="C66" s="770">
        <f>(C65-B65)*2</f>
        <v>0.16042373468116056</v>
      </c>
    </row>
  </sheetData>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36"/>
  <sheetViews>
    <sheetView showGridLines="0" zoomScale="80" zoomScaleNormal="80" workbookViewId="0">
      <pane xSplit="2" ySplit="5" topLeftCell="C33" activePane="bottomRight" state="frozen"/>
      <selection activeCellId="1" sqref="G16 A1"/>
      <selection pane="topRight"/>
      <selection pane="bottomLeft"/>
      <selection pane="bottomRight" activeCell="C6" sqref="C6"/>
    </sheetView>
  </sheetViews>
  <sheetFormatPr baseColWidth="10" defaultColWidth="10.140625" defaultRowHeight="15.05"/>
  <cols>
    <col min="1" max="1" width="1" style="62" customWidth="1"/>
    <col min="2" max="2" width="42.140625" style="62" customWidth="1"/>
    <col min="3" max="3" width="7.85546875" style="62" customWidth="1"/>
    <col min="4" max="4" width="9.140625" style="62" customWidth="1"/>
    <col min="5" max="5" width="7.85546875" style="62" customWidth="1"/>
    <col min="6" max="25" width="9.140625" style="62" customWidth="1"/>
    <col min="26" max="64" width="11.28515625" style="62" customWidth="1"/>
  </cols>
  <sheetData>
    <row r="1" spans="2:25" ht="12.8" customHeight="1">
      <c r="B1" s="1081" t="s">
        <v>1630</v>
      </c>
      <c r="C1" s="1081"/>
      <c r="D1" s="1081"/>
      <c r="E1" s="1081"/>
      <c r="F1" s="1081"/>
      <c r="G1" s="1081"/>
      <c r="H1" s="1081"/>
      <c r="I1" s="1081"/>
      <c r="J1" s="1081"/>
      <c r="K1" s="1081"/>
      <c r="L1" s="1081"/>
      <c r="M1" s="1081"/>
      <c r="N1" s="1081"/>
      <c r="O1" s="1081"/>
      <c r="P1" s="1081"/>
      <c r="Q1" s="1081"/>
      <c r="R1" s="1081"/>
      <c r="S1" s="1081"/>
      <c r="T1" s="1081"/>
      <c r="U1" s="1081"/>
      <c r="V1" s="1081"/>
      <c r="W1" s="1081"/>
      <c r="X1" s="1081"/>
      <c r="Y1" s="1081"/>
    </row>
    <row r="2" spans="2:25" ht="12.8" customHeight="1">
      <c r="B2" s="1081"/>
      <c r="C2" s="1081"/>
      <c r="D2" s="1081"/>
      <c r="E2" s="1081"/>
      <c r="F2" s="1081"/>
      <c r="G2" s="1081"/>
      <c r="H2" s="1081"/>
      <c r="I2" s="1081"/>
      <c r="J2" s="1081"/>
      <c r="K2" s="1081"/>
      <c r="L2" s="1081"/>
      <c r="M2" s="1081"/>
      <c r="N2" s="1081"/>
      <c r="O2" s="1081"/>
      <c r="P2" s="1081"/>
      <c r="Q2" s="1081"/>
      <c r="R2" s="1081"/>
      <c r="S2" s="1081"/>
      <c r="T2" s="1081"/>
      <c r="U2" s="1081"/>
      <c r="V2" s="1081"/>
      <c r="W2" s="1081"/>
      <c r="X2" s="1081"/>
      <c r="Y2" s="1081"/>
    </row>
    <row r="3" spans="2:25">
      <c r="B3" s="771"/>
      <c r="C3" s="771"/>
      <c r="D3" s="771"/>
      <c r="E3" s="771"/>
      <c r="H3" s="772"/>
    </row>
    <row r="4" spans="2:25">
      <c r="B4" s="1082"/>
      <c r="C4" s="773"/>
      <c r="D4" s="773"/>
      <c r="E4" s="774" t="s">
        <v>1631</v>
      </c>
      <c r="F4" s="774" t="s">
        <v>1631</v>
      </c>
      <c r="G4" s="775" t="s">
        <v>1631</v>
      </c>
      <c r="H4" s="775" t="s">
        <v>1631</v>
      </c>
      <c r="I4" s="775" t="s">
        <v>1631</v>
      </c>
      <c r="J4" s="775" t="s">
        <v>1631</v>
      </c>
      <c r="K4" s="775" t="s">
        <v>1631</v>
      </c>
      <c r="L4" s="775" t="s">
        <v>1631</v>
      </c>
      <c r="M4" s="775" t="s">
        <v>1631</v>
      </c>
      <c r="N4" s="775" t="s">
        <v>1631</v>
      </c>
      <c r="O4" s="775" t="s">
        <v>1631</v>
      </c>
      <c r="P4" s="775" t="s">
        <v>1631</v>
      </c>
      <c r="Q4" s="775" t="s">
        <v>1631</v>
      </c>
      <c r="R4" s="775" t="s">
        <v>1631</v>
      </c>
      <c r="S4" s="775" t="s">
        <v>1631</v>
      </c>
      <c r="T4" s="775" t="s">
        <v>1631</v>
      </c>
      <c r="U4" s="775" t="s">
        <v>1631</v>
      </c>
      <c r="V4" s="775" t="s">
        <v>1631</v>
      </c>
      <c r="W4" s="775" t="s">
        <v>1631</v>
      </c>
      <c r="X4" s="775" t="s">
        <v>1631</v>
      </c>
      <c r="Y4" s="776" t="s">
        <v>1631</v>
      </c>
    </row>
    <row r="5" spans="2:25">
      <c r="B5" s="1082"/>
      <c r="C5" s="773"/>
      <c r="D5" s="773"/>
      <c r="E5" s="777">
        <v>0</v>
      </c>
      <c r="F5" s="777">
        <v>1</v>
      </c>
      <c r="G5" s="778">
        <v>2</v>
      </c>
      <c r="H5" s="778">
        <v>3</v>
      </c>
      <c r="I5" s="778">
        <v>4</v>
      </c>
      <c r="J5" s="778">
        <v>5</v>
      </c>
      <c r="K5" s="778">
        <v>6</v>
      </c>
      <c r="L5" s="778">
        <v>7</v>
      </c>
      <c r="M5" s="778">
        <v>8</v>
      </c>
      <c r="N5" s="778">
        <v>9</v>
      </c>
      <c r="O5" s="778">
        <v>10</v>
      </c>
      <c r="P5" s="778">
        <v>11</v>
      </c>
      <c r="Q5" s="778">
        <v>12</v>
      </c>
      <c r="R5" s="778">
        <v>13</v>
      </c>
      <c r="S5" s="778">
        <v>14</v>
      </c>
      <c r="T5" s="778">
        <v>15</v>
      </c>
      <c r="U5" s="778">
        <v>16</v>
      </c>
      <c r="V5" s="778">
        <v>17</v>
      </c>
      <c r="W5" s="778">
        <v>18</v>
      </c>
      <c r="X5" s="778">
        <v>19</v>
      </c>
      <c r="Y5" s="779">
        <v>20</v>
      </c>
    </row>
    <row r="6" spans="2:25">
      <c r="B6" s="773"/>
      <c r="C6" s="773">
        <v>2019</v>
      </c>
      <c r="D6" s="773">
        <f t="shared" ref="D6:Y6" si="0">C6+1</f>
        <v>2020</v>
      </c>
      <c r="E6" s="773">
        <f t="shared" si="0"/>
        <v>2021</v>
      </c>
      <c r="F6" s="773">
        <f t="shared" si="0"/>
        <v>2022</v>
      </c>
      <c r="G6" s="773">
        <f t="shared" si="0"/>
        <v>2023</v>
      </c>
      <c r="H6" s="773">
        <f t="shared" si="0"/>
        <v>2024</v>
      </c>
      <c r="I6" s="773">
        <f t="shared" si="0"/>
        <v>2025</v>
      </c>
      <c r="J6" s="773">
        <f t="shared" si="0"/>
        <v>2026</v>
      </c>
      <c r="K6" s="773">
        <f t="shared" si="0"/>
        <v>2027</v>
      </c>
      <c r="L6" s="773">
        <f t="shared" si="0"/>
        <v>2028</v>
      </c>
      <c r="M6" s="773">
        <f t="shared" si="0"/>
        <v>2029</v>
      </c>
      <c r="N6" s="773">
        <f t="shared" si="0"/>
        <v>2030</v>
      </c>
      <c r="O6" s="773">
        <f t="shared" si="0"/>
        <v>2031</v>
      </c>
      <c r="P6" s="773">
        <f t="shared" si="0"/>
        <v>2032</v>
      </c>
      <c r="Q6" s="773">
        <f t="shared" si="0"/>
        <v>2033</v>
      </c>
      <c r="R6" s="773">
        <f t="shared" si="0"/>
        <v>2034</v>
      </c>
      <c r="S6" s="773">
        <f t="shared" si="0"/>
        <v>2035</v>
      </c>
      <c r="T6" s="773">
        <f t="shared" si="0"/>
        <v>2036</v>
      </c>
      <c r="U6" s="773">
        <f t="shared" si="0"/>
        <v>2037</v>
      </c>
      <c r="V6" s="773">
        <f t="shared" si="0"/>
        <v>2038</v>
      </c>
      <c r="W6" s="773">
        <f t="shared" si="0"/>
        <v>2039</v>
      </c>
      <c r="X6" s="773">
        <f t="shared" si="0"/>
        <v>2040</v>
      </c>
      <c r="Y6" s="773">
        <f t="shared" si="0"/>
        <v>2041</v>
      </c>
    </row>
    <row r="7" spans="2:25" ht="18.2" customHeight="1">
      <c r="B7" s="1083" t="s">
        <v>1632</v>
      </c>
      <c r="C7" s="1083"/>
      <c r="D7" s="1083"/>
      <c r="E7" s="1083"/>
      <c r="F7" s="1083"/>
      <c r="G7" s="1083"/>
      <c r="H7" s="1083"/>
      <c r="I7" s="1083"/>
      <c r="J7" s="1083"/>
      <c r="K7" s="1083"/>
      <c r="L7" s="1083"/>
      <c r="M7" s="1083"/>
      <c r="N7" s="1083"/>
      <c r="O7" s="1083"/>
      <c r="P7" s="1083"/>
      <c r="Q7" s="1083"/>
      <c r="R7" s="1083"/>
      <c r="S7" s="1083"/>
      <c r="T7" s="1083"/>
      <c r="U7" s="1083"/>
      <c r="V7" s="1083"/>
      <c r="W7" s="1083"/>
      <c r="X7" s="1083"/>
      <c r="Y7" s="1083"/>
    </row>
    <row r="8" spans="2:25">
      <c r="B8" s="780" t="s">
        <v>1633</v>
      </c>
      <c r="C8" s="780"/>
      <c r="D8" s="780"/>
      <c r="E8" s="781"/>
      <c r="F8" s="782"/>
      <c r="G8" s="782"/>
      <c r="H8" s="782"/>
      <c r="I8" s="782"/>
      <c r="J8" s="782"/>
      <c r="K8" s="782"/>
      <c r="L8" s="782"/>
      <c r="M8" s="782"/>
      <c r="N8" s="782"/>
      <c r="O8" s="782"/>
      <c r="P8" s="782"/>
      <c r="Q8" s="782"/>
      <c r="R8" s="782"/>
      <c r="S8" s="782"/>
      <c r="T8" s="782"/>
      <c r="U8" s="782"/>
      <c r="V8" s="782"/>
      <c r="W8" s="782"/>
      <c r="X8" s="782"/>
      <c r="Y8" s="783"/>
    </row>
    <row r="9" spans="2:25">
      <c r="B9" s="784" t="s">
        <v>1634</v>
      </c>
      <c r="C9" s="785">
        <v>32000</v>
      </c>
      <c r="D9" s="784"/>
      <c r="E9" s="781">
        <f>fonds_propres</f>
        <v>153000</v>
      </c>
      <c r="F9" s="786"/>
      <c r="G9" s="782"/>
      <c r="H9" s="782"/>
      <c r="I9" s="782"/>
      <c r="J9" s="782"/>
      <c r="K9" s="782"/>
      <c r="L9" s="782"/>
      <c r="M9" s="782"/>
      <c r="N9" s="782"/>
      <c r="O9" s="782"/>
      <c r="P9" s="782"/>
      <c r="Q9" s="782"/>
      <c r="R9" s="782"/>
      <c r="S9" s="782"/>
      <c r="T9" s="782"/>
      <c r="U9" s="782"/>
      <c r="V9" s="782"/>
      <c r="W9" s="782"/>
      <c r="X9" s="782"/>
      <c r="Y9" s="783"/>
    </row>
    <row r="10" spans="2:25">
      <c r="B10" s="784" t="s">
        <v>1635</v>
      </c>
      <c r="C10" s="785">
        <v>116005</v>
      </c>
      <c r="D10" s="784"/>
      <c r="E10" s="781">
        <f>compte_courant_associes</f>
        <v>0</v>
      </c>
      <c r="F10" s="786"/>
      <c r="G10" s="782"/>
      <c r="H10" s="782"/>
      <c r="I10" s="782"/>
      <c r="J10" s="782"/>
      <c r="K10" s="782"/>
      <c r="L10" s="782"/>
      <c r="M10" s="782"/>
      <c r="N10" s="782"/>
      <c r="O10" s="782"/>
      <c r="P10" s="782"/>
      <c r="Q10" s="782"/>
      <c r="R10" s="782"/>
      <c r="S10" s="782"/>
      <c r="T10" s="782"/>
      <c r="U10" s="782"/>
      <c r="V10" s="782"/>
      <c r="W10" s="782"/>
      <c r="X10" s="782"/>
      <c r="Y10" s="783"/>
    </row>
    <row r="11" spans="2:25" ht="27.2" customHeight="1">
      <c r="B11" s="787" t="s">
        <v>1636</v>
      </c>
      <c r="C11" s="787"/>
      <c r="D11" s="787"/>
      <c r="E11" s="781">
        <f ca="1">dette</f>
        <v>54930.683057099988</v>
      </c>
      <c r="F11" s="786"/>
      <c r="G11" s="782"/>
      <c r="H11" s="782"/>
      <c r="I11" s="782"/>
      <c r="J11" s="782"/>
      <c r="K11" s="782"/>
      <c r="L11" s="782"/>
      <c r="M11" s="782"/>
      <c r="N11" s="782"/>
      <c r="O11" s="782"/>
      <c r="P11" s="782"/>
      <c r="Q11" s="782"/>
      <c r="R11" s="782"/>
      <c r="S11" s="782"/>
      <c r="T11" s="782"/>
      <c r="U11" s="782"/>
      <c r="V11" s="782"/>
      <c r="W11" s="782"/>
      <c r="X11" s="782"/>
      <c r="Y11" s="783"/>
    </row>
    <row r="12" spans="2:25">
      <c r="B12" s="788" t="s">
        <v>1637</v>
      </c>
      <c r="C12" s="788"/>
      <c r="D12" s="788"/>
      <c r="E12" s="781">
        <f>IF(Ana_eco!K42="oui",pret_relais_TVA,0)</f>
        <v>0</v>
      </c>
      <c r="F12" s="786"/>
      <c r="G12" s="782"/>
      <c r="H12" s="789"/>
      <c r="I12" s="789"/>
      <c r="J12" s="789"/>
      <c r="K12" s="789"/>
      <c r="L12" s="789"/>
      <c r="M12" s="789"/>
      <c r="N12" s="789"/>
      <c r="O12" s="789"/>
      <c r="P12" s="789"/>
      <c r="Q12" s="789"/>
      <c r="R12" s="789"/>
      <c r="S12" s="789"/>
      <c r="T12" s="789"/>
      <c r="U12" s="789"/>
      <c r="V12" s="789"/>
      <c r="W12" s="789"/>
      <c r="X12" s="789"/>
      <c r="Y12" s="790"/>
    </row>
    <row r="13" spans="2:25" ht="30.15">
      <c r="B13" s="788" t="s">
        <v>1638</v>
      </c>
      <c r="C13" s="782"/>
      <c r="D13" s="782">
        <f>SIG!C38</f>
        <v>11160</v>
      </c>
      <c r="E13" s="782">
        <f>SIG!D38</f>
        <v>5211</v>
      </c>
      <c r="F13" s="782">
        <f>SIG!E38</f>
        <v>2710</v>
      </c>
      <c r="G13" s="782">
        <f ca="1">SIG!F38</f>
        <v>16627.355685451887</v>
      </c>
      <c r="H13" s="789">
        <f ca="1">SIG!G38</f>
        <v>16793.876432608253</v>
      </c>
      <c r="I13" s="789">
        <f ca="1">SIG!H38</f>
        <v>17199.708799548021</v>
      </c>
      <c r="J13" s="789">
        <f ca="1">SIG!I38</f>
        <v>17179.003440132066</v>
      </c>
      <c r="K13" s="789">
        <f ca="1">SIG!J38</f>
        <v>17151.280749105517</v>
      </c>
      <c r="L13" s="789">
        <f ca="1">SIG!K38</f>
        <v>17125.968717234347</v>
      </c>
      <c r="M13" s="789">
        <f ca="1">SIG!L38</f>
        <v>17100.582218136442</v>
      </c>
      <c r="N13" s="789">
        <f ca="1">SIG!M38</f>
        <v>15509.658971588869</v>
      </c>
      <c r="O13" s="789">
        <f ca="1">SIG!N38</f>
        <v>16212.089378265984</v>
      </c>
      <c r="P13" s="789">
        <f ca="1">SIG!O38</f>
        <v>13427.004523972011</v>
      </c>
      <c r="Q13" s="789">
        <f ca="1">SIG!P38</f>
        <v>13829.541233016967</v>
      </c>
      <c r="R13" s="789">
        <f ca="1">SIG!Q38</f>
        <v>13706.395466651793</v>
      </c>
      <c r="S13" s="789">
        <f ca="1">SIG!R38</f>
        <v>14340.135103218849</v>
      </c>
      <c r="T13" s="789">
        <f ca="1">SIG!S38</f>
        <v>14175.60039325586</v>
      </c>
      <c r="U13" s="789">
        <f ca="1">SIG!T38</f>
        <v>15931.671809038977</v>
      </c>
      <c r="V13" s="789">
        <f ca="1">SIG!U38</f>
        <v>15655.667350139194</v>
      </c>
      <c r="W13" s="789">
        <f ca="1">SIG!V38</f>
        <v>15552.751736762288</v>
      </c>
      <c r="X13" s="789">
        <f ca="1">SIG!W38</f>
        <v>11606.115409533033</v>
      </c>
      <c r="Y13" s="790">
        <f ca="1">SIG!X38</f>
        <v>24326.271365557222</v>
      </c>
    </row>
    <row r="14" spans="2:25">
      <c r="B14" s="788" t="s">
        <v>1639</v>
      </c>
      <c r="C14" s="785">
        <v>10000</v>
      </c>
      <c r="D14" s="788"/>
      <c r="E14" s="781">
        <f ca="1">Ana_eco!F18</f>
        <v>0</v>
      </c>
      <c r="F14" s="791"/>
      <c r="G14" s="782"/>
      <c r="H14" s="782"/>
      <c r="I14" s="782"/>
      <c r="J14" s="782"/>
      <c r="K14" s="782"/>
      <c r="L14" s="782"/>
      <c r="M14" s="782"/>
      <c r="N14" s="782"/>
      <c r="O14" s="782"/>
      <c r="P14" s="782"/>
      <c r="Q14" s="782"/>
      <c r="R14" s="782"/>
      <c r="S14" s="782"/>
      <c r="T14" s="782"/>
      <c r="U14" s="782"/>
      <c r="V14" s="782"/>
      <c r="W14" s="782"/>
      <c r="X14" s="782"/>
      <c r="Y14" s="783"/>
    </row>
    <row r="15" spans="2:25" ht="19.649999999999999" customHeight="1">
      <c r="B15" s="792" t="s">
        <v>1640</v>
      </c>
      <c r="C15" s="793">
        <f t="shared" ref="C15:Y15" si="1">SUM(C9:C14)</f>
        <v>158005</v>
      </c>
      <c r="D15" s="793">
        <f t="shared" si="1"/>
        <v>11160</v>
      </c>
      <c r="E15" s="793">
        <f t="shared" ca="1" si="1"/>
        <v>213141.68305709999</v>
      </c>
      <c r="F15" s="794">
        <f t="shared" si="1"/>
        <v>2710</v>
      </c>
      <c r="G15" s="794">
        <f t="shared" ca="1" si="1"/>
        <v>16627.355685451887</v>
      </c>
      <c r="H15" s="795">
        <f t="shared" ca="1" si="1"/>
        <v>16793.876432608253</v>
      </c>
      <c r="I15" s="795">
        <f t="shared" ca="1" si="1"/>
        <v>17199.708799548021</v>
      </c>
      <c r="J15" s="795">
        <f t="shared" ca="1" si="1"/>
        <v>17179.003440132066</v>
      </c>
      <c r="K15" s="795">
        <f t="shared" ca="1" si="1"/>
        <v>17151.280749105517</v>
      </c>
      <c r="L15" s="795">
        <f t="shared" ca="1" si="1"/>
        <v>17125.968717234347</v>
      </c>
      <c r="M15" s="795">
        <f t="shared" ca="1" si="1"/>
        <v>17100.582218136442</v>
      </c>
      <c r="N15" s="795">
        <f t="shared" ca="1" si="1"/>
        <v>15509.658971588869</v>
      </c>
      <c r="O15" s="795">
        <f t="shared" ca="1" si="1"/>
        <v>16212.089378265984</v>
      </c>
      <c r="P15" s="795">
        <f t="shared" ca="1" si="1"/>
        <v>13427.004523972011</v>
      </c>
      <c r="Q15" s="795">
        <f t="shared" ca="1" si="1"/>
        <v>13829.541233016967</v>
      </c>
      <c r="R15" s="795">
        <f t="shared" ca="1" si="1"/>
        <v>13706.395466651793</v>
      </c>
      <c r="S15" s="795">
        <f t="shared" ca="1" si="1"/>
        <v>14340.135103218849</v>
      </c>
      <c r="T15" s="795">
        <f t="shared" ca="1" si="1"/>
        <v>14175.60039325586</v>
      </c>
      <c r="U15" s="795">
        <f t="shared" ca="1" si="1"/>
        <v>15931.671809038977</v>
      </c>
      <c r="V15" s="795">
        <f t="shared" ca="1" si="1"/>
        <v>15655.667350139194</v>
      </c>
      <c r="W15" s="795">
        <f t="shared" ca="1" si="1"/>
        <v>15552.751736762288</v>
      </c>
      <c r="X15" s="795">
        <f t="shared" ca="1" si="1"/>
        <v>11606.115409533033</v>
      </c>
      <c r="Y15" s="796">
        <f t="shared" ca="1" si="1"/>
        <v>24326.271365557222</v>
      </c>
    </row>
    <row r="16" spans="2:25" ht="13.6" customHeight="1">
      <c r="B16" s="797"/>
      <c r="C16" s="797"/>
      <c r="D16" s="797"/>
      <c r="E16" s="798"/>
      <c r="F16" s="799"/>
      <c r="G16" s="799"/>
      <c r="H16" s="799"/>
      <c r="I16" s="799"/>
      <c r="J16" s="799"/>
      <c r="K16" s="799"/>
      <c r="L16" s="799"/>
      <c r="M16" s="799"/>
      <c r="N16" s="799"/>
      <c r="O16" s="799"/>
      <c r="P16" s="799"/>
      <c r="Q16" s="799"/>
      <c r="R16" s="799"/>
      <c r="S16" s="799"/>
      <c r="T16" s="799"/>
      <c r="U16" s="799"/>
      <c r="V16" s="799"/>
      <c r="W16" s="799"/>
      <c r="X16" s="799"/>
      <c r="Y16" s="800"/>
    </row>
    <row r="17" spans="2:25" ht="18.2" customHeight="1">
      <c r="B17" s="1084" t="s">
        <v>1641</v>
      </c>
      <c r="C17" s="1084"/>
      <c r="D17" s="1084"/>
      <c r="E17" s="1084"/>
      <c r="F17" s="1084"/>
      <c r="G17" s="1084"/>
      <c r="H17" s="1084"/>
      <c r="I17" s="1084"/>
      <c r="J17" s="1084"/>
      <c r="K17" s="1084"/>
      <c r="L17" s="1084"/>
      <c r="M17" s="1084"/>
      <c r="N17" s="1084"/>
      <c r="O17" s="1084"/>
      <c r="P17" s="1084"/>
      <c r="Q17" s="1084"/>
      <c r="R17" s="1084"/>
      <c r="S17" s="1084"/>
      <c r="T17" s="1084"/>
      <c r="U17" s="1084"/>
      <c r="V17" s="1084"/>
      <c r="W17" s="1084"/>
      <c r="X17" s="1084"/>
      <c r="Y17" s="1084"/>
    </row>
    <row r="18" spans="2:25">
      <c r="B18" s="788" t="s">
        <v>1642</v>
      </c>
      <c r="C18" s="801">
        <v>50290.386536927901</v>
      </c>
      <c r="D18" s="788"/>
      <c r="E18" s="802">
        <f>Ana_eco!D7+Ana_eco!$D$8</f>
        <v>135213.755</v>
      </c>
      <c r="F18" s="803"/>
      <c r="G18" s="782"/>
      <c r="H18" s="782"/>
      <c r="I18" s="782"/>
      <c r="J18" s="782"/>
      <c r="K18" s="782"/>
      <c r="L18" s="782"/>
      <c r="M18" s="782"/>
      <c r="N18" s="782"/>
      <c r="O18" s="782"/>
      <c r="P18" s="782"/>
      <c r="Q18" s="782"/>
      <c r="R18" s="782"/>
      <c r="S18" s="782"/>
      <c r="T18" s="782"/>
      <c r="U18" s="782"/>
      <c r="V18" s="782"/>
      <c r="W18" s="782"/>
      <c r="X18" s="782"/>
      <c r="Y18" s="783"/>
    </row>
    <row r="19" spans="2:25">
      <c r="B19" s="788" t="s">
        <v>1643</v>
      </c>
      <c r="C19" s="801">
        <v>6363.5701268469102</v>
      </c>
      <c r="D19" s="788"/>
      <c r="E19" s="802">
        <f>Ana_eco!D9</f>
        <v>15693.215</v>
      </c>
      <c r="F19" s="803"/>
      <c r="G19" s="782"/>
      <c r="H19" s="782"/>
      <c r="I19" s="782"/>
      <c r="J19" s="782"/>
      <c r="K19" s="782"/>
      <c r="L19" s="782"/>
      <c r="M19" s="782"/>
      <c r="N19" s="782"/>
      <c r="O19" s="782"/>
      <c r="P19" s="782"/>
      <c r="Q19" s="782"/>
      <c r="R19" s="782"/>
      <c r="S19" s="782"/>
      <c r="T19" s="782"/>
      <c r="U19" s="782"/>
      <c r="V19" s="782"/>
      <c r="W19" s="782"/>
      <c r="X19" s="782"/>
      <c r="Y19" s="783"/>
    </row>
    <row r="20" spans="2:25">
      <c r="B20" s="788" t="s">
        <v>1644</v>
      </c>
      <c r="C20" s="801">
        <v>4745.26</v>
      </c>
      <c r="D20" s="788"/>
      <c r="E20" s="802">
        <f>Ana_eco!D11</f>
        <v>26377.57</v>
      </c>
      <c r="F20" s="803"/>
      <c r="G20" s="782"/>
      <c r="H20" s="782"/>
      <c r="I20" s="782"/>
      <c r="J20" s="782"/>
      <c r="K20" s="782"/>
      <c r="L20" s="782"/>
      <c r="M20" s="782"/>
      <c r="N20" s="782"/>
      <c r="O20" s="782"/>
      <c r="P20" s="782"/>
      <c r="Q20" s="782"/>
      <c r="R20" s="782"/>
      <c r="S20" s="782"/>
      <c r="T20" s="782"/>
      <c r="U20" s="782"/>
      <c r="V20" s="782"/>
      <c r="W20" s="782"/>
      <c r="X20" s="782"/>
      <c r="Y20" s="783"/>
    </row>
    <row r="21" spans="2:25">
      <c r="B21" s="788" t="s">
        <v>1645</v>
      </c>
      <c r="C21" s="801">
        <v>2639.43533478993</v>
      </c>
      <c r="D21" s="788"/>
      <c r="E21" s="802">
        <f>Ana_eco!D12</f>
        <v>5943.97</v>
      </c>
      <c r="F21" s="803"/>
      <c r="G21" s="782"/>
      <c r="H21" s="789"/>
      <c r="I21" s="789"/>
      <c r="J21" s="789"/>
      <c r="K21" s="789"/>
      <c r="L21" s="789"/>
      <c r="M21" s="789"/>
      <c r="N21" s="789"/>
      <c r="O21" s="789"/>
      <c r="P21" s="789"/>
      <c r="Q21" s="789"/>
      <c r="R21" s="789"/>
      <c r="S21" s="789"/>
      <c r="T21" s="789"/>
      <c r="U21" s="789"/>
      <c r="V21" s="789"/>
      <c r="W21" s="789"/>
      <c r="X21" s="789"/>
      <c r="Y21" s="790"/>
    </row>
    <row r="22" spans="2:25">
      <c r="B22" s="788" t="s">
        <v>1646</v>
      </c>
      <c r="C22" s="801">
        <v>2249.1</v>
      </c>
      <c r="D22" s="788"/>
      <c r="E22" s="802">
        <f>Ana_eco!D13</f>
        <v>2315.8125</v>
      </c>
      <c r="F22" s="803"/>
      <c r="G22" s="782"/>
      <c r="H22" s="789"/>
      <c r="I22" s="789"/>
      <c r="J22" s="789"/>
      <c r="K22" s="789"/>
      <c r="L22" s="789"/>
      <c r="M22" s="789"/>
      <c r="N22" s="789"/>
      <c r="O22" s="789"/>
      <c r="P22" s="789"/>
      <c r="Q22" s="789"/>
      <c r="R22" s="789"/>
      <c r="S22" s="789"/>
      <c r="T22" s="789"/>
      <c r="U22" s="789"/>
      <c r="V22" s="789"/>
      <c r="W22" s="789"/>
      <c r="X22" s="789"/>
      <c r="Y22" s="790"/>
    </row>
    <row r="23" spans="2:25">
      <c r="B23" s="788" t="s">
        <v>1647</v>
      </c>
      <c r="C23" s="801">
        <v>1676.33949576706</v>
      </c>
      <c r="D23" s="788"/>
      <c r="E23" s="802">
        <f>Ana_eco!D14</f>
        <v>1580</v>
      </c>
      <c r="F23" s="803"/>
      <c r="G23" s="782"/>
      <c r="H23" s="789"/>
      <c r="I23" s="789"/>
      <c r="J23" s="789"/>
      <c r="K23" s="789"/>
      <c r="L23" s="789"/>
      <c r="M23" s="789"/>
      <c r="N23" s="789"/>
      <c r="O23" s="789"/>
      <c r="P23" s="789"/>
      <c r="Q23" s="789"/>
      <c r="R23" s="789"/>
      <c r="S23" s="789"/>
      <c r="T23" s="789"/>
      <c r="U23" s="789"/>
      <c r="V23" s="789"/>
      <c r="W23" s="789"/>
      <c r="X23" s="789"/>
      <c r="Y23" s="790"/>
    </row>
    <row r="24" spans="2:25">
      <c r="B24" s="788" t="s">
        <v>1648</v>
      </c>
      <c r="C24" s="801">
        <v>0</v>
      </c>
      <c r="D24" s="788"/>
      <c r="E24" s="802">
        <f>Ana_eco!D15</f>
        <v>0</v>
      </c>
      <c r="F24" s="803"/>
      <c r="G24" s="782"/>
      <c r="H24" s="789"/>
      <c r="I24" s="789"/>
      <c r="J24" s="789"/>
      <c r="K24" s="789"/>
      <c r="L24" s="789"/>
      <c r="M24" s="789"/>
      <c r="N24" s="789"/>
      <c r="O24" s="789"/>
      <c r="P24" s="789"/>
      <c r="Q24" s="789"/>
      <c r="R24" s="789"/>
      <c r="S24" s="789"/>
      <c r="T24" s="789"/>
      <c r="U24" s="789"/>
      <c r="V24" s="789"/>
      <c r="W24" s="789"/>
      <c r="X24" s="789"/>
      <c r="Y24" s="790"/>
    </row>
    <row r="25" spans="2:25">
      <c r="B25" s="788" t="s">
        <v>1649</v>
      </c>
      <c r="C25" s="801">
        <v>1543.29</v>
      </c>
      <c r="D25" s="788"/>
      <c r="E25" s="802">
        <f>Ana_eco!D16</f>
        <v>520</v>
      </c>
      <c r="F25" s="803"/>
      <c r="G25" s="782"/>
      <c r="H25" s="789"/>
      <c r="I25" s="789"/>
      <c r="J25" s="789"/>
      <c r="K25" s="789"/>
      <c r="L25" s="789"/>
      <c r="M25" s="789"/>
      <c r="N25" s="789"/>
      <c r="O25" s="789"/>
      <c r="P25" s="789"/>
      <c r="Q25" s="789"/>
      <c r="R25" s="789"/>
      <c r="S25" s="789"/>
      <c r="T25" s="789"/>
      <c r="U25" s="789"/>
      <c r="V25" s="789"/>
      <c r="W25" s="789"/>
      <c r="X25" s="789"/>
      <c r="Y25" s="790"/>
    </row>
    <row r="26" spans="2:25">
      <c r="B26" s="788" t="s">
        <v>1650</v>
      </c>
      <c r="C26" s="801">
        <v>7841.16</v>
      </c>
      <c r="D26" s="788"/>
      <c r="E26" s="802">
        <f>Ana_eco!D17</f>
        <v>6557.0612500000007</v>
      </c>
      <c r="F26" s="803"/>
      <c r="G26" s="782"/>
      <c r="H26" s="789"/>
      <c r="I26" s="789"/>
      <c r="J26" s="789"/>
      <c r="K26" s="789"/>
      <c r="L26" s="789"/>
      <c r="M26" s="789"/>
      <c r="N26" s="789"/>
      <c r="O26" s="789"/>
      <c r="P26" s="789"/>
      <c r="Q26" s="789"/>
      <c r="R26" s="789"/>
      <c r="S26" s="789"/>
      <c r="T26" s="789"/>
      <c r="U26" s="789"/>
      <c r="V26" s="789"/>
      <c r="W26" s="789"/>
      <c r="X26" s="789"/>
      <c r="Y26" s="790"/>
    </row>
    <row r="27" spans="2:25">
      <c r="B27" s="788" t="s">
        <v>1651</v>
      </c>
      <c r="C27" s="801">
        <v>0</v>
      </c>
      <c r="D27" s="788"/>
      <c r="E27" s="802"/>
      <c r="F27" s="804">
        <f>E12*(1+Ana_eco!L44)</f>
        <v>0</v>
      </c>
      <c r="G27" s="782"/>
      <c r="H27" s="789"/>
      <c r="I27" s="789"/>
      <c r="J27" s="789"/>
      <c r="K27" s="789"/>
      <c r="L27" s="789"/>
      <c r="M27" s="789"/>
      <c r="N27" s="789"/>
      <c r="O27" s="789"/>
      <c r="P27" s="789"/>
      <c r="Q27" s="789"/>
      <c r="R27" s="789"/>
      <c r="S27" s="789"/>
      <c r="T27" s="789"/>
      <c r="U27" s="789"/>
      <c r="V27" s="789"/>
      <c r="W27" s="789"/>
      <c r="X27" s="789"/>
      <c r="Y27" s="790"/>
    </row>
    <row r="28" spans="2:25">
      <c r="B28" s="788" t="s">
        <v>1652</v>
      </c>
      <c r="C28" s="801">
        <v>0</v>
      </c>
      <c r="D28" s="788"/>
      <c r="E28" s="802"/>
      <c r="F28" s="789">
        <f t="shared" ref="F28:Y28" ca="1" si="2">IF(F5&lt;durée_emprunt1+1,-PPMT(tx_emprunt1,F5,durée_emprunt1,emprunt1),0)+IF(F5&lt;durée_emprunt2+1,-PPMT(tx_emprunt2,F5,durée_emprunt2,emprunt2),0)</f>
        <v>6502.4286464693223</v>
      </c>
      <c r="G28" s="782">
        <f t="shared" ca="1" si="2"/>
        <v>6603.2162904895968</v>
      </c>
      <c r="H28" s="789">
        <f t="shared" ca="1" si="2"/>
        <v>6705.5661429921856</v>
      </c>
      <c r="I28" s="789">
        <f t="shared" ca="1" si="2"/>
        <v>6809.5024182085654</v>
      </c>
      <c r="J28" s="789">
        <f t="shared" ca="1" si="2"/>
        <v>6915.0497056907971</v>
      </c>
      <c r="K28" s="789">
        <f t="shared" ca="1" si="2"/>
        <v>7022.2329761290048</v>
      </c>
      <c r="L28" s="789">
        <f t="shared" ca="1" si="2"/>
        <v>7131.0775872590038</v>
      </c>
      <c r="M28" s="789">
        <f t="shared" ca="1" si="2"/>
        <v>7241.6092898615188</v>
      </c>
      <c r="N28" s="789">
        <f t="shared" si="2"/>
        <v>0</v>
      </c>
      <c r="O28" s="789">
        <f t="shared" si="2"/>
        <v>0</v>
      </c>
      <c r="P28" s="789">
        <f t="shared" si="2"/>
        <v>0</v>
      </c>
      <c r="Q28" s="789">
        <f t="shared" si="2"/>
        <v>0</v>
      </c>
      <c r="R28" s="789">
        <f t="shared" si="2"/>
        <v>0</v>
      </c>
      <c r="S28" s="789">
        <f t="shared" si="2"/>
        <v>0</v>
      </c>
      <c r="T28" s="789">
        <f t="shared" si="2"/>
        <v>0</v>
      </c>
      <c r="U28" s="789">
        <f t="shared" si="2"/>
        <v>0</v>
      </c>
      <c r="V28" s="789">
        <f t="shared" si="2"/>
        <v>0</v>
      </c>
      <c r="W28" s="789">
        <f t="shared" si="2"/>
        <v>0</v>
      </c>
      <c r="X28" s="789">
        <f t="shared" si="2"/>
        <v>0</v>
      </c>
      <c r="Y28" s="790">
        <f t="shared" si="2"/>
        <v>0</v>
      </c>
    </row>
    <row r="29" spans="2:25">
      <c r="B29" s="788" t="s">
        <v>1653</v>
      </c>
      <c r="C29" s="801">
        <v>0</v>
      </c>
      <c r="D29" s="788"/>
      <c r="E29" s="802"/>
      <c r="F29" s="789">
        <f>IF(Ana_eco!$L$34="En fin de convention",IF(Plan_de_trésorerie!F5=durée_CCA,CCA_1,0),IF(F5&lt;=durée_CCA,CCA_1/durée_CCA,0))</f>
        <v>0</v>
      </c>
      <c r="G29" s="789">
        <f>IF(Ana_eco!$L$34="En fin de convention",IF(Plan_de_trésorerie!G5=durée_CCA,CCA_1,0),IF(G5&lt;=durée_CCA,CCA_1/durée_CCA,0))</f>
        <v>0</v>
      </c>
      <c r="H29" s="789">
        <f>IF(Ana_eco!$L$34="En fin de convention",IF(Plan_de_trésorerie!H5=durée_CCA,CCA_1,0),IF(H5&lt;=durée_CCA,CCA_1/durée_CCA,0))</f>
        <v>0</v>
      </c>
      <c r="I29" s="789">
        <f>IF(Ana_eco!$L$34="En fin de convention",IF(Plan_de_trésorerie!I5=durée_CCA,CCA_1,0),IF(I5&lt;=durée_CCA,CCA_1/durée_CCA,0))</f>
        <v>0</v>
      </c>
      <c r="J29" s="789">
        <f>IF(Ana_eco!$L$34="En fin de convention",IF(Plan_de_trésorerie!J5=durée_CCA,CCA_1,0),IF(J5&lt;=durée_CCA,CCA_1/durée_CCA,0))</f>
        <v>0</v>
      </c>
      <c r="K29" s="789">
        <f>IF(Ana_eco!$L$34="En fin de convention",IF(Plan_de_trésorerie!K5=durée_CCA,CCA_1,0),IF(K5&lt;=durée_CCA,CCA_1/durée_CCA,0))</f>
        <v>0</v>
      </c>
      <c r="L29" s="789">
        <f>IF(Ana_eco!$L$34="En fin de convention",IF(Plan_de_trésorerie!L5=durée_CCA,CCA_1,0),IF(L5&lt;=durée_CCA,CCA_1/durée_CCA,0))</f>
        <v>0</v>
      </c>
      <c r="M29" s="789">
        <f>IF(Ana_eco!$L$34="En fin de convention",IF(Plan_de_trésorerie!M5=durée_CCA,CCA_1,0),IF(M5&lt;=durée_CCA,CCA_1/durée_CCA,0))</f>
        <v>0</v>
      </c>
      <c r="N29" s="789">
        <f>IF(Ana_eco!$L$34="En fin de convention",IF(Plan_de_trésorerie!N5=durée_CCA,CCA_1,0),IF(N5&lt;=durée_CCA,CCA_1/durée_CCA,0))</f>
        <v>0</v>
      </c>
      <c r="O29" s="789">
        <f>IF(Ana_eco!$L$34="En fin de convention",IF(Plan_de_trésorerie!O5=durée_CCA,CCA_1,0),IF(O5&lt;=durée_CCA,CCA_1/durée_CCA,0))</f>
        <v>0</v>
      </c>
      <c r="P29" s="789">
        <f>IF(Ana_eco!$L$34="En fin de convention",IF(Plan_de_trésorerie!P5=durée_CCA,CCA_1,0),IF(P5&lt;=durée_CCA,CCA_1/durée_CCA,0))</f>
        <v>0</v>
      </c>
      <c r="Q29" s="789">
        <f>IF(Ana_eco!$L$34="En fin de convention",IF(Plan_de_trésorerie!Q5=durée_CCA,CCA_1,0),IF(Q5&lt;=durée_CCA,CCA_1/durée_CCA,0))</f>
        <v>0</v>
      </c>
      <c r="R29" s="789">
        <f>IF(Ana_eco!$L$34="En fin de convention",IF(Plan_de_trésorerie!R5=durée_CCA,CCA_1,0),IF(R5&lt;=durée_CCA,CCA_1/durée_CCA,0))</f>
        <v>0</v>
      </c>
      <c r="S29" s="789">
        <f>IF(Ana_eco!$L$34="En fin de convention",IF(Plan_de_trésorerie!S5=durée_CCA,CCA_1,0),IF(S5&lt;=durée_CCA,CCA_1/durée_CCA,0))</f>
        <v>0</v>
      </c>
      <c r="T29" s="789">
        <f>IF(Ana_eco!$L$34="En fin de convention",IF(Plan_de_trésorerie!T5=durée_CCA,CCA_1,0),IF(T5&lt;=durée_CCA,CCA_1/durée_CCA,0))</f>
        <v>0</v>
      </c>
      <c r="U29" s="789">
        <f>IF(Ana_eco!$L$34="En fin de convention",IF(Plan_de_trésorerie!U5=durée_CCA,CCA_1,0),IF(U5&lt;=durée_CCA,CCA_1/durée_CCA,0))</f>
        <v>0</v>
      </c>
      <c r="V29" s="789">
        <f>IF(Ana_eco!$L$34="En fin de convention",IF(Plan_de_trésorerie!V5=durée_CCA,CCA_1,0),IF(V5&lt;=durée_CCA,CCA_1/durée_CCA,0))</f>
        <v>0</v>
      </c>
      <c r="W29" s="789">
        <f>IF(Ana_eco!$L$34="En fin de convention",IF(Plan_de_trésorerie!W5=durée_CCA,CCA_1,0),IF(W5&lt;=durée_CCA,CCA_1/durée_CCA,0))</f>
        <v>0</v>
      </c>
      <c r="X29" s="789">
        <f>IF(Ana_eco!$L$34="En fin de convention",IF(Plan_de_trésorerie!X5=durée_CCA,CCA_1,0),IF(X5&lt;=durée_CCA,CCA_1/durée_CCA,0))</f>
        <v>0</v>
      </c>
      <c r="Y29" s="790">
        <f>IF(Ana_eco!$L$34="En fin de convention",IF(Plan_de_trésorerie!Y5=durée_CCA,CCA_1,0),IF(Y5&lt;=durée_CCA,CCA_1/durée_CCA,0))</f>
        <v>0</v>
      </c>
    </row>
    <row r="30" spans="2:25">
      <c r="B30" s="788" t="s">
        <v>1654</v>
      </c>
      <c r="C30" s="801">
        <v>0</v>
      </c>
      <c r="D30" s="788"/>
      <c r="E30" s="802"/>
      <c r="F30" s="789">
        <f t="shared" ref="F30:Y30" si="3">IF(F5&lt;durée_AR1+1,-PPMT(tx_AR1,F5,durée_AR1,avance_remb_1),0)+IF(F5&lt;durée_AR2+1,-PPMT(tx_AR2,F5,durée_AR2,avance_remb_2),0)</f>
        <v>0</v>
      </c>
      <c r="G30" s="789">
        <f t="shared" si="3"/>
        <v>0</v>
      </c>
      <c r="H30" s="789">
        <f t="shared" si="3"/>
        <v>0</v>
      </c>
      <c r="I30" s="789">
        <f t="shared" si="3"/>
        <v>0</v>
      </c>
      <c r="J30" s="789">
        <f t="shared" si="3"/>
        <v>0</v>
      </c>
      <c r="K30" s="789">
        <f t="shared" si="3"/>
        <v>0</v>
      </c>
      <c r="L30" s="789">
        <f t="shared" si="3"/>
        <v>0</v>
      </c>
      <c r="M30" s="789">
        <f t="shared" si="3"/>
        <v>0</v>
      </c>
      <c r="N30" s="789">
        <f t="shared" si="3"/>
        <v>0</v>
      </c>
      <c r="O30" s="789">
        <f t="shared" si="3"/>
        <v>0</v>
      </c>
      <c r="P30" s="789">
        <f t="shared" si="3"/>
        <v>0</v>
      </c>
      <c r="Q30" s="789">
        <f t="shared" si="3"/>
        <v>0</v>
      </c>
      <c r="R30" s="789">
        <f t="shared" si="3"/>
        <v>0</v>
      </c>
      <c r="S30" s="789">
        <f t="shared" si="3"/>
        <v>0</v>
      </c>
      <c r="T30" s="789">
        <f t="shared" si="3"/>
        <v>0</v>
      </c>
      <c r="U30" s="789">
        <f t="shared" si="3"/>
        <v>0</v>
      </c>
      <c r="V30" s="789">
        <f t="shared" si="3"/>
        <v>0</v>
      </c>
      <c r="W30" s="789">
        <f t="shared" si="3"/>
        <v>0</v>
      </c>
      <c r="X30" s="789">
        <f t="shared" si="3"/>
        <v>0</v>
      </c>
      <c r="Y30" s="790">
        <f t="shared" si="3"/>
        <v>0</v>
      </c>
    </row>
    <row r="31" spans="2:25">
      <c r="B31" s="788" t="s">
        <v>1655</v>
      </c>
      <c r="C31" s="801">
        <v>0</v>
      </c>
      <c r="D31" s="788"/>
      <c r="E31" s="802"/>
      <c r="F31" s="803"/>
      <c r="G31" s="789">
        <f>SIG!E42</f>
        <v>0</v>
      </c>
      <c r="H31" s="789">
        <f ca="1">SIG!F42</f>
        <v>375.43973808528261</v>
      </c>
      <c r="I31" s="789">
        <f ca="1">SIG!G42</f>
        <v>414.73530399924118</v>
      </c>
      <c r="J31" s="789">
        <f ca="1">SIG!H42</f>
        <v>1191.1751272159395</v>
      </c>
      <c r="K31" s="789">
        <f ca="1">SIG!I42</f>
        <v>1179.7743422143258</v>
      </c>
      <c r="L31" s="789">
        <f ca="1">SIG!J42</f>
        <v>1164.5096740812878</v>
      </c>
      <c r="M31" s="789">
        <f ca="1">SIG!K42</f>
        <v>1150.5723630923851</v>
      </c>
      <c r="N31" s="789">
        <f ca="1">SIG!L42</f>
        <v>1136.5940489590948</v>
      </c>
      <c r="O31" s="789">
        <f ca="1">SIG!M42</f>
        <v>734.83073346951528</v>
      </c>
      <c r="P31" s="789">
        <f ca="1">SIG!N42</f>
        <v>1121.6029639940668</v>
      </c>
      <c r="Q31" s="789">
        <f ca="1">SIG!O42</f>
        <v>0</v>
      </c>
      <c r="R31" s="789">
        <f ca="1">SIG!P42</f>
        <v>801.3373764620552</v>
      </c>
      <c r="S31" s="789">
        <f ca="1">SIG!Q42</f>
        <v>733.53085458606267</v>
      </c>
      <c r="T31" s="789">
        <f ca="1">SIG!R42</f>
        <v>1082.4805732726143</v>
      </c>
      <c r="U31" s="789">
        <f ca="1">SIG!S42</f>
        <v>991.88447127279323</v>
      </c>
      <c r="V31" s="789">
        <f ca="1">SIG!T42</f>
        <v>1958.8125142312945</v>
      </c>
      <c r="W31" s="789">
        <f ca="1">SIG!U42</f>
        <v>1806.8389390718955</v>
      </c>
      <c r="X31" s="789">
        <f ca="1">SIG!V42</f>
        <v>1750.1715440343028</v>
      </c>
      <c r="Y31" s="790">
        <f ca="1">SIG!W42</f>
        <v>1336.8196317879076</v>
      </c>
    </row>
    <row r="32" spans="2:25">
      <c r="B32" s="788" t="s">
        <v>1656</v>
      </c>
      <c r="C32" s="801">
        <v>0</v>
      </c>
      <c r="D32" s="788"/>
      <c r="E32" s="802"/>
      <c r="F32" s="805"/>
      <c r="G32" s="789"/>
      <c r="H32" s="789"/>
      <c r="I32" s="789"/>
      <c r="J32" s="789"/>
      <c r="K32" s="789"/>
      <c r="L32" s="789"/>
      <c r="M32" s="789"/>
      <c r="N32" s="789"/>
      <c r="O32" s="789"/>
      <c r="P32" s="789"/>
      <c r="Q32" s="789"/>
      <c r="R32" s="789"/>
      <c r="S32" s="789"/>
      <c r="T32" s="789"/>
      <c r="U32" s="789"/>
      <c r="V32" s="789"/>
      <c r="W32" s="789"/>
      <c r="X32" s="789"/>
      <c r="Y32" s="790"/>
    </row>
    <row r="33" spans="2:25" ht="20.95" customHeight="1">
      <c r="B33" s="806" t="s">
        <v>1657</v>
      </c>
      <c r="C33" s="807">
        <f t="shared" ref="C33:Y33" si="4">SUM(C18:C32)</f>
        <v>77348.541494331803</v>
      </c>
      <c r="D33" s="807">
        <f t="shared" si="4"/>
        <v>0</v>
      </c>
      <c r="E33" s="807">
        <f t="shared" si="4"/>
        <v>194201.38375000001</v>
      </c>
      <c r="F33" s="808">
        <f t="shared" ca="1" si="4"/>
        <v>6502.4286464693223</v>
      </c>
      <c r="G33" s="809">
        <f t="shared" ca="1" si="4"/>
        <v>6603.2162904895968</v>
      </c>
      <c r="H33" s="809">
        <f t="shared" ca="1" si="4"/>
        <v>7081.0058810774681</v>
      </c>
      <c r="I33" s="809">
        <f t="shared" ca="1" si="4"/>
        <v>7224.2377222078067</v>
      </c>
      <c r="J33" s="809">
        <f t="shared" ca="1" si="4"/>
        <v>8106.224832906737</v>
      </c>
      <c r="K33" s="809">
        <f t="shared" ca="1" si="4"/>
        <v>8202.0073183433306</v>
      </c>
      <c r="L33" s="809">
        <f t="shared" ca="1" si="4"/>
        <v>8295.5872613402917</v>
      </c>
      <c r="M33" s="809">
        <f t="shared" ca="1" si="4"/>
        <v>8392.1816529539046</v>
      </c>
      <c r="N33" s="809">
        <f t="shared" ca="1" si="4"/>
        <v>1136.5940489590948</v>
      </c>
      <c r="O33" s="809">
        <f t="shared" ca="1" si="4"/>
        <v>734.83073346951528</v>
      </c>
      <c r="P33" s="809">
        <f t="shared" ca="1" si="4"/>
        <v>1121.6029639940668</v>
      </c>
      <c r="Q33" s="809">
        <f t="shared" ca="1" si="4"/>
        <v>0</v>
      </c>
      <c r="R33" s="809">
        <f t="shared" ca="1" si="4"/>
        <v>801.3373764620552</v>
      </c>
      <c r="S33" s="809">
        <f t="shared" ca="1" si="4"/>
        <v>733.53085458606267</v>
      </c>
      <c r="T33" s="809">
        <f t="shared" ca="1" si="4"/>
        <v>1082.4805732726143</v>
      </c>
      <c r="U33" s="809">
        <f t="shared" ca="1" si="4"/>
        <v>991.88447127279323</v>
      </c>
      <c r="V33" s="809">
        <f t="shared" ca="1" si="4"/>
        <v>1958.8125142312945</v>
      </c>
      <c r="W33" s="809">
        <f t="shared" ca="1" si="4"/>
        <v>1806.8389390718955</v>
      </c>
      <c r="X33" s="809">
        <f t="shared" ca="1" si="4"/>
        <v>1750.1715440343028</v>
      </c>
      <c r="Y33" s="810">
        <f t="shared" ca="1" si="4"/>
        <v>1336.8196317879076</v>
      </c>
    </row>
    <row r="34" spans="2:25">
      <c r="E34" s="57"/>
      <c r="F34" s="57"/>
      <c r="G34" s="57"/>
      <c r="H34" s="57"/>
      <c r="I34" s="57"/>
      <c r="J34" s="57"/>
      <c r="K34" s="57"/>
      <c r="L34" s="57"/>
      <c r="M34" s="57"/>
      <c r="N34" s="57"/>
      <c r="O34" s="57"/>
      <c r="P34" s="57"/>
      <c r="Q34" s="57"/>
      <c r="R34" s="57"/>
      <c r="S34" s="57"/>
      <c r="T34" s="57"/>
      <c r="U34" s="57"/>
      <c r="V34" s="57"/>
      <c r="W34" s="57"/>
      <c r="X34" s="57"/>
      <c r="Y34" s="57"/>
    </row>
    <row r="35" spans="2:25">
      <c r="B35" s="811" t="s">
        <v>1658</v>
      </c>
      <c r="C35" s="812">
        <f t="shared" ref="C35:Y35" si="5">C15-C33</f>
        <v>80656.458505668197</v>
      </c>
      <c r="D35" s="812">
        <f t="shared" si="5"/>
        <v>11160</v>
      </c>
      <c r="E35" s="812">
        <f t="shared" ca="1" si="5"/>
        <v>18940.29930709998</v>
      </c>
      <c r="F35" s="812">
        <f t="shared" ca="1" si="5"/>
        <v>-3792.4286464693223</v>
      </c>
      <c r="G35" s="812">
        <f t="shared" ca="1" si="5"/>
        <v>10024.139394962291</v>
      </c>
      <c r="H35" s="812">
        <f t="shared" ca="1" si="5"/>
        <v>9712.8705515307847</v>
      </c>
      <c r="I35" s="812">
        <f t="shared" ca="1" si="5"/>
        <v>9975.4710773402148</v>
      </c>
      <c r="J35" s="812">
        <f t="shared" ca="1" si="5"/>
        <v>9072.7786072253293</v>
      </c>
      <c r="K35" s="812">
        <f t="shared" ca="1" si="5"/>
        <v>8949.2734307621868</v>
      </c>
      <c r="L35" s="812">
        <f t="shared" ca="1" si="5"/>
        <v>8830.3814558940558</v>
      </c>
      <c r="M35" s="812">
        <f t="shared" ca="1" si="5"/>
        <v>8708.4005651825373</v>
      </c>
      <c r="N35" s="812">
        <f t="shared" ca="1" si="5"/>
        <v>14373.064922629776</v>
      </c>
      <c r="O35" s="812">
        <f t="shared" ca="1" si="5"/>
        <v>15477.25864479647</v>
      </c>
      <c r="P35" s="812">
        <f t="shared" ca="1" si="5"/>
        <v>12305.401559977945</v>
      </c>
      <c r="Q35" s="812">
        <f t="shared" ca="1" si="5"/>
        <v>13829.541233016967</v>
      </c>
      <c r="R35" s="812">
        <f t="shared" ca="1" si="5"/>
        <v>12905.058090189737</v>
      </c>
      <c r="S35" s="812">
        <f t="shared" ca="1" si="5"/>
        <v>13606.604248632786</v>
      </c>
      <c r="T35" s="812">
        <f t="shared" ca="1" si="5"/>
        <v>13093.119819983245</v>
      </c>
      <c r="U35" s="812">
        <f t="shared" ca="1" si="5"/>
        <v>14939.787337766184</v>
      </c>
      <c r="V35" s="812">
        <f t="shared" ca="1" si="5"/>
        <v>13696.8548359079</v>
      </c>
      <c r="W35" s="812">
        <f t="shared" ca="1" si="5"/>
        <v>13745.912797690393</v>
      </c>
      <c r="X35" s="812">
        <f t="shared" ca="1" si="5"/>
        <v>9855.9438654987298</v>
      </c>
      <c r="Y35" s="813">
        <f t="shared" ca="1" si="5"/>
        <v>22989.451733769314</v>
      </c>
    </row>
    <row r="36" spans="2:25">
      <c r="B36" s="814" t="s">
        <v>1659</v>
      </c>
      <c r="C36" s="815">
        <f>C35</f>
        <v>80656.458505668197</v>
      </c>
      <c r="D36" s="816">
        <f t="shared" ref="D36:Y36" si="6">D35+C36</f>
        <v>91816.458505668197</v>
      </c>
      <c r="E36" s="816">
        <f t="shared" ca="1" si="6"/>
        <v>110756.75781276818</v>
      </c>
      <c r="F36" s="816">
        <f t="shared" ca="1" si="6"/>
        <v>106964.32916629885</v>
      </c>
      <c r="G36" s="816">
        <f t="shared" ca="1" si="6"/>
        <v>116988.46856126114</v>
      </c>
      <c r="H36" s="816">
        <f t="shared" ca="1" si="6"/>
        <v>126701.33911279192</v>
      </c>
      <c r="I36" s="816">
        <f t="shared" ca="1" si="6"/>
        <v>136676.81019013212</v>
      </c>
      <c r="J36" s="816">
        <f t="shared" ca="1" si="6"/>
        <v>145749.58879735746</v>
      </c>
      <c r="K36" s="816">
        <f t="shared" ca="1" si="6"/>
        <v>154698.86222811963</v>
      </c>
      <c r="L36" s="816">
        <f t="shared" ca="1" si="6"/>
        <v>163529.24368401369</v>
      </c>
      <c r="M36" s="816">
        <f t="shared" ca="1" si="6"/>
        <v>172237.64424919622</v>
      </c>
      <c r="N36" s="816">
        <f t="shared" ca="1" si="6"/>
        <v>186610.70917182599</v>
      </c>
      <c r="O36" s="816">
        <f t="shared" ca="1" si="6"/>
        <v>202087.96781662246</v>
      </c>
      <c r="P36" s="816">
        <f t="shared" ca="1" si="6"/>
        <v>214393.3693766004</v>
      </c>
      <c r="Q36" s="816">
        <f t="shared" ca="1" si="6"/>
        <v>228222.91060961736</v>
      </c>
      <c r="R36" s="816">
        <f t="shared" ca="1" si="6"/>
        <v>241127.9686998071</v>
      </c>
      <c r="S36" s="816">
        <f t="shared" ca="1" si="6"/>
        <v>254734.57294843989</v>
      </c>
      <c r="T36" s="816">
        <f t="shared" ca="1" si="6"/>
        <v>267827.69276842312</v>
      </c>
      <c r="U36" s="816">
        <f t="shared" ca="1" si="6"/>
        <v>282767.48010618932</v>
      </c>
      <c r="V36" s="816">
        <f t="shared" ca="1" si="6"/>
        <v>296464.33494209719</v>
      </c>
      <c r="W36" s="816">
        <f t="shared" ca="1" si="6"/>
        <v>310210.24773978756</v>
      </c>
      <c r="X36" s="816">
        <f t="shared" ca="1" si="6"/>
        <v>320066.19160528627</v>
      </c>
      <c r="Y36" s="817">
        <f t="shared" ca="1" si="6"/>
        <v>343055.64333905559</v>
      </c>
    </row>
  </sheetData>
  <mergeCells count="4">
    <mergeCell ref="B1:Y2"/>
    <mergeCell ref="B4:B5"/>
    <mergeCell ref="B7:Y7"/>
    <mergeCell ref="B17:Y17"/>
  </mergeCells>
  <conditionalFormatting sqref="B36:Y36">
    <cfRule type="cellIs" dxfId="2" priority="2" operator="lessThanOrEqual">
      <formula>0</formula>
    </cfRule>
  </conditionalFormatting>
  <printOptions gridLines="1"/>
  <pageMargins left="0.55138888888888904" right="0.55138888888888904" top="0.62013888888888902" bottom="0.55972222222222201" header="0.51180555555555496" footer="0.51180555555555496"/>
  <pageSetup paperSize="9" firstPageNumber="0" orientation="landscape" horizontalDpi="300" verticalDpi="300"/>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3"/>
  <sheetViews>
    <sheetView showGridLines="0" zoomScale="95" workbookViewId="0">
      <pane xSplit="6" ySplit="8" topLeftCell="G9" activePane="bottomRight" state="frozen"/>
      <selection activeCellId="1" sqref="G16 A1"/>
      <selection pane="topRight"/>
      <selection pane="bottomLeft"/>
      <selection pane="bottomRight" activeCell="G9" sqref="G9"/>
    </sheetView>
  </sheetViews>
  <sheetFormatPr baseColWidth="10" defaultColWidth="10.140625" defaultRowHeight="13.1"/>
  <cols>
    <col min="1" max="1" width="2.28515625" customWidth="1"/>
    <col min="2" max="2" width="30.42578125" style="500" customWidth="1"/>
    <col min="3" max="3" width="8.28515625" style="500" customWidth="1"/>
    <col min="4" max="5" width="8.42578125" style="500" customWidth="1"/>
    <col min="6" max="7" width="9.5703125" style="500" customWidth="1"/>
    <col min="8" max="8" width="12" style="500" customWidth="1"/>
    <col min="9" max="10" width="9.140625" style="500" customWidth="1"/>
    <col min="11" max="11" width="8.85546875" style="500" customWidth="1"/>
    <col min="12" max="12" width="12" style="500" customWidth="1"/>
    <col min="13" max="13" width="9.5703125" style="500" customWidth="1"/>
    <col min="14" max="14" width="9.140625" style="500" customWidth="1"/>
    <col min="15" max="15" width="11.7109375" style="500" customWidth="1"/>
    <col min="16" max="16" width="9.5703125" style="500" customWidth="1"/>
    <col min="17" max="17" width="10.140625" style="500"/>
    <col min="18" max="18" width="9.85546875" style="500" customWidth="1"/>
    <col min="19" max="23" width="9.5703125" style="500" customWidth="1"/>
    <col min="24" max="24" width="10.140625" style="500"/>
    <col min="25" max="42" width="9.5703125" style="500" customWidth="1"/>
    <col min="43" max="43" width="11.140625" style="500" customWidth="1"/>
    <col min="44" max="44" width="10.140625" style="500"/>
    <col min="45" max="45" width="11.28515625" style="500" customWidth="1"/>
    <col min="46" max="46" width="6.5703125" style="818" customWidth="1"/>
    <col min="47" max="64" width="10.140625" style="500"/>
  </cols>
  <sheetData>
    <row r="1" spans="1:64" ht="31.1" customHeight="1">
      <c r="A1" t="s">
        <v>837</v>
      </c>
      <c r="B1" s="1093" t="s">
        <v>1660</v>
      </c>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T1" s="819"/>
      <c r="AU1" s="820"/>
      <c r="AX1" s="821"/>
      <c r="AY1" s="821"/>
      <c r="AZ1" s="821"/>
      <c r="BA1" s="821"/>
      <c r="BB1" s="821"/>
      <c r="BC1" s="821"/>
    </row>
    <row r="2" spans="1:64">
      <c r="AF2" s="822"/>
      <c r="AG2" s="822"/>
      <c r="AH2" s="822"/>
      <c r="AI2" s="822"/>
      <c r="AJ2" s="822"/>
      <c r="AK2" s="822"/>
      <c r="AL2" s="822"/>
      <c r="AM2" s="822"/>
      <c r="AN2" s="822"/>
      <c r="AO2" s="822"/>
      <c r="AP2" s="822"/>
    </row>
    <row r="3" spans="1:64" ht="14.4">
      <c r="B3" s="823" t="s">
        <v>1661</v>
      </c>
      <c r="F3" s="824"/>
      <c r="I3" s="825"/>
      <c r="L3" s="825"/>
      <c r="AA3" s="500" t="s">
        <v>837</v>
      </c>
      <c r="AE3" s="822"/>
      <c r="AF3" s="822"/>
      <c r="AG3" s="822"/>
      <c r="AH3" s="822"/>
      <c r="AI3" s="822"/>
      <c r="AJ3" s="822"/>
      <c r="AK3" s="822"/>
      <c r="AL3" s="822"/>
      <c r="AM3" s="822"/>
      <c r="AN3" s="822"/>
      <c r="AO3" s="822"/>
      <c r="AP3" s="822"/>
      <c r="BA3" s="826">
        <v>0</v>
      </c>
      <c r="BB3" s="826" t="s">
        <v>1662</v>
      </c>
      <c r="BC3" s="827">
        <v>43617</v>
      </c>
      <c r="BD3" s="828">
        <v>0</v>
      </c>
    </row>
    <row r="4" spans="1:64" ht="14.4">
      <c r="B4" s="829">
        <v>44075</v>
      </c>
      <c r="G4" s="830">
        <v>1</v>
      </c>
      <c r="H4" s="830">
        <v>1</v>
      </c>
      <c r="I4" s="830">
        <v>1</v>
      </c>
      <c r="J4" s="830">
        <v>1</v>
      </c>
      <c r="K4" s="830">
        <v>1</v>
      </c>
      <c r="L4" s="830">
        <v>1</v>
      </c>
      <c r="M4" s="830">
        <v>1</v>
      </c>
      <c r="N4" s="830">
        <v>1</v>
      </c>
      <c r="O4" s="830">
        <v>1</v>
      </c>
      <c r="P4" s="830">
        <v>1</v>
      </c>
      <c r="Q4" s="830">
        <v>1</v>
      </c>
      <c r="R4" s="830">
        <v>1</v>
      </c>
      <c r="S4" s="830">
        <v>2</v>
      </c>
      <c r="T4" s="830">
        <v>2</v>
      </c>
      <c r="U4" s="830">
        <v>2</v>
      </c>
      <c r="V4" s="830">
        <v>2</v>
      </c>
      <c r="W4" s="830">
        <v>2</v>
      </c>
      <c r="X4" s="830">
        <v>2</v>
      </c>
      <c r="Y4" s="830">
        <v>2</v>
      </c>
      <c r="Z4" s="830">
        <v>2</v>
      </c>
      <c r="AA4" s="830">
        <v>2</v>
      </c>
      <c r="AB4" s="830">
        <v>2</v>
      </c>
      <c r="AC4" s="830">
        <v>2</v>
      </c>
      <c r="AD4" s="831">
        <v>2</v>
      </c>
      <c r="AE4" s="831">
        <v>3</v>
      </c>
      <c r="AF4" s="831">
        <v>3</v>
      </c>
      <c r="AG4" s="831">
        <v>3</v>
      </c>
      <c r="AH4" s="831">
        <v>3</v>
      </c>
      <c r="AI4" s="831">
        <v>3</v>
      </c>
      <c r="AJ4" s="831">
        <v>3</v>
      </c>
      <c r="AK4" s="831">
        <v>3</v>
      </c>
      <c r="AL4" s="831">
        <v>3</v>
      </c>
      <c r="AM4" s="831">
        <v>3</v>
      </c>
      <c r="AN4" s="831">
        <v>3</v>
      </c>
      <c r="AO4" s="831">
        <v>3</v>
      </c>
      <c r="AP4" s="831">
        <v>3</v>
      </c>
      <c r="AR4" s="1094" t="s">
        <v>1663</v>
      </c>
      <c r="AS4" s="1094"/>
      <c r="AX4" s="832">
        <v>0</v>
      </c>
      <c r="AZ4" s="500" t="s">
        <v>1664</v>
      </c>
      <c r="BA4" s="833">
        <v>1</v>
      </c>
      <c r="BB4" s="833" t="s">
        <v>1665</v>
      </c>
      <c r="BC4" s="827">
        <v>43647</v>
      </c>
      <c r="BD4" s="828">
        <v>0.05</v>
      </c>
    </row>
    <row r="5" spans="1:64" ht="25.05" customHeight="1">
      <c r="C5" s="1095" t="s">
        <v>1666</v>
      </c>
      <c r="D5" s="1095"/>
      <c r="E5" s="1095"/>
      <c r="F5" s="1095"/>
      <c r="G5" s="834">
        <v>1</v>
      </c>
      <c r="H5" s="834">
        <v>2</v>
      </c>
      <c r="I5" s="834">
        <v>3</v>
      </c>
      <c r="J5" s="834">
        <v>4</v>
      </c>
      <c r="K5" s="834">
        <v>5</v>
      </c>
      <c r="L5" s="834">
        <v>6</v>
      </c>
      <c r="M5" s="834">
        <v>7</v>
      </c>
      <c r="N5" s="834">
        <v>8</v>
      </c>
      <c r="O5" s="834">
        <v>9</v>
      </c>
      <c r="P5" s="834">
        <v>10</v>
      </c>
      <c r="Q5" s="834">
        <v>11</v>
      </c>
      <c r="R5" s="834">
        <v>12</v>
      </c>
      <c r="S5" s="834">
        <v>13</v>
      </c>
      <c r="T5" s="834">
        <v>14</v>
      </c>
      <c r="U5" s="834">
        <v>15</v>
      </c>
      <c r="V5" s="834">
        <v>16</v>
      </c>
      <c r="W5" s="834">
        <v>17</v>
      </c>
      <c r="X5" s="834">
        <v>18</v>
      </c>
      <c r="Y5" s="834">
        <v>19</v>
      </c>
      <c r="Z5" s="834">
        <v>20</v>
      </c>
      <c r="AA5" s="834">
        <v>21</v>
      </c>
      <c r="AB5" s="834">
        <v>22</v>
      </c>
      <c r="AC5" s="834">
        <v>23</v>
      </c>
      <c r="AD5" s="834">
        <v>24</v>
      </c>
      <c r="AE5" s="834">
        <v>25</v>
      </c>
      <c r="AF5" s="834">
        <v>26</v>
      </c>
      <c r="AG5" s="834">
        <v>27</v>
      </c>
      <c r="AH5" s="834">
        <v>28</v>
      </c>
      <c r="AI5" s="834">
        <v>29</v>
      </c>
      <c r="AJ5" s="834">
        <v>30</v>
      </c>
      <c r="AK5" s="834">
        <v>31</v>
      </c>
      <c r="AL5" s="834">
        <v>32</v>
      </c>
      <c r="AM5" s="834">
        <v>33</v>
      </c>
      <c r="AN5" s="834">
        <v>34</v>
      </c>
      <c r="AO5" s="834">
        <v>35</v>
      </c>
      <c r="AP5" s="834">
        <v>36</v>
      </c>
      <c r="AQ5" s="835"/>
      <c r="AR5" s="826" t="s">
        <v>1667</v>
      </c>
      <c r="AS5" s="826" t="s">
        <v>1668</v>
      </c>
      <c r="AT5" s="836"/>
      <c r="AU5" s="835"/>
      <c r="AV5" s="835"/>
      <c r="AW5" s="835"/>
      <c r="AX5" s="832">
        <v>1</v>
      </c>
      <c r="AZ5" s="500" t="s">
        <v>1669</v>
      </c>
      <c r="BA5" s="833">
        <v>2</v>
      </c>
      <c r="BB5" s="833" t="s">
        <v>1670</v>
      </c>
      <c r="BC5" s="827">
        <v>43678</v>
      </c>
      <c r="BD5" s="828">
        <f t="shared" ref="BD5:BD10" si="0">0.05+BD4</f>
        <v>0.1</v>
      </c>
    </row>
    <row r="6" spans="1:64" ht="14.4">
      <c r="C6" s="1095"/>
      <c r="D6" s="1095"/>
      <c r="E6" s="1095"/>
      <c r="F6" s="1095"/>
      <c r="G6" s="837">
        <f>B4</f>
        <v>44075</v>
      </c>
      <c r="H6" s="837">
        <f t="shared" ref="H6:AP6" si="1">IF(MONTH(G6)=12,DATE(YEAR(G6)+1,1,1),DATE(YEAR(G6),MONTH(G6)+1,1))</f>
        <v>44105</v>
      </c>
      <c r="I6" s="837">
        <f t="shared" si="1"/>
        <v>44136</v>
      </c>
      <c r="J6" s="837">
        <f t="shared" si="1"/>
        <v>44166</v>
      </c>
      <c r="K6" s="837">
        <f t="shared" si="1"/>
        <v>44197</v>
      </c>
      <c r="L6" s="837">
        <f t="shared" si="1"/>
        <v>44228</v>
      </c>
      <c r="M6" s="837">
        <f t="shared" si="1"/>
        <v>44256</v>
      </c>
      <c r="N6" s="837">
        <f t="shared" si="1"/>
        <v>44287</v>
      </c>
      <c r="O6" s="837">
        <f t="shared" si="1"/>
        <v>44317</v>
      </c>
      <c r="P6" s="837">
        <f t="shared" si="1"/>
        <v>44348</v>
      </c>
      <c r="Q6" s="837">
        <f t="shared" si="1"/>
        <v>44378</v>
      </c>
      <c r="R6" s="837">
        <f t="shared" si="1"/>
        <v>44409</v>
      </c>
      <c r="S6" s="837">
        <f t="shared" si="1"/>
        <v>44440</v>
      </c>
      <c r="T6" s="837">
        <f t="shared" si="1"/>
        <v>44470</v>
      </c>
      <c r="U6" s="837">
        <f t="shared" si="1"/>
        <v>44501</v>
      </c>
      <c r="V6" s="837">
        <f t="shared" si="1"/>
        <v>44531</v>
      </c>
      <c r="W6" s="837">
        <f t="shared" si="1"/>
        <v>44562</v>
      </c>
      <c r="X6" s="837">
        <f t="shared" si="1"/>
        <v>44593</v>
      </c>
      <c r="Y6" s="837">
        <f t="shared" si="1"/>
        <v>44621</v>
      </c>
      <c r="Z6" s="837">
        <f t="shared" si="1"/>
        <v>44652</v>
      </c>
      <c r="AA6" s="837">
        <f t="shared" si="1"/>
        <v>44682</v>
      </c>
      <c r="AB6" s="837">
        <f t="shared" si="1"/>
        <v>44713</v>
      </c>
      <c r="AC6" s="837">
        <f t="shared" si="1"/>
        <v>44743</v>
      </c>
      <c r="AD6" s="837">
        <f t="shared" si="1"/>
        <v>44774</v>
      </c>
      <c r="AE6" s="837">
        <f t="shared" si="1"/>
        <v>44805</v>
      </c>
      <c r="AF6" s="837">
        <f t="shared" si="1"/>
        <v>44835</v>
      </c>
      <c r="AG6" s="837">
        <f t="shared" si="1"/>
        <v>44866</v>
      </c>
      <c r="AH6" s="837">
        <f t="shared" si="1"/>
        <v>44896</v>
      </c>
      <c r="AI6" s="837">
        <f t="shared" si="1"/>
        <v>44927</v>
      </c>
      <c r="AJ6" s="837">
        <f t="shared" si="1"/>
        <v>44958</v>
      </c>
      <c r="AK6" s="837">
        <f t="shared" si="1"/>
        <v>44986</v>
      </c>
      <c r="AL6" s="837">
        <f t="shared" si="1"/>
        <v>45017</v>
      </c>
      <c r="AM6" s="837">
        <f t="shared" si="1"/>
        <v>45047</v>
      </c>
      <c r="AN6" s="837">
        <f t="shared" si="1"/>
        <v>45078</v>
      </c>
      <c r="AO6" s="837">
        <f t="shared" si="1"/>
        <v>45108</v>
      </c>
      <c r="AP6" s="837">
        <f t="shared" si="1"/>
        <v>45139</v>
      </c>
      <c r="AQ6" s="835"/>
      <c r="AR6" s="835"/>
      <c r="AS6" s="835"/>
      <c r="AT6" s="836"/>
      <c r="AU6" s="835"/>
      <c r="AV6" s="835"/>
      <c r="AW6" s="835"/>
      <c r="AX6" s="832">
        <v>2</v>
      </c>
      <c r="BA6" s="833">
        <v>3</v>
      </c>
      <c r="BB6" s="833" t="s">
        <v>1671</v>
      </c>
      <c r="BC6" s="827">
        <v>43709</v>
      </c>
      <c r="BD6" s="828">
        <f t="shared" si="0"/>
        <v>0.15000000000000002</v>
      </c>
      <c r="BE6" s="835"/>
      <c r="BF6" s="835"/>
      <c r="BG6" s="835"/>
      <c r="BH6" s="835"/>
      <c r="BI6" s="835"/>
      <c r="BJ6" s="835"/>
      <c r="BK6" s="835"/>
      <c r="BL6" s="835"/>
    </row>
    <row r="7" spans="1:64" ht="24.75" customHeight="1">
      <c r="B7" s="1096" t="s">
        <v>1672</v>
      </c>
      <c r="C7" s="1096"/>
      <c r="D7" s="1096"/>
      <c r="E7" s="1096"/>
      <c r="F7" s="1096"/>
      <c r="G7" s="838">
        <f t="shared" ref="G7:AP7" ca="1" si="2">SUM(G8:G17)</f>
        <v>174972.27322283998</v>
      </c>
      <c r="H7" s="838">
        <f t="shared" ca="1" si="2"/>
        <v>24718.807375694996</v>
      </c>
      <c r="I7" s="838">
        <f t="shared" ca="1" si="2"/>
        <v>0</v>
      </c>
      <c r="J7" s="838">
        <f t="shared" si="2"/>
        <v>0</v>
      </c>
      <c r="K7" s="838">
        <f t="shared" ca="1" si="2"/>
        <v>8239.6024585649957</v>
      </c>
      <c r="L7" s="838">
        <f t="shared" ca="1" si="2"/>
        <v>0</v>
      </c>
      <c r="M7" s="838">
        <f t="shared" si="2"/>
        <v>0</v>
      </c>
      <c r="N7" s="838">
        <f t="shared" si="2"/>
        <v>0</v>
      </c>
      <c r="O7" s="838">
        <f t="shared" si="2"/>
        <v>0</v>
      </c>
      <c r="P7" s="838">
        <f t="shared" si="2"/>
        <v>0</v>
      </c>
      <c r="Q7" s="838">
        <f t="shared" si="2"/>
        <v>0</v>
      </c>
      <c r="R7" s="838">
        <f t="shared" si="2"/>
        <v>0</v>
      </c>
      <c r="S7" s="838">
        <f t="shared" si="2"/>
        <v>0</v>
      </c>
      <c r="T7" s="838">
        <f t="shared" si="2"/>
        <v>0</v>
      </c>
      <c r="U7" s="838">
        <f t="shared" si="2"/>
        <v>0</v>
      </c>
      <c r="V7" s="838">
        <f t="shared" si="2"/>
        <v>0</v>
      </c>
      <c r="W7" s="838">
        <f t="shared" si="2"/>
        <v>0</v>
      </c>
      <c r="X7" s="838">
        <f t="shared" si="2"/>
        <v>0</v>
      </c>
      <c r="Y7" s="838">
        <f t="shared" si="2"/>
        <v>0</v>
      </c>
      <c r="Z7" s="838">
        <f t="shared" si="2"/>
        <v>0</v>
      </c>
      <c r="AA7" s="838">
        <f t="shared" si="2"/>
        <v>0</v>
      </c>
      <c r="AB7" s="838">
        <f t="shared" si="2"/>
        <v>0</v>
      </c>
      <c r="AC7" s="838">
        <f t="shared" si="2"/>
        <v>0</v>
      </c>
      <c r="AD7" s="838">
        <f t="shared" si="2"/>
        <v>0</v>
      </c>
      <c r="AE7" s="838">
        <f t="shared" si="2"/>
        <v>0</v>
      </c>
      <c r="AF7" s="838">
        <f t="shared" si="2"/>
        <v>0</v>
      </c>
      <c r="AG7" s="838">
        <f t="shared" si="2"/>
        <v>0</v>
      </c>
      <c r="AH7" s="838">
        <f t="shared" si="2"/>
        <v>0</v>
      </c>
      <c r="AI7" s="838">
        <f t="shared" si="2"/>
        <v>0</v>
      </c>
      <c r="AJ7" s="838">
        <f t="shared" si="2"/>
        <v>20746.797600000002</v>
      </c>
      <c r="AK7" s="838">
        <f t="shared" si="2"/>
        <v>0</v>
      </c>
      <c r="AL7" s="838">
        <f t="shared" si="2"/>
        <v>0</v>
      </c>
      <c r="AM7" s="838">
        <f t="shared" si="2"/>
        <v>0</v>
      </c>
      <c r="AN7" s="838">
        <f t="shared" si="2"/>
        <v>0</v>
      </c>
      <c r="AO7" s="838">
        <f t="shared" si="2"/>
        <v>0</v>
      </c>
      <c r="AP7" s="838">
        <f t="shared" si="2"/>
        <v>0</v>
      </c>
      <c r="AT7" s="836"/>
      <c r="AX7" s="832">
        <v>3</v>
      </c>
      <c r="BA7" s="833">
        <v>4</v>
      </c>
      <c r="BB7" s="833" t="s">
        <v>1673</v>
      </c>
      <c r="BC7" s="827">
        <v>43739</v>
      </c>
      <c r="BD7" s="828">
        <f t="shared" si="0"/>
        <v>0.2</v>
      </c>
    </row>
    <row r="8" spans="1:64" ht="21.6" customHeight="1">
      <c r="B8" s="839" t="s">
        <v>1674</v>
      </c>
      <c r="C8" s="840">
        <v>18</v>
      </c>
      <c r="D8" s="841" t="s">
        <v>1675</v>
      </c>
      <c r="E8" s="842"/>
      <c r="F8" s="842"/>
      <c r="G8" s="843">
        <f>IF($C$8&lt;13,IF(AND($C$8&lt;=G5,MOD(G5-$C$8,12)=0),SIG!$E$8,0),0)</f>
        <v>0</v>
      </c>
      <c r="H8" s="843">
        <f>IF($C$8&lt;13,IF(AND($C$8&lt;=H5,MOD(H5-$C$8,12)=0),SIG!$E$8,0),0)</f>
        <v>0</v>
      </c>
      <c r="I8" s="843">
        <f>IF($C$8&lt;13,IF(AND($C$8&lt;=I5,MOD(I5-$C$8,12)=0),SIG!$E$8,0),0)</f>
        <v>0</v>
      </c>
      <c r="J8" s="843">
        <f>IF($C$8&lt;13,IF(AND($C$8&lt;=J5,MOD(J5-$C$8,12)=0),SIG!$E$8,0),0)</f>
        <v>0</v>
      </c>
      <c r="K8" s="843">
        <f>IF($C$8&lt;13,IF(AND($C$8&lt;=K5,MOD(K5-$C$8,12)=0),SIG!$E$8,0),0)</f>
        <v>0</v>
      </c>
      <c r="L8" s="843">
        <f>IF($C$8&lt;13,IF(AND($C$8&lt;=L5,MOD(L5-$C$8,12)=0),SIG!$E$8,0),0)</f>
        <v>0</v>
      </c>
      <c r="M8" s="843">
        <f>IF($C$8&lt;13,IF(AND($C$8&lt;=M5,MOD(M5-$C$8,12)=0),SIG!$E$8,0),0)</f>
        <v>0</v>
      </c>
      <c r="N8" s="843">
        <f>IF($C$8&lt;13,IF(AND($C$8&lt;=N5,MOD(N5-$C$8,12)=0),SIG!$E$8,0),0)</f>
        <v>0</v>
      </c>
      <c r="O8" s="843">
        <f>IF($C$8&lt;13,IF(AND($C$8&lt;=O5,MOD(O5-$C$8,12)=0),SIG!$E$8,0),0)</f>
        <v>0</v>
      </c>
      <c r="P8" s="843">
        <f>IF($C$8&lt;13,IF(AND($C$8&lt;=P5,MOD(P5-$C$8,12)=0),SIG!$E$8,0),0)</f>
        <v>0</v>
      </c>
      <c r="Q8" s="843">
        <f>IF($C$8&lt;13,IF(AND($C$8&lt;=Q5,MOD(Q5-$C$8,12)=0),SIG!$E$8,0),0)</f>
        <v>0</v>
      </c>
      <c r="R8" s="843">
        <f>IF($C$8&lt;13,IF(AND($C$8&lt;=R5,MOD(R5-$C$8,12)=0),SIG!$E$8,0),0)</f>
        <v>0</v>
      </c>
      <c r="S8" s="844">
        <f>IF($C$8&lt;13,IF(AND($C$8&lt;=S5,MOD(S5-$C$8,12)=0),SIG!$F$8,0),IF(AND($C$8&gt;12,$C$8&lt;25),IF(AND($C$8&lt;=S5,MOD(S5-$C$8,12)=0),SIG!$E$8,0),0))</f>
        <v>0</v>
      </c>
      <c r="T8" s="844">
        <f>IF($C$8&lt;13,IF(AND($C$8&lt;=T5,MOD(T5-$C$8,12)=0),SIG!$F$8,0),IF(AND($C$8&gt;12,$C$8&lt;25),IF(AND($C$8&lt;=T5,MOD(T5-$C$8,12)=0),SIG!$E$8,0),0))</f>
        <v>0</v>
      </c>
      <c r="U8" s="844">
        <f>IF($C$8&lt;13,IF(AND($C$8&lt;=U5,MOD(U5-$C$8,12)=0),SIG!$F$8,0),IF(AND($C$8&gt;12,$C$8&lt;25),IF(AND($C$8&lt;=U5,MOD(U5-$C$8,12)=0),SIG!$E$8,0),0))</f>
        <v>0</v>
      </c>
      <c r="V8" s="844">
        <f>IF($C$8&lt;13,IF(AND($C$8&lt;=V5,MOD(V5-$C$8,12)=0),SIG!$F$8,0),IF(AND($C$8&gt;12,$C$8&lt;25),IF(AND($C$8&lt;=V5,MOD(V5-$C$8,12)=0),SIG!$E$8,0),0))</f>
        <v>0</v>
      </c>
      <c r="W8" s="844">
        <f>IF($C$8&lt;13,IF(AND($C$8&lt;=W5,MOD(W5-$C$8,12)=0),SIG!$F$8,0),IF(AND($C$8&gt;12,$C$8&lt;25),IF(AND($C$8&lt;=W5,MOD(W5-$C$8,12)=0),SIG!$E$8,0),0))</f>
        <v>0</v>
      </c>
      <c r="X8" s="844">
        <f>IF($C$8&lt;13,IF(AND($C$8&lt;=X5,MOD(X5-$C$8,12)=0),SIG!$F$8,0),IF(AND($C$8&gt;12,$C$8&lt;25),IF(AND($C$8&lt;=X5,MOD(X5-$C$8,12)=0),SIG!$E$8,0),0))</f>
        <v>0</v>
      </c>
      <c r="Y8" s="844">
        <f>IF($C$8&lt;13,IF(AND($C$8&lt;=Y5,MOD(Y5-$C$8,12)=0),SIG!$F$8,0),IF(AND($C$8&gt;12,$C$8&lt;25),IF(AND($C$8&lt;=Y5,MOD(Y5-$C$8,12)=0),SIG!$E$8,0),0))</f>
        <v>0</v>
      </c>
      <c r="Z8" s="844">
        <f>IF($C$8&lt;13,IF(AND($C$8&lt;=Z5,MOD(Z5-$C$8,12)=0),SIG!$F$8,0),IF(AND($C$8&gt;12,$C$8&lt;25),IF(AND($C$8&lt;=Z5,MOD(Z5-$C$8,12)=0),SIG!$E$8,0),0))</f>
        <v>0</v>
      </c>
      <c r="AA8" s="844">
        <f>IF($C$8&lt;13,IF(AND($C$8&lt;=AA5,MOD(AA5-$C$8,12)=0),SIG!$F$8,0),IF(AND($C$8&gt;12,$C$8&lt;25),IF(AND($C$8&lt;=AA5,MOD(AA5-$C$8,12)=0),SIG!$E$8,0),0))</f>
        <v>0</v>
      </c>
      <c r="AB8" s="844">
        <f>IF($C$8&lt;13,IF(AND($C$8&lt;=AB5,MOD(AB5-$C$8,12)=0),SIG!$F$8,0),IF(AND($C$8&gt;12,$C$8&lt;25),IF(AND($C$8&lt;=AB5,MOD(AB5-$C$8,12)=0),SIG!$E$8,0),0))</f>
        <v>0</v>
      </c>
      <c r="AC8" s="844">
        <f>IF($C$8&lt;13,IF(AND($C$8&lt;=AC5,MOD(AC5-$C$8,12)=0),SIG!$F$8,0),IF(AND($C$8&gt;12,$C$8&lt;25),IF(AND($C$8&lt;=AC5,MOD(AC5-$C$8,12)=0),SIG!$E$8,0),0))</f>
        <v>0</v>
      </c>
      <c r="AD8" s="844">
        <f>IF($C$8&lt;13,IF(AND($C$8&lt;=AD5,MOD(AD5-$C$8,12)=0),SIG!$F$8,0),IF(AND($C$8&gt;12,$C$8&lt;25),IF(AND($C$8&lt;=AD5,MOD(AD5-$C$8,12)=0),SIG!$E$8,0),0))</f>
        <v>0</v>
      </c>
      <c r="AE8" s="844">
        <f>IF($C$8&lt;13,IF(AND($C$8&lt;=AE5,MOD(AE5-$C$8,12)=0),SIG!$G$8,0),IF(AND($C$8&gt;12,$C$8&lt;25),IF(AND($C$8&lt;=AE5,MOD(AE5-$C$8,12)=0),SIG!$F$8,0),IF(AND($C$8&lt;=AE5,MOD(AE5-$C$8,12)=0),SIG!$E$8,0)))</f>
        <v>0</v>
      </c>
      <c r="AF8" s="844">
        <f>IF($C$8&lt;13,IF(AND($C$8&lt;=AF5,MOD(AF5-$C$8,12)=0),SIG!$G$8,0),IF(AND($C$8&gt;12,$C$8&lt;25),IF(AND($C$8&lt;=AF5,MOD(AF5-$C$8,12)=0),SIG!$F$8,0),IF(AND($C$8&lt;=AF5,MOD(AF5-$C$8,12)=0),SIG!$E$8,0)))</f>
        <v>0</v>
      </c>
      <c r="AG8" s="844">
        <f>IF($C$8&lt;13,IF(AND($C$8&lt;=AG5,MOD(AG5-$C$8,12)=0),SIG!$G$8,0),IF(AND($C$8&gt;12,$C$8&lt;25),IF(AND($C$8&lt;=AG5,MOD(AG5-$C$8,12)=0),SIG!$F$8,0),IF(AND($C$8&lt;=AG5,MOD(AG5-$C$8,12)=0),SIG!$E$8,0)))</f>
        <v>0</v>
      </c>
      <c r="AH8" s="844">
        <f>IF($C$8&lt;13,IF(AND($C$8&lt;=AH5,MOD(AH5-$C$8,12)=0),SIG!$G$8,0),IF(AND($C$8&gt;12,$C$8&lt;25),IF(AND($C$8&lt;=AH5,MOD(AH5-$C$8,12)=0),SIG!$F$8,0),IF(AND($C$8&lt;=AH5,MOD(AH5-$C$8,12)=0),SIG!$E$8,0)))</f>
        <v>0</v>
      </c>
      <c r="AI8" s="844">
        <f>IF($C$8&lt;13,IF(AND($C$8&lt;=AI5,MOD(AI5-$C$8,12)=0),SIG!$G$8,0),IF(AND($C$8&gt;12,$C$8&lt;25),IF(AND($C$8&lt;=AI5,MOD(AI5-$C$8,12)=0),SIG!$F$8,0),IF(AND($C$8&lt;=AI5,MOD(AI5-$C$8,12)=0),SIG!$E$8,0)))</f>
        <v>0</v>
      </c>
      <c r="AJ8" s="844">
        <f>IF($C$8&lt;13,IF(AND($C$8&lt;=AJ5,MOD(AJ5-$C$8,12)=0),SIG!$G$8,0),IF(AND($C$8&gt;12,$C$8&lt;25),IF(AND($C$8&lt;=AJ5,MOD(AJ5-$C$8,12)=0),SIG!$F$8,0),IF(AND($C$8&lt;=AJ5,MOD(AJ5-$C$8,12)=0),SIG!$E$8,0)))</f>
        <v>20746.797600000002</v>
      </c>
      <c r="AK8" s="844">
        <f>IF($C$8&lt;13,IF(AND($C$8&lt;=AK5,MOD(AK5-$C$8,12)=0),SIG!$G$8,0),IF(AND($C$8&gt;12,$C$8&lt;25),IF(AND($C$8&lt;=AK5,MOD(AK5-$C$8,12)=0),SIG!$F$8,0),IF(AND($C$8&lt;=AK5,MOD(AK5-$C$8,12)=0),SIG!$E$8,0)))</f>
        <v>0</v>
      </c>
      <c r="AL8" s="844">
        <f>IF($C$8&lt;13,IF(AND($C$8&lt;=AL5,MOD(AL5-$C$8,12)=0),SIG!$G$8,0),IF(AND($C$8&gt;12,$C$8&lt;25),IF(AND($C$8&lt;=AL5,MOD(AL5-$C$8,12)=0),SIG!$F$8,0),IF(AND($C$8&lt;=AL5,MOD(AL5-$C$8,12)=0),SIG!$E$8,0)))</f>
        <v>0</v>
      </c>
      <c r="AM8" s="844">
        <f>IF($C$8&lt;13,IF(AND($C$8&lt;=AM5,MOD(AM5-$C$8,12)=0),SIG!$G$8,0),IF(AND($C$8&gt;12,$C$8&lt;25),IF(AND($C$8&lt;=AM5,MOD(AM5-$C$8,12)=0),SIG!$F$8,0),IF(AND($C$8&lt;=AM5,MOD(AM5-$C$8,12)=0),SIG!$E$8,0)))</f>
        <v>0</v>
      </c>
      <c r="AN8" s="844">
        <f>IF($C$8&lt;13,IF(AND($C$8&lt;=AN5,MOD(AN5-$C$8,12)=0),SIG!$G$8,0),IF(AND($C$8&gt;12,$C$8&lt;25),IF(AND($C$8&lt;=AN5,MOD(AN5-$C$8,12)=0),SIG!$F$8,0),IF(AND($C$8&lt;=AN5,MOD(AN5-$C$8,12)=0),SIG!$E$8,0)))</f>
        <v>0</v>
      </c>
      <c r="AO8" s="844">
        <f>IF($C$8&lt;13,IF(AND($C$8&lt;=AO5,MOD(AO5-$C$8,12)=0),SIG!$G$8,0),IF(AND($C$8&gt;12,$C$8&lt;25),IF(AND($C$8&lt;=AO5,MOD(AO5-$C$8,12)=0),SIG!$F$8,0),IF(AND($C$8&lt;=AO5,MOD(AO5-$C$8,12)=0),SIG!$E$8,0)))</f>
        <v>0</v>
      </c>
      <c r="AP8" s="844">
        <f>IF($C$8&lt;13,IF(AND($C$8&lt;=AP5,MOD(AP5-$C$8,12)=0),SIG!$G$8,0),IF(AND($C$8&gt;12,$C$8&lt;25),IF(AND($C$8&lt;=AP5,MOD(AP5-$C$8,12)=0),SIG!$F$8,0),IF(AND($C$8&lt;=AP5,MOD(AP5-$C$8,12)=0),SIG!$E$8,0)))</f>
        <v>0</v>
      </c>
      <c r="AR8" s="843">
        <f>SUM(G8:AP8)</f>
        <v>20746.797600000002</v>
      </c>
      <c r="AS8" s="843">
        <f>IF(C8&gt;24,Ana_eco!T23*Ana_eco!C22,IF(C8&gt;12,Ana_eco!T23*Ana_eco!C22*(1+(1-perte_prod)*(1+tx_actualisation_tarif)),Ana_eco!T23*Ana_eco!C22*(1+(1-perte_prod)*(1+tx_actualisation_tarif)+((1-perte_prod)^2)*(1+tx_actualisation_tarif)^2)))</f>
        <v>41451.375466883997</v>
      </c>
      <c r="AT8" s="845" t="str">
        <f t="shared" ref="AT8:AT9" si="3">IF(AS8=AR8,"OK","PB")</f>
        <v>PB</v>
      </c>
      <c r="AX8" s="832">
        <v>4</v>
      </c>
      <c r="BA8" s="833">
        <v>5</v>
      </c>
      <c r="BB8" s="833" t="s">
        <v>1676</v>
      </c>
      <c r="BC8" s="827">
        <v>43770</v>
      </c>
      <c r="BD8" s="828">
        <f t="shared" si="0"/>
        <v>0.25</v>
      </c>
    </row>
    <row r="9" spans="1:64" ht="14.4">
      <c r="B9" s="839" t="s">
        <v>1677</v>
      </c>
      <c r="C9" s="840">
        <v>1</v>
      </c>
      <c r="D9" s="842"/>
      <c r="E9" s="842"/>
      <c r="F9" s="842"/>
      <c r="G9" s="843">
        <f t="shared" ref="G9:AP9" si="4">IF(G5=$C$9,fonds_propres,0)</f>
        <v>153000</v>
      </c>
      <c r="H9" s="843">
        <f t="shared" si="4"/>
        <v>0</v>
      </c>
      <c r="I9" s="843">
        <f t="shared" si="4"/>
        <v>0</v>
      </c>
      <c r="J9" s="843">
        <f t="shared" si="4"/>
        <v>0</v>
      </c>
      <c r="K9" s="843">
        <f t="shared" si="4"/>
        <v>0</v>
      </c>
      <c r="L9" s="843">
        <f t="shared" si="4"/>
        <v>0</v>
      </c>
      <c r="M9" s="843">
        <f t="shared" si="4"/>
        <v>0</v>
      </c>
      <c r="N9" s="843">
        <f t="shared" si="4"/>
        <v>0</v>
      </c>
      <c r="O9" s="843">
        <f t="shared" si="4"/>
        <v>0</v>
      </c>
      <c r="P9" s="843">
        <f t="shared" si="4"/>
        <v>0</v>
      </c>
      <c r="Q9" s="843">
        <f t="shared" si="4"/>
        <v>0</v>
      </c>
      <c r="R9" s="843">
        <f t="shared" si="4"/>
        <v>0</v>
      </c>
      <c r="S9" s="843">
        <f t="shared" si="4"/>
        <v>0</v>
      </c>
      <c r="T9" s="843">
        <f t="shared" si="4"/>
        <v>0</v>
      </c>
      <c r="U9" s="843">
        <f t="shared" si="4"/>
        <v>0</v>
      </c>
      <c r="V9" s="843">
        <f t="shared" si="4"/>
        <v>0</v>
      </c>
      <c r="W9" s="843">
        <f t="shared" si="4"/>
        <v>0</v>
      </c>
      <c r="X9" s="843">
        <f t="shared" si="4"/>
        <v>0</v>
      </c>
      <c r="Y9" s="843">
        <f t="shared" si="4"/>
        <v>0</v>
      </c>
      <c r="Z9" s="843">
        <f t="shared" si="4"/>
        <v>0</v>
      </c>
      <c r="AA9" s="843">
        <f t="shared" si="4"/>
        <v>0</v>
      </c>
      <c r="AB9" s="843">
        <f t="shared" si="4"/>
        <v>0</v>
      </c>
      <c r="AC9" s="843">
        <f t="shared" si="4"/>
        <v>0</v>
      </c>
      <c r="AD9" s="843">
        <f t="shared" si="4"/>
        <v>0</v>
      </c>
      <c r="AE9" s="843">
        <f t="shared" si="4"/>
        <v>0</v>
      </c>
      <c r="AF9" s="843">
        <f t="shared" si="4"/>
        <v>0</v>
      </c>
      <c r="AG9" s="843">
        <f t="shared" si="4"/>
        <v>0</v>
      </c>
      <c r="AH9" s="843">
        <f t="shared" si="4"/>
        <v>0</v>
      </c>
      <c r="AI9" s="843">
        <f t="shared" si="4"/>
        <v>0</v>
      </c>
      <c r="AJ9" s="843">
        <f t="shared" si="4"/>
        <v>0</v>
      </c>
      <c r="AK9" s="843">
        <f t="shared" si="4"/>
        <v>0</v>
      </c>
      <c r="AL9" s="843">
        <f t="shared" si="4"/>
        <v>0</v>
      </c>
      <c r="AM9" s="843">
        <f t="shared" si="4"/>
        <v>0</v>
      </c>
      <c r="AN9" s="843">
        <f t="shared" si="4"/>
        <v>0</v>
      </c>
      <c r="AO9" s="843">
        <f t="shared" si="4"/>
        <v>0</v>
      </c>
      <c r="AP9" s="843">
        <f t="shared" si="4"/>
        <v>0</v>
      </c>
      <c r="AR9" s="843">
        <f>SUM(G9:R9)</f>
        <v>153000</v>
      </c>
      <c r="AS9" s="826">
        <f>fonds_propres</f>
        <v>153000</v>
      </c>
      <c r="AT9" s="845" t="str">
        <f t="shared" si="3"/>
        <v>OK</v>
      </c>
      <c r="AX9" s="832">
        <v>5</v>
      </c>
      <c r="BA9" s="833">
        <v>6</v>
      </c>
      <c r="BB9" s="833" t="s">
        <v>1678</v>
      </c>
      <c r="BC9" s="827">
        <v>43800</v>
      </c>
      <c r="BD9" s="828">
        <f t="shared" si="0"/>
        <v>0.3</v>
      </c>
    </row>
    <row r="10" spans="1:64" ht="14.4" customHeight="1">
      <c r="B10" s="1088" t="s">
        <v>1679</v>
      </c>
      <c r="C10" s="846">
        <v>0.4</v>
      </c>
      <c r="D10" s="846">
        <v>0.45</v>
      </c>
      <c r="E10" s="847">
        <f>1-C10-D10</f>
        <v>0.14999999999999997</v>
      </c>
      <c r="F10" s="842"/>
      <c r="G10" s="1089">
        <f t="shared" ref="G10:AP10" ca="1" si="5">IF(G5=$C$11,dette,0)*$C$10+IF(G5=$D$11,dette,0)*$D$10+IF(G5=$E$11,dette,0)*$E$10</f>
        <v>21972.273222839998</v>
      </c>
      <c r="H10" s="1089">
        <f t="shared" ca="1" si="5"/>
        <v>24718.807375694996</v>
      </c>
      <c r="I10" s="1089">
        <f t="shared" si="5"/>
        <v>0</v>
      </c>
      <c r="J10" s="1089">
        <f t="shared" si="5"/>
        <v>0</v>
      </c>
      <c r="K10" s="1089">
        <f t="shared" ca="1" si="5"/>
        <v>8239.6024585649957</v>
      </c>
      <c r="L10" s="1089">
        <f t="shared" si="5"/>
        <v>0</v>
      </c>
      <c r="M10" s="1089">
        <f t="shared" si="5"/>
        <v>0</v>
      </c>
      <c r="N10" s="1089">
        <f t="shared" si="5"/>
        <v>0</v>
      </c>
      <c r="O10" s="1089">
        <f t="shared" si="5"/>
        <v>0</v>
      </c>
      <c r="P10" s="1089">
        <f t="shared" si="5"/>
        <v>0</v>
      </c>
      <c r="Q10" s="1089">
        <f t="shared" si="5"/>
        <v>0</v>
      </c>
      <c r="R10" s="1089">
        <f t="shared" si="5"/>
        <v>0</v>
      </c>
      <c r="S10" s="1089">
        <f t="shared" si="5"/>
        <v>0</v>
      </c>
      <c r="T10" s="1089">
        <f t="shared" si="5"/>
        <v>0</v>
      </c>
      <c r="U10" s="1089">
        <f t="shared" si="5"/>
        <v>0</v>
      </c>
      <c r="V10" s="1089">
        <f t="shared" si="5"/>
        <v>0</v>
      </c>
      <c r="W10" s="1089">
        <f t="shared" si="5"/>
        <v>0</v>
      </c>
      <c r="X10" s="1089">
        <f t="shared" si="5"/>
        <v>0</v>
      </c>
      <c r="Y10" s="1089">
        <f t="shared" si="5"/>
        <v>0</v>
      </c>
      <c r="Z10" s="1089">
        <f t="shared" si="5"/>
        <v>0</v>
      </c>
      <c r="AA10" s="1089">
        <f t="shared" si="5"/>
        <v>0</v>
      </c>
      <c r="AB10" s="1089">
        <f t="shared" si="5"/>
        <v>0</v>
      </c>
      <c r="AC10" s="1089">
        <f t="shared" si="5"/>
        <v>0</v>
      </c>
      <c r="AD10" s="1089">
        <f t="shared" si="5"/>
        <v>0</v>
      </c>
      <c r="AE10" s="1089">
        <f t="shared" si="5"/>
        <v>0</v>
      </c>
      <c r="AF10" s="1089">
        <f t="shared" si="5"/>
        <v>0</v>
      </c>
      <c r="AG10" s="1089">
        <f t="shared" si="5"/>
        <v>0</v>
      </c>
      <c r="AH10" s="1089">
        <f t="shared" si="5"/>
        <v>0</v>
      </c>
      <c r="AI10" s="1089">
        <f t="shared" si="5"/>
        <v>0</v>
      </c>
      <c r="AJ10" s="1089">
        <f t="shared" si="5"/>
        <v>0</v>
      </c>
      <c r="AK10" s="1089">
        <f t="shared" si="5"/>
        <v>0</v>
      </c>
      <c r="AL10" s="1089">
        <f t="shared" si="5"/>
        <v>0</v>
      </c>
      <c r="AM10" s="1089">
        <f t="shared" si="5"/>
        <v>0</v>
      </c>
      <c r="AN10" s="1089">
        <f t="shared" si="5"/>
        <v>0</v>
      </c>
      <c r="AO10" s="1089">
        <f t="shared" si="5"/>
        <v>0</v>
      </c>
      <c r="AP10" s="1089">
        <f t="shared" si="5"/>
        <v>0</v>
      </c>
      <c r="AQ10" s="848"/>
      <c r="AR10" s="1087">
        <f ca="1">SUM(G10:R11)</f>
        <v>54930.683057099988</v>
      </c>
      <c r="AS10" s="1087">
        <f ca="1">Ana_eco!B44</f>
        <v>54930.683057099988</v>
      </c>
      <c r="AT10" s="845" t="str">
        <f t="shared" ref="AT10:AT17" ca="1" si="6">IF(AS10=AR10,"OK","PB")</f>
        <v>OK</v>
      </c>
      <c r="AX10" s="832">
        <v>6</v>
      </c>
      <c r="BA10" s="833">
        <v>7</v>
      </c>
      <c r="BB10" s="833" t="s">
        <v>1680</v>
      </c>
      <c r="BC10" s="827">
        <v>43831</v>
      </c>
      <c r="BD10" s="828">
        <f t="shared" si="0"/>
        <v>0.35</v>
      </c>
    </row>
    <row r="11" spans="1:64" ht="14.4">
      <c r="B11" s="1088"/>
      <c r="C11" s="849">
        <v>1</v>
      </c>
      <c r="D11" s="849">
        <v>2</v>
      </c>
      <c r="E11" s="849">
        <v>5</v>
      </c>
      <c r="F11" s="842"/>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R11" s="1087"/>
      <c r="AS11" s="1087"/>
      <c r="AT11" s="845" t="str">
        <f t="shared" si="6"/>
        <v>OK</v>
      </c>
      <c r="AX11" s="832">
        <v>7</v>
      </c>
      <c r="BA11" s="833">
        <v>8</v>
      </c>
      <c r="BB11" s="833" t="s">
        <v>1681</v>
      </c>
      <c r="BC11" s="827">
        <v>43862</v>
      </c>
      <c r="BD11" s="828">
        <f t="shared" ref="BD11:BD13" si="7">0.05+BD10</f>
        <v>0.39999999999999997</v>
      </c>
    </row>
    <row r="12" spans="1:64" ht="14.4" customHeight="1">
      <c r="B12" s="1088" t="s">
        <v>1682</v>
      </c>
      <c r="C12" s="846"/>
      <c r="D12" s="846"/>
      <c r="E12" s="847">
        <f>1-D12-C12</f>
        <v>1</v>
      </c>
      <c r="F12" s="842"/>
      <c r="G12" s="1089">
        <f t="shared" ref="G12:AP12" si="8">IF(G5=$C$13,avances_remboursables,0)*$C$12+IF(G5=$D$13,avances_remboursables,0)*$D$12+IF(G5=$E$13,avances_remboursables,0)*$E$12</f>
        <v>0</v>
      </c>
      <c r="H12" s="1089">
        <f t="shared" si="8"/>
        <v>0</v>
      </c>
      <c r="I12" s="1089">
        <f t="shared" si="8"/>
        <v>0</v>
      </c>
      <c r="J12" s="1089">
        <f t="shared" si="8"/>
        <v>0</v>
      </c>
      <c r="K12" s="1089">
        <f t="shared" si="8"/>
        <v>0</v>
      </c>
      <c r="L12" s="1089">
        <f t="shared" si="8"/>
        <v>0</v>
      </c>
      <c r="M12" s="1089">
        <f t="shared" si="8"/>
        <v>0</v>
      </c>
      <c r="N12" s="1089">
        <f t="shared" si="8"/>
        <v>0</v>
      </c>
      <c r="O12" s="1089">
        <f t="shared" si="8"/>
        <v>0</v>
      </c>
      <c r="P12" s="1089">
        <f t="shared" si="8"/>
        <v>0</v>
      </c>
      <c r="Q12" s="1089">
        <f t="shared" si="8"/>
        <v>0</v>
      </c>
      <c r="R12" s="1089">
        <f t="shared" si="8"/>
        <v>0</v>
      </c>
      <c r="S12" s="1089">
        <f t="shared" si="8"/>
        <v>0</v>
      </c>
      <c r="T12" s="1089">
        <f t="shared" si="8"/>
        <v>0</v>
      </c>
      <c r="U12" s="1089">
        <f t="shared" si="8"/>
        <v>0</v>
      </c>
      <c r="V12" s="1089">
        <f t="shared" si="8"/>
        <v>0</v>
      </c>
      <c r="W12" s="1089">
        <f t="shared" si="8"/>
        <v>0</v>
      </c>
      <c r="X12" s="1089">
        <f t="shared" si="8"/>
        <v>0</v>
      </c>
      <c r="Y12" s="1089">
        <f t="shared" si="8"/>
        <v>0</v>
      </c>
      <c r="Z12" s="1089">
        <f t="shared" si="8"/>
        <v>0</v>
      </c>
      <c r="AA12" s="1089">
        <f t="shared" si="8"/>
        <v>0</v>
      </c>
      <c r="AB12" s="1089">
        <f t="shared" si="8"/>
        <v>0</v>
      </c>
      <c r="AC12" s="1089">
        <f t="shared" si="8"/>
        <v>0</v>
      </c>
      <c r="AD12" s="1089">
        <f t="shared" si="8"/>
        <v>0</v>
      </c>
      <c r="AE12" s="1089">
        <f t="shared" si="8"/>
        <v>0</v>
      </c>
      <c r="AF12" s="1089">
        <f t="shared" si="8"/>
        <v>0</v>
      </c>
      <c r="AG12" s="1089">
        <f t="shared" si="8"/>
        <v>0</v>
      </c>
      <c r="AH12" s="1089">
        <f t="shared" si="8"/>
        <v>0</v>
      </c>
      <c r="AI12" s="1089">
        <f t="shared" si="8"/>
        <v>0</v>
      </c>
      <c r="AJ12" s="1089">
        <f t="shared" si="8"/>
        <v>0</v>
      </c>
      <c r="AK12" s="1089">
        <f t="shared" si="8"/>
        <v>0</v>
      </c>
      <c r="AL12" s="1089">
        <f t="shared" si="8"/>
        <v>0</v>
      </c>
      <c r="AM12" s="1089">
        <f t="shared" si="8"/>
        <v>0</v>
      </c>
      <c r="AN12" s="1089">
        <f t="shared" si="8"/>
        <v>0</v>
      </c>
      <c r="AO12" s="1089">
        <f t="shared" si="8"/>
        <v>0</v>
      </c>
      <c r="AP12" s="1089">
        <f t="shared" si="8"/>
        <v>0</v>
      </c>
      <c r="AQ12" s="848"/>
      <c r="AR12" s="1087">
        <f>SUM(G12:R13)</f>
        <v>0</v>
      </c>
      <c r="AS12" s="1087">
        <f>Ana_eco!B47</f>
        <v>0</v>
      </c>
      <c r="AT12" s="845" t="str">
        <f t="shared" si="6"/>
        <v>OK</v>
      </c>
      <c r="AX12" s="832">
        <v>6</v>
      </c>
      <c r="BA12" s="833">
        <v>7</v>
      </c>
      <c r="BB12" s="833" t="s">
        <v>1680</v>
      </c>
      <c r="BC12" s="827">
        <v>43891</v>
      </c>
      <c r="BD12" s="828">
        <f t="shared" si="7"/>
        <v>0.44999999999999996</v>
      </c>
    </row>
    <row r="13" spans="1:64" ht="14.4">
      <c r="B13" s="1088"/>
      <c r="C13" s="849"/>
      <c r="D13" s="849"/>
      <c r="E13" s="849"/>
      <c r="F13" s="842"/>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R13" s="1087"/>
      <c r="AS13" s="1087"/>
      <c r="AT13" s="845" t="str">
        <f t="shared" si="6"/>
        <v>OK</v>
      </c>
      <c r="AX13" s="832">
        <v>7</v>
      </c>
      <c r="BA13" s="833">
        <v>8</v>
      </c>
      <c r="BB13" s="833" t="s">
        <v>1681</v>
      </c>
      <c r="BC13" s="827">
        <v>43922</v>
      </c>
      <c r="BD13" s="828">
        <f t="shared" si="7"/>
        <v>0.49999999999999994</v>
      </c>
    </row>
    <row r="14" spans="1:64" ht="14.4">
      <c r="B14" s="839" t="s">
        <v>452</v>
      </c>
      <c r="C14" s="850">
        <v>1</v>
      </c>
      <c r="D14" s="842"/>
      <c r="E14" s="842"/>
      <c r="F14" s="842"/>
      <c r="G14" s="843">
        <f>IF(AND(Ana_eco!$K$42="Oui",G5=$C$14),Ana_eco!$L$43,0)</f>
        <v>0</v>
      </c>
      <c r="H14" s="843">
        <f>IF(AND(Ana_eco!$K$42="Oui",H5=$C$14),Ana_eco!$L$43,0)</f>
        <v>0</v>
      </c>
      <c r="I14" s="843">
        <f>IF(AND(Ana_eco!$K$42="Oui",I5=$C$14),Ana_eco!$L$43,0)</f>
        <v>0</v>
      </c>
      <c r="J14" s="843">
        <f>IF(AND(Ana_eco!$K$42="Oui",J5=$C$14),Ana_eco!$L$43,0)</f>
        <v>0</v>
      </c>
      <c r="K14" s="843">
        <f>IF(AND(Ana_eco!$K$42="Oui",K5=$C$14),Ana_eco!$L$43,0)</f>
        <v>0</v>
      </c>
      <c r="L14" s="843">
        <f>IF(AND(Ana_eco!$K$42="Oui",L5=$C$14),Ana_eco!$L$43,0)</f>
        <v>0</v>
      </c>
      <c r="M14" s="843">
        <f>IF(AND(Ana_eco!$K$42="Oui",M5=$C$14),Ana_eco!$L$43,0)</f>
        <v>0</v>
      </c>
      <c r="N14" s="843">
        <f>IF(AND(Ana_eco!$K$42="Oui",N5=$C$14),Ana_eco!$L$43,0)</f>
        <v>0</v>
      </c>
      <c r="O14" s="843">
        <f>IF(AND(Ana_eco!$K$42="Oui",O5=$C$14),Ana_eco!$L$43,0)</f>
        <v>0</v>
      </c>
      <c r="P14" s="843">
        <f>IF(AND(Ana_eco!$K$42="Oui",P5=$C$14),Ana_eco!$L$43,0)</f>
        <v>0</v>
      </c>
      <c r="Q14" s="843">
        <f>IF(AND(Ana_eco!$K$42="Oui",Q5=$C$14),Ana_eco!$L$43,0)</f>
        <v>0</v>
      </c>
      <c r="R14" s="843">
        <f>IF(AND(Ana_eco!$K$42="Oui",R5=$C$14),Ana_eco!$L$43,0)</f>
        <v>0</v>
      </c>
      <c r="S14" s="843">
        <f>IF(AND(Ana_eco!$K$42="Oui",S5=$C$14),Ana_eco!$L$43,0)</f>
        <v>0</v>
      </c>
      <c r="T14" s="843">
        <f>IF(AND(Ana_eco!$K$42="Oui",T5=$C$14),Ana_eco!$L$43,0)</f>
        <v>0</v>
      </c>
      <c r="U14" s="843">
        <f>IF(AND(Ana_eco!$K$42="Oui",U5=$C$14),Ana_eco!$L$43,0)</f>
        <v>0</v>
      </c>
      <c r="V14" s="843">
        <f>IF(AND(Ana_eco!$K$42="Oui",V5=$C$14),Ana_eco!$L$43,0)</f>
        <v>0</v>
      </c>
      <c r="W14" s="843">
        <f>IF(AND(Ana_eco!$K$42="Oui",W5=$C$14),Ana_eco!$L$43,0)</f>
        <v>0</v>
      </c>
      <c r="X14" s="843">
        <f>IF(AND(Ana_eco!$K$42="Oui",X5=$C$14),Ana_eco!$L$43,0)</f>
        <v>0</v>
      </c>
      <c r="Y14" s="843">
        <f>IF(AND(Ana_eco!$K$42="Oui",Y5=$C$14),Ana_eco!$L$43,0)</f>
        <v>0</v>
      </c>
      <c r="Z14" s="843">
        <f>IF(AND(Ana_eco!$K$42="Oui",Z5=$C$14),Ana_eco!$L$43,0)</f>
        <v>0</v>
      </c>
      <c r="AA14" s="843">
        <f>IF(AND(Ana_eco!$K$42="Oui",AA5=$C$14),Ana_eco!$L$43,0)</f>
        <v>0</v>
      </c>
      <c r="AB14" s="843">
        <f>IF(AND(Ana_eco!$K$42="Oui",AB5=$C$14),Ana_eco!$L$43,0)</f>
        <v>0</v>
      </c>
      <c r="AC14" s="843">
        <f>IF(AND(Ana_eco!$K$42="Oui",AC5=$C$14),Ana_eco!$L$43,0)</f>
        <v>0</v>
      </c>
      <c r="AD14" s="843">
        <f>IF(AND(Ana_eco!$K$42="Oui",AD5=$C$14),Ana_eco!$L$43,0)</f>
        <v>0</v>
      </c>
      <c r="AE14" s="843">
        <f>IF(AND(Ana_eco!$K$42="Oui",AE5=$C$14),Ana_eco!$L$43,0)</f>
        <v>0</v>
      </c>
      <c r="AF14" s="843">
        <f>IF(AND(Ana_eco!$K$42="Oui",AF5=$C$14),Ana_eco!$L$43,0)</f>
        <v>0</v>
      </c>
      <c r="AG14" s="843">
        <f>IF(AND(Ana_eco!$K$42="Oui",AG5=$C$14),Ana_eco!$L$43,0)</f>
        <v>0</v>
      </c>
      <c r="AH14" s="843">
        <f>IF(AND(Ana_eco!$K$42="Oui",AH5=$C$14),Ana_eco!$L$43,0)</f>
        <v>0</v>
      </c>
      <c r="AI14" s="843">
        <f>IF(AND(Ana_eco!$K$42="Oui",AI5=$C$14),Ana_eco!$L$43,0)</f>
        <v>0</v>
      </c>
      <c r="AJ14" s="843">
        <f>IF(AND(Ana_eco!$K$42="Oui",AJ5=$C$14),Ana_eco!$L$43,0)</f>
        <v>0</v>
      </c>
      <c r="AK14" s="843">
        <f>IF(AND(Ana_eco!$K$42="Oui",AK5=$C$14),Ana_eco!$L$43,0)</f>
        <v>0</v>
      </c>
      <c r="AL14" s="843">
        <f>IF(AND(Ana_eco!$K$42="Oui",AL5=$C$14),Ana_eco!$L$43,0)</f>
        <v>0</v>
      </c>
      <c r="AM14" s="843">
        <f>IF(AND(Ana_eco!$K$42="Oui",AM5=$C$14),Ana_eco!$L$43,0)</f>
        <v>0</v>
      </c>
      <c r="AN14" s="843">
        <f>IF(AND(Ana_eco!$K$42="Oui",AN5=$C$14),Ana_eco!$L$43,0)</f>
        <v>0</v>
      </c>
      <c r="AO14" s="843">
        <f>IF(AND(Ana_eco!$K$42="Oui",AO5=$C$14),Ana_eco!$L$43,0)</f>
        <v>0</v>
      </c>
      <c r="AP14" s="843">
        <f>IF(AND(Ana_eco!$K$42="Oui",AP5=$C$14),Ana_eco!$L$43,0)</f>
        <v>0</v>
      </c>
      <c r="AR14" s="843">
        <f t="shared" ref="AR14:AR17" si="9">SUM(G14:R14)</f>
        <v>0</v>
      </c>
      <c r="AS14" s="826">
        <f>IF(Ana_eco!K42="Oui",pret_relais_TVA,0)</f>
        <v>0</v>
      </c>
      <c r="AT14" s="845" t="str">
        <f t="shared" si="6"/>
        <v>OK</v>
      </c>
      <c r="AX14" s="832">
        <v>8</v>
      </c>
      <c r="BA14" s="833">
        <v>9</v>
      </c>
      <c r="BB14" s="833" t="s">
        <v>1683</v>
      </c>
      <c r="BC14" s="827">
        <v>43952</v>
      </c>
      <c r="BD14" s="828">
        <f>0.05+BD11</f>
        <v>0.44999999999999996</v>
      </c>
    </row>
    <row r="15" spans="1:64" ht="14.4" customHeight="1">
      <c r="B15" s="1088" t="s">
        <v>1639</v>
      </c>
      <c r="C15" s="851">
        <v>0.45</v>
      </c>
      <c r="D15" s="851">
        <v>0.3</v>
      </c>
      <c r="E15" s="847">
        <f>1-C15-D15</f>
        <v>0.25000000000000006</v>
      </c>
      <c r="F15" s="842"/>
      <c r="G15" s="1087">
        <f ca="1">IF(G5=$C$16,Ana_eco!$F$18*$C$15,0)+IF(G5=$D$16,Ana_eco!$F$18*$D$15)+IF(G5=$E$16,Ana_eco!$F$18*$E$15)</f>
        <v>0</v>
      </c>
      <c r="H15" s="1087">
        <f>IF(H5=$C$16,Ana_eco!$F$18*$C$15,0)+IF(H5=$D$16,Ana_eco!$F$18*$D$15)+IF(H5=$E$16,Ana_eco!$F$18*$E$15)</f>
        <v>0</v>
      </c>
      <c r="I15" s="1087">
        <f ca="1">IF(I5=$C$16,Ana_eco!$F$18*$C$15,0)+IF(I5=$D$16,Ana_eco!$F$18*$D$15)+IF(I5=$E$16,Ana_eco!$F$18*$E$15)</f>
        <v>0</v>
      </c>
      <c r="J15" s="1087">
        <f>IF(J5=$C$16,Ana_eco!$F$18*$C$15,0)+IF(J5=$D$16,Ana_eco!$F$18*$D$15)+IF(J5=$E$16,Ana_eco!$F$18*$E$15)</f>
        <v>0</v>
      </c>
      <c r="K15" s="1087">
        <f>IF(K5=$C$16,Ana_eco!$F$18*$C$15,0)+IF(K5=$D$16,Ana_eco!$F$18*$D$15)+IF(K5=$E$16,Ana_eco!$F$18*$E$15)</f>
        <v>0</v>
      </c>
      <c r="L15" s="1087">
        <f ca="1">IF(L5=$C$16,Ana_eco!$F$18*$C$15,0)+IF(L5=$D$16,Ana_eco!$F$18*$D$15)+IF(L5=$E$16,Ana_eco!$F$18*$E$15)</f>
        <v>0</v>
      </c>
      <c r="M15" s="1087">
        <f>IF(M5=$C$16,Ana_eco!$F$18*$C$15,0)+IF(M5=$D$16,Ana_eco!$F$18*$D$15)+IF(M5=$E$16,Ana_eco!$F$18*$E$15)</f>
        <v>0</v>
      </c>
      <c r="N15" s="1087">
        <f>IF(N5=$C$16,Ana_eco!$F$18*$C$15,0)+IF(N5=$D$16,Ana_eco!$F$18*$D$15)+IF(N5=$E$16,Ana_eco!$F$18*$E$15)</f>
        <v>0</v>
      </c>
      <c r="O15" s="1087">
        <f>IF(O5=$C$16,Ana_eco!$F$18*$C$15,0)+IF(O5=$D$16,Ana_eco!$F$18*$D$15)+IF(O5=$E$16,Ana_eco!$F$18*$E$15)</f>
        <v>0</v>
      </c>
      <c r="P15" s="1087">
        <f>IF(P5=$C$16,Ana_eco!$F$18*$C$15,0)+IF(P5=$D$16,Ana_eco!$F$18*$D$15)+IF(P5=$E$16,Ana_eco!$F$18*$E$15)</f>
        <v>0</v>
      </c>
      <c r="Q15" s="1087">
        <f>IF(Q5=$C$16,Ana_eco!$F$18*$C$15,0)+IF(Q5=$D$16,Ana_eco!$F$18*$D$15)+IF(Q5=$E$16,Ana_eco!$F$18*$E$15)</f>
        <v>0</v>
      </c>
      <c r="R15" s="1087">
        <f>IF(R5=$C$16,Ana_eco!$F$18*$C$15,0)+IF(R5=$D$16,Ana_eco!$F$18*$D$15)+IF(R5=$E$16,Ana_eco!$F$18*$E$15)</f>
        <v>0</v>
      </c>
      <c r="S15" s="1087">
        <f>IF(S5=$C$16,Ana_eco!$F$18*$C$15,0)+IF(S5=$D$16,Ana_eco!$F$18*$D$15)+IF(S5=$E$16,Ana_eco!$F$18*$E$15)</f>
        <v>0</v>
      </c>
      <c r="T15" s="1087">
        <f>IF(T5=$C$16,Ana_eco!$F$18*$C$15,0)+IF(T5=$D$16,Ana_eco!$F$18*$D$15)+IF(T5=$E$16,Ana_eco!$F$18*$E$15)</f>
        <v>0</v>
      </c>
      <c r="U15" s="1087">
        <f>IF(U5=$C$16,Ana_eco!$F$18*$C$15,0)+IF(U5=$D$16,Ana_eco!$F$18*$D$15)+IF(U5=$E$16,Ana_eco!$F$18*$E$15)</f>
        <v>0</v>
      </c>
      <c r="V15" s="1087">
        <f>IF(V5=$C$16,Ana_eco!$F$18*$C$15,0)+IF(V5=$D$16,Ana_eco!$F$18*$D$15)+IF(V5=$E$16,Ana_eco!$F$18*$E$15)</f>
        <v>0</v>
      </c>
      <c r="W15" s="1087">
        <f>IF(W5=$C$16,Ana_eco!$F$18*$C$15,0)+IF(W5=$D$16,Ana_eco!$F$18*$D$15)+IF(W5=$E$16,Ana_eco!$F$18*$E$15)</f>
        <v>0</v>
      </c>
      <c r="X15" s="1087">
        <f>IF(X5=$C$16,Ana_eco!$F$18*$C$15,0)+IF(X5=$D$16,Ana_eco!$F$18*$D$15)+IF(X5=$E$16,Ana_eco!$F$18*$E$15)</f>
        <v>0</v>
      </c>
      <c r="Y15" s="1087">
        <f>IF(Y5=$C$16,Ana_eco!$F$18*$C$15,0)+IF(Y5=$D$16,Ana_eco!$F$18*$D$15)+IF(Y5=$E$16,Ana_eco!$F$18*$E$15)</f>
        <v>0</v>
      </c>
      <c r="Z15" s="1087">
        <f>IF(Z5=$C$16,Ana_eco!$F$18*$C$15,0)+IF(Z5=$D$16,Ana_eco!$F$18*$D$15)+IF(Z5=$E$16,Ana_eco!$F$18*$E$15)</f>
        <v>0</v>
      </c>
      <c r="AA15" s="1087">
        <f>IF(AA5=$C$16,Ana_eco!$F$18*$C$15,0)+IF(AA5=$D$16,Ana_eco!$F$18*$D$15)+IF(AA5=$E$16,Ana_eco!$F$18*$E$15)</f>
        <v>0</v>
      </c>
      <c r="AB15" s="1087">
        <f>IF(AB5=$C$16,Ana_eco!$F$18*$C$15,0)+IF(AB5=$D$16,Ana_eco!$F$18*$D$15)+IF(AB5=$E$16,Ana_eco!$F$18*$E$15)</f>
        <v>0</v>
      </c>
      <c r="AC15" s="1087">
        <f>IF(AC5=$C$16,Ana_eco!$F$18*$C$15,0)+IF(AC5=$D$16,Ana_eco!$F$18*$D$15)+IF(AC5=$E$16,Ana_eco!$F$18*$E$15)</f>
        <v>0</v>
      </c>
      <c r="AD15" s="1087">
        <f>IF(AD5=$C$16,Ana_eco!$F$18*$C$15,0)+IF(AD5=$D$16,Ana_eco!$F$18*$D$15)+IF(AD5=$E$16,Ana_eco!$F$18*$E$15)</f>
        <v>0</v>
      </c>
      <c r="AE15" s="1087">
        <f>IF(AE5=$C$16,Ana_eco!$F$18*$C$15,0)+IF(AE5=$D$16,Ana_eco!$F$18*$D$15)+IF(AE5=$E$16,Ana_eco!$F$18*$E$15)</f>
        <v>0</v>
      </c>
      <c r="AF15" s="1087">
        <f>IF(AF5=$C$16,Ana_eco!$F$18*$C$15,0)+IF(AF5=$D$16,Ana_eco!$F$18*$D$15)+IF(AF5=$E$16,Ana_eco!$F$18*$E$15)</f>
        <v>0</v>
      </c>
      <c r="AG15" s="1087">
        <f>IF(AG5=$C$16,Ana_eco!$F$18*$C$15,0)+IF(AG5=$D$16,Ana_eco!$F$18*$D$15)+IF(AG5=$E$16,Ana_eco!$F$18*$E$15)</f>
        <v>0</v>
      </c>
      <c r="AH15" s="1087">
        <f>IF(AH5=$C$16,Ana_eco!$F$18*$C$15,0)+IF(AH5=$D$16,Ana_eco!$F$18*$D$15)+IF(AH5=$E$16,Ana_eco!$F$18*$E$15)</f>
        <v>0</v>
      </c>
      <c r="AI15" s="1087">
        <f>IF(AI5=$C$16,Ana_eco!$F$18*$C$15,0)+IF(AI5=$D$16,Ana_eco!$F$18*$D$15)+IF(AI5=$E$16,Ana_eco!$F$18*$E$15)</f>
        <v>0</v>
      </c>
      <c r="AJ15" s="1087">
        <f>IF(AJ5=$C$16,Ana_eco!$F$18*$C$15,0)+IF(AJ5=$D$16,Ana_eco!$F$18*$D$15)+IF(AJ5=$E$16,Ana_eco!$F$18*$E$15)</f>
        <v>0</v>
      </c>
      <c r="AK15" s="1087">
        <f>IF(AK5=$C$16,Ana_eco!$F$18*$C$15,0)+IF(AK5=$D$16,Ana_eco!$F$18*$D$15)+IF(AK5=$E$16,Ana_eco!$F$18*$E$15)</f>
        <v>0</v>
      </c>
      <c r="AL15" s="1087">
        <f>IF(AL5=$C$16,Ana_eco!$F$18*$C$15,0)+IF(AL5=$D$16,Ana_eco!$F$18*$D$15)+IF(AL5=$E$16,Ana_eco!$F$18*$E$15)</f>
        <v>0</v>
      </c>
      <c r="AM15" s="1087">
        <f>IF(AM5=$C$16,Ana_eco!$F$18*$C$15,0)+IF(AM5=$D$16,Ana_eco!$F$18*$D$15)+IF(AM5=$E$16,Ana_eco!$F$18*$E$15)</f>
        <v>0</v>
      </c>
      <c r="AN15" s="1087">
        <f>IF(AN5=$C$16,Ana_eco!$F$18*$C$15,0)+IF(AN5=$D$16,Ana_eco!$F$18*$D$15)+IF(AN5=$E$16,Ana_eco!$F$18*$E$15)</f>
        <v>0</v>
      </c>
      <c r="AO15" s="1087">
        <f>IF(AO5=$C$16,Ana_eco!$F$18*$C$15,0)+IF(AO5=$D$16,Ana_eco!$F$18*$D$15)+IF(AO5=$E$16,Ana_eco!$F$18*$E$15)</f>
        <v>0</v>
      </c>
      <c r="AP15" s="1087">
        <f>IF(AP5=$C$16,Ana_eco!$F$18*$C$15,0)+IF(AP5=$D$16,Ana_eco!$F$18*$D$15)+IF(AP5=$E$16,Ana_eco!$F$18*$E$15)</f>
        <v>0</v>
      </c>
      <c r="AR15" s="1087">
        <f t="shared" ca="1" si="9"/>
        <v>0</v>
      </c>
      <c r="AS15" s="1090">
        <f ca="1">Ana_eco!F18</f>
        <v>0</v>
      </c>
      <c r="AT15" s="1091" t="str">
        <f t="shared" ca="1" si="6"/>
        <v>OK</v>
      </c>
      <c r="AX15" s="832">
        <v>9</v>
      </c>
      <c r="BA15" s="833">
        <v>10</v>
      </c>
      <c r="BB15" s="833" t="s">
        <v>1684</v>
      </c>
      <c r="BC15" s="827">
        <v>43983</v>
      </c>
      <c r="BD15" s="828">
        <f t="shared" ref="BD15:BD25" si="10">0.05+BD14</f>
        <v>0.49999999999999994</v>
      </c>
    </row>
    <row r="16" spans="1:64" ht="14.4">
      <c r="B16" s="1088"/>
      <c r="C16" s="840">
        <v>1</v>
      </c>
      <c r="D16" s="840">
        <v>3</v>
      </c>
      <c r="E16" s="840">
        <v>6</v>
      </c>
      <c r="F16" s="842"/>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R16" s="1087"/>
      <c r="AS16" s="1090"/>
      <c r="AT16" s="1091"/>
      <c r="AX16" s="832">
        <v>10</v>
      </c>
      <c r="BA16" s="833">
        <v>11</v>
      </c>
      <c r="BB16" s="833" t="s">
        <v>1685</v>
      </c>
      <c r="BC16" s="827">
        <v>44013</v>
      </c>
      <c r="BD16" s="828">
        <f t="shared" si="10"/>
        <v>0.54999999999999993</v>
      </c>
    </row>
    <row r="17" spans="2:64" ht="14.4">
      <c r="B17" s="839" t="s">
        <v>1686</v>
      </c>
      <c r="C17" s="840">
        <v>1</v>
      </c>
      <c r="D17" s="842"/>
      <c r="E17" s="842"/>
      <c r="F17" s="842"/>
      <c r="G17" s="843">
        <f t="shared" ref="G17:AP17" si="11">IF(G5=$C$17,compte_courant_associes,0)</f>
        <v>0</v>
      </c>
      <c r="H17" s="843">
        <f t="shared" si="11"/>
        <v>0</v>
      </c>
      <c r="I17" s="843">
        <f t="shared" si="11"/>
        <v>0</v>
      </c>
      <c r="J17" s="843">
        <f t="shared" si="11"/>
        <v>0</v>
      </c>
      <c r="K17" s="843">
        <f t="shared" si="11"/>
        <v>0</v>
      </c>
      <c r="L17" s="843">
        <f t="shared" si="11"/>
        <v>0</v>
      </c>
      <c r="M17" s="843">
        <f t="shared" si="11"/>
        <v>0</v>
      </c>
      <c r="N17" s="843">
        <f t="shared" si="11"/>
        <v>0</v>
      </c>
      <c r="O17" s="843">
        <f t="shared" si="11"/>
        <v>0</v>
      </c>
      <c r="P17" s="843">
        <f t="shared" si="11"/>
        <v>0</v>
      </c>
      <c r="Q17" s="843">
        <f t="shared" si="11"/>
        <v>0</v>
      </c>
      <c r="R17" s="843">
        <f t="shared" si="11"/>
        <v>0</v>
      </c>
      <c r="S17" s="843">
        <f t="shared" si="11"/>
        <v>0</v>
      </c>
      <c r="T17" s="843">
        <f t="shared" si="11"/>
        <v>0</v>
      </c>
      <c r="U17" s="843">
        <f t="shared" si="11"/>
        <v>0</v>
      </c>
      <c r="V17" s="843">
        <f t="shared" si="11"/>
        <v>0</v>
      </c>
      <c r="W17" s="843">
        <f t="shared" si="11"/>
        <v>0</v>
      </c>
      <c r="X17" s="843">
        <f t="shared" si="11"/>
        <v>0</v>
      </c>
      <c r="Y17" s="843">
        <f t="shared" si="11"/>
        <v>0</v>
      </c>
      <c r="Z17" s="843">
        <f t="shared" si="11"/>
        <v>0</v>
      </c>
      <c r="AA17" s="843">
        <f t="shared" si="11"/>
        <v>0</v>
      </c>
      <c r="AB17" s="843">
        <f t="shared" si="11"/>
        <v>0</v>
      </c>
      <c r="AC17" s="843">
        <f t="shared" si="11"/>
        <v>0</v>
      </c>
      <c r="AD17" s="843">
        <f t="shared" si="11"/>
        <v>0</v>
      </c>
      <c r="AE17" s="843">
        <f t="shared" si="11"/>
        <v>0</v>
      </c>
      <c r="AF17" s="843">
        <f t="shared" si="11"/>
        <v>0</v>
      </c>
      <c r="AG17" s="843">
        <f t="shared" si="11"/>
        <v>0</v>
      </c>
      <c r="AH17" s="843">
        <f t="shared" si="11"/>
        <v>0</v>
      </c>
      <c r="AI17" s="843">
        <f t="shared" si="11"/>
        <v>0</v>
      </c>
      <c r="AJ17" s="843">
        <f t="shared" si="11"/>
        <v>0</v>
      </c>
      <c r="AK17" s="843">
        <f t="shared" si="11"/>
        <v>0</v>
      </c>
      <c r="AL17" s="843">
        <f t="shared" si="11"/>
        <v>0</v>
      </c>
      <c r="AM17" s="843">
        <f t="shared" si="11"/>
        <v>0</v>
      </c>
      <c r="AN17" s="843">
        <f t="shared" si="11"/>
        <v>0</v>
      </c>
      <c r="AO17" s="843">
        <f t="shared" si="11"/>
        <v>0</v>
      </c>
      <c r="AP17" s="843">
        <f t="shared" si="11"/>
        <v>0</v>
      </c>
      <c r="AR17" s="843">
        <f t="shared" si="9"/>
        <v>0</v>
      </c>
      <c r="AS17" s="826">
        <f>compte_courant_associes</f>
        <v>0</v>
      </c>
      <c r="AT17" s="845" t="str">
        <f t="shared" si="6"/>
        <v>OK</v>
      </c>
      <c r="AX17" s="832">
        <v>11</v>
      </c>
      <c r="BA17" s="833">
        <v>12</v>
      </c>
      <c r="BB17" s="833" t="s">
        <v>1662</v>
      </c>
      <c r="BC17" s="827">
        <v>44044</v>
      </c>
      <c r="BD17" s="828">
        <f t="shared" si="10"/>
        <v>0.6</v>
      </c>
    </row>
    <row r="18" spans="2:64" ht="14.4">
      <c r="AT18" s="836"/>
      <c r="AX18" s="832">
        <v>12</v>
      </c>
      <c r="BA18" s="833">
        <v>13</v>
      </c>
      <c r="BB18" s="833" t="s">
        <v>1665</v>
      </c>
      <c r="BC18" s="827">
        <v>44044</v>
      </c>
      <c r="BD18" s="828">
        <f t="shared" si="10"/>
        <v>0.65</v>
      </c>
    </row>
    <row r="19" spans="2:64" ht="13.95" customHeight="1">
      <c r="B19" s="1092" t="s">
        <v>1687</v>
      </c>
      <c r="C19" s="1092"/>
      <c r="D19" s="1092"/>
      <c r="E19" s="1092"/>
      <c r="F19" s="1092"/>
      <c r="G19" s="853">
        <f t="shared" ref="G19:AP19" si="12">SUM(G20,G35,G47,G52,G53)</f>
        <v>104483.8146936</v>
      </c>
      <c r="H19" s="853">
        <f t="shared" si="12"/>
        <v>58370.300395199993</v>
      </c>
      <c r="I19" s="853">
        <f t="shared" si="12"/>
        <v>1389.4875</v>
      </c>
      <c r="J19" s="853">
        <f t="shared" si="12"/>
        <v>20340.923999999999</v>
      </c>
      <c r="K19" s="853">
        <f t="shared" si="12"/>
        <v>38611.208596799996</v>
      </c>
      <c r="L19" s="853">
        <f t="shared" si="12"/>
        <v>18993.604298399983</v>
      </c>
      <c r="M19" s="853">
        <f t="shared" si="12"/>
        <v>704.17510260172412</v>
      </c>
      <c r="N19" s="853">
        <f t="shared" si="12"/>
        <v>120</v>
      </c>
      <c r="O19" s="853">
        <f t="shared" si="12"/>
        <v>0</v>
      </c>
      <c r="P19" s="853">
        <f t="shared" si="12"/>
        <v>0</v>
      </c>
      <c r="Q19" s="853">
        <f t="shared" si="12"/>
        <v>0</v>
      </c>
      <c r="R19" s="853">
        <f t="shared" si="12"/>
        <v>1664.1751026017241</v>
      </c>
      <c r="S19" s="853">
        <f t="shared" si="12"/>
        <v>0</v>
      </c>
      <c r="T19" s="853">
        <f t="shared" si="12"/>
        <v>0</v>
      </c>
      <c r="U19" s="853">
        <f t="shared" si="12"/>
        <v>0</v>
      </c>
      <c r="V19" s="853">
        <f t="shared" si="12"/>
        <v>0</v>
      </c>
      <c r="W19" s="853">
        <f t="shared" si="12"/>
        <v>0</v>
      </c>
      <c r="X19" s="853">
        <f t="shared" si="12"/>
        <v>579.4079999999999</v>
      </c>
      <c r="Y19" s="853">
        <f t="shared" si="12"/>
        <v>711.21685362774133</v>
      </c>
      <c r="Z19" s="853">
        <f t="shared" si="12"/>
        <v>120</v>
      </c>
      <c r="AA19" s="853">
        <f t="shared" si="12"/>
        <v>0</v>
      </c>
      <c r="AB19" s="853">
        <f t="shared" si="12"/>
        <v>0</v>
      </c>
      <c r="AC19" s="853">
        <f t="shared" si="12"/>
        <v>0</v>
      </c>
      <c r="AD19" s="853">
        <f t="shared" si="12"/>
        <v>1671.2168536277413</v>
      </c>
      <c r="AE19" s="853">
        <f t="shared" si="12"/>
        <v>0</v>
      </c>
      <c r="AF19" s="853">
        <f t="shared" si="12"/>
        <v>0</v>
      </c>
      <c r="AG19" s="853">
        <f t="shared" si="12"/>
        <v>0</v>
      </c>
      <c r="AH19" s="853">
        <f t="shared" si="12"/>
        <v>0</v>
      </c>
      <c r="AI19" s="853">
        <f t="shared" si="12"/>
        <v>0</v>
      </c>
      <c r="AJ19" s="853">
        <f t="shared" si="12"/>
        <v>579.4079999999999</v>
      </c>
      <c r="AK19" s="853">
        <f t="shared" si="12"/>
        <v>718.32902216401874</v>
      </c>
      <c r="AL19" s="853">
        <f t="shared" si="12"/>
        <v>120</v>
      </c>
      <c r="AM19" s="853">
        <f t="shared" si="12"/>
        <v>0</v>
      </c>
      <c r="AN19" s="853">
        <f t="shared" si="12"/>
        <v>0</v>
      </c>
      <c r="AO19" s="853">
        <f t="shared" si="12"/>
        <v>0</v>
      </c>
      <c r="AP19" s="853">
        <f t="shared" si="12"/>
        <v>1678.3290221640186</v>
      </c>
      <c r="AT19" s="819"/>
      <c r="AX19" s="832">
        <v>13</v>
      </c>
      <c r="BD19" s="828">
        <f t="shared" si="10"/>
        <v>0.70000000000000007</v>
      </c>
    </row>
    <row r="20" spans="2:64" ht="13.1" customHeight="1">
      <c r="B20" s="854" t="s">
        <v>1688</v>
      </c>
      <c r="C20" s="855"/>
      <c r="D20" s="855"/>
      <c r="E20" s="855"/>
      <c r="F20" s="855"/>
      <c r="G20" s="856">
        <f t="shared" ref="G20:AP20" si="13">SUM(G21:G34)</f>
        <v>104183.8146936</v>
      </c>
      <c r="H20" s="856">
        <f t="shared" si="13"/>
        <v>58370.300395199993</v>
      </c>
      <c r="I20" s="856">
        <f t="shared" si="13"/>
        <v>1389.4875</v>
      </c>
      <c r="J20" s="856">
        <f t="shared" si="13"/>
        <v>20340.923999999999</v>
      </c>
      <c r="K20" s="856">
        <f t="shared" si="13"/>
        <v>38611.208596799996</v>
      </c>
      <c r="L20" s="856">
        <f t="shared" si="13"/>
        <v>18993.604298399983</v>
      </c>
      <c r="M20" s="856">
        <f t="shared" si="13"/>
        <v>0</v>
      </c>
      <c r="N20" s="856">
        <f t="shared" si="13"/>
        <v>0</v>
      </c>
      <c r="O20" s="856">
        <f t="shared" si="13"/>
        <v>0</v>
      </c>
      <c r="P20" s="856">
        <f t="shared" si="13"/>
        <v>0</v>
      </c>
      <c r="Q20" s="856">
        <f t="shared" si="13"/>
        <v>0</v>
      </c>
      <c r="R20" s="856">
        <f t="shared" si="13"/>
        <v>0</v>
      </c>
      <c r="S20" s="856">
        <f t="shared" si="13"/>
        <v>0</v>
      </c>
      <c r="T20" s="856">
        <f t="shared" si="13"/>
        <v>0</v>
      </c>
      <c r="U20" s="856">
        <f t="shared" si="13"/>
        <v>0</v>
      </c>
      <c r="V20" s="856">
        <f t="shared" si="13"/>
        <v>0</v>
      </c>
      <c r="W20" s="856">
        <f t="shared" si="13"/>
        <v>0</v>
      </c>
      <c r="X20" s="856">
        <f t="shared" si="13"/>
        <v>0</v>
      </c>
      <c r="Y20" s="856">
        <f t="shared" si="13"/>
        <v>0</v>
      </c>
      <c r="Z20" s="856">
        <f t="shared" si="13"/>
        <v>0</v>
      </c>
      <c r="AA20" s="856">
        <f t="shared" si="13"/>
        <v>0</v>
      </c>
      <c r="AB20" s="856">
        <f t="shared" si="13"/>
        <v>0</v>
      </c>
      <c r="AC20" s="856">
        <f t="shared" si="13"/>
        <v>0</v>
      </c>
      <c r="AD20" s="856">
        <f t="shared" si="13"/>
        <v>0</v>
      </c>
      <c r="AE20" s="856">
        <f t="shared" si="13"/>
        <v>0</v>
      </c>
      <c r="AF20" s="856">
        <f t="shared" si="13"/>
        <v>0</v>
      </c>
      <c r="AG20" s="856">
        <f t="shared" si="13"/>
        <v>0</v>
      </c>
      <c r="AH20" s="856">
        <f t="shared" si="13"/>
        <v>0</v>
      </c>
      <c r="AI20" s="856">
        <f t="shared" si="13"/>
        <v>0</v>
      </c>
      <c r="AJ20" s="856">
        <f t="shared" si="13"/>
        <v>0</v>
      </c>
      <c r="AK20" s="856">
        <f t="shared" si="13"/>
        <v>0</v>
      </c>
      <c r="AL20" s="856">
        <f t="shared" si="13"/>
        <v>0</v>
      </c>
      <c r="AM20" s="856">
        <f t="shared" si="13"/>
        <v>0</v>
      </c>
      <c r="AN20" s="856">
        <f t="shared" si="13"/>
        <v>0</v>
      </c>
      <c r="AO20" s="856">
        <f t="shared" si="13"/>
        <v>0</v>
      </c>
      <c r="AP20" s="856">
        <f t="shared" si="13"/>
        <v>0</v>
      </c>
      <c r="AQ20" s="835"/>
      <c r="AR20" s="835"/>
      <c r="AS20" s="835"/>
      <c r="AT20" s="836"/>
      <c r="AU20" s="835"/>
      <c r="AV20" s="835"/>
      <c r="AW20" s="835"/>
      <c r="AX20" s="832">
        <v>14</v>
      </c>
      <c r="BA20" s="835"/>
      <c r="BB20" s="835"/>
      <c r="BC20" s="835"/>
      <c r="BD20" s="828">
        <f t="shared" si="10"/>
        <v>0.75000000000000011</v>
      </c>
      <c r="BE20" s="835"/>
      <c r="BF20" s="835"/>
      <c r="BG20" s="835"/>
      <c r="BH20" s="835"/>
      <c r="BI20" s="835"/>
      <c r="BJ20" s="835"/>
      <c r="BK20" s="835"/>
      <c r="BL20" s="835"/>
    </row>
    <row r="21" spans="2:64" ht="13.1" customHeight="1">
      <c r="B21" s="1088" t="s">
        <v>1689</v>
      </c>
      <c r="C21" s="851">
        <v>0.4</v>
      </c>
      <c r="D21" s="851">
        <v>0.3</v>
      </c>
      <c r="E21" s="851">
        <v>0.2</v>
      </c>
      <c r="F21" s="847">
        <f>1-D21-E21-C21</f>
        <v>9.9999999999999922E-2</v>
      </c>
      <c r="G21" s="1089">
        <f>IF($C$22=G5,(1+taux_tva)*(Ana_eco!$D$7+Ana_eco!$D$8+Ana_eco!$D$9+Ana_eco!$D$10),0)*$C$21+IF($D$22=G5,(1+taux_tva)*(Ana_eco!$D$7+Ana_eco!$D$8+Ana_eco!$D$9+Ana_eco!$D$10),0)*$D$21+IF($E$22=G5,(1+taux_tva)*(Ana_eco!$D$7+Ana_eco!$D$8+Ana_eco!$D$9+Ana_eco!$D$10),0)*$E$21+IF($F$22=G5,(1+taux_tva)*(Ana_eco!$D$7+Ana_eco!$D$8+Ana_eco!$D$9+Ana_eco!$D$10),0)*$F$21</f>
        <v>75974.417193599991</v>
      </c>
      <c r="H21" s="1089">
        <f>IF($C$22=H5,(1+taux_tva)*(Ana_eco!$D$7+Ana_eco!$D$8+Ana_eco!$D$9+Ana_eco!$D$10),0)*$C$21+IF($D$22=H5,(1+taux_tva)*(Ana_eco!$D$7+Ana_eco!$D$8+Ana_eco!$D$9+Ana_eco!$D$10),0)*$D$21+IF($E$22=H5,(1+taux_tva)*(Ana_eco!$D$7+Ana_eco!$D$8+Ana_eco!$D$9+Ana_eco!$D$10),0)*$E$21+IF($F$22=H5,(1+taux_tva)*(Ana_eco!$D$7+Ana_eco!$D$8+Ana_eco!$D$9+Ana_eco!$D$10),0)*$F$21</f>
        <v>56980.81289519999</v>
      </c>
      <c r="I21" s="1089">
        <f>IF($C$22=I5,(1+taux_tva)*(Ana_eco!$D$7+Ana_eco!$D$8+Ana_eco!$D$9+Ana_eco!$D$10),0)*$C$21+IF($D$22=I5,(1+taux_tva)*(Ana_eco!$D$7+Ana_eco!$D$8+Ana_eco!$D$9+Ana_eco!$D$10),0)*$D$21+IF($E$22=I5,(1+taux_tva)*(Ana_eco!$D$7+Ana_eco!$D$8+Ana_eco!$D$9+Ana_eco!$D$10),0)*$E$21+IF($F$22=I5,(1+taux_tva)*(Ana_eco!$D$7+Ana_eco!$D$8+Ana_eco!$D$9+Ana_eco!$D$10),0)*$F$21</f>
        <v>0</v>
      </c>
      <c r="J21" s="1089">
        <f>IF($C$22=J5,(1+taux_tva)*(Ana_eco!$D$7+Ana_eco!$D$8+Ana_eco!$D$9+Ana_eco!$D$10),0)*$C$21+IF($D$22=J5,(1+taux_tva)*(Ana_eco!$D$7+Ana_eco!$D$8+Ana_eco!$D$9+Ana_eco!$D$10),0)*$D$21+IF($E$22=J5,(1+taux_tva)*(Ana_eco!$D$7+Ana_eco!$D$8+Ana_eco!$D$9+Ana_eco!$D$10),0)*$E$21+IF($F$22=J5,(1+taux_tva)*(Ana_eco!$D$7+Ana_eco!$D$8+Ana_eco!$D$9+Ana_eco!$D$10),0)*$F$21</f>
        <v>0</v>
      </c>
      <c r="K21" s="1089">
        <f>IF($C$22=K5,(1+taux_tva)*(Ana_eco!$D$7+Ana_eco!$D$8+Ana_eco!$D$9+Ana_eco!$D$10),0)*$C$21+IF($D$22=K5,(1+taux_tva)*(Ana_eco!$D$7+Ana_eco!$D$8+Ana_eco!$D$9+Ana_eco!$D$10),0)*$D$21+IF($E$22=K5,(1+taux_tva)*(Ana_eco!$D$7+Ana_eco!$D$8+Ana_eco!$D$9+Ana_eco!$D$10),0)*$E$21+IF($F$22=K5,(1+taux_tva)*(Ana_eco!$D$7+Ana_eco!$D$8+Ana_eco!$D$9+Ana_eco!$D$10),0)*$F$21</f>
        <v>37987.208596799996</v>
      </c>
      <c r="L21" s="1089">
        <f>IF($C$22=L5,(1+taux_tva)*(Ana_eco!$D$7+Ana_eco!$D$8+Ana_eco!$D$9+Ana_eco!$D$10),0)*$C$21+IF($D$22=L5,(1+taux_tva)*(Ana_eco!$D$7+Ana_eco!$D$8+Ana_eco!$D$9+Ana_eco!$D$10),0)*$D$21+IF($E$22=L5,(1+taux_tva)*(Ana_eco!$D$7+Ana_eco!$D$8+Ana_eco!$D$9+Ana_eco!$D$10),0)*$E$21+IF($F$22=L5,(1+taux_tva)*(Ana_eco!$D$7+Ana_eco!$D$8+Ana_eco!$D$9+Ana_eco!$D$10),0)*$F$21</f>
        <v>18993.604298399983</v>
      </c>
      <c r="M21" s="1089">
        <f>IF($C$22=M5,(1+taux_tva)*(Ana_eco!$D$7+Ana_eco!$D$8+Ana_eco!$D$9+Ana_eco!$D$10),0)*$C$21+IF($D$22=M5,(1+taux_tva)*(Ana_eco!$D$7+Ana_eco!$D$8+Ana_eco!$D$9+Ana_eco!$D$10),0)*$D$21+IF($E$22=M5,(1+taux_tva)*(Ana_eco!$D$7+Ana_eco!$D$8+Ana_eco!$D$9+Ana_eco!$D$10),0)*$E$21+IF($F$22=M5,(1+taux_tva)*(Ana_eco!$D$7+Ana_eco!$D$8+Ana_eco!$D$9+Ana_eco!$D$10),0)*$F$21</f>
        <v>0</v>
      </c>
      <c r="N21" s="1089">
        <f>IF($C$22=N5,(1+taux_tva)*(Ana_eco!$D$7+Ana_eco!$D$8+Ana_eco!$D$9+Ana_eco!$D$10),0)*$C$21+IF($D$22=N5,(1+taux_tva)*(Ana_eco!$D$7+Ana_eco!$D$8+Ana_eco!$D$9+Ana_eco!$D$10),0)*$D$21+IF($E$22=N5,(1+taux_tva)*(Ana_eco!$D$7+Ana_eco!$D$8+Ana_eco!$D$9+Ana_eco!$D$10),0)*$E$21+IF($F$22=N5,(1+taux_tva)*(Ana_eco!$D$7+Ana_eco!$D$8+Ana_eco!$D$9+Ana_eco!$D$10),0)*$F$21</f>
        <v>0</v>
      </c>
      <c r="O21" s="1089">
        <f>IF($C$22=O5,(1+taux_tva)*(Ana_eco!$D$7+Ana_eco!$D$8+Ana_eco!$D$9+Ana_eco!$D$10),0)*$C$21+IF($D$22=O5,(1+taux_tva)*(Ana_eco!$D$7+Ana_eco!$D$8+Ana_eco!$D$9+Ana_eco!$D$10),0)*$D$21+IF($E$22=O5,(1+taux_tva)*(Ana_eco!$D$7+Ana_eco!$D$8+Ana_eco!$D$9+Ana_eco!$D$10),0)*$E$21+IF($F$22=O5,(1+taux_tva)*(Ana_eco!$D$7+Ana_eco!$D$8+Ana_eco!$D$9+Ana_eco!$D$10),0)*$F$21</f>
        <v>0</v>
      </c>
      <c r="P21" s="1089">
        <f>IF($C$22=P5,(1+taux_tva)*(Ana_eco!$D$7+Ana_eco!$D$8+Ana_eco!$D$9+Ana_eco!$D$10),0)*$C$21+IF($D$22=P5,(1+taux_tva)*(Ana_eco!$D$7+Ana_eco!$D$8+Ana_eco!$D$9+Ana_eco!$D$10),0)*$D$21+IF($E$22=P5,(1+taux_tva)*(Ana_eco!$D$7+Ana_eco!$D$8+Ana_eco!$D$9+Ana_eco!$D$10),0)*$E$21+IF($F$22=P5,(1+taux_tva)*(Ana_eco!$D$7+Ana_eco!$D$8+Ana_eco!$D$9+Ana_eco!$D$10),0)*$F$21</f>
        <v>0</v>
      </c>
      <c r="Q21" s="1089">
        <f>IF($C$22=Q5,(1+taux_tva)*(Ana_eco!$D$7+Ana_eco!$D$8+Ana_eco!$D$9+Ana_eco!$D$10),0)*$C$21+IF($D$22=Q5,(1+taux_tva)*(Ana_eco!$D$7+Ana_eco!$D$8+Ana_eco!$D$9+Ana_eco!$D$10),0)*$D$21+IF($E$22=Q5,(1+taux_tva)*(Ana_eco!$D$7+Ana_eco!$D$8+Ana_eco!$D$9+Ana_eco!$D$10),0)*$E$21+IF($F$22=Q5,(1+taux_tva)*(Ana_eco!$D$7+Ana_eco!$D$8+Ana_eco!$D$9+Ana_eco!$D$10),0)*$F$21</f>
        <v>0</v>
      </c>
      <c r="R21" s="1089">
        <f>IF($C$22=R5,(1+taux_tva)*(Ana_eco!$D$7+Ana_eco!$D$8+Ana_eco!$D$9+Ana_eco!$D$10),0)*$C$21+IF($D$22=R5,(1+taux_tva)*(Ana_eco!$D$7+Ana_eco!$D$8+Ana_eco!$D$9+Ana_eco!$D$10),0)*$D$21+IF($E$22=R5,(1+taux_tva)*(Ana_eco!$D$7+Ana_eco!$D$8+Ana_eco!$D$9+Ana_eco!$D$10),0)*$E$21+IF($F$22=R5,(1+taux_tva)*(Ana_eco!$D$7+Ana_eco!$D$8+Ana_eco!$D$9+Ana_eco!$D$10),0)*$F$21</f>
        <v>0</v>
      </c>
      <c r="S21" s="1089">
        <f>IF($C$22=S5,(1+taux_tva)*(Ana_eco!$D$7+Ana_eco!$D$8+Ana_eco!$D$9+Ana_eco!$D$10),0)*$C$21+IF($D$22=S5,(1+taux_tva)*(Ana_eco!$D$7+Ana_eco!$D$8+Ana_eco!$D$9+Ana_eco!$D$10),0)*$D$21+IF($E$22=S5,(1+taux_tva)*(Ana_eco!$D$7+Ana_eco!$D$8+Ana_eco!$D$9+Ana_eco!$D$10),0)*$E$21+IF($F$22=S5,(1+taux_tva)*(Ana_eco!$D$7+Ana_eco!$D$8+Ana_eco!$D$9+Ana_eco!$D$10),0)*$F$21</f>
        <v>0</v>
      </c>
      <c r="T21" s="1089">
        <f>IF($C$22=T5,(1+taux_tva)*(Ana_eco!$D$7+Ana_eco!$D$8+Ana_eco!$D$9+Ana_eco!$D$10),0)*$C$21+IF($D$22=T5,(1+taux_tva)*(Ana_eco!$D$7+Ana_eco!$D$8+Ana_eco!$D$9+Ana_eco!$D$10),0)*$D$21+IF($E$22=T5,(1+taux_tva)*(Ana_eco!$D$7+Ana_eco!$D$8+Ana_eco!$D$9+Ana_eco!$D$10),0)*$E$21+IF($F$22=T5,(1+taux_tva)*(Ana_eco!$D$7+Ana_eco!$D$8+Ana_eco!$D$9+Ana_eco!$D$10),0)*$F$21</f>
        <v>0</v>
      </c>
      <c r="U21" s="1089">
        <f>IF($C$22=U5,(1+taux_tva)*(Ana_eco!$D$7+Ana_eco!$D$8+Ana_eco!$D$9+Ana_eco!$D$10),0)*$C$21+IF($D$22=U5,(1+taux_tva)*(Ana_eco!$D$7+Ana_eco!$D$8+Ana_eco!$D$9+Ana_eco!$D$10),0)*$D$21+IF($E$22=U5,(1+taux_tva)*(Ana_eco!$D$7+Ana_eco!$D$8+Ana_eco!$D$9+Ana_eco!$D$10),0)*$E$21+IF($F$22=U5,(1+taux_tva)*(Ana_eco!$D$7+Ana_eco!$D$8+Ana_eco!$D$9+Ana_eco!$D$10),0)*$F$21</f>
        <v>0</v>
      </c>
      <c r="V21" s="1089">
        <f>IF($C$22=V5,(1+taux_tva)*(Ana_eco!$D$7+Ana_eco!$D$8+Ana_eco!$D$9+Ana_eco!$D$10),0)*$C$21+IF($D$22=V5,(1+taux_tva)*(Ana_eco!$D$7+Ana_eco!$D$8+Ana_eco!$D$9+Ana_eco!$D$10),0)*$D$21+IF($E$22=V5,(1+taux_tva)*(Ana_eco!$D$7+Ana_eco!$D$8+Ana_eco!$D$9+Ana_eco!$D$10),0)*$E$21+IF($F$22=V5,(1+taux_tva)*(Ana_eco!$D$7+Ana_eco!$D$8+Ana_eco!$D$9+Ana_eco!$D$10),0)*$F$21</f>
        <v>0</v>
      </c>
      <c r="W21" s="1089">
        <f>IF($C$22=W5,(1+taux_tva)*(Ana_eco!$D$7+Ana_eco!$D$8+Ana_eco!$D$9+Ana_eco!$D$10),0)*$C$21+IF($D$22=W5,(1+taux_tva)*(Ana_eco!$D$7+Ana_eco!$D$8+Ana_eco!$D$9+Ana_eco!$D$10),0)*$D$21+IF($E$22=W5,(1+taux_tva)*(Ana_eco!$D$7+Ana_eco!$D$8+Ana_eco!$D$9+Ana_eco!$D$10),0)*$E$21+IF($F$22=W5,(1+taux_tva)*(Ana_eco!$D$7+Ana_eco!$D$8+Ana_eco!$D$9+Ana_eco!$D$10),0)*$F$21</f>
        <v>0</v>
      </c>
      <c r="X21" s="1089">
        <f>IF($C$22=X5,(1+taux_tva)*(Ana_eco!$D$7+Ana_eco!$D$8+Ana_eco!$D$9+Ana_eco!$D$10),0)*$C$21+IF($D$22=X5,(1+taux_tva)*(Ana_eco!$D$7+Ana_eco!$D$8+Ana_eco!$D$9+Ana_eco!$D$10),0)*$D$21+IF($E$22=X5,(1+taux_tva)*(Ana_eco!$D$7+Ana_eco!$D$8+Ana_eco!$D$9+Ana_eco!$D$10),0)*$E$21+IF($F$22=X5,(1+taux_tva)*(Ana_eco!$D$7+Ana_eco!$D$8+Ana_eco!$D$9+Ana_eco!$D$10),0)*$F$21</f>
        <v>0</v>
      </c>
      <c r="Y21" s="1089">
        <f>IF($C$22=Y5,(1+taux_tva)*(Ana_eco!$D$7+Ana_eco!$D$8+Ana_eco!$D$9+Ana_eco!$D$10),0)*$C$21+IF($D$22=Y5,(1+taux_tva)*(Ana_eco!$D$7+Ana_eco!$D$8+Ana_eco!$D$9+Ana_eco!$D$10),0)*$D$21+IF($E$22=Y5,(1+taux_tva)*(Ana_eco!$D$7+Ana_eco!$D$8+Ana_eco!$D$9+Ana_eco!$D$10),0)*$E$21+IF($F$22=Y5,(1+taux_tva)*(Ana_eco!$D$7+Ana_eco!$D$8+Ana_eco!$D$9+Ana_eco!$D$10),0)*$F$21</f>
        <v>0</v>
      </c>
      <c r="Z21" s="1089">
        <f>IF($C$22=Z5,(1+taux_tva)*(Ana_eco!$D$7+Ana_eco!$D$8+Ana_eco!$D$9+Ana_eco!$D$10),0)*$C$21+IF($D$22=Z5,(1+taux_tva)*(Ana_eco!$D$7+Ana_eco!$D$8+Ana_eco!$D$9+Ana_eco!$D$10),0)*$D$21+IF($E$22=Z5,(1+taux_tva)*(Ana_eco!$D$7+Ana_eco!$D$8+Ana_eco!$D$9+Ana_eco!$D$10),0)*$E$21+IF($F$22=Z5,(1+taux_tva)*(Ana_eco!$D$7+Ana_eco!$D$8+Ana_eco!$D$9+Ana_eco!$D$10),0)*$F$21</f>
        <v>0</v>
      </c>
      <c r="AA21" s="1089">
        <f>IF($C$22=AA5,(1+taux_tva)*(Ana_eco!$D$7+Ana_eco!$D$8+Ana_eco!$D$9+Ana_eco!$D$10),0)*$C$21+IF($D$22=AA5,(1+taux_tva)*(Ana_eco!$D$7+Ana_eco!$D$8+Ana_eco!$D$9+Ana_eco!$D$10),0)*$D$21+IF($E$22=AA5,(1+taux_tva)*(Ana_eco!$D$7+Ana_eco!$D$8+Ana_eco!$D$9+Ana_eco!$D$10),0)*$E$21+IF($F$22=AA5,(1+taux_tva)*(Ana_eco!$D$7+Ana_eco!$D$8+Ana_eco!$D$9+Ana_eco!$D$10),0)*$F$21</f>
        <v>0</v>
      </c>
      <c r="AB21" s="1089">
        <f>IF($C$22=AB5,(1+taux_tva)*(Ana_eco!$D$7+Ana_eco!$D$8+Ana_eco!$D$9+Ana_eco!$D$10),0)*$C$21+IF($D$22=AB5,(1+taux_tva)*(Ana_eco!$D$7+Ana_eco!$D$8+Ana_eco!$D$9+Ana_eco!$D$10),0)*$D$21+IF($E$22=AB5,(1+taux_tva)*(Ana_eco!$D$7+Ana_eco!$D$8+Ana_eco!$D$9+Ana_eco!$D$10),0)*$E$21+IF($F$22=AB5,(1+taux_tva)*(Ana_eco!$D$7+Ana_eco!$D$8+Ana_eco!$D$9+Ana_eco!$D$10),0)*$F$21</f>
        <v>0</v>
      </c>
      <c r="AC21" s="1089">
        <f>IF($C$22=AC5,(1+taux_tva)*(Ana_eco!$D$7+Ana_eco!$D$8+Ana_eco!$D$9+Ana_eco!$D$10),0)*$C$21+IF($D$22=AC5,(1+taux_tva)*(Ana_eco!$D$7+Ana_eco!$D$8+Ana_eco!$D$9+Ana_eco!$D$10),0)*$D$21+IF($E$22=AC5,(1+taux_tva)*(Ana_eco!$D$7+Ana_eco!$D$8+Ana_eco!$D$9+Ana_eco!$D$10),0)*$E$21+IF($F$22=AC5,(1+taux_tva)*(Ana_eco!$D$7+Ana_eco!$D$8+Ana_eco!$D$9+Ana_eco!$D$10),0)*$F$21</f>
        <v>0</v>
      </c>
      <c r="AD21" s="1089">
        <f>IF($C$22=AD5,(1+taux_tva)*(Ana_eco!$D$7+Ana_eco!$D$8+Ana_eco!$D$9+Ana_eco!$D$10),0)*$C$21+IF($D$22=AD5,(1+taux_tva)*(Ana_eco!$D$7+Ana_eco!$D$8+Ana_eco!$D$9+Ana_eco!$D$10),0)*$D$21+IF($E$22=AD5,(1+taux_tva)*(Ana_eco!$D$7+Ana_eco!$D$8+Ana_eco!$D$9+Ana_eco!$D$10),0)*$E$21+IF($F$22=AD5,(1+taux_tva)*(Ana_eco!$D$7+Ana_eco!$D$8+Ana_eco!$D$9+Ana_eco!$D$10),0)*$F$21</f>
        <v>0</v>
      </c>
      <c r="AE21" s="1089">
        <f>IF($C$22=AE5,(1+taux_tva)*(Ana_eco!$D$7+Ana_eco!$D$8+Ana_eco!$D$9+Ana_eco!$D$10),0)*$C$21+IF($D$22=AE5,(1+taux_tva)*(Ana_eco!$D$7+Ana_eco!$D$8+Ana_eco!$D$9+Ana_eco!$D$10),0)*$D$21+IF($E$22=AE5,(1+taux_tva)*(Ana_eco!$D$7+Ana_eco!$D$8+Ana_eco!$D$9+Ana_eco!$D$10),0)*$E$21+IF($F$22=AE5,(1+taux_tva)*(Ana_eco!$D$7+Ana_eco!$D$8+Ana_eco!$D$9+Ana_eco!$D$10),0)*$F$21</f>
        <v>0</v>
      </c>
      <c r="AF21" s="1089">
        <f>IF($C$22=AF5,(1+taux_tva)*(Ana_eco!$D$7+Ana_eco!$D$8+Ana_eco!$D$9+Ana_eco!$D$10),0)*$C$21+IF($D$22=AF5,(1+taux_tva)*(Ana_eco!$D$7+Ana_eco!$D$8+Ana_eco!$D$9+Ana_eco!$D$10),0)*$D$21+IF($E$22=AF5,(1+taux_tva)*(Ana_eco!$D$7+Ana_eco!$D$8+Ana_eco!$D$9+Ana_eco!$D$10),0)*$E$21+IF($F$22=AF5,(1+taux_tva)*(Ana_eco!$D$7+Ana_eco!$D$8+Ana_eco!$D$9+Ana_eco!$D$10),0)*$F$21</f>
        <v>0</v>
      </c>
      <c r="AG21" s="1089">
        <f>IF($C$22=AG5,(1+taux_tva)*(Ana_eco!$D$7+Ana_eco!$D$8+Ana_eco!$D$9+Ana_eco!$D$10),0)*$C$21+IF($D$22=AG5,(1+taux_tva)*(Ana_eco!$D$7+Ana_eco!$D$8+Ana_eco!$D$9+Ana_eco!$D$10),0)*$D$21+IF($E$22=AG5,(1+taux_tva)*(Ana_eco!$D$7+Ana_eco!$D$8+Ana_eco!$D$9+Ana_eco!$D$10),0)*$E$21+IF($F$22=AG5,(1+taux_tva)*(Ana_eco!$D$7+Ana_eco!$D$8+Ana_eco!$D$9+Ana_eco!$D$10),0)*$F$21</f>
        <v>0</v>
      </c>
      <c r="AH21" s="1089">
        <f>IF($C$22=AH5,(1+taux_tva)*(Ana_eco!$D$7+Ana_eco!$D$8+Ana_eco!$D$9+Ana_eco!$D$10),0)*$C$21+IF($D$22=AH5,(1+taux_tva)*(Ana_eco!$D$7+Ana_eco!$D$8+Ana_eco!$D$9+Ana_eco!$D$10),0)*$D$21+IF($E$22=AH5,(1+taux_tva)*(Ana_eco!$D$7+Ana_eco!$D$8+Ana_eco!$D$9+Ana_eco!$D$10),0)*$E$21+IF($F$22=AH5,(1+taux_tva)*(Ana_eco!$D$7+Ana_eco!$D$8+Ana_eco!$D$9+Ana_eco!$D$10),0)*$F$21</f>
        <v>0</v>
      </c>
      <c r="AI21" s="1089">
        <f>IF($C$22=AI5,(1+taux_tva)*(Ana_eco!$D$7+Ana_eco!$D$8+Ana_eco!$D$9+Ana_eco!$D$10),0)*$C$21+IF($D$22=AI5,(1+taux_tva)*(Ana_eco!$D$7+Ana_eco!$D$8+Ana_eco!$D$9+Ana_eco!$D$10),0)*$D$21+IF($E$22=AI5,(1+taux_tva)*(Ana_eco!$D$7+Ana_eco!$D$8+Ana_eco!$D$9+Ana_eco!$D$10),0)*$E$21+IF($F$22=AI5,(1+taux_tva)*(Ana_eco!$D$7+Ana_eco!$D$8+Ana_eco!$D$9+Ana_eco!$D$10),0)*$F$21</f>
        <v>0</v>
      </c>
      <c r="AJ21" s="1089">
        <f>IF($C$22=AJ5,(1+taux_tva)*(Ana_eco!$D$7+Ana_eco!$D$8+Ana_eco!$D$9+Ana_eco!$D$10),0)*$C$21+IF($D$22=AJ5,(1+taux_tva)*(Ana_eco!$D$7+Ana_eco!$D$8+Ana_eco!$D$9+Ana_eco!$D$10),0)*$D$21+IF($E$22=AJ5,(1+taux_tva)*(Ana_eco!$D$7+Ana_eco!$D$8+Ana_eco!$D$9+Ana_eco!$D$10),0)*$E$21+IF($F$22=AJ5,(1+taux_tva)*(Ana_eco!$D$7+Ana_eco!$D$8+Ana_eco!$D$9+Ana_eco!$D$10),0)*$F$21</f>
        <v>0</v>
      </c>
      <c r="AK21" s="1089">
        <f>IF($C$22=AK5,(1+taux_tva)*(Ana_eco!$D$7+Ana_eco!$D$8+Ana_eco!$D$9+Ana_eco!$D$10),0)*$C$21+IF($D$22=AK5,(1+taux_tva)*(Ana_eco!$D$7+Ana_eco!$D$8+Ana_eco!$D$9+Ana_eco!$D$10),0)*$D$21+IF($E$22=AK5,(1+taux_tva)*(Ana_eco!$D$7+Ana_eco!$D$8+Ana_eco!$D$9+Ana_eco!$D$10),0)*$E$21+IF($F$22=AK5,(1+taux_tva)*(Ana_eco!$D$7+Ana_eco!$D$8+Ana_eco!$D$9+Ana_eco!$D$10),0)*$F$21</f>
        <v>0</v>
      </c>
      <c r="AL21" s="1089">
        <f>IF($C$22=AL5,(1+taux_tva)*(Ana_eco!$D$7+Ana_eco!$D$8+Ana_eco!$D$9+Ana_eco!$D$10),0)*$C$21+IF($D$22=AL5,(1+taux_tva)*(Ana_eco!$D$7+Ana_eco!$D$8+Ana_eco!$D$9+Ana_eco!$D$10),0)*$D$21+IF($E$22=AL5,(1+taux_tva)*(Ana_eco!$D$7+Ana_eco!$D$8+Ana_eco!$D$9+Ana_eco!$D$10),0)*$E$21+IF($F$22=AL5,(1+taux_tva)*(Ana_eco!$D$7+Ana_eco!$D$8+Ana_eco!$D$9+Ana_eco!$D$10),0)*$F$21</f>
        <v>0</v>
      </c>
      <c r="AM21" s="1089">
        <f>IF($C$22=AM5,(1+taux_tva)*(Ana_eco!$D$7+Ana_eco!$D$8+Ana_eco!$D$9+Ana_eco!$D$10),0)*$C$21+IF($D$22=AM5,(1+taux_tva)*(Ana_eco!$D$7+Ana_eco!$D$8+Ana_eco!$D$9+Ana_eco!$D$10),0)*$D$21+IF($E$22=AM5,(1+taux_tva)*(Ana_eco!$D$7+Ana_eco!$D$8+Ana_eco!$D$9+Ana_eco!$D$10),0)*$E$21+IF($F$22=AM5,(1+taux_tva)*(Ana_eco!$D$7+Ana_eco!$D$8+Ana_eco!$D$9+Ana_eco!$D$10),0)*$F$21</f>
        <v>0</v>
      </c>
      <c r="AN21" s="1089">
        <f>IF($C$22=AN5,(1+taux_tva)*(Ana_eco!$D$7+Ana_eco!$D$8+Ana_eco!$D$9+Ana_eco!$D$10),0)*$C$21+IF($D$22=AN5,(1+taux_tva)*(Ana_eco!$D$7+Ana_eco!$D$8+Ana_eco!$D$9+Ana_eco!$D$10),0)*$D$21+IF($E$22=AN5,(1+taux_tva)*(Ana_eco!$D$7+Ana_eco!$D$8+Ana_eco!$D$9+Ana_eco!$D$10),0)*$E$21+IF($F$22=AN5,(1+taux_tva)*(Ana_eco!$D$7+Ana_eco!$D$8+Ana_eco!$D$9+Ana_eco!$D$10),0)*$F$21</f>
        <v>0</v>
      </c>
      <c r="AO21" s="1089">
        <f>IF($C$22=AO5,(1+taux_tva)*(Ana_eco!$D$7+Ana_eco!$D$8+Ana_eco!$D$9+Ana_eco!$D$10),0)*$C$21+IF($D$22=AO5,(1+taux_tva)*(Ana_eco!$D$7+Ana_eco!$D$8+Ana_eco!$D$9+Ana_eco!$D$10),0)*$D$21+IF($E$22=AO5,(1+taux_tva)*(Ana_eco!$D$7+Ana_eco!$D$8+Ana_eco!$D$9+Ana_eco!$D$10),0)*$E$21+IF($F$22=AO5,(1+taux_tva)*(Ana_eco!$D$7+Ana_eco!$D$8+Ana_eco!$D$9+Ana_eco!$D$10),0)*$F$21</f>
        <v>0</v>
      </c>
      <c r="AP21" s="1089">
        <f>IF($C$22=AP5,(1+taux_tva)*(Ana_eco!$D$7+Ana_eco!$D$8+Ana_eco!$D$9+Ana_eco!$D$10),0)*$C$21+IF($D$22=AP5,(1+taux_tva)*(Ana_eco!$D$7+Ana_eco!$D$8+Ana_eco!$D$9+Ana_eco!$D$10),0)*$D$21+IF($E$22=AP5,(1+taux_tva)*(Ana_eco!$D$7+Ana_eco!$D$8+Ana_eco!$D$9+Ana_eco!$D$10),0)*$E$21+IF($F$22=AP5,(1+taux_tva)*(Ana_eco!$D$7+Ana_eco!$D$8+Ana_eco!$D$9+Ana_eco!$D$10),0)*$F$21</f>
        <v>0</v>
      </c>
      <c r="AR21" s="1087">
        <f>SUM(G21:R22)</f>
        <v>189936.04298399997</v>
      </c>
      <c r="AS21" s="1087">
        <f>(Ana_eco!D7+Ana_eco!$D$8+Ana_eco!D9)*(1+taux_tva)</f>
        <v>181088.364</v>
      </c>
      <c r="AT21" s="1087" t="str">
        <f>IF(AR21=AS21,"OK","PB")</f>
        <v>PB</v>
      </c>
      <c r="AX21" s="832">
        <v>15</v>
      </c>
      <c r="BA21" s="857">
        <f>MONTH(B4)</f>
        <v>9</v>
      </c>
      <c r="BD21" s="828">
        <f t="shared" si="10"/>
        <v>0.80000000000000016</v>
      </c>
    </row>
    <row r="22" spans="2:64" ht="20.95" customHeight="1">
      <c r="B22" s="1088"/>
      <c r="C22" s="840">
        <v>1</v>
      </c>
      <c r="D22" s="840">
        <v>2</v>
      </c>
      <c r="E22" s="840">
        <v>5</v>
      </c>
      <c r="F22" s="840">
        <v>6</v>
      </c>
      <c r="G22" s="1089"/>
      <c r="H22" s="1089"/>
      <c r="I22" s="1089"/>
      <c r="J22" s="1089"/>
      <c r="K22" s="1089"/>
      <c r="L22" s="1089"/>
      <c r="M22" s="1089"/>
      <c r="N22" s="1089"/>
      <c r="O22" s="1089"/>
      <c r="P22" s="1089"/>
      <c r="Q22" s="1089"/>
      <c r="R22" s="1089"/>
      <c r="S22" s="1089"/>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1089"/>
      <c r="AP22" s="1089"/>
      <c r="AQ22" s="848"/>
      <c r="AR22" s="1087"/>
      <c r="AS22" s="1087"/>
      <c r="AT22" s="1087"/>
      <c r="AX22" s="832">
        <v>16</v>
      </c>
      <c r="BD22" s="828">
        <f t="shared" si="10"/>
        <v>0.8500000000000002</v>
      </c>
    </row>
    <row r="23" spans="2:64" ht="13.1" customHeight="1">
      <c r="B23" s="1088" t="s">
        <v>1644</v>
      </c>
      <c r="C23" s="851">
        <v>0.5</v>
      </c>
      <c r="D23" s="847">
        <f>1-C23</f>
        <v>0.5</v>
      </c>
      <c r="E23" s="858"/>
      <c r="F23" s="858"/>
      <c r="G23" s="1087">
        <f>(IF(G5=$C$24,Ana_eco!$D$11*$C$23,0)+IF(G5=$D$24,Ana_eco!$D$11*$D$23,0))*(1+taux_tva)</f>
        <v>15826.541999999999</v>
      </c>
      <c r="H23" s="1087">
        <f>(IF(H5=$C$24,Ana_eco!$D$11*$C$23,0)+IF(H5=$D$24,Ana_eco!$D$11*$D$23,0))*(1+taux_tva)</f>
        <v>0</v>
      </c>
      <c r="I23" s="1087">
        <f>(IF(I5=$C$24,Ana_eco!$D$11*$C$23,0)+IF(I5=$D$24,Ana_eco!$D$11*$D$23,0))*(1+taux_tva)</f>
        <v>0</v>
      </c>
      <c r="J23" s="1087">
        <f>(IF(J5=$C$24,Ana_eco!$D$11*$C$23,0)+IF(J5=$D$24,Ana_eco!$D$11*$D$23,0))*(1+taux_tva)</f>
        <v>15826.541999999999</v>
      </c>
      <c r="K23" s="1087">
        <f>(IF(K5=$C$24,Ana_eco!$D$11*$C$23,0)+IF(K5=$D$24,Ana_eco!$D$11*$D$23,0))*(1+taux_tva)</f>
        <v>0</v>
      </c>
      <c r="L23" s="1087">
        <f>(IF(L5=$C$24,Ana_eco!$D$11*$C$23,0)+IF(L5=$D$24,Ana_eco!$D$11*$D$23,0))*(1+taux_tva)</f>
        <v>0</v>
      </c>
      <c r="M23" s="1087">
        <f>(IF(M5=$C$24,Ana_eco!$D$11*$C$23,0)+IF(M5=$D$24,Ana_eco!$D$11*$D$23,0))*(1+taux_tva)</f>
        <v>0</v>
      </c>
      <c r="N23" s="843">
        <f>(IF(N5=$C$24,Ana_eco!$D$11*$C$23,0)+IF(N5=$D$24,Ana_eco!$D$11*$D$23,0))*(1+taux_tva)</f>
        <v>0</v>
      </c>
      <c r="O23" s="843">
        <f>(IF(O5=$C$24,Ana_eco!$D$11*$C$23,0)+IF(O5=$D$24,Ana_eco!$D$11*$D$23,0))*(1+taux_tva)</f>
        <v>0</v>
      </c>
      <c r="P23" s="843">
        <f>(IF(P5=$C$24,Ana_eco!$D$11*$C$23,0)+IF(P5=$D$24,Ana_eco!$D$11*$D$23,0))*(1+taux_tva)</f>
        <v>0</v>
      </c>
      <c r="Q23" s="843">
        <f>(IF(Q5=$C$24,Ana_eco!$D$11*$C$23,0)+IF(Q5=$D$24,Ana_eco!$D$11*$D$23,0))*(1+taux_tva)</f>
        <v>0</v>
      </c>
      <c r="R23" s="843">
        <f>(IF(R5=$C$24,Ana_eco!$D$11*$C$23,0)+IF(R5=$D$24,Ana_eco!$D$11*$D$23,0))*(1+taux_tva)</f>
        <v>0</v>
      </c>
      <c r="S23" s="843">
        <f>(IF(S5=$C$24,Ana_eco!$D$11*$C$23,0)+IF(S5=$D$24,Ana_eco!$D$11*$D$23,0))*(1+taux_tva)</f>
        <v>0</v>
      </c>
      <c r="T23" s="843">
        <f>(IF(T5=$C$24,Ana_eco!$D$11*$C$23,0)+IF(T5=$D$24,Ana_eco!$D$11*$D$23,0))*(1+taux_tva)</f>
        <v>0</v>
      </c>
      <c r="U23" s="843">
        <f>(IF(U5=$C$24,Ana_eco!$D$11*$C$23,0)+IF(U5=$D$24,Ana_eco!$D$11*$D$23,0))*(1+taux_tva)</f>
        <v>0</v>
      </c>
      <c r="V23" s="843">
        <f>(IF(V5=$C$24,Ana_eco!$D$11*$C$23,0)+IF(V5=$D$24,Ana_eco!$D$11*$D$23,0))*(1+taux_tva)</f>
        <v>0</v>
      </c>
      <c r="W23" s="843">
        <f>(IF(W5=$C$24,Ana_eco!$D$11*$C$23,0)+IF(W5=$D$24,Ana_eco!$D$11*$D$23,0))*(1+taux_tva)</f>
        <v>0</v>
      </c>
      <c r="X23" s="843">
        <f>(IF(X5=$C$24,Ana_eco!$D$11*$C$23,0)+IF(X5=$D$24,Ana_eco!$D$11*$D$23,0))*(1+taux_tva)</f>
        <v>0</v>
      </c>
      <c r="Y23" s="843">
        <f>(IF(Y5=$C$24,Ana_eco!$D$11*$C$23,0)+IF(Y5=$D$24,Ana_eco!$D$11*$D$23,0))*(1+taux_tva)</f>
        <v>0</v>
      </c>
      <c r="Z23" s="843">
        <f>(IF(Z5=$C$24,Ana_eco!$D$11*$C$23,0)+IF(Z5=$D$24,Ana_eco!$D$11*$D$23,0))*(1+taux_tva)</f>
        <v>0</v>
      </c>
      <c r="AA23" s="843">
        <f>(IF(AA5=$C$24,Ana_eco!$D$11*$C$23,0)+IF(AA5=$D$24,Ana_eco!$D$11*$D$23,0))*(1+taux_tva)</f>
        <v>0</v>
      </c>
      <c r="AB23" s="843">
        <f>(IF(AB5=$C$24,Ana_eco!$D$11*$C$23,0)+IF(AB5=$D$24,Ana_eco!$D$11*$D$23,0))*(1+taux_tva)</f>
        <v>0</v>
      </c>
      <c r="AC23" s="843">
        <f>(IF(AC5=$C$24,Ana_eco!$D$11*$C$23,0)+IF(AC5=$D$24,Ana_eco!$D$11*$D$23,0))*(1+taux_tva)</f>
        <v>0</v>
      </c>
      <c r="AD23" s="843">
        <f>(IF(AD5=$C$24,Ana_eco!$D$11*$C$23,0)+IF(AD5=$D$24,Ana_eco!$D$11*$D$23,0))*(1+taux_tva)</f>
        <v>0</v>
      </c>
      <c r="AE23" s="843">
        <f>(IF(AE5=$C$24,Ana_eco!$D$11*$C$23,0)+IF(AE5=$D$24,Ana_eco!$D$11*$D$23,0))*(1+taux_tva)</f>
        <v>0</v>
      </c>
      <c r="AF23" s="843">
        <f>(IF(AF5=$C$24,Ana_eco!$D$11*$C$23,0)+IF(AF5=$D$24,Ana_eco!$D$11*$D$23,0))*(1+taux_tva)</f>
        <v>0</v>
      </c>
      <c r="AG23" s="843">
        <f>(IF(AG5=$C$24,Ana_eco!$D$11*$C$23,0)+IF(AG5=$D$24,Ana_eco!$D$11*$D$23,0))*(1+taux_tva)</f>
        <v>0</v>
      </c>
      <c r="AH23" s="843">
        <f>(IF(AH5=$C$24,Ana_eco!$D$11*$C$23,0)+IF(AH5=$D$24,Ana_eco!$D$11*$D$23,0))*(1+taux_tva)</f>
        <v>0</v>
      </c>
      <c r="AI23" s="843">
        <f>(IF(AI5=$C$24,Ana_eco!$D$11*$C$23,0)+IF(AI5=$D$24,Ana_eco!$D$11*$D$23,0))*(1+taux_tva)</f>
        <v>0</v>
      </c>
      <c r="AJ23" s="843">
        <f>(IF(AJ5=$C$24,Ana_eco!$D$11*$C$23,0)+IF(AJ5=$D$24,Ana_eco!$D$11*$D$23,0))*(1+taux_tva)</f>
        <v>0</v>
      </c>
      <c r="AK23" s="843">
        <f>(IF(AK5=$C$24,Ana_eco!$D$11*$C$23,0)+IF(AK5=$D$24,Ana_eco!$D$11*$D$23,0))*(1+taux_tva)</f>
        <v>0</v>
      </c>
      <c r="AL23" s="843">
        <f>(IF(AL5=$C$24,Ana_eco!$D$11*$C$23,0)+IF(AL5=$D$24,Ana_eco!$D$11*$D$23,0))*(1+taux_tva)</f>
        <v>0</v>
      </c>
      <c r="AM23" s="843">
        <f>(IF(AM5=$C$24,Ana_eco!$D$11*$C$23,0)+IF(AM5=$D$24,Ana_eco!$D$11*$D$23,0))*(1+taux_tva)</f>
        <v>0</v>
      </c>
      <c r="AN23" s="843">
        <f>(IF(AN5=$C$24,Ana_eco!$D$11*$C$23,0)+IF(AN5=$D$24,Ana_eco!$D$11*$D$23,0))*(1+taux_tva)</f>
        <v>0</v>
      </c>
      <c r="AO23" s="843">
        <f>(IF(AO5=$C$24,Ana_eco!$D$11*$C$23,0)+IF(AO5=$D$24,Ana_eco!$D$11*$D$23,0))*(1+taux_tva)</f>
        <v>0</v>
      </c>
      <c r="AP23" s="843">
        <f>(IF(AP5=$C$24,Ana_eco!$D$11*$C$23,0)+IF(AP5=$D$24,Ana_eco!$D$11*$D$23,0))*(1+taux_tva)</f>
        <v>0</v>
      </c>
      <c r="AR23" s="1087">
        <f>SUM(G23:R24)</f>
        <v>31653.083999999999</v>
      </c>
      <c r="AS23" s="1087">
        <f>Ana_eco!D11*(1+taux_tva)</f>
        <v>31653.083999999999</v>
      </c>
      <c r="AT23" s="1087" t="str">
        <f>IF(AR23=AS23,"OK","PB")</f>
        <v>OK</v>
      </c>
      <c r="AX23" s="832">
        <v>17</v>
      </c>
      <c r="BD23" s="828">
        <f t="shared" si="10"/>
        <v>0.90000000000000024</v>
      </c>
    </row>
    <row r="24" spans="2:64" ht="12.45">
      <c r="B24" s="1088"/>
      <c r="C24" s="840">
        <v>1</v>
      </c>
      <c r="D24" s="840">
        <v>4</v>
      </c>
      <c r="E24" s="858"/>
      <c r="F24" s="858"/>
      <c r="G24" s="1087"/>
      <c r="H24" s="1087"/>
      <c r="I24" s="1087"/>
      <c r="J24" s="1087"/>
      <c r="K24" s="1087"/>
      <c r="L24" s="1087"/>
      <c r="M24" s="1087"/>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R24" s="1087"/>
      <c r="AS24" s="1087"/>
      <c r="AT24" s="1087"/>
      <c r="AX24" s="832">
        <v>18</v>
      </c>
      <c r="BD24" s="828">
        <f t="shared" si="10"/>
        <v>0.95000000000000029</v>
      </c>
    </row>
    <row r="25" spans="2:64" ht="13.1" customHeight="1">
      <c r="B25" s="1088" t="s">
        <v>1690</v>
      </c>
      <c r="C25" s="851">
        <v>0.5</v>
      </c>
      <c r="D25" s="847">
        <f>1-C25</f>
        <v>0.5</v>
      </c>
      <c r="E25" s="842"/>
      <c r="F25" s="858"/>
      <c r="G25" s="1087">
        <f>(IF(G5=$C$26,Ana_eco!$D$12*$C$25,0)+IF(G5=$D$26,Ana_eco!$D$12*$D$25,0))*(1+taux_tva)</f>
        <v>3566.3820000000001</v>
      </c>
      <c r="H25" s="1087">
        <f>(IF(H5=$C$26,Ana_eco!$D$12*$C$25,0)+IF(H5=$D$26,Ana_eco!$D$12*$D$25,0))*(1+taux_tva)</f>
        <v>0</v>
      </c>
      <c r="I25" s="1087">
        <f>(IF(I5=$C$26,Ana_eco!$D$12*$C$25,0)+IF(I5=$D$26,Ana_eco!$D$12*$D$25,0))*(1+taux_tva)</f>
        <v>0</v>
      </c>
      <c r="J25" s="1087">
        <f>(IF(J5=$C$26,Ana_eco!$D$12*$C$25,0)+IF(J5=$D$26,Ana_eco!$D$12*$D$25,0))*(1+taux_tva)</f>
        <v>3566.3820000000001</v>
      </c>
      <c r="K25" s="1087">
        <f>(IF(K5=$C$26,Ana_eco!$D$12*$C$25,0)+IF(K5=$D$26,Ana_eco!$D$12*$D$25,0))*(1+taux_tva)</f>
        <v>0</v>
      </c>
      <c r="L25" s="1087">
        <f>(IF(L5=$C$26,Ana_eco!$D$12*$C$25,0)+IF(L5=$D$26,Ana_eco!$D$12*$D$25,0))*(1+taux_tva)</f>
        <v>0</v>
      </c>
      <c r="M25" s="1087">
        <f>(IF(M5=$C$26,Ana_eco!$D$12*$C$25,0)+IF(M5=$D$26,Ana_eco!$D$12*$D$25,0))*(1+taux_tva)</f>
        <v>0</v>
      </c>
      <c r="N25" s="1087">
        <f>(IF(N5=$C$26,Ana_eco!$D$12*$C$25,0)+IF(N5=$D$26,Ana_eco!$D$12*$D$25,0))*(1+taux_tva)</f>
        <v>0</v>
      </c>
      <c r="O25" s="1087">
        <f>(IF(O5=$C$26,Ana_eco!$D$12*$C$25,0)+IF(O5=$D$26,Ana_eco!$D$12*$D$25,0))*(1+taux_tva)</f>
        <v>0</v>
      </c>
      <c r="P25" s="1087">
        <f>(IF(P5=$C$26,Ana_eco!$D$12*$C$25,0)+IF(P5=$D$26,Ana_eco!$D$12*$D$25,0))*(1+taux_tva)</f>
        <v>0</v>
      </c>
      <c r="Q25" s="1087">
        <f>(IF(Q5=$C$26,Ana_eco!$D$12*$C$25,0)+IF(Q5=$D$26,Ana_eco!$D$12*$D$25,0))*(1+taux_tva)</f>
        <v>0</v>
      </c>
      <c r="R25" s="1087">
        <f>(IF(R5=$C$26,Ana_eco!$D$12*$C$25,0)+IF(R5=$D$26,Ana_eco!$D$12*$D$25,0))*(1+taux_tva)</f>
        <v>0</v>
      </c>
      <c r="S25" s="1087">
        <f>(IF(S5=$C$26,Ana_eco!$D$12*$C$25,0)+IF(S5=$D$26,Ana_eco!$D$12*$D$25,0))*(1+taux_tva)</f>
        <v>0</v>
      </c>
      <c r="T25" s="1087">
        <f>(IF(T5=$C$26,Ana_eco!$D$12*$C$25,0)+IF(T5=$D$26,Ana_eco!$D$12*$D$25,0))*(1+taux_tva)</f>
        <v>0</v>
      </c>
      <c r="U25" s="1087">
        <f>(IF(U5=$C$26,Ana_eco!$D$12*$C$25,0)+IF(U5=$D$26,Ana_eco!$D$12*$D$25,0))*(1+taux_tva)</f>
        <v>0</v>
      </c>
      <c r="V25" s="1087">
        <f>(IF(V5=$C$26,Ana_eco!$D$12*$C$25,0)+IF(V5=$D$26,Ana_eco!$D$12*$D$25,0))*(1+taux_tva)</f>
        <v>0</v>
      </c>
      <c r="W25" s="1087">
        <f>(IF(W5=$C$26,Ana_eco!$D$12*$C$25,0)+IF(W5=$D$26,Ana_eco!$D$12*$D$25,0))*(1+taux_tva)</f>
        <v>0</v>
      </c>
      <c r="X25" s="1087">
        <f>(IF(X5=$C$26,Ana_eco!$D$12*$C$25,0)+IF(X5=$D$26,Ana_eco!$D$12*$D$25,0))*(1+taux_tva)</f>
        <v>0</v>
      </c>
      <c r="Y25" s="1087">
        <f>(IF(Y5=$C$26,Ana_eco!$D$12*$C$25,0)+IF(Y5=$D$26,Ana_eco!$D$12*$D$25,0))*(1+taux_tva)</f>
        <v>0</v>
      </c>
      <c r="Z25" s="1087">
        <f>(IF(Z5=$C$26,Ana_eco!$D$12*$C$25,0)+IF(Z5=$D$26,Ana_eco!$D$12*$D$25,0))*(1+taux_tva)</f>
        <v>0</v>
      </c>
      <c r="AA25" s="1087">
        <f>(IF(AA5=$C$26,Ana_eco!$D$12*$C$25,0)+IF(AA5=$D$26,Ana_eco!$D$12*$D$25,0))*(1+taux_tva)</f>
        <v>0</v>
      </c>
      <c r="AB25" s="1087">
        <f>(IF(AB5=$C$26,Ana_eco!$D$12*$C$25,0)+IF(AB5=$D$26,Ana_eco!$D$12*$D$25,0))*(1+taux_tva)</f>
        <v>0</v>
      </c>
      <c r="AC25" s="1087">
        <f>(IF(AC5=$C$26,Ana_eco!$D$12*$C$25,0)+IF(AC5=$D$26,Ana_eco!$D$12*$D$25,0))*(1+taux_tva)</f>
        <v>0</v>
      </c>
      <c r="AD25" s="1087">
        <f>(IF(AD5=$C$26,Ana_eco!$D$12*$C$25,0)+IF(AD5=$D$26,Ana_eco!$D$12*$D$25,0))*(1+taux_tva)</f>
        <v>0</v>
      </c>
      <c r="AE25" s="1087">
        <f>(IF(AE5=$C$26,Ana_eco!$D$12*$C$25,0)+IF(AE5=$D$26,Ana_eco!$D$12*$D$25,0))*(1+taux_tva)</f>
        <v>0</v>
      </c>
      <c r="AF25" s="1087">
        <f>(IF(AF5=$C$26,Ana_eco!$D$12*$C$25,0)+IF(AF5=$D$26,Ana_eco!$D$12*$D$25,0))*(1+taux_tva)</f>
        <v>0</v>
      </c>
      <c r="AG25" s="1087">
        <f>(IF(AG5=$C$26,Ana_eco!$D$12*$C$25,0)+IF(AG5=$D$26,Ana_eco!$D$12*$D$25,0))*(1+taux_tva)</f>
        <v>0</v>
      </c>
      <c r="AH25" s="1087">
        <f>(IF(AH5=$C$26,Ana_eco!$D$12*$C$25,0)+IF(AH5=$D$26,Ana_eco!$D$12*$D$25,0))*(1+taux_tva)</f>
        <v>0</v>
      </c>
      <c r="AI25" s="1087">
        <f>(IF(AI5=$C$26,Ana_eco!$D$12*$C$25,0)+IF(AI5=$D$26,Ana_eco!$D$12*$D$25,0))*(1+taux_tva)</f>
        <v>0</v>
      </c>
      <c r="AJ25" s="1087">
        <f>(IF(AJ5=$C$26,Ana_eco!$D$12*$C$25,0)+IF(AJ5=$D$26,Ana_eco!$D$12*$D$25,0))*(1+taux_tva)</f>
        <v>0</v>
      </c>
      <c r="AK25" s="1087">
        <f>(IF(AK5=$C$26,Ana_eco!$D$12*$C$25,0)+IF(AK5=$D$26,Ana_eco!$D$12*$D$25,0))*(1+taux_tva)</f>
        <v>0</v>
      </c>
      <c r="AL25" s="1087">
        <f>(IF(AL5=$C$26,Ana_eco!$D$12*$C$25,0)+IF(AL5=$D$26,Ana_eco!$D$12*$D$25,0))*(1+taux_tva)</f>
        <v>0</v>
      </c>
      <c r="AM25" s="1087">
        <f>(IF(AM5=$C$26,Ana_eco!$D$12*$C$25,0)+IF(AM5=$D$26,Ana_eco!$D$12*$D$25,0))*(1+taux_tva)</f>
        <v>0</v>
      </c>
      <c r="AN25" s="1087">
        <f>(IF(AN5=$C$26,Ana_eco!$D$12*$C$25,0)+IF(AN5=$D$26,Ana_eco!$D$12*$D$25,0))*(1+taux_tva)</f>
        <v>0</v>
      </c>
      <c r="AO25" s="1087">
        <f>(IF(AO5=$C$26,Ana_eco!$D$12*$C$25,0)+IF(AO5=$D$26,Ana_eco!$D$12*$D$25,0))*(1+taux_tva)</f>
        <v>0</v>
      </c>
      <c r="AP25" s="1087">
        <f>(IF(AP5=$C$26,Ana_eco!$D$12*$C$25,0)+IF(AP5=$D$26,Ana_eco!$D$12*$D$25,0))*(1+taux_tva)</f>
        <v>0</v>
      </c>
      <c r="AR25" s="1087">
        <f>SUM(G25:R26)</f>
        <v>7132.7640000000001</v>
      </c>
      <c r="AS25" s="1087">
        <f>Ana_eco!D12*(1+taux_tva)</f>
        <v>7132.7640000000001</v>
      </c>
      <c r="AT25" s="1087" t="str">
        <f>IF(AR25=AS25,"OK","PB")</f>
        <v>OK</v>
      </c>
      <c r="AX25" s="832">
        <v>19</v>
      </c>
      <c r="BD25" s="828">
        <f t="shared" si="10"/>
        <v>1.0000000000000002</v>
      </c>
    </row>
    <row r="26" spans="2:64" ht="12.45">
      <c r="B26" s="1088"/>
      <c r="C26" s="840">
        <v>1</v>
      </c>
      <c r="D26" s="840">
        <v>4</v>
      </c>
      <c r="E26" s="842"/>
      <c r="F26" s="858"/>
      <c r="G26" s="1087"/>
      <c r="H26" s="1087"/>
      <c r="I26" s="1087"/>
      <c r="J26" s="1087"/>
      <c r="K26" s="1087"/>
      <c r="L26" s="1087"/>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R26" s="1087"/>
      <c r="AS26" s="1087"/>
      <c r="AT26" s="1087"/>
      <c r="AX26" s="832">
        <v>20</v>
      </c>
    </row>
    <row r="27" spans="2:64" ht="14.4" customHeight="1">
      <c r="B27" s="1088" t="s">
        <v>1691</v>
      </c>
      <c r="C27" s="851">
        <v>0.5</v>
      </c>
      <c r="D27" s="847">
        <f>1-C27</f>
        <v>0.5</v>
      </c>
      <c r="E27" s="842"/>
      <c r="F27" s="858"/>
      <c r="G27" s="1087">
        <f>(IF(G5=$C$28,Ana_eco!$D$13*$C$27,0)+IF(G5=$D$28,Ana_eco!$D$13*$D$27,0))*(1+taux_tva)</f>
        <v>0</v>
      </c>
      <c r="H27" s="1087">
        <f>(IF(H5=$C$28,Ana_eco!$D$13*$C$27,0)+IF(H5=$D$28,Ana_eco!$D$13*$D$27,0))*(1+taux_tva)</f>
        <v>1389.4875</v>
      </c>
      <c r="I27" s="1087">
        <f>(IF(I5=$C$28,Ana_eco!$D$13*$C$27,0)+IF(I5=$D$28,Ana_eco!$D$13*$D$27,0))*(1+taux_tva)</f>
        <v>1389.4875</v>
      </c>
      <c r="J27" s="1087">
        <f>(IF(J5=$C$28,Ana_eco!$D$13*$C$27,0)+IF(J5=$D$28,Ana_eco!$D$13*$D$27,0))*(1+taux_tva)</f>
        <v>0</v>
      </c>
      <c r="K27" s="1087">
        <f>(IF(K5=$C$28,Ana_eco!$D$13*$C$27,0)+IF(K5=$D$28,Ana_eco!$D$13*$D$27,0))*(1+taux_tva)</f>
        <v>0</v>
      </c>
      <c r="L27" s="1087">
        <f>(IF(L5=$C$28,Ana_eco!$D$13*$C$27,0)+IF(L5=$D$28,Ana_eco!$D$13*$D$27,0))*(1+taux_tva)</f>
        <v>0</v>
      </c>
      <c r="M27" s="1087">
        <f>(IF(M5=$C$28,Ana_eco!$D$13*$C$27,0)+IF(M5=$D$28,Ana_eco!$D$13*$D$27,0))*(1+taux_tva)</f>
        <v>0</v>
      </c>
      <c r="N27" s="1087">
        <f>(IF(N5=$C$28,Ana_eco!$D$13*$C$27,0)+IF(N5=$D$28,Ana_eco!$D$13*$D$27,0))*(1+taux_tva)</f>
        <v>0</v>
      </c>
      <c r="O27" s="1087">
        <f>(IF(O5=$C$28,Ana_eco!$D$13*$C$27,0)+IF(O5=$D$28,Ana_eco!$D$13*$D$27,0))*(1+taux_tva)</f>
        <v>0</v>
      </c>
      <c r="P27" s="1087">
        <f>(IF(P5=$C$28,Ana_eco!$D$13*$C$27,0)+IF(P5=$D$28,Ana_eco!$D$13*$D$27,0))*(1+taux_tva)</f>
        <v>0</v>
      </c>
      <c r="Q27" s="1087">
        <f>(IF(Q5=$C$28,Ana_eco!$D$13*$C$27,0)+IF(Q5=$D$28,Ana_eco!$D$13*$D$27,0))*(1+taux_tva)</f>
        <v>0</v>
      </c>
      <c r="R27" s="1087">
        <f>(IF(R5=$C$28,Ana_eco!$D$13*$C$27,0)+IF(R5=$D$28,Ana_eco!$D$13*$D$27,0))*(1+taux_tva)</f>
        <v>0</v>
      </c>
      <c r="S27" s="1087">
        <f>(IF(S5=$C$28,Ana_eco!$D$13*$C$27,0)+IF(S5=$D$28,Ana_eco!$D$13*$D$27,0))*(1+taux_tva)</f>
        <v>0</v>
      </c>
      <c r="T27" s="1087">
        <f>(IF(T5=$C$28,Ana_eco!$D$13*$C$27,0)+IF(T5=$D$28,Ana_eco!$D$13*$D$27,0))*(1+taux_tva)</f>
        <v>0</v>
      </c>
      <c r="U27" s="1087">
        <f>(IF(U5=$C$28,Ana_eco!$D$13*$C$27,0)+IF(U5=$D$28,Ana_eco!$D$13*$D$27,0))*(1+taux_tva)</f>
        <v>0</v>
      </c>
      <c r="V27" s="1087">
        <f>(IF(V5=$C$28,Ana_eco!$D$13*$C$27,0)+IF(V5=$D$28,Ana_eco!$D$13*$D$27,0))*(1+taux_tva)</f>
        <v>0</v>
      </c>
      <c r="W27" s="1087">
        <f>(IF(W5=$C$28,Ana_eco!$D$13*$C$27,0)+IF(W5=$D$28,Ana_eco!$D$13*$D$27,0))*(1+taux_tva)</f>
        <v>0</v>
      </c>
      <c r="X27" s="1087">
        <f>(IF(X5=$C$28,Ana_eco!$D$13*$C$27,0)+IF(X5=$D$28,Ana_eco!$D$13*$D$27,0))*(1+taux_tva)</f>
        <v>0</v>
      </c>
      <c r="Y27" s="1087">
        <f>(IF(Y5=$C$28,Ana_eco!$D$13*$C$27,0)+IF(Y5=$D$28,Ana_eco!$D$13*$D$27,0))*(1+taux_tva)</f>
        <v>0</v>
      </c>
      <c r="Z27" s="1087">
        <f>(IF(Z5=$C$28,Ana_eco!$D$13*$C$27,0)+IF(Z5=$D$28,Ana_eco!$D$13*$D$27,0))*(1+taux_tva)</f>
        <v>0</v>
      </c>
      <c r="AA27" s="1087">
        <f>(IF(AA5=$C$28,Ana_eco!$D$13*$C$27,0)+IF(AA5=$D$28,Ana_eco!$D$13*$D$27,0))*(1+taux_tva)</f>
        <v>0</v>
      </c>
      <c r="AB27" s="1087">
        <f>(IF(AB5=$C$28,Ana_eco!$D$13*$C$27,0)+IF(AB5=$D$28,Ana_eco!$D$13*$D$27,0))*(1+taux_tva)</f>
        <v>0</v>
      </c>
      <c r="AC27" s="1087">
        <f>(IF(AC5=$C$28,Ana_eco!$D$13*$C$27,0)+IF(AC5=$D$28,Ana_eco!$D$13*$D$27,0))*(1+taux_tva)</f>
        <v>0</v>
      </c>
      <c r="AD27" s="1087">
        <f>(IF(AD5=$C$28,Ana_eco!$D$13*$C$27,0)+IF(AD5=$D$28,Ana_eco!$D$13*$D$27,0))*(1+taux_tva)</f>
        <v>0</v>
      </c>
      <c r="AE27" s="1087">
        <f>(IF(AE5=$C$28,Ana_eco!$D$13*$C$27,0)+IF(AE5=$D$28,Ana_eco!$D$13*$D$27,0))*(1+taux_tva)</f>
        <v>0</v>
      </c>
      <c r="AF27" s="1087">
        <f>(IF(AF5=$C$28,Ana_eco!$D$13*$C$27,0)+IF(AF5=$D$28,Ana_eco!$D$13*$D$27,0))*(1+taux_tva)</f>
        <v>0</v>
      </c>
      <c r="AG27" s="1087">
        <f>(IF(AG5=$C$28,Ana_eco!$D$13*$C$27,0)+IF(AG5=$D$28,Ana_eco!$D$13*$D$27,0))*(1+taux_tva)</f>
        <v>0</v>
      </c>
      <c r="AH27" s="1087">
        <f>(IF(AH5=$C$28,Ana_eco!$D$13*$C$27,0)+IF(AH5=$D$28,Ana_eco!$D$13*$D$27,0))*(1+taux_tva)</f>
        <v>0</v>
      </c>
      <c r="AI27" s="1087">
        <f>(IF(AI5=$C$28,Ana_eco!$D$13*$C$27,0)+IF(AI5=$D$28,Ana_eco!$D$13*$D$27,0))*(1+taux_tva)</f>
        <v>0</v>
      </c>
      <c r="AJ27" s="1087">
        <f>(IF(AJ5=$C$28,Ana_eco!$D$13*$C$27,0)+IF(AJ5=$D$28,Ana_eco!$D$13*$D$27,0))*(1+taux_tva)</f>
        <v>0</v>
      </c>
      <c r="AK27" s="1087">
        <f>(IF(AK5=$C$28,Ana_eco!$D$13*$C$27,0)+IF(AK5=$D$28,Ana_eco!$D$13*$D$27,0))*(1+taux_tva)</f>
        <v>0</v>
      </c>
      <c r="AL27" s="1087">
        <f>(IF(AL5=$C$28,Ana_eco!$D$13*$C$27,0)+IF(AL5=$D$28,Ana_eco!$D$13*$D$27,0))*(1+taux_tva)</f>
        <v>0</v>
      </c>
      <c r="AM27" s="1087">
        <f>(IF(AM5=$C$28,Ana_eco!$D$13*$C$27,0)+IF(AM5=$D$28,Ana_eco!$D$13*$D$27,0))*(1+taux_tva)</f>
        <v>0</v>
      </c>
      <c r="AN27" s="1087">
        <f>(IF(AN5=$C$28,Ana_eco!$D$13*$C$27,0)+IF(AN5=$D$28,Ana_eco!$D$13*$D$27,0))*(1+taux_tva)</f>
        <v>0</v>
      </c>
      <c r="AO27" s="1087">
        <f>(IF(AO5=$C$28,Ana_eco!$D$13*$C$27,0)+IF(AO5=$D$28,Ana_eco!$D$13*$D$27,0))*(1+taux_tva)</f>
        <v>0</v>
      </c>
      <c r="AP27" s="1087">
        <f>(IF(AP5=$C$28,Ana_eco!$D$13*$C$27,0)+IF(AP5=$D$28,Ana_eco!$D$13*$D$27,0))*(1+taux_tva)</f>
        <v>0</v>
      </c>
      <c r="AR27" s="1087">
        <f>SUM(G27:R28)</f>
        <v>2778.9749999999999</v>
      </c>
      <c r="AS27" s="1087">
        <f>Ana_eco!D13*(1+taux_tva)</f>
        <v>2778.9749999999999</v>
      </c>
      <c r="AT27" s="1087" t="str">
        <f>IF(AR27=AS27,"OK","PB")</f>
        <v>OK</v>
      </c>
      <c r="AX27" s="832">
        <v>21</v>
      </c>
    </row>
    <row r="28" spans="2:64" ht="14.4" customHeight="1">
      <c r="B28" s="1088"/>
      <c r="C28" s="840">
        <v>2</v>
      </c>
      <c r="D28" s="840">
        <v>3</v>
      </c>
      <c r="E28" s="842"/>
      <c r="F28" s="858"/>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R28" s="1087"/>
      <c r="AS28" s="1087"/>
      <c r="AT28" s="1087"/>
      <c r="AX28" s="832">
        <v>22</v>
      </c>
    </row>
    <row r="29" spans="2:64" ht="14.4" customHeight="1">
      <c r="B29" s="1088" t="s">
        <v>1647</v>
      </c>
      <c r="C29" s="851">
        <v>0.5</v>
      </c>
      <c r="D29" s="847">
        <f>1-C29</f>
        <v>0.5</v>
      </c>
      <c r="E29" s="842"/>
      <c r="F29" s="858"/>
      <c r="G29" s="1087">
        <f>(IF(G5=$C$30,Ana_eco!$D$14*$C$29,0)+IF(G5=$D$30,Ana_eco!$D$14*$D$29,0))*(1+taux_tva)</f>
        <v>948</v>
      </c>
      <c r="H29" s="1087">
        <f>(IF(H5=$C$30,Ana_eco!$D$14*$C$29,0)+IF(H5=$D$30,Ana_eco!$D$14*$D$29,0))*(1+taux_tva)</f>
        <v>0</v>
      </c>
      <c r="I29" s="1087">
        <f>(IF(I5=$C$30,Ana_eco!$D$14*$C$29,0)+IF(I5=$D$30,Ana_eco!$D$14*$D$29,0))*(1+taux_tva)</f>
        <v>0</v>
      </c>
      <c r="J29" s="1087">
        <f>(IF(J5=$C$30,Ana_eco!$D$14*$C$29,0)+IF(J5=$D$30,Ana_eco!$D$14*$D$29,0))*(1+taux_tva)</f>
        <v>948</v>
      </c>
      <c r="K29" s="1087">
        <f>(IF(K5=$C$30,Ana_eco!$D$14*$C$29,0)+IF(K5=$D$30,Ana_eco!$D$14*$D$29,0))*(1+taux_tva)</f>
        <v>0</v>
      </c>
      <c r="L29" s="1087">
        <f>(IF(L5=$C$30,Ana_eco!$D$14*$C$29,0)+IF(L5=$D$30,Ana_eco!$D$14*$D$29,0))*(1+taux_tva)</f>
        <v>0</v>
      </c>
      <c r="M29" s="1087">
        <f>(IF(M5=$C$30,Ana_eco!$D$14*$C$29,0)+IF(M5=$D$30,Ana_eco!$D$14*$D$29,0))*(1+taux_tva)</f>
        <v>0</v>
      </c>
      <c r="N29" s="1087">
        <f>(IF(N5=$C$30,Ana_eco!$D$14*$C$29,0)+IF(N5=$D$30,Ana_eco!$D$14*$D$29,0))*(1+taux_tva)</f>
        <v>0</v>
      </c>
      <c r="O29" s="1087">
        <f>(IF(O5=$C$30,Ana_eco!$D$14*$C$29,0)+IF(O5=$D$30,Ana_eco!$D$14*$D$29,0))*(1+taux_tva)</f>
        <v>0</v>
      </c>
      <c r="P29" s="1087">
        <f>(IF(P5=$C$30,Ana_eco!$D$14*$C$29,0)+IF(P5=$D$30,Ana_eco!$D$14*$D$29,0))*(1+taux_tva)</f>
        <v>0</v>
      </c>
      <c r="Q29" s="1087">
        <f>(IF(Q5=$C$30,Ana_eco!$D$14*$C$29,0)+IF(Q5=$D$30,Ana_eco!$D$14*$D$29,0))*(1+taux_tva)</f>
        <v>0</v>
      </c>
      <c r="R29" s="1087">
        <f>(IF(R5=$C$30,Ana_eco!$D$14*$C$29,0)+IF(R5=$D$30,Ana_eco!$D$14*$D$29,0))*(1+taux_tva)</f>
        <v>0</v>
      </c>
      <c r="S29" s="1087">
        <f>(IF(S5=$C$30,Ana_eco!$D$14*$C$29,0)+IF(S5=$D$30,Ana_eco!$D$14*$D$29,0))*(1+taux_tva)</f>
        <v>0</v>
      </c>
      <c r="T29" s="1087">
        <f>(IF(T5=$C$30,Ana_eco!$D$14*$C$29,0)+IF(T5=$D$30,Ana_eco!$D$14*$D$29,0))*(1+taux_tva)</f>
        <v>0</v>
      </c>
      <c r="U29" s="1087">
        <f>(IF(U5=$C$30,Ana_eco!$D$14*$C$29,0)+IF(U5=$D$30,Ana_eco!$D$14*$D$29,0))*(1+taux_tva)</f>
        <v>0</v>
      </c>
      <c r="V29" s="1087">
        <f>(IF(V5=$C$30,Ana_eco!$D$14*$C$29,0)+IF(V5=$D$30,Ana_eco!$D$14*$D$29,0))*(1+taux_tva)</f>
        <v>0</v>
      </c>
      <c r="W29" s="1087">
        <f>(IF(W5=$C$30,Ana_eco!$D$14*$C$29,0)+IF(W5=$D$30,Ana_eco!$D$14*$D$29,0))*(1+taux_tva)</f>
        <v>0</v>
      </c>
      <c r="X29" s="1087">
        <f>(IF(X5=$C$30,Ana_eco!$D$14*$C$29,0)+IF(X5=$D$30,Ana_eco!$D$14*$D$29,0))*(1+taux_tva)</f>
        <v>0</v>
      </c>
      <c r="Y29" s="1087">
        <f>(IF(Y5=$C$30,Ana_eco!$D$14*$C$29,0)+IF(Y5=$D$30,Ana_eco!$D$14*$D$29,0))*(1+taux_tva)</f>
        <v>0</v>
      </c>
      <c r="Z29" s="1087">
        <f>(IF(Z5=$C$30,Ana_eco!$D$14*$C$29,0)+IF(Z5=$D$30,Ana_eco!$D$14*$D$29,0))*(1+taux_tva)</f>
        <v>0</v>
      </c>
      <c r="AA29" s="1087">
        <f>(IF(AA5=$C$30,Ana_eco!$D$14*$C$29,0)+IF(AA5=$D$30,Ana_eco!$D$14*$D$29,0))*(1+taux_tva)</f>
        <v>0</v>
      </c>
      <c r="AB29" s="1087">
        <f>(IF(AB5=$C$30,Ana_eco!$D$14*$C$29,0)+IF(AB5=$D$30,Ana_eco!$D$14*$D$29,0))*(1+taux_tva)</f>
        <v>0</v>
      </c>
      <c r="AC29" s="1087">
        <f>(IF(AC5=$C$30,Ana_eco!$D$14*$C$29,0)+IF(AC5=$D$30,Ana_eco!$D$14*$D$29,0))*(1+taux_tva)</f>
        <v>0</v>
      </c>
      <c r="AD29" s="1087">
        <f>(IF(AD5=$C$30,Ana_eco!$D$14*$C$29,0)+IF(AD5=$D$30,Ana_eco!$D$14*$D$29,0))*(1+taux_tva)</f>
        <v>0</v>
      </c>
      <c r="AE29" s="1087">
        <f>(IF(AE5=$C$30,Ana_eco!$D$14*$C$29,0)+IF(AE5=$D$30,Ana_eco!$D$14*$D$29,0))*(1+taux_tva)</f>
        <v>0</v>
      </c>
      <c r="AF29" s="1087">
        <f>(IF(AF5=$C$30,Ana_eco!$D$14*$C$29,0)+IF(AF5=$D$30,Ana_eco!$D$14*$D$29,0))*(1+taux_tva)</f>
        <v>0</v>
      </c>
      <c r="AG29" s="1087">
        <f>(IF(AG5=$C$30,Ana_eco!$D$14*$C$29,0)+IF(AG5=$D$30,Ana_eco!$D$14*$D$29,0))*(1+taux_tva)</f>
        <v>0</v>
      </c>
      <c r="AH29" s="1087">
        <f>(IF(AH5=$C$30,Ana_eco!$D$14*$C$29,0)+IF(AH5=$D$30,Ana_eco!$D$14*$D$29,0))*(1+taux_tva)</f>
        <v>0</v>
      </c>
      <c r="AI29" s="1087">
        <f>(IF(AI5=$C$30,Ana_eco!$D$14*$C$29,0)+IF(AI5=$D$30,Ana_eco!$D$14*$D$29,0))*(1+taux_tva)</f>
        <v>0</v>
      </c>
      <c r="AJ29" s="1087">
        <f>(IF(AJ5=$C$30,Ana_eco!$D$14*$C$29,0)+IF(AJ5=$D$30,Ana_eco!$D$14*$D$29,0))*(1+taux_tva)</f>
        <v>0</v>
      </c>
      <c r="AK29" s="1087">
        <f>(IF(AK5=$C$30,Ana_eco!$D$14*$C$29,0)+IF(AK5=$D$30,Ana_eco!$D$14*$D$29,0))*(1+taux_tva)</f>
        <v>0</v>
      </c>
      <c r="AL29" s="1087">
        <f>(IF(AL5=$C$30,Ana_eco!$D$14*$C$29,0)+IF(AL5=$D$30,Ana_eco!$D$14*$D$29,0))*(1+taux_tva)</f>
        <v>0</v>
      </c>
      <c r="AM29" s="1087">
        <f>(IF(AM5=$C$30,Ana_eco!$D$14*$C$29,0)+IF(AM5=$D$30,Ana_eco!$D$14*$D$29,0))*(1+taux_tva)</f>
        <v>0</v>
      </c>
      <c r="AN29" s="1087">
        <f>(IF(AN5=$C$30,Ana_eco!$D$14*$C$29,0)+IF(AN5=$D$30,Ana_eco!$D$14*$D$29,0))*(1+taux_tva)</f>
        <v>0</v>
      </c>
      <c r="AO29" s="1087">
        <f>(IF(AO5=$C$30,Ana_eco!$D$14*$C$29,0)+IF(AO5=$D$30,Ana_eco!$D$14*$D$29,0))*(1+taux_tva)</f>
        <v>0</v>
      </c>
      <c r="AP29" s="1087">
        <f>(IF(AP5=$C$30,Ana_eco!$D$14*$C$29,0)+IF(AP5=$D$30,Ana_eco!$D$14*$D$29,0))*(1+taux_tva)</f>
        <v>0</v>
      </c>
      <c r="AR29" s="1087">
        <f>SUM(G29:R30)</f>
        <v>1896</v>
      </c>
      <c r="AS29" s="1087">
        <f>Ana_eco!D14*(1+taux_tva)</f>
        <v>1896</v>
      </c>
      <c r="AT29" s="1087" t="str">
        <f>IF(AR29=AS29,"OK","PB")</f>
        <v>OK</v>
      </c>
      <c r="AX29" s="832">
        <v>23</v>
      </c>
    </row>
    <row r="30" spans="2:64" ht="14.4" customHeight="1">
      <c r="B30" s="1088"/>
      <c r="C30" s="840">
        <v>1</v>
      </c>
      <c r="D30" s="840">
        <v>4</v>
      </c>
      <c r="E30" s="842"/>
      <c r="F30" s="858"/>
      <c r="G30" s="1087"/>
      <c r="H30" s="1087"/>
      <c r="I30" s="1087"/>
      <c r="J30" s="1087"/>
      <c r="K30" s="1087"/>
      <c r="L30" s="1087"/>
      <c r="M30" s="1087"/>
      <c r="N30" s="1087"/>
      <c r="O30" s="1087"/>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R30" s="1087"/>
      <c r="AS30" s="1087"/>
      <c r="AT30" s="1087"/>
      <c r="AX30" s="832">
        <v>24</v>
      </c>
    </row>
    <row r="31" spans="2:64" ht="14.4" customHeight="1">
      <c r="B31" s="1088" t="s">
        <v>1692</v>
      </c>
      <c r="C31" s="851">
        <v>0.5</v>
      </c>
      <c r="D31" s="847">
        <f>1-C31</f>
        <v>0.5</v>
      </c>
      <c r="E31" s="842"/>
      <c r="F31" s="858"/>
      <c r="G31" s="1087">
        <f>(IF(G5=$C$32,Ana_eco!$D$15*$C$31,0)+IF(G5=$D$32,Ana_eco!$D$15*$D$31,0))*(1+taux_tva)</f>
        <v>0</v>
      </c>
      <c r="H31" s="1087">
        <f>(IF(H5=$C$32,Ana_eco!$D$15*$C$31,0)+IF(H5=$D$32,Ana_eco!$D$15*$D$31,0))*(1+taux_tva)</f>
        <v>0</v>
      </c>
      <c r="I31" s="1087">
        <f>(IF(I5=$C$32,Ana_eco!$D$15*$C$31,0)+IF(I5=$D$32,Ana_eco!$D$15*$D$31,0))*(1+taux_tva)</f>
        <v>0</v>
      </c>
      <c r="J31" s="1087">
        <f>(IF(J5=$C$32,Ana_eco!$D$15*$C$31,0)+IF(J5=$D$32,Ana_eco!$D$15*$D$31,0))*(1+taux_tva)</f>
        <v>0</v>
      </c>
      <c r="K31" s="1087">
        <f>(IF(K5=$C$32,Ana_eco!$D$15*$C$31,0)+IF(K5=$D$32,Ana_eco!$D$15*$D$31,0))*(1+taux_tva)</f>
        <v>0</v>
      </c>
      <c r="L31" s="1087">
        <f>(IF(L5=$C$32,Ana_eco!$D$15*$C$31,0)+IF(L5=$D$32,Ana_eco!$D$15*$D$31,0))*(1+taux_tva)</f>
        <v>0</v>
      </c>
      <c r="M31" s="1087">
        <f>(IF(M5=$C$32,Ana_eco!$D$15*$C$31,0)+IF(M5=$D$32,Ana_eco!$D$15*$D$31,0))*(1+taux_tva)</f>
        <v>0</v>
      </c>
      <c r="N31" s="1087">
        <f>(IF(N5=$C$32,Ana_eco!$D$15*$C$31,0)+IF(N5=$D$32,Ana_eco!$D$15*$D$31,0))*(1+taux_tva)</f>
        <v>0</v>
      </c>
      <c r="O31" s="1087">
        <f>(IF(O5=$C$32,Ana_eco!$D$15*$C$31,0)+IF(O5=$D$32,Ana_eco!$D$15*$D$31,0))*(1+taux_tva)</f>
        <v>0</v>
      </c>
      <c r="P31" s="1087">
        <f>(IF(P5=$C$32,Ana_eco!$D$15*$C$31,0)+IF(P5=$D$32,Ana_eco!$D$15*$D$31,0))*(1+taux_tva)</f>
        <v>0</v>
      </c>
      <c r="Q31" s="1087">
        <f>(IF(Q5=$C$32,Ana_eco!$D$15*$C$31,0)+IF(Q5=$D$32,Ana_eco!$D$15*$D$31,0))*(1+taux_tva)</f>
        <v>0</v>
      </c>
      <c r="R31" s="1087">
        <f>(IF(R5=$C$32,Ana_eco!$D$15*$C$31,0)+IF(R5=$D$32,Ana_eco!$D$15*$D$31,0))*(1+taux_tva)</f>
        <v>0</v>
      </c>
      <c r="S31" s="1087">
        <f>(IF(S5=$C$32,Ana_eco!$D$15*$C$31,0)+IF(S5=$D$32,Ana_eco!$D$15*$D$31,0))*(1+taux_tva)</f>
        <v>0</v>
      </c>
      <c r="T31" s="1087">
        <f>(IF(T5=$C$32,Ana_eco!$D$15*$C$31,0)+IF(T5=$D$32,Ana_eco!$D$15*$D$31,0))*(1+taux_tva)</f>
        <v>0</v>
      </c>
      <c r="U31" s="1087">
        <f>(IF(U5=$C$32,Ana_eco!$D$15*$C$31,0)+IF(U5=$D$32,Ana_eco!$D$15*$D$31,0))*(1+taux_tva)</f>
        <v>0</v>
      </c>
      <c r="V31" s="1087">
        <f>(IF(V5=$C$32,Ana_eco!$D$15*$C$31,0)+IF(V5=$D$32,Ana_eco!$D$15*$D$31,0))*(1+taux_tva)</f>
        <v>0</v>
      </c>
      <c r="W31" s="1087">
        <f>(IF(W5=$C$32,Ana_eco!$D$15*$C$31,0)+IF(W5=$D$32,Ana_eco!$D$15*$D$31,0))*(1+taux_tva)</f>
        <v>0</v>
      </c>
      <c r="X31" s="1087">
        <f>(IF(X5=$C$32,Ana_eco!$D$15*$C$31,0)+IF(X5=$D$32,Ana_eco!$D$15*$D$31,0))*(1+taux_tva)</f>
        <v>0</v>
      </c>
      <c r="Y31" s="1087">
        <f>(IF(Y5=$C$32,Ana_eco!$D$15*$C$31,0)+IF(Y5=$D$32,Ana_eco!$D$15*$D$31,0))*(1+taux_tva)</f>
        <v>0</v>
      </c>
      <c r="Z31" s="1087">
        <f>(IF(Z5=$C$32,Ana_eco!$D$15*$C$31,0)+IF(Z5=$D$32,Ana_eco!$D$15*$D$31,0))*(1+taux_tva)</f>
        <v>0</v>
      </c>
      <c r="AA31" s="1087">
        <f>(IF(AA5=$C$32,Ana_eco!$D$15*$C$31,0)+IF(AA5=$D$32,Ana_eco!$D$15*$D$31,0))*(1+taux_tva)</f>
        <v>0</v>
      </c>
      <c r="AB31" s="1087">
        <f>(IF(AB5=$C$32,Ana_eco!$D$15*$C$31,0)+IF(AB5=$D$32,Ana_eco!$D$15*$D$31,0))*(1+taux_tva)</f>
        <v>0</v>
      </c>
      <c r="AC31" s="1087">
        <f>(IF(AC5=$C$32,Ana_eco!$D$15*$C$31,0)+IF(AC5=$D$32,Ana_eco!$D$15*$D$31,0))*(1+taux_tva)</f>
        <v>0</v>
      </c>
      <c r="AD31" s="1087">
        <f>(IF(AD5=$C$32,Ana_eco!$D$15*$C$31,0)+IF(AD5=$D$32,Ana_eco!$D$15*$D$31,0))*(1+taux_tva)</f>
        <v>0</v>
      </c>
      <c r="AE31" s="1087">
        <f>(IF(AE5=$C$32,Ana_eco!$D$15*$C$31,0)+IF(AE5=$D$32,Ana_eco!$D$15*$D$31,0))*(1+taux_tva)</f>
        <v>0</v>
      </c>
      <c r="AF31" s="1087">
        <f>(IF(AF5=$C$32,Ana_eco!$D$15*$C$31,0)+IF(AF5=$D$32,Ana_eco!$D$15*$D$31,0))*(1+taux_tva)</f>
        <v>0</v>
      </c>
      <c r="AG31" s="1087">
        <f>(IF(AG5=$C$32,Ana_eco!$D$15*$C$31,0)+IF(AG5=$D$32,Ana_eco!$D$15*$D$31,0))*(1+taux_tva)</f>
        <v>0</v>
      </c>
      <c r="AH31" s="1087">
        <f>(IF(AH5=$C$32,Ana_eco!$D$15*$C$31,0)+IF(AH5=$D$32,Ana_eco!$D$15*$D$31,0))*(1+taux_tva)</f>
        <v>0</v>
      </c>
      <c r="AI31" s="1087">
        <f>(IF(AI5=$C$32,Ana_eco!$D$15*$C$31,0)+IF(AI5=$D$32,Ana_eco!$D$15*$D$31,0))*(1+taux_tva)</f>
        <v>0</v>
      </c>
      <c r="AJ31" s="1087">
        <f>(IF(AJ5=$C$32,Ana_eco!$D$15*$C$31,0)+IF(AJ5=$D$32,Ana_eco!$D$15*$D$31,0))*(1+taux_tva)</f>
        <v>0</v>
      </c>
      <c r="AK31" s="1087">
        <f>(IF(AK5=$C$32,Ana_eco!$D$15*$C$31,0)+IF(AK5=$D$32,Ana_eco!$D$15*$D$31,0))*(1+taux_tva)</f>
        <v>0</v>
      </c>
      <c r="AL31" s="1087">
        <f>(IF(AL5=$C$32,Ana_eco!$D$15*$C$31,0)+IF(AL5=$D$32,Ana_eco!$D$15*$D$31,0))*(1+taux_tva)</f>
        <v>0</v>
      </c>
      <c r="AM31" s="1087">
        <f>(IF(AM5=$C$32,Ana_eco!$D$15*$C$31,0)+IF(AM5=$D$32,Ana_eco!$D$15*$D$31,0))*(1+taux_tva)</f>
        <v>0</v>
      </c>
      <c r="AN31" s="1087">
        <f>(IF(AN5=$C$32,Ana_eco!$D$15*$C$31,0)+IF(AN5=$D$32,Ana_eco!$D$15*$D$31,0))*(1+taux_tva)</f>
        <v>0</v>
      </c>
      <c r="AO31" s="1087">
        <f>(IF(AO5=$C$32,Ana_eco!$D$15*$C$31,0)+IF(AO5=$D$32,Ana_eco!$D$15*$D$31,0))*(1+taux_tva)</f>
        <v>0</v>
      </c>
      <c r="AP31" s="1087">
        <f>(IF(AP5=$C$32,Ana_eco!$D$15*$C$31,0)+IF(AP5=$D$32,Ana_eco!$D$15*$D$31,0))*(1+taux_tva)</f>
        <v>0</v>
      </c>
      <c r="AR31" s="1087">
        <f>SUM(G31:R32)</f>
        <v>0</v>
      </c>
      <c r="AS31" s="1087">
        <f>Ana_eco!D15*(1+taux_tva)</f>
        <v>0</v>
      </c>
      <c r="AT31" s="1087" t="str">
        <f>IF(AR31=AS31,"OK","PB")</f>
        <v>OK</v>
      </c>
      <c r="AX31" s="832">
        <v>25</v>
      </c>
    </row>
    <row r="32" spans="2:64" ht="14.4" customHeight="1">
      <c r="B32" s="1088"/>
      <c r="C32" s="840">
        <v>1</v>
      </c>
      <c r="D32" s="840">
        <v>4</v>
      </c>
      <c r="E32" s="842"/>
      <c r="F32" s="858"/>
      <c r="G32" s="1087"/>
      <c r="H32" s="1087"/>
      <c r="I32" s="1087"/>
      <c r="J32" s="1087"/>
      <c r="K32" s="1087"/>
      <c r="L32" s="1087"/>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R32" s="1087"/>
      <c r="AS32" s="1087"/>
      <c r="AT32" s="1087"/>
      <c r="AX32" s="832">
        <v>26</v>
      </c>
    </row>
    <row r="33" spans="2:56" ht="14.4" customHeight="1">
      <c r="B33" s="839" t="s">
        <v>1693</v>
      </c>
      <c r="C33" s="840">
        <v>1</v>
      </c>
      <c r="D33" s="842"/>
      <c r="E33" s="842"/>
      <c r="F33" s="858"/>
      <c r="G33" s="843">
        <f>IF(G5=$C$33,Ana_eco!$D$17*(1+taux_tva),0)</f>
        <v>7868.4735000000001</v>
      </c>
      <c r="H33" s="843">
        <f>IF(H5=$C$33,Ana_eco!$D$17*(1+taux_tva),0)</f>
        <v>0</v>
      </c>
      <c r="I33" s="843">
        <f>IF(I5=$C$33,Ana_eco!$D$17*(1+taux_tva),0)</f>
        <v>0</v>
      </c>
      <c r="J33" s="843">
        <f>IF(J5=$C$33,Ana_eco!$D$17*(1+taux_tva),0)</f>
        <v>0</v>
      </c>
      <c r="K33" s="843">
        <f>IF(K5=$C$33,Ana_eco!$D$17*(1+taux_tva),0)</f>
        <v>0</v>
      </c>
      <c r="L33" s="843">
        <f>IF(L5=$C$33,Ana_eco!$D$17*(1+taux_tva),0)</f>
        <v>0</v>
      </c>
      <c r="M33" s="843">
        <f>IF(M5=$C$33,Ana_eco!$D$17*(1+taux_tva),0)</f>
        <v>0</v>
      </c>
      <c r="N33" s="843">
        <f>IF(N5=$C$33,Ana_eco!$D$17*(1+taux_tva),0)</f>
        <v>0</v>
      </c>
      <c r="O33" s="843">
        <f>IF(O5=$C$33,Ana_eco!$D$17*(1+taux_tva),0)</f>
        <v>0</v>
      </c>
      <c r="P33" s="843">
        <f>IF(P5=$C$33,Ana_eco!$D$17*(1+taux_tva),0)</f>
        <v>0</v>
      </c>
      <c r="Q33" s="843">
        <f>IF(Q5=$C$33,Ana_eco!$D$17*(1+taux_tva),0)</f>
        <v>0</v>
      </c>
      <c r="R33" s="843">
        <f>IF(R5=$C$33,Ana_eco!$D$17*(1+taux_tva),0)</f>
        <v>0</v>
      </c>
      <c r="S33" s="843">
        <f>IF(S5=$C$33,Ana_eco!$D$17*(1+taux_tva),0)</f>
        <v>0</v>
      </c>
      <c r="T33" s="843">
        <f>IF(T5=$C$33,Ana_eco!$D$17*(1+taux_tva),0)</f>
        <v>0</v>
      </c>
      <c r="U33" s="843">
        <f>IF(U5=$C$33,Ana_eco!$D$17*(1+taux_tva),0)</f>
        <v>0</v>
      </c>
      <c r="V33" s="843">
        <f>IF(V5=$C$33,Ana_eco!$D$17*(1+taux_tva),0)</f>
        <v>0</v>
      </c>
      <c r="W33" s="843">
        <f>IF(W5=$C$33,Ana_eco!$D$17*(1+taux_tva),0)</f>
        <v>0</v>
      </c>
      <c r="X33" s="843">
        <f>IF(X5=$C$33,Ana_eco!$D$17*(1+taux_tva),0)</f>
        <v>0</v>
      </c>
      <c r="Y33" s="843">
        <f>IF(Y5=$C$33,Ana_eco!$D$17*(1+taux_tva),0)</f>
        <v>0</v>
      </c>
      <c r="Z33" s="843">
        <f>IF(Z5=$C$33,Ana_eco!$D$17*(1+taux_tva),0)</f>
        <v>0</v>
      </c>
      <c r="AA33" s="843">
        <f>IF(AA5=$C$33,Ana_eco!$D$17*(1+taux_tva),0)</f>
        <v>0</v>
      </c>
      <c r="AB33" s="843">
        <f>IF(AB5=$C$33,Ana_eco!$D$17*(1+taux_tva),0)</f>
        <v>0</v>
      </c>
      <c r="AC33" s="843">
        <f>IF(AC5=$C$33,Ana_eco!$D$17*(1+taux_tva),0)</f>
        <v>0</v>
      </c>
      <c r="AD33" s="843">
        <f>IF(AD5=$C$33,Ana_eco!$D$17*(1+taux_tva),0)</f>
        <v>0</v>
      </c>
      <c r="AE33" s="843">
        <f>IF(AE5=$C$33,Ana_eco!$D$17*(1+taux_tva),0)</f>
        <v>0</v>
      </c>
      <c r="AF33" s="843">
        <f>IF(AF5=$C$33,Ana_eco!$D$17*(1+taux_tva),0)</f>
        <v>0</v>
      </c>
      <c r="AG33" s="843">
        <f>IF(AG5=$C$33,Ana_eco!$D$17*(1+taux_tva),0)</f>
        <v>0</v>
      </c>
      <c r="AH33" s="843">
        <f>IF(AH5=$C$33,Ana_eco!$D$17*(1+taux_tva),0)</f>
        <v>0</v>
      </c>
      <c r="AI33" s="843">
        <f>IF(AI5=$C$33,Ana_eco!$D$17*(1+taux_tva),0)</f>
        <v>0</v>
      </c>
      <c r="AJ33" s="843">
        <f>IF(AJ5=$C$33,Ana_eco!$D$17*(1+taux_tva),0)</f>
        <v>0</v>
      </c>
      <c r="AK33" s="843">
        <f>IF(AK5=$C$33,Ana_eco!$D$17*(1+taux_tva),0)</f>
        <v>0</v>
      </c>
      <c r="AL33" s="843">
        <f>IF(AL5=$C$33,Ana_eco!$D$17*(1+taux_tva),0)</f>
        <v>0</v>
      </c>
      <c r="AM33" s="843">
        <f>IF(AM5=$C$33,Ana_eco!$D$17*(1+taux_tva),0)</f>
        <v>0</v>
      </c>
      <c r="AN33" s="843">
        <f>IF(AN5=$C$33,Ana_eco!$D$17*(1+taux_tva),0)</f>
        <v>0</v>
      </c>
      <c r="AO33" s="843">
        <f>IF(AO5=$C$33,Ana_eco!$D$17*(1+taux_tva),0)</f>
        <v>0</v>
      </c>
      <c r="AP33" s="843">
        <f>IF(AP5=$C$33,Ana_eco!$D$17*(1+taux_tva),0)</f>
        <v>0</v>
      </c>
      <c r="AR33" s="843">
        <f t="shared" ref="AR33:AR34" si="14">SUM(G33:R33)</f>
        <v>7868.4735000000001</v>
      </c>
      <c r="AS33" s="843">
        <f>Ana_eco!D17*(1+taux_tva)</f>
        <v>7868.4735000000001</v>
      </c>
      <c r="AT33" s="852" t="str">
        <f t="shared" ref="AT33:AT34" si="15">IF(AS33=AR33,"OK","PB")</f>
        <v>OK</v>
      </c>
      <c r="AX33" s="832">
        <v>27</v>
      </c>
    </row>
    <row r="34" spans="2:56" ht="14.4" customHeight="1">
      <c r="B34" s="839" t="s">
        <v>1649</v>
      </c>
      <c r="C34" s="840">
        <v>5</v>
      </c>
      <c r="D34" s="847"/>
      <c r="E34" s="842"/>
      <c r="F34" s="858"/>
      <c r="G34" s="843">
        <f t="shared" ref="G34:AP34" si="16">IF(G5=$C$34,frais_notaire*(1+taux_tva),0)</f>
        <v>0</v>
      </c>
      <c r="H34" s="843">
        <f t="shared" si="16"/>
        <v>0</v>
      </c>
      <c r="I34" s="843">
        <f t="shared" si="16"/>
        <v>0</v>
      </c>
      <c r="J34" s="843">
        <f t="shared" si="16"/>
        <v>0</v>
      </c>
      <c r="K34" s="843">
        <f t="shared" si="16"/>
        <v>624</v>
      </c>
      <c r="L34" s="843">
        <f t="shared" si="16"/>
        <v>0</v>
      </c>
      <c r="M34" s="843">
        <f t="shared" si="16"/>
        <v>0</v>
      </c>
      <c r="N34" s="843">
        <f t="shared" si="16"/>
        <v>0</v>
      </c>
      <c r="O34" s="843">
        <f t="shared" si="16"/>
        <v>0</v>
      </c>
      <c r="P34" s="843">
        <f t="shared" si="16"/>
        <v>0</v>
      </c>
      <c r="Q34" s="843">
        <f t="shared" si="16"/>
        <v>0</v>
      </c>
      <c r="R34" s="843">
        <f t="shared" si="16"/>
        <v>0</v>
      </c>
      <c r="S34" s="843">
        <f t="shared" si="16"/>
        <v>0</v>
      </c>
      <c r="T34" s="843">
        <f t="shared" si="16"/>
        <v>0</v>
      </c>
      <c r="U34" s="843">
        <f t="shared" si="16"/>
        <v>0</v>
      </c>
      <c r="V34" s="843">
        <f t="shared" si="16"/>
        <v>0</v>
      </c>
      <c r="W34" s="843">
        <f t="shared" si="16"/>
        <v>0</v>
      </c>
      <c r="X34" s="843">
        <f t="shared" si="16"/>
        <v>0</v>
      </c>
      <c r="Y34" s="843">
        <f t="shared" si="16"/>
        <v>0</v>
      </c>
      <c r="Z34" s="843">
        <f t="shared" si="16"/>
        <v>0</v>
      </c>
      <c r="AA34" s="843">
        <f t="shared" si="16"/>
        <v>0</v>
      </c>
      <c r="AB34" s="843">
        <f t="shared" si="16"/>
        <v>0</v>
      </c>
      <c r="AC34" s="843">
        <f t="shared" si="16"/>
        <v>0</v>
      </c>
      <c r="AD34" s="843">
        <f t="shared" si="16"/>
        <v>0</v>
      </c>
      <c r="AE34" s="843">
        <f t="shared" si="16"/>
        <v>0</v>
      </c>
      <c r="AF34" s="843">
        <f t="shared" si="16"/>
        <v>0</v>
      </c>
      <c r="AG34" s="843">
        <f t="shared" si="16"/>
        <v>0</v>
      </c>
      <c r="AH34" s="843">
        <f t="shared" si="16"/>
        <v>0</v>
      </c>
      <c r="AI34" s="843">
        <f t="shared" si="16"/>
        <v>0</v>
      </c>
      <c r="AJ34" s="843">
        <f t="shared" si="16"/>
        <v>0</v>
      </c>
      <c r="AK34" s="843">
        <f t="shared" si="16"/>
        <v>0</v>
      </c>
      <c r="AL34" s="843">
        <f t="shared" si="16"/>
        <v>0</v>
      </c>
      <c r="AM34" s="843">
        <f t="shared" si="16"/>
        <v>0</v>
      </c>
      <c r="AN34" s="843">
        <f t="shared" si="16"/>
        <v>0</v>
      </c>
      <c r="AO34" s="843">
        <f t="shared" si="16"/>
        <v>0</v>
      </c>
      <c r="AP34" s="843">
        <f t="shared" si="16"/>
        <v>0</v>
      </c>
      <c r="AR34" s="843">
        <f t="shared" si="14"/>
        <v>624</v>
      </c>
      <c r="AS34" s="843">
        <f>frais_notaire*(1+taux_tva)</f>
        <v>624</v>
      </c>
      <c r="AT34" s="852" t="str">
        <f t="shared" si="15"/>
        <v>OK</v>
      </c>
      <c r="AX34" s="832">
        <v>28</v>
      </c>
    </row>
    <row r="35" spans="2:56">
      <c r="B35" s="859" t="s">
        <v>1694</v>
      </c>
      <c r="C35" s="859"/>
      <c r="D35" s="859"/>
      <c r="E35" s="859"/>
      <c r="F35" s="859"/>
      <c r="G35" s="860">
        <f t="shared" ref="G35:AP35" si="17">SUM(G36:G46)</f>
        <v>0</v>
      </c>
      <c r="H35" s="860">
        <f t="shared" si="17"/>
        <v>0</v>
      </c>
      <c r="I35" s="860">
        <f t="shared" si="17"/>
        <v>0</v>
      </c>
      <c r="J35" s="860">
        <f t="shared" si="17"/>
        <v>0</v>
      </c>
      <c r="K35" s="860">
        <f t="shared" si="17"/>
        <v>0</v>
      </c>
      <c r="L35" s="860">
        <f t="shared" si="17"/>
        <v>0</v>
      </c>
      <c r="M35" s="860">
        <f t="shared" si="17"/>
        <v>704.17510260172412</v>
      </c>
      <c r="N35" s="860">
        <f t="shared" si="17"/>
        <v>120</v>
      </c>
      <c r="O35" s="860">
        <f t="shared" si="17"/>
        <v>0</v>
      </c>
      <c r="P35" s="860">
        <f t="shared" si="17"/>
        <v>0</v>
      </c>
      <c r="Q35" s="860">
        <f t="shared" si="17"/>
        <v>0</v>
      </c>
      <c r="R35" s="860">
        <f t="shared" si="17"/>
        <v>1664.1751026017241</v>
      </c>
      <c r="S35" s="860">
        <f t="shared" si="17"/>
        <v>0</v>
      </c>
      <c r="T35" s="860">
        <f t="shared" si="17"/>
        <v>0</v>
      </c>
      <c r="U35" s="860">
        <f t="shared" si="17"/>
        <v>0</v>
      </c>
      <c r="V35" s="860">
        <f t="shared" si="17"/>
        <v>0</v>
      </c>
      <c r="W35" s="860">
        <f t="shared" si="17"/>
        <v>0</v>
      </c>
      <c r="X35" s="860">
        <f t="shared" si="17"/>
        <v>579.4079999999999</v>
      </c>
      <c r="Y35" s="860">
        <f t="shared" si="17"/>
        <v>711.21685362774133</v>
      </c>
      <c r="Z35" s="860">
        <f t="shared" si="17"/>
        <v>120</v>
      </c>
      <c r="AA35" s="860">
        <f t="shared" si="17"/>
        <v>0</v>
      </c>
      <c r="AB35" s="860">
        <f t="shared" si="17"/>
        <v>0</v>
      </c>
      <c r="AC35" s="860">
        <f t="shared" si="17"/>
        <v>0</v>
      </c>
      <c r="AD35" s="860">
        <f t="shared" si="17"/>
        <v>1671.2168536277413</v>
      </c>
      <c r="AE35" s="860">
        <f t="shared" si="17"/>
        <v>0</v>
      </c>
      <c r="AF35" s="860">
        <f t="shared" si="17"/>
        <v>0</v>
      </c>
      <c r="AG35" s="860">
        <f t="shared" si="17"/>
        <v>0</v>
      </c>
      <c r="AH35" s="860">
        <f t="shared" si="17"/>
        <v>0</v>
      </c>
      <c r="AI35" s="860">
        <f t="shared" si="17"/>
        <v>0</v>
      </c>
      <c r="AJ35" s="860">
        <f t="shared" si="17"/>
        <v>579.4079999999999</v>
      </c>
      <c r="AK35" s="860">
        <f t="shared" si="17"/>
        <v>718.32902216401874</v>
      </c>
      <c r="AL35" s="860">
        <f t="shared" si="17"/>
        <v>120</v>
      </c>
      <c r="AM35" s="860">
        <f t="shared" si="17"/>
        <v>0</v>
      </c>
      <c r="AN35" s="860">
        <f t="shared" si="17"/>
        <v>0</v>
      </c>
      <c r="AO35" s="860">
        <f t="shared" si="17"/>
        <v>0</v>
      </c>
      <c r="AP35" s="860">
        <f t="shared" si="17"/>
        <v>1678.3290221640186</v>
      </c>
      <c r="AT35" s="836"/>
      <c r="AX35" s="832">
        <v>29</v>
      </c>
    </row>
    <row r="36" spans="2:56" ht="13.1" customHeight="1">
      <c r="B36" s="1088" t="s">
        <v>1695</v>
      </c>
      <c r="C36" s="851">
        <v>0.5</v>
      </c>
      <c r="D36" s="847">
        <f>1-C36</f>
        <v>0.5</v>
      </c>
      <c r="E36" s="1085" t="s">
        <v>1675</v>
      </c>
      <c r="F36" s="858"/>
      <c r="G36" s="1087">
        <f>IF(MOD(G5-$C$37,12)=0,(Ana_eco!$M$7*(1+i)^(G4-1))*$C$36,0)+IF(MOD(G5-$D$37,12)=0,(Ana_eco!$M$7*(1+i)^(G4-1))*$D$36,0)</f>
        <v>0</v>
      </c>
      <c r="H36" s="1087">
        <f>IF(MOD(H5-$C$37,12)=0,(Ana_eco!$M$7*(1+i)^(H4-1))*$C$36,0)+IF(MOD(H5-$D$37,12)=0,(Ana_eco!$M$7*(1+i)^(H4-1))*$D$36,0)</f>
        <v>0</v>
      </c>
      <c r="I36" s="1087">
        <f>IF(MOD(I5-$C$37,12)=0,(Ana_eco!$M$7*(1+i)^(I4-1))*$C$36,0)+IF(MOD(I5-$D$37,12)=0,(Ana_eco!$M$7*(1+i)^(I4-1))*$D$36,0)</f>
        <v>0</v>
      </c>
      <c r="J36" s="1087">
        <f>IF(MOD(J5-$C$37,12)=0,(Ana_eco!$M$7*(1+i)^(J4-1))*$C$36,0)+IF(MOD(J5-$D$37,12)=0,(Ana_eco!$M$7*(1+i)^(J4-1))*$D$36,0)</f>
        <v>0</v>
      </c>
      <c r="K36" s="1087">
        <f>IF(MOD(K5-$C$37,12)=0,(Ana_eco!$M$7*(1+i)^(K4-1))*$C$36,0)+IF(MOD(K5-$D$37,12)=0,(Ana_eco!$M$7*(1+i)^(K4-1))*$D$36,0)</f>
        <v>0</v>
      </c>
      <c r="L36" s="1087">
        <f>IF(MOD(L5-$C$37,12)=0,(Ana_eco!$M$7*(1+i)^(L4-1))*$C$36,0)+IF(MOD(L5-$D$37,12)=0,(Ana_eco!$M$7*(1+i)^(L4-1))*$D$36,0)</f>
        <v>0</v>
      </c>
      <c r="M36" s="1087">
        <f>IF(MOD(M5-$C$37,12)=0,(Ana_eco!$M$7*(1+i)^(M4-1))*$C$36,0)+IF(MOD(M5-$D$37,12)=0,(Ana_eco!$M$7*(1+i)^(M4-1))*$D$36,0)</f>
        <v>704.17510260172412</v>
      </c>
      <c r="N36" s="1087">
        <f>IF(MOD(N5-$C$37,12)=0,(Ana_eco!$M$7*(1+i)^(N4-1))*$C$36,0)+IF(MOD(N5-$D$37,12)=0,(Ana_eco!$M$7*(1+i)^(N4-1))*$D$36,0)</f>
        <v>0</v>
      </c>
      <c r="O36" s="1087">
        <f>IF(MOD(O5-$C$37,12)=0,(Ana_eco!$M$7*(1+i)^(O4-1))*$C$36,0)+IF(MOD(O5-$D$37,12)=0,(Ana_eco!$M$7*(1+i)^(O4-1))*$D$36,0)</f>
        <v>0</v>
      </c>
      <c r="P36" s="1087">
        <f>IF(MOD(P5-$C$37,12)=0,(Ana_eco!$M$7*(1+i)^(P4-1))*$C$36,0)+IF(MOD(P5-$D$37,12)=0,(Ana_eco!$M$7*(1+i)^(P4-1))*$D$36,0)</f>
        <v>0</v>
      </c>
      <c r="Q36" s="1087">
        <f>IF(MOD(Q5-$C$37,12)=0,(Ana_eco!$M$7*(1+i)^(Q4-1))*$C$36,0)+IF(MOD(Q5-$D$37,12)=0,(Ana_eco!$M$7*(1+i)^(Q4-1))*$D$36,0)</f>
        <v>0</v>
      </c>
      <c r="R36" s="1087">
        <f>IF(MOD(R5-$C$37,12)=0,(Ana_eco!$M$7*(1+i)^(R4-1))*$C$36,0)+IF(MOD(R5-$D$37,12)=0,(Ana_eco!$M$7*(1+i)^(R4-1))*$D$36,0)</f>
        <v>704.17510260172412</v>
      </c>
      <c r="S36" s="1087">
        <f>IF(MOD(S5-$C$37,12)=0,(Ana_eco!$M$7*(1+i)^(S4-1))*$C$36,0)+IF(MOD(S5-$D$37,12)=0,(Ana_eco!$M$7*(1+i)^(S4-1))*$D$36,0)</f>
        <v>0</v>
      </c>
      <c r="T36" s="1087">
        <f>IF(MOD(T5-$C$37,12)=0,(Ana_eco!$M$7*(1+i)^(T4-1))*$C$36,0)+IF(MOD(T5-$D$37,12)=0,(Ana_eco!$M$7*(1+i)^(T4-1))*$D$36,0)</f>
        <v>0</v>
      </c>
      <c r="U36" s="1087">
        <f>IF(MOD(U5-$C$37,12)=0,(Ana_eco!$M$7*(1+i)^(U4-1))*$C$36,0)+IF(MOD(U5-$D$37,12)=0,(Ana_eco!$M$7*(1+i)^(U4-1))*$D$36,0)</f>
        <v>0</v>
      </c>
      <c r="V36" s="1087">
        <f>IF(MOD(V5-$C$37,12)=0,(Ana_eco!$M$7*(1+i)^(V4-1))*$C$36,0)+IF(MOD(V5-$D$37,12)=0,(Ana_eco!$M$7*(1+i)^(V4-1))*$D$36,0)</f>
        <v>0</v>
      </c>
      <c r="W36" s="1087">
        <f>IF(MOD(W5-$C$37,12)=0,(Ana_eco!$M$7*(1+i)^(W4-1))*$C$36,0)+IF(MOD(W5-$D$37,12)=0,(Ana_eco!$M$7*(1+i)^(W4-1))*$D$36,0)</f>
        <v>0</v>
      </c>
      <c r="X36" s="1087">
        <f>IF(MOD(X5-$C$37,12)=0,(Ana_eco!$M$7*(1+i)^(X4-1))*$C$36,0)+IF(MOD(X5-$D$37,12)=0,(Ana_eco!$M$7*(1+i)^(X4-1))*$D$36,0)</f>
        <v>0</v>
      </c>
      <c r="Y36" s="1087">
        <f>IF(MOD(Y5-$C$37,12)=0,(Ana_eco!$M$7*(1+i)^(Y4-1))*$C$36,0)+IF(MOD(Y5-$D$37,12)=0,(Ana_eco!$M$7*(1+i)^(Y4-1))*$D$36,0)</f>
        <v>711.21685362774133</v>
      </c>
      <c r="Z36" s="1087">
        <f>IF(MOD(Z5-$C$37,12)=0,(Ana_eco!$M$7*(1+i)^(Z4-1))*$C$36,0)+IF(MOD(Z5-$D$37,12)=0,(Ana_eco!$M$7*(1+i)^(Z4-1))*$D$36,0)</f>
        <v>0</v>
      </c>
      <c r="AA36" s="1087">
        <f>IF(MOD(AA5-$C$37,12)=0,(Ana_eco!$M$7*(1+i)^(AA4-1))*$C$36,0)+IF(MOD(AA5-$D$37,12)=0,(Ana_eco!$M$7*(1+i)^(AA4-1))*$D$36,0)</f>
        <v>0</v>
      </c>
      <c r="AB36" s="1087">
        <f>IF(MOD(AB5-$C$37,12)=0,(Ana_eco!$M$7*(1+i)^(AB4-1))*$C$36,0)+IF(MOD(AB5-$D$37,12)=0,(Ana_eco!$M$7*(1+i)^(AB4-1))*$D$36,0)</f>
        <v>0</v>
      </c>
      <c r="AC36" s="1087">
        <f>IF(MOD(AC5-$C$37,12)=0,(Ana_eco!$M$7*(1+i)^(AC4-1))*$C$36,0)+IF(MOD(AC5-$D$37,12)=0,(Ana_eco!$M$7*(1+i)^(AC4-1))*$D$36,0)</f>
        <v>0</v>
      </c>
      <c r="AD36" s="1087">
        <f>IF(MOD(AD5-$C$37,12)=0,(Ana_eco!$M$7*(1+i)^(AD4-1))*$C$36,0)+IF(MOD(AD5-$D$37,12)=0,(Ana_eco!$M$7*(1+i)^(AD4-1))*$D$36,0)</f>
        <v>711.21685362774133</v>
      </c>
      <c r="AE36" s="1087">
        <f>IF(MOD(AE5-$C$37,12)=0,(Ana_eco!$M$7*(1+i)^(AE4-1))*$C$36,0)+IF(MOD(AE5-$D$37,12)=0,(Ana_eco!$M$7*(1+i)^(AE4-1))*$D$36,0)</f>
        <v>0</v>
      </c>
      <c r="AF36" s="1087">
        <f>IF(MOD(AF5-$C$37,12)=0,(Ana_eco!$M$7*(1+i)^(AF4-1))*$C$36,0)+IF(MOD(AF5-$D$37,12)=0,(Ana_eco!$M$7*(1+i)^(AF4-1))*$D$36,0)</f>
        <v>0</v>
      </c>
      <c r="AG36" s="1087">
        <f>IF(MOD(AG5-$C$37,12)=0,(Ana_eco!$M$7*(1+i)^(AG4-1))*$C$36,0)+IF(MOD(AG5-$D$37,12)=0,(Ana_eco!$M$7*(1+i)^(AG4-1))*$D$36,0)</f>
        <v>0</v>
      </c>
      <c r="AH36" s="1087">
        <f>IF(MOD(AH5-$C$37,12)=0,(Ana_eco!$M$7*(1+i)^(AH4-1))*$C$36,0)+IF(MOD(AH5-$D$37,12)=0,(Ana_eco!$M$7*(1+i)^(AH4-1))*$D$36,0)</f>
        <v>0</v>
      </c>
      <c r="AI36" s="1087">
        <f>IF(MOD(AI5-$C$37,12)=0,(Ana_eco!$M$7*(1+i)^(AI4-1))*$C$36,0)+IF(MOD(AI5-$D$37,12)=0,(Ana_eco!$M$7*(1+i)^(AI4-1))*$D$36,0)</f>
        <v>0</v>
      </c>
      <c r="AJ36" s="1087">
        <f>IF(MOD(AJ5-$C$37,12)=0,(Ana_eco!$M$7*(1+i)^(AJ4-1))*$C$36,0)+IF(MOD(AJ5-$D$37,12)=0,(Ana_eco!$M$7*(1+i)^(AJ4-1))*$D$36,0)</f>
        <v>0</v>
      </c>
      <c r="AK36" s="1087">
        <f>IF(MOD(AK5-$C$37,12)=0,(Ana_eco!$M$7*(1+i)^(AK4-1))*$C$36,0)+IF(MOD(AK5-$D$37,12)=0,(Ana_eco!$M$7*(1+i)^(AK4-1))*$D$36,0)</f>
        <v>718.32902216401874</v>
      </c>
      <c r="AL36" s="1087">
        <f>IF(MOD(AL5-$C$37,12)=0,(Ana_eco!$M$7*(1+i)^(AL4-1))*$C$36,0)+IF(MOD(AL5-$D$37,12)=0,(Ana_eco!$M$7*(1+i)^(AL4-1))*$D$36,0)</f>
        <v>0</v>
      </c>
      <c r="AM36" s="1087">
        <f>IF(MOD(AM5-$C$37,12)=0,(Ana_eco!$M$7*(1+i)^(AM4-1))*$C$36,0)+IF(MOD(AM5-$D$37,12)=0,(Ana_eco!$M$7*(1+i)^(AM4-1))*$D$36,0)</f>
        <v>0</v>
      </c>
      <c r="AN36" s="1087">
        <f>IF(MOD(AN5-$C$37,12)=0,(Ana_eco!$M$7*(1+i)^(AN4-1))*$C$36,0)+IF(MOD(AN5-$D$37,12)=0,(Ana_eco!$M$7*(1+i)^(AN4-1))*$D$36,0)</f>
        <v>0</v>
      </c>
      <c r="AO36" s="1087">
        <f>IF(MOD(AO5-$C$37,12)=0,(Ana_eco!$M$7*(1+i)^(AO4-1))*$C$36,0)+IF(MOD(AO5-$D$37,12)=0,(Ana_eco!$M$7*(1+i)^(AO4-1))*$D$36,0)</f>
        <v>0</v>
      </c>
      <c r="AP36" s="1087">
        <f>IF(MOD(AP5-$C$37,12)=0,(Ana_eco!$M$7*(1+i)^(AP4-1))*$C$36,0)+IF(MOD(AP5-$D$37,12)=0,(Ana_eco!$M$7*(1+i)^(AP4-1))*$D$36,0)</f>
        <v>718.32902216401874</v>
      </c>
      <c r="AR36" s="1087">
        <f>SUM(G36:R37)</f>
        <v>1408.3502052034482</v>
      </c>
      <c r="AS36" s="1087">
        <f>Ana_eco!M7</f>
        <v>1408.3502052034482</v>
      </c>
      <c r="AT36" s="1087" t="str">
        <f>IF(AR36=AS36,"OK","PB")</f>
        <v>OK</v>
      </c>
      <c r="AX36" s="832">
        <v>30</v>
      </c>
      <c r="BD36" s="828"/>
    </row>
    <row r="37" spans="2:56" ht="12.45">
      <c r="B37" s="1088"/>
      <c r="C37" s="840">
        <v>7</v>
      </c>
      <c r="D37" s="840">
        <v>12</v>
      </c>
      <c r="E37" s="1085"/>
      <c r="F37" s="858"/>
      <c r="G37" s="1087"/>
      <c r="H37" s="1087"/>
      <c r="I37" s="1087"/>
      <c r="J37" s="1087"/>
      <c r="K37" s="1087"/>
      <c r="L37" s="1087"/>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R37" s="1087"/>
      <c r="AS37" s="1087"/>
      <c r="AT37" s="1087"/>
      <c r="AX37" s="832">
        <v>31</v>
      </c>
    </row>
    <row r="38" spans="2:56" ht="12.8" customHeight="1">
      <c r="B38" s="1088" t="s">
        <v>68</v>
      </c>
      <c r="C38" s="851">
        <v>1</v>
      </c>
      <c r="D38" s="847">
        <f>1-C38</f>
        <v>0</v>
      </c>
      <c r="E38" s="1085" t="s">
        <v>1675</v>
      </c>
      <c r="F38" s="858"/>
      <c r="G38" s="1087">
        <f>(IF($E$38="annuel",IF(MOD(G5-$C$39,12)=0,Ana_eco!$M$8*$C$38,0)+IF(MOD(G5-$D$39,12)=0,Ana_eco!$M$8*$D$38,0),IF(MOD(G5-$C$39,24)=0,Ana_eco!$M$8*$C$38,0)+IF(MOD(G5-$D$39,24)=0,Ana_eco!$M$8*$D$38)))*(1+taux_tva)</f>
        <v>0</v>
      </c>
      <c r="H38" s="1087">
        <f>(IF($E$38="annuel",IF(MOD(H5-$C$39,12)=0,Ana_eco!$M$8*$C$38,0)+IF(MOD(H5-$D$39,12)=0,Ana_eco!$M$8*$D$38,0),IF(MOD(H5-$C$39,24)=0,Ana_eco!$M$8*$C$38,0)+IF(MOD(H5-$D$39,24)=0,Ana_eco!$M$8*$D$38)))*(1+taux_tva)</f>
        <v>0</v>
      </c>
      <c r="I38" s="1087">
        <f>(IF($E$38="annuel",IF(MOD(I5-$C$39,12)=0,Ana_eco!$M$8*$C$38,0)+IF(MOD(I5-$D$39,12)=0,Ana_eco!$M$8*$D$38,0),IF(MOD(I5-$C$39,24)=0,Ana_eco!$M$8*$C$38,0)+IF(MOD(I5-$D$39,24)=0,Ana_eco!$M$8*$D$38)))*(1+taux_tva)</f>
        <v>0</v>
      </c>
      <c r="J38" s="1087">
        <f>(IF($E$38="annuel",IF(MOD(J5-$C$39,12)=0,Ana_eco!$M$8*$C$38,0)+IF(MOD(J5-$D$39,12)=0,Ana_eco!$M$8*$D$38,0),IF(MOD(J5-$C$39,24)=0,Ana_eco!$M$8*$C$38,0)+IF(MOD(J5-$D$39,24)=0,Ana_eco!$M$8*$D$38)))*(1+taux_tva)</f>
        <v>0</v>
      </c>
      <c r="K38" s="1087">
        <f>(IF($E$38="annuel",IF(MOD(K5-$C$39,12)=0,Ana_eco!$M$8*$C$38,0)+IF(MOD(K5-$D$39,12)=0,Ana_eco!$M$8*$D$38,0),IF(MOD(K5-$C$39,24)=0,Ana_eco!$M$8*$C$38,0)+IF(MOD(K5-$D$39,24)=0,Ana_eco!$M$8*$D$38)))*(1+taux_tva)</f>
        <v>0</v>
      </c>
      <c r="L38" s="1087">
        <f>(IF($E$38="annuel",IF(MOD(L5-$C$39,12)=0,Ana_eco!$M$8*$C$38,0)+IF(MOD(L5-$D$39,12)=0,Ana_eco!$M$8*$D$38,0),IF(MOD(L5-$C$39,24)=0,Ana_eco!$M$8*$C$38,0)+IF(MOD(L5-$D$39,24)=0,Ana_eco!$M$8*$D$38)))*(1+taux_tva)</f>
        <v>0</v>
      </c>
      <c r="M38" s="1087">
        <f>(IF($E$38="annuel",IF(MOD(M5-$C$39,12)=0,Ana_eco!$M$8*$C$38,0)+IF(MOD(M5-$D$39,12)=0,Ana_eco!$M$8*$D$38,0),IF(MOD(M5-$C$39,24)=0,Ana_eco!$M$8*$C$38,0)+IF(MOD(M5-$D$39,24)=0,Ana_eco!$M$8*$D$38)))*(1+taux_tva)</f>
        <v>0</v>
      </c>
      <c r="N38" s="1087">
        <f>(IF($E$38="annuel",IF(MOD(N5-$C$39,12)=0,Ana_eco!$M$8*$C$38,0)+IF(MOD(N5-$D$39,12)=0,Ana_eco!$M$8*$D$38,0),IF(MOD(N5-$C$39,24)=0,Ana_eco!$M$8*$C$38,0)+IF(MOD(N5-$D$39,24)=0,Ana_eco!$M$8*$D$38)))*(1+taux_tva)</f>
        <v>0</v>
      </c>
      <c r="O38" s="1087">
        <f>(IF($E$38="annuel",IF(MOD(O5-$C$39,12)=0,Ana_eco!$M$8*$C$38,0)+IF(MOD(O5-$D$39,12)=0,Ana_eco!$M$8*$D$38,0),IF(MOD(O5-$C$39,24)=0,Ana_eco!$M$8*$C$38,0)+IF(MOD(O5-$D$39,24)=0,Ana_eco!$M$8*$D$38)))*(1+taux_tva)</f>
        <v>0</v>
      </c>
      <c r="P38" s="1087">
        <f>(IF($E$38="annuel",IF(MOD(P5-$C$39,12)=0,Ana_eco!$M$8*$C$38,0)+IF(MOD(P5-$D$39,12)=0,Ana_eco!$M$8*$D$38,0),IF(MOD(P5-$C$39,24)=0,Ana_eco!$M$8*$C$38,0)+IF(MOD(P5-$D$39,24)=0,Ana_eco!$M$8*$D$38)))*(1+taux_tva)</f>
        <v>0</v>
      </c>
      <c r="Q38" s="1087">
        <f>(IF($E$38="annuel",IF(MOD(Q5-$C$39,12)=0,Ana_eco!$M$8*$C$38,0)+IF(MOD(Q5-$D$39,12)=0,Ana_eco!$M$8*$D$38,0),IF(MOD(Q5-$C$39,24)=0,Ana_eco!$M$8*$C$38,0)+IF(MOD(Q5-$D$39,24)=0,Ana_eco!$M$8*$D$38)))*(1+taux_tva)</f>
        <v>0</v>
      </c>
      <c r="R38" s="1087">
        <f>(IF($E$38="annuel",IF(MOD(R5-$C$39,12)=0,Ana_eco!$M$8*$C$38,0)+IF(MOD(R5-$D$39,12)=0,Ana_eco!$M$8*$D$38,0),IF(MOD(R5-$C$39,24)=0,Ana_eco!$M$8*$C$38,0)+IF(MOD(R5-$D$39,24)=0,Ana_eco!$M$8*$D$38)))*(1+taux_tva)</f>
        <v>960</v>
      </c>
      <c r="S38" s="1087">
        <f>(IF($E$38="annuel",IF(MOD(S5-$C$39,12)=0,Ana_eco!$M$8*$C$38,0)+IF(MOD(S5-$D$39,12)=0,Ana_eco!$M$8*$D$38,0),IF(MOD(S5-$C$39,24)=0,Ana_eco!$M$8*$C$38,0)+IF(MOD(S5-$D$39,24)=0,Ana_eco!$M$8*$D$38)))*(1+taux_tva)</f>
        <v>0</v>
      </c>
      <c r="T38" s="1087">
        <f>(IF($E$38="annuel",IF(MOD(T5-$C$39,12)=0,Ana_eco!$M$8*$C$38,0)+IF(MOD(T5-$D$39,12)=0,Ana_eco!$M$8*$D$38,0),IF(MOD(T5-$C$39,24)=0,Ana_eco!$M$8*$C$38,0)+IF(MOD(T5-$D$39,24)=0,Ana_eco!$M$8*$D$38)))*(1+taux_tva)</f>
        <v>0</v>
      </c>
      <c r="U38" s="1087">
        <f>(IF($E$38="annuel",IF(MOD(U5-$C$39,12)=0,Ana_eco!$M$8*$C$38,0)+IF(MOD(U5-$D$39,12)=0,Ana_eco!$M$8*$D$38,0),IF(MOD(U5-$C$39,24)=0,Ana_eco!$M$8*$C$38,0)+IF(MOD(U5-$D$39,24)=0,Ana_eco!$M$8*$D$38)))*(1+taux_tva)</f>
        <v>0</v>
      </c>
      <c r="V38" s="1087">
        <f>(IF($E$38="annuel",IF(MOD(V5-$C$39,12)=0,Ana_eco!$M$8*$C$38,0)+IF(MOD(V5-$D$39,12)=0,Ana_eco!$M$8*$D$38,0),IF(MOD(V5-$C$39,24)=0,Ana_eco!$M$8*$C$38,0)+IF(MOD(V5-$D$39,24)=0,Ana_eco!$M$8*$D$38)))*(1+taux_tva)</f>
        <v>0</v>
      </c>
      <c r="W38" s="1087">
        <f>(IF($E$38="annuel",IF(MOD(W5-$C$39,12)=0,Ana_eco!$M$8*$C$38,0)+IF(MOD(W5-$D$39,12)=0,Ana_eco!$M$8*$D$38,0),IF(MOD(W5-$C$39,24)=0,Ana_eco!$M$8*$C$38,0)+IF(MOD(W5-$D$39,24)=0,Ana_eco!$M$8*$D$38)))*(1+taux_tva)</f>
        <v>0</v>
      </c>
      <c r="X38" s="1087">
        <f>(IF($E$38="annuel",IF(MOD(X5-$C$39,12)=0,Ana_eco!$M$8*$C$38,0)+IF(MOD(X5-$D$39,12)=0,Ana_eco!$M$8*$D$38,0),IF(MOD(X5-$C$39,24)=0,Ana_eco!$M$8*$C$38,0)+IF(MOD(X5-$D$39,24)=0,Ana_eco!$M$8*$D$38)))*(1+taux_tva)</f>
        <v>0</v>
      </c>
      <c r="Y38" s="1087">
        <f>(IF($E$38="annuel",IF(MOD(Y5-$C$39,12)=0,Ana_eco!$M$8*$C$38,0)+IF(MOD(Y5-$D$39,12)=0,Ana_eco!$M$8*$D$38,0),IF(MOD(Y5-$C$39,24)=0,Ana_eco!$M$8*$C$38,0)+IF(MOD(Y5-$D$39,24)=0,Ana_eco!$M$8*$D$38)))*(1+taux_tva)</f>
        <v>0</v>
      </c>
      <c r="Z38" s="1087">
        <f>(IF($E$38="annuel",IF(MOD(Z5-$C$39,12)=0,Ana_eco!$M$8*$C$38,0)+IF(MOD(Z5-$D$39,12)=0,Ana_eco!$M$8*$D$38,0),IF(MOD(Z5-$C$39,24)=0,Ana_eco!$M$8*$C$38,0)+IF(MOD(Z5-$D$39,24)=0,Ana_eco!$M$8*$D$38)))*(1+taux_tva)</f>
        <v>0</v>
      </c>
      <c r="AA38" s="1087">
        <f>(IF($E$38="annuel",IF(MOD(AA5-$C$39,12)=0,Ana_eco!$M$8*$C$38,0)+IF(MOD(AA5-$D$39,12)=0,Ana_eco!$M$8*$D$38,0),IF(MOD(AA5-$C$39,24)=0,Ana_eco!$M$8*$C$38,0)+IF(MOD(AA5-$D$39,24)=0,Ana_eco!$M$8*$D$38)))*(1+taux_tva)</f>
        <v>0</v>
      </c>
      <c r="AB38" s="1087">
        <f>(IF($E$38="annuel",IF(MOD(AB5-$C$39,12)=0,Ana_eco!$M$8*$C$38,0)+IF(MOD(AB5-$D$39,12)=0,Ana_eco!$M$8*$D$38,0),IF(MOD(AB5-$C$39,24)=0,Ana_eco!$M$8*$C$38,0)+IF(MOD(AB5-$D$39,24)=0,Ana_eco!$M$8*$D$38)))*(1+taux_tva)</f>
        <v>0</v>
      </c>
      <c r="AC38" s="1087">
        <f>(IF($E$38="annuel",IF(MOD(AC5-$C$39,12)=0,Ana_eco!$M$8*$C$38,0)+IF(MOD(AC5-$D$39,12)=0,Ana_eco!$M$8*$D$38,0),IF(MOD(AC5-$C$39,24)=0,Ana_eco!$M$8*$C$38,0)+IF(MOD(AC5-$D$39,24)=0,Ana_eco!$M$8*$D$38)))*(1+taux_tva)</f>
        <v>0</v>
      </c>
      <c r="AD38" s="1087">
        <f>(IF($E$38="annuel",IF(MOD(AD5-$C$39,12)=0,Ana_eco!$M$8*$C$38,0)+IF(MOD(AD5-$D$39,12)=0,Ana_eco!$M$8*$D$38,0),IF(MOD(AD5-$C$39,24)=0,Ana_eco!$M$8*$C$38,0)+IF(MOD(AD5-$D$39,24)=0,Ana_eco!$M$8*$D$38)))*(1+taux_tva)</f>
        <v>960</v>
      </c>
      <c r="AE38" s="1087">
        <f>(IF($E$38="annuel",IF(MOD(AE5-$C$39,12)=0,Ana_eco!$M$8*$C$38,0)+IF(MOD(AE5-$D$39,12)=0,Ana_eco!$M$8*$D$38,0),IF(MOD(AE5-$C$39,24)=0,Ana_eco!$M$8*$C$38,0)+IF(MOD(AE5-$D$39,24)=0,Ana_eco!$M$8*$D$38)))*(1+taux_tva)</f>
        <v>0</v>
      </c>
      <c r="AF38" s="1087">
        <f>(IF($E$38="annuel",IF(MOD(AF5-$C$39,12)=0,Ana_eco!$M$8*$C$38,0)+IF(MOD(AF5-$D$39,12)=0,Ana_eco!$M$8*$D$38,0),IF(MOD(AF5-$C$39,24)=0,Ana_eco!$M$8*$C$38,0)+IF(MOD(AF5-$D$39,24)=0,Ana_eco!$M$8*$D$38)))*(1+taux_tva)</f>
        <v>0</v>
      </c>
      <c r="AG38" s="1087">
        <f>(IF($E$38="annuel",IF(MOD(AG5-$C$39,12)=0,Ana_eco!$M$8*$C$38,0)+IF(MOD(AG5-$D$39,12)=0,Ana_eco!$M$8*$D$38,0),IF(MOD(AG5-$C$39,24)=0,Ana_eco!$M$8*$C$38,0)+IF(MOD(AG5-$D$39,24)=0,Ana_eco!$M$8*$D$38)))*(1+taux_tva)</f>
        <v>0</v>
      </c>
      <c r="AH38" s="1087">
        <f>(IF($E$38="annuel",IF(MOD(AH5-$C$39,12)=0,Ana_eco!$M$8*$C$38,0)+IF(MOD(AH5-$D$39,12)=0,Ana_eco!$M$8*$D$38,0),IF(MOD(AH5-$C$39,24)=0,Ana_eco!$M$8*$C$38,0)+IF(MOD(AH5-$D$39,24)=0,Ana_eco!$M$8*$D$38)))*(1+taux_tva)</f>
        <v>0</v>
      </c>
      <c r="AI38" s="1087">
        <f>(IF($E$38="annuel",IF(MOD(AI5-$C$39,12)=0,Ana_eco!$M$8*$C$38,0)+IF(MOD(AI5-$D$39,12)=0,Ana_eco!$M$8*$D$38,0),IF(MOD(AI5-$C$39,24)=0,Ana_eco!$M$8*$C$38,0)+IF(MOD(AI5-$D$39,24)=0,Ana_eco!$M$8*$D$38)))*(1+taux_tva)</f>
        <v>0</v>
      </c>
      <c r="AJ38" s="1087">
        <f>(IF($E$38="annuel",IF(MOD(AJ5-$C$39,12)=0,Ana_eco!$M$8*$C$38,0)+IF(MOD(AJ5-$D$39,12)=0,Ana_eco!$M$8*$D$38,0),IF(MOD(AJ5-$C$39,24)=0,Ana_eco!$M$8*$C$38,0)+IF(MOD(AJ5-$D$39,24)=0,Ana_eco!$M$8*$D$38)))*(1+taux_tva)</f>
        <v>0</v>
      </c>
      <c r="AK38" s="1087">
        <f>(IF($E$38="annuel",IF(MOD(AK5-$C$39,12)=0,Ana_eco!$M$8*$C$38,0)+IF(MOD(AK5-$D$39,12)=0,Ana_eco!$M$8*$D$38,0),IF(MOD(AK5-$C$39,24)=0,Ana_eco!$M$8*$C$38,0)+IF(MOD(AK5-$D$39,24)=0,Ana_eco!$M$8*$D$38)))*(1+taux_tva)</f>
        <v>0</v>
      </c>
      <c r="AL38" s="1087">
        <f>(IF($E$38="annuel",IF(MOD(AL5-$C$39,12)=0,Ana_eco!$M$8*$C$38,0)+IF(MOD(AL5-$D$39,12)=0,Ana_eco!$M$8*$D$38,0),IF(MOD(AL5-$C$39,24)=0,Ana_eco!$M$8*$C$38,0)+IF(MOD(AL5-$D$39,24)=0,Ana_eco!$M$8*$D$38)))*(1+taux_tva)</f>
        <v>0</v>
      </c>
      <c r="AM38" s="1087">
        <f>(IF($E$38="annuel",IF(MOD(AM5-$C$39,12)=0,Ana_eco!$M$8*$C$38,0)+IF(MOD(AM5-$D$39,12)=0,Ana_eco!$M$8*$D$38,0),IF(MOD(AM5-$C$39,24)=0,Ana_eco!$M$8*$C$38,0)+IF(MOD(AM5-$D$39,24)=0,Ana_eco!$M$8*$D$38)))*(1+taux_tva)</f>
        <v>0</v>
      </c>
      <c r="AN38" s="1087">
        <f>(IF($E$38="annuel",IF(MOD(AN5-$C$39,12)=0,Ana_eco!$M$8*$C$38,0)+IF(MOD(AN5-$D$39,12)=0,Ana_eco!$M$8*$D$38,0),IF(MOD(AN5-$C$39,24)=0,Ana_eco!$M$8*$C$38,0)+IF(MOD(AN5-$D$39,24)=0,Ana_eco!$M$8*$D$38)))*(1+taux_tva)</f>
        <v>0</v>
      </c>
      <c r="AO38" s="1087">
        <f>(IF($E$38="annuel",IF(MOD(AO5-$C$39,12)=0,Ana_eco!$M$8*$C$38,0)+IF(MOD(AO5-$D$39,12)=0,Ana_eco!$M$8*$D$38,0),IF(MOD(AO5-$C$39,24)=0,Ana_eco!$M$8*$C$38,0)+IF(MOD(AO5-$D$39,24)=0,Ana_eco!$M$8*$D$38)))*(1+taux_tva)</f>
        <v>0</v>
      </c>
      <c r="AP38" s="1087">
        <f>(IF($E$38="annuel",IF(MOD(AP5-$C$39,12)=0,Ana_eco!$M$8*$C$38,0)+IF(MOD(AP5-$D$39,12)=0,Ana_eco!$M$8*$D$38,0),IF(MOD(AP5-$C$39,24)=0,Ana_eco!$M$8*$C$38,0)+IF(MOD(AP5-$D$39,24)=0,Ana_eco!$M$8*$D$38)))*(1+taux_tva)</f>
        <v>960</v>
      </c>
      <c r="AR38" s="1087">
        <f>SUM(G38:AI39)</f>
        <v>1920</v>
      </c>
      <c r="AS38" s="1087">
        <f>2*Ana_eco!M8*(1+taux_tva)</f>
        <v>1920</v>
      </c>
      <c r="AT38" s="1087" t="str">
        <f>IF(AR38=AS38,"OK","PB")</f>
        <v>OK</v>
      </c>
      <c r="AX38" s="832">
        <v>33</v>
      </c>
    </row>
    <row r="39" spans="2:56" ht="12.8" customHeight="1">
      <c r="B39" s="1088"/>
      <c r="C39" s="840">
        <v>12</v>
      </c>
      <c r="D39" s="840">
        <v>18</v>
      </c>
      <c r="E39" s="1085"/>
      <c r="F39" s="858"/>
      <c r="G39" s="1087"/>
      <c r="H39" s="1087"/>
      <c r="I39" s="1087"/>
      <c r="J39" s="1087"/>
      <c r="K39" s="1087"/>
      <c r="L39" s="1087"/>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R39" s="1087"/>
      <c r="AS39" s="1087"/>
      <c r="AT39" s="1087"/>
      <c r="AX39" s="832">
        <v>34</v>
      </c>
    </row>
    <row r="40" spans="2:56" ht="12.45">
      <c r="B40" s="839" t="s">
        <v>372</v>
      </c>
      <c r="C40" s="840">
        <v>17</v>
      </c>
      <c r="D40" s="842"/>
      <c r="E40" s="861" t="s">
        <v>1675</v>
      </c>
      <c r="F40" s="858"/>
      <c r="G40" s="843">
        <f t="shared" ref="G40:AP40" si="18">IF(AND(G5&gt;=$C$40,MOD(G5-$C$40,12)=0),LOYERS,0)</f>
        <v>0</v>
      </c>
      <c r="H40" s="843">
        <f t="shared" si="18"/>
        <v>0</v>
      </c>
      <c r="I40" s="843">
        <f t="shared" si="18"/>
        <v>0</v>
      </c>
      <c r="J40" s="843">
        <f t="shared" si="18"/>
        <v>0</v>
      </c>
      <c r="K40" s="843">
        <f t="shared" si="18"/>
        <v>0</v>
      </c>
      <c r="L40" s="843">
        <f t="shared" si="18"/>
        <v>0</v>
      </c>
      <c r="M40" s="843">
        <f t="shared" si="18"/>
        <v>0</v>
      </c>
      <c r="N40" s="843">
        <f t="shared" si="18"/>
        <v>0</v>
      </c>
      <c r="O40" s="843">
        <f t="shared" si="18"/>
        <v>0</v>
      </c>
      <c r="P40" s="843">
        <f t="shared" si="18"/>
        <v>0</v>
      </c>
      <c r="Q40" s="843">
        <f t="shared" si="18"/>
        <v>0</v>
      </c>
      <c r="R40" s="843">
        <f t="shared" si="18"/>
        <v>0</v>
      </c>
      <c r="S40" s="843">
        <f t="shared" si="18"/>
        <v>0</v>
      </c>
      <c r="T40" s="843">
        <f t="shared" si="18"/>
        <v>0</v>
      </c>
      <c r="U40" s="843">
        <f t="shared" si="18"/>
        <v>0</v>
      </c>
      <c r="V40" s="843">
        <f t="shared" si="18"/>
        <v>0</v>
      </c>
      <c r="W40" s="843">
        <f t="shared" si="18"/>
        <v>0</v>
      </c>
      <c r="X40" s="843">
        <f t="shared" si="18"/>
        <v>0</v>
      </c>
      <c r="Y40" s="843">
        <f t="shared" si="18"/>
        <v>0</v>
      </c>
      <c r="Z40" s="843">
        <f t="shared" si="18"/>
        <v>0</v>
      </c>
      <c r="AA40" s="843">
        <f t="shared" si="18"/>
        <v>0</v>
      </c>
      <c r="AB40" s="843">
        <f t="shared" si="18"/>
        <v>0</v>
      </c>
      <c r="AC40" s="843">
        <f t="shared" si="18"/>
        <v>0</v>
      </c>
      <c r="AD40" s="843">
        <f t="shared" si="18"/>
        <v>0</v>
      </c>
      <c r="AE40" s="843">
        <f t="shared" si="18"/>
        <v>0</v>
      </c>
      <c r="AF40" s="843">
        <f t="shared" si="18"/>
        <v>0</v>
      </c>
      <c r="AG40" s="843">
        <f t="shared" si="18"/>
        <v>0</v>
      </c>
      <c r="AH40" s="843">
        <f t="shared" si="18"/>
        <v>0</v>
      </c>
      <c r="AI40" s="843">
        <f t="shared" si="18"/>
        <v>0</v>
      </c>
      <c r="AJ40" s="843">
        <f t="shared" si="18"/>
        <v>0</v>
      </c>
      <c r="AK40" s="843">
        <f t="shared" si="18"/>
        <v>0</v>
      </c>
      <c r="AL40" s="843">
        <f t="shared" si="18"/>
        <v>0</v>
      </c>
      <c r="AM40" s="843">
        <f t="shared" si="18"/>
        <v>0</v>
      </c>
      <c r="AN40" s="843">
        <f t="shared" si="18"/>
        <v>0</v>
      </c>
      <c r="AO40" s="843">
        <f t="shared" si="18"/>
        <v>0</v>
      </c>
      <c r="AP40" s="843">
        <f t="shared" si="18"/>
        <v>0</v>
      </c>
      <c r="AR40" s="843">
        <f t="shared" ref="AR40:AR41" si="19">SUM(G40:X40)</f>
        <v>0</v>
      </c>
      <c r="AS40" s="843">
        <f>LOYERS</f>
        <v>0</v>
      </c>
      <c r="AT40" s="845" t="str">
        <f t="shared" ref="AT40:AT52" si="20">IF(AS40=AR40,"OK","PB")</f>
        <v>OK</v>
      </c>
      <c r="AX40" s="832">
        <v>35</v>
      </c>
    </row>
    <row r="41" spans="2:56" ht="12.45">
      <c r="B41" s="839" t="s">
        <v>368</v>
      </c>
      <c r="C41" s="840">
        <v>18</v>
      </c>
      <c r="D41" s="842"/>
      <c r="E41" s="861" t="s">
        <v>1675</v>
      </c>
      <c r="F41" s="858"/>
      <c r="G41" s="843">
        <f t="shared" ref="G41:AP41" si="21">IF(AND(G5-$C$41&gt;=0,MOD(G5-$C$41,12)=0),TURPE*(1+taux_tva),0)</f>
        <v>0</v>
      </c>
      <c r="H41" s="843">
        <f t="shared" si="21"/>
        <v>0</v>
      </c>
      <c r="I41" s="843">
        <f t="shared" si="21"/>
        <v>0</v>
      </c>
      <c r="J41" s="843">
        <f t="shared" si="21"/>
        <v>0</v>
      </c>
      <c r="K41" s="843">
        <f t="shared" si="21"/>
        <v>0</v>
      </c>
      <c r="L41" s="843">
        <f t="shared" si="21"/>
        <v>0</v>
      </c>
      <c r="M41" s="843">
        <f t="shared" si="21"/>
        <v>0</v>
      </c>
      <c r="N41" s="843">
        <f t="shared" si="21"/>
        <v>0</v>
      </c>
      <c r="O41" s="843">
        <f t="shared" si="21"/>
        <v>0</v>
      </c>
      <c r="P41" s="843">
        <f t="shared" si="21"/>
        <v>0</v>
      </c>
      <c r="Q41" s="843">
        <f t="shared" si="21"/>
        <v>0</v>
      </c>
      <c r="R41" s="843">
        <f t="shared" si="21"/>
        <v>0</v>
      </c>
      <c r="S41" s="843">
        <f t="shared" si="21"/>
        <v>0</v>
      </c>
      <c r="T41" s="843">
        <f t="shared" si="21"/>
        <v>0</v>
      </c>
      <c r="U41" s="843">
        <f t="shared" si="21"/>
        <v>0</v>
      </c>
      <c r="V41" s="843">
        <f t="shared" si="21"/>
        <v>0</v>
      </c>
      <c r="W41" s="843">
        <f t="shared" si="21"/>
        <v>0</v>
      </c>
      <c r="X41" s="843">
        <f t="shared" si="21"/>
        <v>579.4079999999999</v>
      </c>
      <c r="Y41" s="843">
        <f t="shared" si="21"/>
        <v>0</v>
      </c>
      <c r="Z41" s="843">
        <f t="shared" si="21"/>
        <v>0</v>
      </c>
      <c r="AA41" s="843">
        <f t="shared" si="21"/>
        <v>0</v>
      </c>
      <c r="AB41" s="843">
        <f t="shared" si="21"/>
        <v>0</v>
      </c>
      <c r="AC41" s="843">
        <f t="shared" si="21"/>
        <v>0</v>
      </c>
      <c r="AD41" s="843">
        <f t="shared" si="21"/>
        <v>0</v>
      </c>
      <c r="AE41" s="843">
        <f t="shared" si="21"/>
        <v>0</v>
      </c>
      <c r="AF41" s="843">
        <f t="shared" si="21"/>
        <v>0</v>
      </c>
      <c r="AG41" s="843">
        <f t="shared" si="21"/>
        <v>0</v>
      </c>
      <c r="AH41" s="843">
        <f t="shared" si="21"/>
        <v>0</v>
      </c>
      <c r="AI41" s="843">
        <f t="shared" si="21"/>
        <v>0</v>
      </c>
      <c r="AJ41" s="843">
        <f t="shared" si="21"/>
        <v>579.4079999999999</v>
      </c>
      <c r="AK41" s="843">
        <f t="shared" si="21"/>
        <v>0</v>
      </c>
      <c r="AL41" s="843">
        <f t="shared" si="21"/>
        <v>0</v>
      </c>
      <c r="AM41" s="843">
        <f t="shared" si="21"/>
        <v>0</v>
      </c>
      <c r="AN41" s="843">
        <f t="shared" si="21"/>
        <v>0</v>
      </c>
      <c r="AO41" s="843">
        <f t="shared" si="21"/>
        <v>0</v>
      </c>
      <c r="AP41" s="843">
        <f t="shared" si="21"/>
        <v>0</v>
      </c>
      <c r="AR41" s="843">
        <f t="shared" si="19"/>
        <v>579.4079999999999</v>
      </c>
      <c r="AS41" s="843">
        <f>TURPE*(1+taux_tva)</f>
        <v>579.4079999999999</v>
      </c>
      <c r="AT41" s="845" t="str">
        <f t="shared" si="20"/>
        <v>OK</v>
      </c>
      <c r="AX41" s="832">
        <v>36</v>
      </c>
    </row>
    <row r="42" spans="2:56" ht="13.1" customHeight="1">
      <c r="B42" s="1088" t="s">
        <v>382</v>
      </c>
      <c r="C42" s="851">
        <v>1</v>
      </c>
      <c r="D42" s="851">
        <v>0</v>
      </c>
      <c r="E42" s="1085" t="s">
        <v>1675</v>
      </c>
      <c r="F42" s="858"/>
      <c r="G42" s="1087">
        <f>IF(AND(G5&gt;=$C$43,MOD(G5-$C$43,12)=0),$C$42*Ana_eco!$M$15*(1+taux_tva),0)+IF(AND(G5&gt;=$D$43,MOD(G5-$D$43,12)=0),$D$42*Ana_eco!$M$15*(1+taux_tva),0)</f>
        <v>0</v>
      </c>
      <c r="H42" s="1087">
        <f>IF(AND(H5&gt;=$C$43,MOD(H5-$C$43,12)=0),$C$42*Ana_eco!$M$15*(1+taux_tva),0)+IF(AND(H5&gt;=$D$43,MOD(H5-$D$43,12)=0),$D$42*Ana_eco!$M$15*(1+taux_tva),0)</f>
        <v>0</v>
      </c>
      <c r="I42" s="1087">
        <f>IF(AND(I5&gt;=$C$43,MOD(I5-$C$43,12)=0),$C$42*Ana_eco!$M$15*(1+taux_tva),0)+IF(AND(I5&gt;=$D$43,MOD(I5-$D$43,12)=0),$D$42*Ana_eco!$M$15*(1+taux_tva),0)</f>
        <v>0</v>
      </c>
      <c r="J42" s="1087">
        <f>IF(AND(J5&gt;=$C$43,MOD(J5-$C$43,12)=0),$C$42*Ana_eco!$M$15*(1+taux_tva),0)+IF(AND(J5&gt;=$D$43,MOD(J5-$D$43,12)=0),$D$42*Ana_eco!$M$15*(1+taux_tva),0)</f>
        <v>0</v>
      </c>
      <c r="K42" s="1087">
        <f>IF(AND(K5&gt;=$C$43,MOD(K5-$C$43,12)=0),$C$42*Ana_eco!$M$15*(1+taux_tva),0)+IF(AND(K5&gt;=$D$43,MOD(K5-$D$43,12)=0),$D$42*Ana_eco!$M$15*(1+taux_tva),0)</f>
        <v>0</v>
      </c>
      <c r="L42" s="1087">
        <f>IF(AND(L5&gt;=$C$43,MOD(L5-$C$43,12)=0),$C$42*Ana_eco!$M$15*(1+taux_tva),0)+IF(AND(L5&gt;=$D$43,MOD(L5-$D$43,12)=0),$D$42*Ana_eco!$M$15*(1+taux_tva),0)</f>
        <v>0</v>
      </c>
      <c r="M42" s="1087">
        <f>IF(AND(M5&gt;=$C$43,MOD(M5-$C$43,12)=0),$C$42*Ana_eco!$M$15*(1+taux_tva),0)+IF(AND(M5&gt;=$D$43,MOD(M5-$D$43,12)=0),$D$42*Ana_eco!$M$15*(1+taux_tva),0)</f>
        <v>0</v>
      </c>
      <c r="N42" s="1087">
        <f>IF(AND(N5&gt;=$C$43,MOD(N5-$C$43,12)=0),$C$42*Ana_eco!$M$15*(1+taux_tva),0)+IF(AND(N5&gt;=$D$43,MOD(N5-$D$43,12)=0),$D$42*Ana_eco!$M$15*(1+taux_tva),0)</f>
        <v>0</v>
      </c>
      <c r="O42" s="1087">
        <f>IF(AND(O5&gt;=$C$43,MOD(O5-$C$43,12)=0),$C$42*Ana_eco!$M$15*(1+taux_tva),0)+IF(AND(O5&gt;=$D$43,MOD(O5-$D$43,12)=0),$D$42*Ana_eco!$M$15*(1+taux_tva),0)</f>
        <v>0</v>
      </c>
      <c r="P42" s="1087">
        <f>IF(AND(P5&gt;=$C$43,MOD(P5-$C$43,12)=0),$C$42*Ana_eco!$M$15*(1+taux_tva),0)+IF(AND(P5&gt;=$D$43,MOD(P5-$D$43,12)=0),$D$42*Ana_eco!$M$15*(1+taux_tva),0)</f>
        <v>0</v>
      </c>
      <c r="Q42" s="1087">
        <f>IF(AND(Q5&gt;=$C$43,MOD(Q5-$C$43,12)=0),$C$42*Ana_eco!$M$15*(1+taux_tva),0)+IF(AND(Q5&gt;=$D$43,MOD(Q5-$D$43,12)=0),$D$42*Ana_eco!$M$15*(1+taux_tva),0)</f>
        <v>0</v>
      </c>
      <c r="R42" s="1087">
        <f>IF(AND(R5&gt;=$C$43,MOD(R5-$C$43,12)=0),$C$42*Ana_eco!$M$15*(1+taux_tva),0)+IF(AND(R5&gt;=$D$43,MOD(R5-$D$43,12)=0),$D$42*Ana_eco!$M$15*(1+taux_tva),0)</f>
        <v>0</v>
      </c>
      <c r="S42" s="1087">
        <f>IF(AND(S5&gt;=$C$43,MOD(S5-$C$43,12)=0),$C$42*Ana_eco!$M$15*(1+taux_tva),0)+IF(AND(S5&gt;=$D$43,MOD(S5-$D$43,12)=0),$D$42*Ana_eco!$M$15*(1+taux_tva),0)</f>
        <v>0</v>
      </c>
      <c r="T42" s="1087">
        <f>IF(AND(T5&gt;=$C$43,MOD(T5-$C$43,12)=0),$C$42*Ana_eco!$M$15*(1+taux_tva),0)+IF(AND(T5&gt;=$D$43,MOD(T5-$D$43,12)=0),$D$42*Ana_eco!$M$15*(1+taux_tva),0)</f>
        <v>0</v>
      </c>
      <c r="U42" s="1087">
        <f>IF(AND(U5&gt;=$C$43,MOD(U5-$C$43,12)=0),$C$42*Ana_eco!$M$15*(1+taux_tva),0)+IF(AND(U5&gt;=$D$43,MOD(U5-$D$43,12)=0),$D$42*Ana_eco!$M$15*(1+taux_tva),0)</f>
        <v>0</v>
      </c>
      <c r="V42" s="1087">
        <f>IF(AND(V5&gt;=$C$43,MOD(V5-$C$43,12)=0),$C$42*Ana_eco!$M$15*(1+taux_tva),0)+IF(AND(V5&gt;=$D$43,MOD(V5-$D$43,12)=0),$D$42*Ana_eco!$M$15*(1+taux_tva),0)</f>
        <v>0</v>
      </c>
      <c r="W42" s="1087">
        <f>IF(AND(W5&gt;=$C$43,MOD(W5-$C$43,12)=0),$C$42*Ana_eco!$M$15*(1+taux_tva),0)+IF(AND(W5&gt;=$D$43,MOD(W5-$D$43,12)=0),$D$42*Ana_eco!$M$15*(1+taux_tva),0)</f>
        <v>0</v>
      </c>
      <c r="X42" s="1087">
        <f>IF(AND(X5&gt;=$C$43,MOD(X5-$C$43,12)=0),$C$42*Ana_eco!$M$15*(1+taux_tva),0)+IF(AND(X5&gt;=$D$43,MOD(X5-$D$43,12)=0),$D$42*Ana_eco!$M$15*(1+taux_tva),0)</f>
        <v>0</v>
      </c>
      <c r="Y42" s="1087">
        <f>IF(AND(Y5&gt;=$C$43,MOD(Y5-$C$43,12)=0),$C$42*Ana_eco!$M$15*(1+taux_tva),0)+IF(AND(Y5&gt;=$D$43,MOD(Y5-$D$43,12)=0),$D$42*Ana_eco!$M$15*(1+taux_tva),0)</f>
        <v>0</v>
      </c>
      <c r="Z42" s="1087">
        <f>IF(AND(Z5&gt;=$C$43,MOD(Z5-$C$43,12)=0),$C$42*Ana_eco!$M$15*(1+taux_tva),0)+IF(AND(Z5&gt;=$D$43,MOD(Z5-$D$43,12)=0),$D$42*Ana_eco!$M$15*(1+taux_tva),0)</f>
        <v>0</v>
      </c>
      <c r="AA42" s="1087">
        <f>IF(AND(AA5&gt;=$C$43,MOD(AA5-$C$43,12)=0),$C$42*Ana_eco!$M$15*(1+taux_tva),0)+IF(AND(AA5&gt;=$D$43,MOD(AA5-$D$43,12)=0),$D$42*Ana_eco!$M$15*(1+taux_tva),0)</f>
        <v>0</v>
      </c>
      <c r="AB42" s="1087">
        <f>IF(AND(AB5&gt;=$C$43,MOD(AB5-$C$43,12)=0),$C$42*Ana_eco!$M$15*(1+taux_tva),0)+IF(AND(AB5&gt;=$D$43,MOD(AB5-$D$43,12)=0),$D$42*Ana_eco!$M$15*(1+taux_tva),0)</f>
        <v>0</v>
      </c>
      <c r="AC42" s="1087">
        <f>IF(AND(AC5&gt;=$C$43,MOD(AC5-$C$43,12)=0),$C$42*Ana_eco!$M$15*(1+taux_tva),0)+IF(AND(AC5&gt;=$D$43,MOD(AC5-$D$43,12)=0),$D$42*Ana_eco!$M$15*(1+taux_tva),0)</f>
        <v>0</v>
      </c>
      <c r="AD42" s="1087">
        <f>IF(AND(AD5&gt;=$C$43,MOD(AD5-$C$43,12)=0),$C$42*Ana_eco!$M$15*(1+taux_tva),0)+IF(AND(AD5&gt;=$D$43,MOD(AD5-$D$43,12)=0),$D$42*Ana_eco!$M$15*(1+taux_tva),0)</f>
        <v>0</v>
      </c>
      <c r="AE42" s="1087">
        <f>IF(AND(AE5&gt;=$C$43,MOD(AE5-$C$43,12)=0),$C$42*Ana_eco!$M$15*(1+taux_tva),0)+IF(AND(AE5&gt;=$D$43,MOD(AE5-$D$43,12)=0),$D$42*Ana_eco!$M$15*(1+taux_tva),0)</f>
        <v>0</v>
      </c>
      <c r="AF42" s="1087">
        <f>IF(AND(AF5&gt;=$C$43,MOD(AF5-$C$43,12)=0),$C$42*Ana_eco!$M$15*(1+taux_tva),0)+IF(AND(AF5&gt;=$D$43,MOD(AF5-$D$43,12)=0),$D$42*Ana_eco!$M$15*(1+taux_tva),0)</f>
        <v>0</v>
      </c>
      <c r="AG42" s="1087">
        <f>IF(AND(AG5&gt;=$C$43,MOD(AG5-$C$43,12)=0),$C$42*Ana_eco!$M$15*(1+taux_tva),0)+IF(AND(AG5&gt;=$D$43,MOD(AG5-$D$43,12)=0),$D$42*Ana_eco!$M$15*(1+taux_tva),0)</f>
        <v>0</v>
      </c>
      <c r="AH42" s="1087">
        <f>IF(AND(AH5&gt;=$C$43,MOD(AH5-$C$43,12)=0),$C$42*Ana_eco!$M$15*(1+taux_tva),0)+IF(AND(AH5&gt;=$D$43,MOD(AH5-$D$43,12)=0),$D$42*Ana_eco!$M$15*(1+taux_tva),0)</f>
        <v>0</v>
      </c>
      <c r="AI42" s="1087">
        <f>IF(AND(AI5&gt;=$C$43,MOD(AI5-$C$43,12)=0),$C$42*Ana_eco!$M$15*(1+taux_tva),0)+IF(AND(AI5&gt;=$D$43,MOD(AI5-$D$43,12)=0),$D$42*Ana_eco!$M$15*(1+taux_tva),0)</f>
        <v>0</v>
      </c>
      <c r="AJ42" s="1087">
        <f>IF(AND(AJ5&gt;=$C$43,MOD(AJ5-$C$43,12)=0),$C$42*Ana_eco!$M$15*(1+taux_tva),0)+IF(AND(AJ5&gt;=$D$43,MOD(AJ5-$D$43,12)=0),$D$42*Ana_eco!$M$15*(1+taux_tva),0)</f>
        <v>0</v>
      </c>
      <c r="AK42" s="1087">
        <f>IF(AND(AK5&gt;=$C$43,MOD(AK5-$C$43,12)=0),$C$42*Ana_eco!$M$15*(1+taux_tva),0)+IF(AND(AK5&gt;=$D$43,MOD(AK5-$D$43,12)=0),$D$42*Ana_eco!$M$15*(1+taux_tva),0)</f>
        <v>0</v>
      </c>
      <c r="AL42" s="1087">
        <f>IF(AND(AL5&gt;=$C$43,MOD(AL5-$C$43,12)=0),$C$42*Ana_eco!$M$15*(1+taux_tva),0)+IF(AND(AL5&gt;=$D$43,MOD(AL5-$D$43,12)=0),$D$42*Ana_eco!$M$15*(1+taux_tva),0)</f>
        <v>0</v>
      </c>
      <c r="AM42" s="1087">
        <f>IF(AND(AM5&gt;=$C$43,MOD(AM5-$C$43,12)=0),$C$42*Ana_eco!$M$15*(1+taux_tva),0)+IF(AND(AM5&gt;=$D$43,MOD(AM5-$D$43,12)=0),$D$42*Ana_eco!$M$15*(1+taux_tva),0)</f>
        <v>0</v>
      </c>
      <c r="AN42" s="1087">
        <f>IF(AND(AN5&gt;=$C$43,MOD(AN5-$C$43,12)=0),$C$42*Ana_eco!$M$15*(1+taux_tva),0)+IF(AND(AN5&gt;=$D$43,MOD(AN5-$D$43,12)=0),$D$42*Ana_eco!$M$15*(1+taux_tva),0)</f>
        <v>0</v>
      </c>
      <c r="AO42" s="1087">
        <f>IF(AND(AO5&gt;=$C$43,MOD(AO5-$C$43,12)=0),$C$42*Ana_eco!$M$15*(1+taux_tva),0)+IF(AND(AO5&gt;=$D$43,MOD(AO5-$D$43,12)=0),$D$42*Ana_eco!$M$15*(1+taux_tva),0)</f>
        <v>0</v>
      </c>
      <c r="AP42" s="1087">
        <f>IF(AND(AP5&gt;=$C$43,MOD(AP5-$C$43,12)=0),$C$42*Ana_eco!$M$15*(1+taux_tva),0)+IF(AND(AP5&gt;=$D$43,MOD(AP5-$D$43,12)=0),$D$42*Ana_eco!$M$15*(1+taux_tva),0)</f>
        <v>0</v>
      </c>
      <c r="AR42" s="1087">
        <f>SUM(G42:S43)</f>
        <v>0</v>
      </c>
      <c r="AS42" s="1087">
        <f>Ana_eco!M15*(1+taux_tva)</f>
        <v>0</v>
      </c>
      <c r="AT42" s="845" t="str">
        <f t="shared" si="20"/>
        <v>OK</v>
      </c>
    </row>
    <row r="43" spans="2:56" ht="12.45">
      <c r="B43" s="1088"/>
      <c r="C43" s="840">
        <v>8</v>
      </c>
      <c r="D43" s="840">
        <v>8</v>
      </c>
      <c r="E43" s="1085"/>
      <c r="F43" s="858"/>
      <c r="G43" s="1087"/>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R43" s="1087"/>
      <c r="AS43" s="1087"/>
      <c r="AT43" s="845" t="str">
        <f t="shared" si="20"/>
        <v>OK</v>
      </c>
    </row>
    <row r="44" spans="2:56" ht="12.45">
      <c r="B44" s="839" t="s">
        <v>963</v>
      </c>
      <c r="C44" s="840">
        <v>8</v>
      </c>
      <c r="D44" s="842"/>
      <c r="E44" s="861" t="s">
        <v>1675</v>
      </c>
      <c r="F44" s="858"/>
      <c r="G44" s="843">
        <f>IF(MOD(G5-$C$44,12)=0,Ana_eco!$M$17*(1+taux_tva),0)</f>
        <v>0</v>
      </c>
      <c r="H44" s="843">
        <f>IF(MOD(H5-$C$44,12)=0,Ana_eco!$M$17*(1+taux_tva),0)</f>
        <v>0</v>
      </c>
      <c r="I44" s="843">
        <f>IF(MOD(I5-$C$44,12)=0,Ana_eco!$M$17*(1+taux_tva),0)</f>
        <v>0</v>
      </c>
      <c r="J44" s="843">
        <f>IF(MOD(J5-$C$44,12)=0,Ana_eco!$M$17*(1+taux_tva),0)</f>
        <v>0</v>
      </c>
      <c r="K44" s="843">
        <f>IF(MOD(K5-$C$44,12)=0,Ana_eco!$M$17*(1+taux_tva),0)</f>
        <v>0</v>
      </c>
      <c r="L44" s="843">
        <f>IF(MOD(L5-$C$44,12)=0,Ana_eco!$M$17*(1+taux_tva),0)</f>
        <v>0</v>
      </c>
      <c r="M44" s="843">
        <f>IF(MOD(M5-$C$44,12)=0,Ana_eco!$M$17*(1+taux_tva),0)</f>
        <v>0</v>
      </c>
      <c r="N44" s="843">
        <f>IF(MOD(N5-$C$44,12)=0,Ana_eco!$M$17*(1+taux_tva),0)</f>
        <v>120</v>
      </c>
      <c r="O44" s="843">
        <f>IF(MOD(O5-$C$44,12)=0,Ana_eco!$M$17*(1+taux_tva),0)</f>
        <v>0</v>
      </c>
      <c r="P44" s="843">
        <f>IF(MOD(P5-$C$44,12)=0,Ana_eco!$M$17*(1+taux_tva),0)</f>
        <v>0</v>
      </c>
      <c r="Q44" s="843">
        <f>IF(MOD(Q5-$C$44,12)=0,Ana_eco!$M$17*(1+taux_tva),0)</f>
        <v>0</v>
      </c>
      <c r="R44" s="843">
        <f>IF(MOD(R5-$C$44,12)=0,Ana_eco!$M$17*(1+taux_tva),0)</f>
        <v>0</v>
      </c>
      <c r="S44" s="843">
        <f>IF(MOD(S5-$C$44,12)=0,Ana_eco!$M$17*(1+taux_tva),0)</f>
        <v>0</v>
      </c>
      <c r="T44" s="843">
        <f>IF(MOD(T5-$C$44,12)=0,Ana_eco!$M$17*(1+taux_tva),0)</f>
        <v>0</v>
      </c>
      <c r="U44" s="843">
        <f>IF(MOD(U5-$C$44,12)=0,Ana_eco!$M$17*(1+taux_tva),0)</f>
        <v>0</v>
      </c>
      <c r="V44" s="843">
        <f>IF(MOD(V5-$C$44,12)=0,Ana_eco!$M$17*(1+taux_tva),0)</f>
        <v>0</v>
      </c>
      <c r="W44" s="843">
        <f>IF(MOD(W5-$C$44,12)=0,Ana_eco!$M$17*(1+taux_tva),0)</f>
        <v>0</v>
      </c>
      <c r="X44" s="843">
        <f>IF(MOD(X5-$C$44,12)=0,Ana_eco!$M$17*(1+taux_tva),0)</f>
        <v>0</v>
      </c>
      <c r="Y44" s="843">
        <f>IF(MOD(Y5-$C$44,12)=0,Ana_eco!$M$17*(1+taux_tva),0)</f>
        <v>0</v>
      </c>
      <c r="Z44" s="843">
        <f>IF(MOD(Z5-$C$44,12)=0,Ana_eco!$M$17*(1+taux_tva),0)</f>
        <v>120</v>
      </c>
      <c r="AA44" s="843">
        <f>IF(MOD(AA5-$C$44,12)=0,Ana_eco!$M$17*(1+taux_tva),0)</f>
        <v>0</v>
      </c>
      <c r="AB44" s="843">
        <f>IF(MOD(AB5-$C$44,12)=0,Ana_eco!$M$17*(1+taux_tva),0)</f>
        <v>0</v>
      </c>
      <c r="AC44" s="843">
        <f>IF(MOD(AC5-$C$44,12)=0,Ana_eco!$M$17*(1+taux_tva),0)</f>
        <v>0</v>
      </c>
      <c r="AD44" s="843">
        <f>IF(MOD(AD5-$C$44,12)=0,Ana_eco!$M$17*(1+taux_tva),0)</f>
        <v>0</v>
      </c>
      <c r="AE44" s="843">
        <f>IF(MOD(AE5-$C$44,12)=0,Ana_eco!$M$17*(1+taux_tva),0)</f>
        <v>0</v>
      </c>
      <c r="AF44" s="843">
        <f>IF(MOD(AF5-$C$44,12)=0,Ana_eco!$M$17*(1+taux_tva),0)</f>
        <v>0</v>
      </c>
      <c r="AG44" s="843">
        <f>IF(MOD(AG5-$C$44,12)=0,Ana_eco!$M$17*(1+taux_tva),0)</f>
        <v>0</v>
      </c>
      <c r="AH44" s="843">
        <f>IF(MOD(AH5-$C$44,12)=0,Ana_eco!$M$17*(1+taux_tva),0)</f>
        <v>0</v>
      </c>
      <c r="AI44" s="843">
        <f>IF(MOD(AI5-$C$44,12)=0,Ana_eco!$M$17*(1+taux_tva),0)</f>
        <v>0</v>
      </c>
      <c r="AJ44" s="843">
        <f>IF(MOD(AJ5-$C$44,12)=0,Ana_eco!$M$17*(1+taux_tva),0)</f>
        <v>0</v>
      </c>
      <c r="AK44" s="843">
        <f>IF(MOD(AK5-$C$44,12)=0,Ana_eco!$M$17*(1+taux_tva),0)</f>
        <v>0</v>
      </c>
      <c r="AL44" s="843">
        <f>IF(MOD(AL5-$C$44,12)=0,Ana_eco!$M$17*(1+taux_tva),0)</f>
        <v>120</v>
      </c>
      <c r="AM44" s="843">
        <f>IF(MOD(AM5-$C$44,12)=0,Ana_eco!$M$17*(1+taux_tva),0)</f>
        <v>0</v>
      </c>
      <c r="AN44" s="843">
        <f>IF(MOD(AN5-$C$44,12)=0,Ana_eco!$M$17*(1+taux_tva),0)</f>
        <v>0</v>
      </c>
      <c r="AO44" s="843">
        <f>IF(MOD(AO5-$C$44,12)=0,Ana_eco!$M$17*(1+taux_tva),0)</f>
        <v>0</v>
      </c>
      <c r="AP44" s="843">
        <f>IF(MOD(AP5-$C$44,12)=0,Ana_eco!$M$17*(1+taux_tva),0)</f>
        <v>0</v>
      </c>
      <c r="AR44" s="843">
        <f t="shared" ref="AR44:AR45" si="22">SUM(G44:X44)</f>
        <v>120</v>
      </c>
      <c r="AS44" s="843">
        <f>Ana_eco!M17*(1+taux_tva)</f>
        <v>120</v>
      </c>
      <c r="AT44" s="845" t="str">
        <f t="shared" si="20"/>
        <v>OK</v>
      </c>
    </row>
    <row r="45" spans="2:56" ht="12.45">
      <c r="B45" s="839" t="s">
        <v>1696</v>
      </c>
      <c r="C45" s="840">
        <v>8</v>
      </c>
      <c r="D45" s="861"/>
      <c r="E45" s="861" t="s">
        <v>1675</v>
      </c>
      <c r="F45" s="858"/>
      <c r="G45" s="843">
        <f>IF(MOD(G5-$C$45,12)=0,Ana_eco!$M$16*(1+taux_tva),0)</f>
        <v>0</v>
      </c>
      <c r="H45" s="843">
        <f>IF(MOD(H5-$C$45,12)=0,Ana_eco!$M$16*(1+taux_tva),0)</f>
        <v>0</v>
      </c>
      <c r="I45" s="843">
        <f>IF(MOD(I5-$C$45,12)=0,Ana_eco!$M$16*(1+taux_tva),0)</f>
        <v>0</v>
      </c>
      <c r="J45" s="843">
        <f>IF(MOD(J5-$C$45,12)=0,Ana_eco!$M$16*(1+taux_tva),0)</f>
        <v>0</v>
      </c>
      <c r="K45" s="843">
        <f>IF(MOD(K5-$C$45,12)=0,Ana_eco!$M$16*(1+taux_tva),0)</f>
        <v>0</v>
      </c>
      <c r="L45" s="843">
        <f>IF(MOD(L5-$C$45,12)=0,Ana_eco!$M$16*(1+taux_tva),0)</f>
        <v>0</v>
      </c>
      <c r="M45" s="843">
        <f>IF(MOD(M5-$C$45,12)=0,Ana_eco!$M$16*(1+taux_tva),0)</f>
        <v>0</v>
      </c>
      <c r="N45" s="843">
        <f>IF(MOD(N5-$C$45,12)=0,Ana_eco!$M$16*(1+taux_tva),0)</f>
        <v>0</v>
      </c>
      <c r="O45" s="843">
        <f>IF(MOD(O5-$C$45,12)=0,Ana_eco!$M$16*(1+taux_tva),0)</f>
        <v>0</v>
      </c>
      <c r="P45" s="843">
        <f>IF(MOD(P5-$C$45,12)=0,Ana_eco!$M$16*(1+taux_tva),0)</f>
        <v>0</v>
      </c>
      <c r="Q45" s="843">
        <f>IF(MOD(Q5-$C$45,12)=0,Ana_eco!$M$16*(1+taux_tva),0)</f>
        <v>0</v>
      </c>
      <c r="R45" s="843">
        <f>IF(MOD(R5-$C$45,12)=0,Ana_eco!$M$16*(1+taux_tva),0)</f>
        <v>0</v>
      </c>
      <c r="S45" s="843">
        <f>IF(MOD(S5-$C$45,12)=0,Ana_eco!$M$16*(1+taux_tva),0)</f>
        <v>0</v>
      </c>
      <c r="T45" s="843">
        <f>IF(MOD(T5-$C$45,12)=0,Ana_eco!$M$16*(1+taux_tva),0)</f>
        <v>0</v>
      </c>
      <c r="U45" s="843">
        <f>IF(MOD(U5-$C$45,12)=0,Ana_eco!$M$16*(1+taux_tva),0)</f>
        <v>0</v>
      </c>
      <c r="V45" s="843">
        <f>IF(MOD(V5-$C$45,12)=0,Ana_eco!$M$16*(1+taux_tva),0)</f>
        <v>0</v>
      </c>
      <c r="W45" s="843">
        <f>IF(MOD(W5-$C$45,12)=0,Ana_eco!$M$16*(1+taux_tva),0)</f>
        <v>0</v>
      </c>
      <c r="X45" s="843">
        <f>IF(MOD(X5-$C$45,12)=0,Ana_eco!$M$16*(1+taux_tva),0)</f>
        <v>0</v>
      </c>
      <c r="Y45" s="843">
        <f>IF(MOD(Y5-$C$45,12)=0,Ana_eco!$M$16*(1+taux_tva),0)</f>
        <v>0</v>
      </c>
      <c r="Z45" s="843">
        <f>IF(MOD(Z5-$C$45,12)=0,Ana_eco!$M$16*(1+taux_tva),0)</f>
        <v>0</v>
      </c>
      <c r="AA45" s="843">
        <f>IF(MOD(AA5-$C$45,12)=0,Ana_eco!$M$16*(1+taux_tva),0)</f>
        <v>0</v>
      </c>
      <c r="AB45" s="843">
        <f>IF(MOD(AB5-$C$45,12)=0,Ana_eco!$M$16*(1+taux_tva),0)</f>
        <v>0</v>
      </c>
      <c r="AC45" s="843">
        <f>IF(MOD(AC5-$C$45,12)=0,Ana_eco!$M$16*(1+taux_tva),0)</f>
        <v>0</v>
      </c>
      <c r="AD45" s="843">
        <f>IF(MOD(AD5-$C$45,12)=0,Ana_eco!$M$16*(1+taux_tva),0)</f>
        <v>0</v>
      </c>
      <c r="AE45" s="843">
        <f>IF(MOD(AE5-$C$45,12)=0,Ana_eco!$M$16*(1+taux_tva),0)</f>
        <v>0</v>
      </c>
      <c r="AF45" s="843">
        <f>IF(MOD(AF5-$C$45,12)=0,Ana_eco!$M$16*(1+taux_tva),0)</f>
        <v>0</v>
      </c>
      <c r="AG45" s="843">
        <f>IF(MOD(AG5-$C$45,12)=0,Ana_eco!$M$16*(1+taux_tva),0)</f>
        <v>0</v>
      </c>
      <c r="AH45" s="843">
        <f>IF(MOD(AH5-$C$45,12)=0,Ana_eco!$M$16*(1+taux_tva),0)</f>
        <v>0</v>
      </c>
      <c r="AI45" s="843">
        <f>IF(MOD(AI5-$C$45,12)=0,Ana_eco!$M$16*(1+taux_tva),0)</f>
        <v>0</v>
      </c>
      <c r="AJ45" s="843">
        <f>IF(MOD(AJ5-$C$45,12)=0,Ana_eco!$M$16*(1+taux_tva),0)</f>
        <v>0</v>
      </c>
      <c r="AK45" s="843">
        <f>IF(MOD(AK5-$C$45,12)=0,Ana_eco!$M$16*(1+taux_tva),0)</f>
        <v>0</v>
      </c>
      <c r="AL45" s="843">
        <f>IF(MOD(AL5-$C$45,12)=0,Ana_eco!$M$16*(1+taux_tva),0)</f>
        <v>0</v>
      </c>
      <c r="AM45" s="843">
        <f>IF(MOD(AM5-$C$45,12)=0,Ana_eco!$M$16*(1+taux_tva),0)</f>
        <v>0</v>
      </c>
      <c r="AN45" s="843">
        <f>IF(MOD(AN5-$C$45,12)=0,Ana_eco!$M$16*(1+taux_tva),0)</f>
        <v>0</v>
      </c>
      <c r="AO45" s="843">
        <f>IF(MOD(AO5-$C$45,12)=0,Ana_eco!$M$16*(1+taux_tva),0)</f>
        <v>0</v>
      </c>
      <c r="AP45" s="843">
        <f>IF(MOD(AP5-$C$45,12)=0,Ana_eco!$M$16*(1+taux_tva),0)</f>
        <v>0</v>
      </c>
      <c r="AR45" s="843">
        <f t="shared" si="22"/>
        <v>0</v>
      </c>
      <c r="AS45" s="843">
        <f>Ana_eco!M16*(1+taux_tva)</f>
        <v>0</v>
      </c>
      <c r="AT45" s="845" t="str">
        <f t="shared" si="20"/>
        <v>OK</v>
      </c>
    </row>
    <row r="46" spans="2:56" ht="24.9">
      <c r="B46" s="839" t="s">
        <v>380</v>
      </c>
      <c r="C46" s="840">
        <v>8</v>
      </c>
      <c r="D46" s="861"/>
      <c r="E46" s="861" t="s">
        <v>1669</v>
      </c>
      <c r="F46" s="858"/>
      <c r="G46" s="843">
        <f>IF(G5&gt;=$C$46,Ana_eco!$M$14/12,0)*(1+taux_tva)</f>
        <v>0</v>
      </c>
      <c r="H46" s="843">
        <f>IF(H5&gt;=$C$46,Ana_eco!$M$14/12,0)*(1+taux_tva)</f>
        <v>0</v>
      </c>
      <c r="I46" s="843">
        <f>IF(I5&gt;=$C$46,Ana_eco!$M$14/12,0)*(1+taux_tva)</f>
        <v>0</v>
      </c>
      <c r="J46" s="843">
        <f>IF(J5&gt;=$C$46,Ana_eco!$M$14/12,0)*(1+taux_tva)</f>
        <v>0</v>
      </c>
      <c r="K46" s="843">
        <f>IF(K5&gt;=$C$46,Ana_eco!$M$14/12,0)*(1+taux_tva)</f>
        <v>0</v>
      </c>
      <c r="L46" s="843">
        <f>IF(L5&gt;=$C$46,Ana_eco!$M$14/12,0)*(1+taux_tva)</f>
        <v>0</v>
      </c>
      <c r="M46" s="843">
        <f>IF(M5&gt;=$C$46,Ana_eco!$M$14/12,0)*(1+taux_tva)</f>
        <v>0</v>
      </c>
      <c r="N46" s="843">
        <f>IF(N5&gt;=$C$46,Ana_eco!$M$14/12,0)*(1+taux_tva)</f>
        <v>0</v>
      </c>
      <c r="O46" s="843">
        <f>IF(O5&gt;=$C$46,Ana_eco!$M$14/12,0)*(1+taux_tva)</f>
        <v>0</v>
      </c>
      <c r="P46" s="843">
        <f>IF(P5&gt;=$C$46,Ana_eco!$M$14/12,0)*(1+taux_tva)</f>
        <v>0</v>
      </c>
      <c r="Q46" s="843">
        <f>IF(Q5&gt;=$C$46,Ana_eco!$M$14/12,0)*(1+taux_tva)</f>
        <v>0</v>
      </c>
      <c r="R46" s="843">
        <f>IF(R5&gt;=$C$46,Ana_eco!$M$14/12,0)*(1+taux_tva)</f>
        <v>0</v>
      </c>
      <c r="S46" s="843">
        <f>IF(S5&gt;=$C$46,Ana_eco!$M$14/12,0)*(1+taux_tva)</f>
        <v>0</v>
      </c>
      <c r="T46" s="843">
        <f>IF(T5&gt;=$C$46,Ana_eco!$M$14/12,0)*(1+taux_tva)</f>
        <v>0</v>
      </c>
      <c r="U46" s="843">
        <f>IF(U5&gt;=$C$46,Ana_eco!$M$14/12,0)*(1+taux_tva)</f>
        <v>0</v>
      </c>
      <c r="V46" s="843">
        <f>IF(V5&gt;=$C$46,Ana_eco!$M$14/12,0)*(1+taux_tva)</f>
        <v>0</v>
      </c>
      <c r="W46" s="843">
        <f>IF(W5&gt;=$C$46,Ana_eco!$M$14/12,0)*(1+taux_tva)</f>
        <v>0</v>
      </c>
      <c r="X46" s="843">
        <f>IF(X5&gt;=$C$46,Ana_eco!$M$14/12,0)*(1+taux_tva)</f>
        <v>0</v>
      </c>
      <c r="Y46" s="843">
        <f>IF(Y5&gt;=$C$46,Ana_eco!$M$14/12,0)*(1+taux_tva)</f>
        <v>0</v>
      </c>
      <c r="Z46" s="843">
        <f>IF(Z5&gt;=$C$46,Ana_eco!$M$14/12,0)*(1+taux_tva)</f>
        <v>0</v>
      </c>
      <c r="AA46" s="843">
        <f>IF(AA5&gt;=$C$46,Ana_eco!$M$14/12,0)*(1+taux_tva)</f>
        <v>0</v>
      </c>
      <c r="AB46" s="843">
        <f>IF(AB5&gt;=$C$46,Ana_eco!$M$14/12,0)*(1+taux_tva)</f>
        <v>0</v>
      </c>
      <c r="AC46" s="843">
        <f>IF(AC5&gt;=$C$46,Ana_eco!$M$14/12,0)*(1+taux_tva)</f>
        <v>0</v>
      </c>
      <c r="AD46" s="843">
        <f>IF(AD5&gt;=$C$46,Ana_eco!$M$14/12,0)*(1+taux_tva)</f>
        <v>0</v>
      </c>
      <c r="AE46" s="843">
        <f>IF(AE5&gt;=$C$46,Ana_eco!$M$14/12,0)*(1+taux_tva)</f>
        <v>0</v>
      </c>
      <c r="AF46" s="843">
        <f>IF(AF5&gt;=$C$46,Ana_eco!$M$14/12,0)*(1+taux_tva)</f>
        <v>0</v>
      </c>
      <c r="AG46" s="843">
        <f>IF(AG5&gt;=$C$46,Ana_eco!$M$14/12,0)*(1+taux_tva)</f>
        <v>0</v>
      </c>
      <c r="AH46" s="843">
        <f>IF(AH5&gt;=$C$46,Ana_eco!$M$14/12,0)*(1+taux_tva)</f>
        <v>0</v>
      </c>
      <c r="AI46" s="843">
        <f>IF(AI5&gt;=$C$46,Ana_eco!$M$14/12,0)*(1+taux_tva)</f>
        <v>0</v>
      </c>
      <c r="AJ46" s="843">
        <f>IF(AJ5&gt;=$C$46,Ana_eco!$M$14/12,0)*(1+taux_tva)</f>
        <v>0</v>
      </c>
      <c r="AK46" s="843">
        <f>IF(AK5&gt;=$C$46,Ana_eco!$M$14/12,0)*(1+taux_tva)</f>
        <v>0</v>
      </c>
      <c r="AL46" s="843">
        <f>IF(AL5&gt;=$C$46,Ana_eco!$M$14/12,0)*(1+taux_tva)</f>
        <v>0</v>
      </c>
      <c r="AM46" s="843">
        <f>IF(AM5&gt;=$C$46,Ana_eco!$M$14/12,0)*(1+taux_tva)</f>
        <v>0</v>
      </c>
      <c r="AN46" s="843">
        <f>IF(AN5&gt;=$C$46,Ana_eco!$M$14/12,0)*(1+taux_tva)</f>
        <v>0</v>
      </c>
      <c r="AO46" s="843">
        <f>IF(AO5&gt;=$C$46,Ana_eco!$M$14/12,0)*(1+taux_tva)</f>
        <v>0</v>
      </c>
      <c r="AP46" s="843">
        <f>IF(AP5&gt;=$C$46,Ana_eco!$M$14/12,0)*(1+taux_tva)</f>
        <v>0</v>
      </c>
      <c r="AR46" s="843">
        <f>X46</f>
        <v>0</v>
      </c>
      <c r="AS46" s="843">
        <f>Ana_eco!M14*(1+taux_tva)/12</f>
        <v>0</v>
      </c>
      <c r="AT46" s="845" t="str">
        <f t="shared" si="20"/>
        <v>OK</v>
      </c>
    </row>
    <row r="47" spans="2:56">
      <c r="B47" s="859" t="s">
        <v>1697</v>
      </c>
      <c r="C47" s="859"/>
      <c r="D47" s="859"/>
      <c r="E47" s="859"/>
      <c r="F47" s="859"/>
      <c r="G47" s="860">
        <f t="shared" ref="G47:AP47" si="23">SUM(G49:G50)</f>
        <v>300</v>
      </c>
      <c r="H47" s="860">
        <f t="shared" si="23"/>
        <v>0</v>
      </c>
      <c r="I47" s="860">
        <f t="shared" si="23"/>
        <v>0</v>
      </c>
      <c r="J47" s="860">
        <f t="shared" si="23"/>
        <v>0</v>
      </c>
      <c r="K47" s="860">
        <f t="shared" si="23"/>
        <v>0</v>
      </c>
      <c r="L47" s="860">
        <f t="shared" si="23"/>
        <v>0</v>
      </c>
      <c r="M47" s="860">
        <f t="shared" si="23"/>
        <v>0</v>
      </c>
      <c r="N47" s="860">
        <f t="shared" si="23"/>
        <v>0</v>
      </c>
      <c r="O47" s="860">
        <f t="shared" si="23"/>
        <v>0</v>
      </c>
      <c r="P47" s="860">
        <f t="shared" si="23"/>
        <v>0</v>
      </c>
      <c r="Q47" s="860">
        <f t="shared" si="23"/>
        <v>0</v>
      </c>
      <c r="R47" s="860">
        <f t="shared" si="23"/>
        <v>0</v>
      </c>
      <c r="S47" s="860">
        <f t="shared" si="23"/>
        <v>0</v>
      </c>
      <c r="T47" s="860">
        <f t="shared" si="23"/>
        <v>0</v>
      </c>
      <c r="U47" s="860">
        <f t="shared" si="23"/>
        <v>0</v>
      </c>
      <c r="V47" s="860">
        <f t="shared" si="23"/>
        <v>0</v>
      </c>
      <c r="W47" s="860">
        <f t="shared" si="23"/>
        <v>0</v>
      </c>
      <c r="X47" s="860">
        <f t="shared" si="23"/>
        <v>0</v>
      </c>
      <c r="Y47" s="860">
        <f t="shared" si="23"/>
        <v>0</v>
      </c>
      <c r="Z47" s="860">
        <f t="shared" si="23"/>
        <v>0</v>
      </c>
      <c r="AA47" s="860">
        <f t="shared" si="23"/>
        <v>0</v>
      </c>
      <c r="AB47" s="860">
        <f t="shared" si="23"/>
        <v>0</v>
      </c>
      <c r="AC47" s="860">
        <f t="shared" si="23"/>
        <v>0</v>
      </c>
      <c r="AD47" s="860">
        <f t="shared" si="23"/>
        <v>0</v>
      </c>
      <c r="AE47" s="860">
        <f t="shared" si="23"/>
        <v>0</v>
      </c>
      <c r="AF47" s="860">
        <f t="shared" si="23"/>
        <v>0</v>
      </c>
      <c r="AG47" s="860">
        <f t="shared" si="23"/>
        <v>0</v>
      </c>
      <c r="AH47" s="860">
        <f t="shared" si="23"/>
        <v>0</v>
      </c>
      <c r="AI47" s="860">
        <f t="shared" si="23"/>
        <v>0</v>
      </c>
      <c r="AJ47" s="860">
        <f t="shared" si="23"/>
        <v>0</v>
      </c>
      <c r="AK47" s="860">
        <f t="shared" si="23"/>
        <v>0</v>
      </c>
      <c r="AL47" s="860">
        <f t="shared" si="23"/>
        <v>0</v>
      </c>
      <c r="AM47" s="860">
        <f t="shared" si="23"/>
        <v>0</v>
      </c>
      <c r="AN47" s="860">
        <f t="shared" si="23"/>
        <v>0</v>
      </c>
      <c r="AO47" s="860">
        <f t="shared" si="23"/>
        <v>0</v>
      </c>
      <c r="AP47" s="860">
        <f t="shared" si="23"/>
        <v>0</v>
      </c>
      <c r="AT47" s="836"/>
      <c r="AX47" s="832"/>
    </row>
    <row r="48" spans="2:56" ht="12.45">
      <c r="B48" s="839" t="s">
        <v>1698</v>
      </c>
      <c r="C48" s="840">
        <v>1</v>
      </c>
      <c r="D48" s="842"/>
      <c r="E48" s="842"/>
      <c r="F48" s="842"/>
      <c r="G48" s="843">
        <f>IF(G5=$C$48,Ana_eco!$U$11,0)*(1+taux_tva)</f>
        <v>0</v>
      </c>
      <c r="H48" s="843">
        <f>IF(H5=$C$48,Ana_eco!$U$11,0)*(1+taux_tva)</f>
        <v>0</v>
      </c>
      <c r="I48" s="843">
        <f>IF(I5=$C$48,Ana_eco!$U$11,0)*(1+taux_tva)</f>
        <v>0</v>
      </c>
      <c r="J48" s="843">
        <f>IF(J5=$C$48,Ana_eco!$U$11,0)*(1+taux_tva)</f>
        <v>0</v>
      </c>
      <c r="K48" s="843">
        <f>IF(K5=$C$48,Ana_eco!$U$11,0)*(1+taux_tva)</f>
        <v>0</v>
      </c>
      <c r="L48" s="843">
        <f>IF(L5=$C$48,Ana_eco!$U$11,0)*(1+taux_tva)</f>
        <v>0</v>
      </c>
      <c r="M48" s="843">
        <f>IF(M5=$C$48,Ana_eco!$U$11,0)*(1+taux_tva)</f>
        <v>0</v>
      </c>
      <c r="N48" s="843">
        <f>IF(N5=$C$48,Ana_eco!$U$11,0)*(1+taux_tva)</f>
        <v>0</v>
      </c>
      <c r="O48" s="843">
        <f>IF(O5=$C$48,Ana_eco!$U$11,0)*(1+taux_tva)</f>
        <v>0</v>
      </c>
      <c r="P48" s="843">
        <f>IF(P5=$C$48,Ana_eco!$U$11,0)*(1+taux_tva)</f>
        <v>0</v>
      </c>
      <c r="Q48" s="843">
        <f>IF(Q5=$C$48,Ana_eco!$U$11,0)*(1+taux_tva)</f>
        <v>0</v>
      </c>
      <c r="R48" s="843">
        <f>IF(R5=$C$48,Ana_eco!$U$11,0)*(1+taux_tva)</f>
        <v>0</v>
      </c>
      <c r="S48" s="843">
        <f>IF(S5=$C$48,Ana_eco!$U$11,0)*(1+taux_tva)</f>
        <v>0</v>
      </c>
      <c r="T48" s="843">
        <f>IF(T5=$C$48,Ana_eco!$U$11,0)*(1+taux_tva)</f>
        <v>0</v>
      </c>
      <c r="U48" s="843">
        <f>IF(U5=$C$48,Ana_eco!$U$11,0)*(1+taux_tva)</f>
        <v>0</v>
      </c>
      <c r="V48" s="843">
        <f>IF(V5=$C$48,Ana_eco!$U$11,0)*(1+taux_tva)</f>
        <v>0</v>
      </c>
      <c r="W48" s="843">
        <f>IF(W5=$C$48,Ana_eco!$U$11,0)*(1+taux_tva)</f>
        <v>0</v>
      </c>
      <c r="X48" s="843">
        <f>IF(X5=$C$48,Ana_eco!$U$11,0)*(1+taux_tva)</f>
        <v>0</v>
      </c>
      <c r="Y48" s="843">
        <f>IF(Y5=$C$48,Ana_eco!$U$11,0)*(1+taux_tva)</f>
        <v>0</v>
      </c>
      <c r="Z48" s="843">
        <f>IF(Z5=$C$48,Ana_eco!$U$11,0)*(1+taux_tva)</f>
        <v>0</v>
      </c>
      <c r="AA48" s="843">
        <f>IF(AA5=$C$48,Ana_eco!$U$11,0)*(1+taux_tva)</f>
        <v>0</v>
      </c>
      <c r="AB48" s="843">
        <f>IF(AB5=$C$48,Ana_eco!$U$11,0)*(1+taux_tva)</f>
        <v>0</v>
      </c>
      <c r="AC48" s="843">
        <f>IF(AC5=$C$48,Ana_eco!$U$11,0)*(1+taux_tva)</f>
        <v>0</v>
      </c>
      <c r="AD48" s="843">
        <f>IF(AD5=$C$48,Ana_eco!$U$11,0)*(1+taux_tva)</f>
        <v>0</v>
      </c>
      <c r="AE48" s="843">
        <f>IF(AE5=$C$48,Ana_eco!$U$11,0)*(1+taux_tva)</f>
        <v>0</v>
      </c>
      <c r="AF48" s="843">
        <f>IF(AF5=$C$48,Ana_eco!$U$11,0)*(1+taux_tva)</f>
        <v>0</v>
      </c>
      <c r="AG48" s="843">
        <f>IF(AG5=$C$48,Ana_eco!$U$11,0)*(1+taux_tva)</f>
        <v>0</v>
      </c>
      <c r="AH48" s="843">
        <f>IF(AH5=$C$48,Ana_eco!$U$11,0)*(1+taux_tva)</f>
        <v>0</v>
      </c>
      <c r="AI48" s="843">
        <f>IF(AI5=$C$48,Ana_eco!$U$11,0)*(1+taux_tva)</f>
        <v>0</v>
      </c>
      <c r="AJ48" s="843">
        <f>IF(AJ5=$C$48,Ana_eco!$U$11,0)*(1+taux_tva)</f>
        <v>0</v>
      </c>
      <c r="AK48" s="843">
        <f>IF(AK5=$C$48,Ana_eco!$U$11,0)*(1+taux_tva)</f>
        <v>0</v>
      </c>
      <c r="AL48" s="843">
        <f>IF(AL5=$C$48,Ana_eco!$U$11,0)*(1+taux_tva)</f>
        <v>0</v>
      </c>
      <c r="AM48" s="843">
        <f>IF(AM5=$C$48,Ana_eco!$U$11,0)*(1+taux_tva)</f>
        <v>0</v>
      </c>
      <c r="AN48" s="843">
        <f>IF(AN5=$C$48,Ana_eco!$U$11,0)*(1+taux_tva)</f>
        <v>0</v>
      </c>
      <c r="AO48" s="843">
        <f>IF(AO5=$C$48,Ana_eco!$U$11,0)*(1+taux_tva)</f>
        <v>0</v>
      </c>
      <c r="AP48" s="843">
        <f>IF(AP5=$C$48,Ana_eco!$U$11,0)*(1+taux_tva)</f>
        <v>0</v>
      </c>
      <c r="AR48" s="843">
        <f>SUM(G48:AP48)</f>
        <v>0</v>
      </c>
      <c r="AS48" s="826">
        <f>Ana_eco!U11*(1+taux_tva)</f>
        <v>0</v>
      </c>
      <c r="AT48" s="845" t="str">
        <f t="shared" si="20"/>
        <v>OK</v>
      </c>
    </row>
    <row r="49" spans="2:64" ht="12.45">
      <c r="B49" s="839" t="s">
        <v>1699</v>
      </c>
      <c r="C49" s="840">
        <v>1</v>
      </c>
      <c r="D49" s="842"/>
      <c r="E49" s="842"/>
      <c r="F49" s="842"/>
      <c r="G49" s="843">
        <f>IF(G5=$C$49,Ana_eco!$U$8,0)</f>
        <v>0</v>
      </c>
      <c r="H49" s="843">
        <f>IF(H5=$C$49,Ana_eco!$U$8,0)</f>
        <v>0</v>
      </c>
      <c r="I49" s="843">
        <f>IF(I5=$C$49,Ana_eco!$U$8,0)</f>
        <v>0</v>
      </c>
      <c r="J49" s="843">
        <f>IF(J5=$C$49,Ana_eco!$U$8,0)</f>
        <v>0</v>
      </c>
      <c r="K49" s="843">
        <f>IF(K5=$C$49,Ana_eco!$U$8,0)</f>
        <v>0</v>
      </c>
      <c r="L49" s="843">
        <f>IF(L5=$C$49,Ana_eco!$U$8,0)</f>
        <v>0</v>
      </c>
      <c r="M49" s="843">
        <f>IF(M5=$C$49,Ana_eco!$U$8,0)</f>
        <v>0</v>
      </c>
      <c r="N49" s="843">
        <f>IF(N5=$C$49,Ana_eco!$U$8,0)</f>
        <v>0</v>
      </c>
      <c r="O49" s="843">
        <f>IF(O5=$C$49,Ana_eco!$U$8,0)</f>
        <v>0</v>
      </c>
      <c r="P49" s="843">
        <f>IF(P5=$C$49,Ana_eco!$U$8,0)</f>
        <v>0</v>
      </c>
      <c r="Q49" s="843">
        <f>IF(Q5=$C$49,Ana_eco!$U$8,0)</f>
        <v>0</v>
      </c>
      <c r="R49" s="843">
        <f>IF(R5=$C$49,Ana_eco!$U$8,0)</f>
        <v>0</v>
      </c>
      <c r="S49" s="843">
        <f>IF(S5=$C$49,Ana_eco!$U$8,0)</f>
        <v>0</v>
      </c>
      <c r="T49" s="843">
        <f>IF(T5=$C$49,Ana_eco!$U$8,0)</f>
        <v>0</v>
      </c>
      <c r="U49" s="843">
        <f>IF(U5=$C$49,Ana_eco!$U$8,0)</f>
        <v>0</v>
      </c>
      <c r="V49" s="843">
        <f>IF(V5=$C$49,Ana_eco!$U$8,0)</f>
        <v>0</v>
      </c>
      <c r="W49" s="843">
        <f>IF(W5=$C$49,Ana_eco!$U$8,0)</f>
        <v>0</v>
      </c>
      <c r="X49" s="843">
        <f>IF(X5=$C$49,Ana_eco!$U$8,0)</f>
        <v>0</v>
      </c>
      <c r="Y49" s="843">
        <f>IF(Y5=$C$49,Ana_eco!$U$8,0)</f>
        <v>0</v>
      </c>
      <c r="Z49" s="843">
        <f>IF(Z5=$C$49,Ana_eco!$U$8,0)</f>
        <v>0</v>
      </c>
      <c r="AA49" s="843">
        <f>IF(AA5=$C$49,Ana_eco!$U$8,0)</f>
        <v>0</v>
      </c>
      <c r="AB49" s="843">
        <f>IF(AB5=$C$49,Ana_eco!$U$8,0)</f>
        <v>0</v>
      </c>
      <c r="AC49" s="843">
        <f>IF(AC5=$C$49,Ana_eco!$U$8,0)</f>
        <v>0</v>
      </c>
      <c r="AD49" s="843">
        <f>IF(AD5=$C$49,Ana_eco!$U$8,0)</f>
        <v>0</v>
      </c>
      <c r="AE49" s="843">
        <f>IF(AE5=$C$49,Ana_eco!$U$8,0)</f>
        <v>0</v>
      </c>
      <c r="AF49" s="843">
        <f>IF(AF5=$C$49,Ana_eco!$U$8,0)</f>
        <v>0</v>
      </c>
      <c r="AG49" s="843">
        <f>IF(AG5=$C$49,Ana_eco!$U$8,0)</f>
        <v>0</v>
      </c>
      <c r="AH49" s="843">
        <f>IF(AH5=$C$49,Ana_eco!$U$8,0)</f>
        <v>0</v>
      </c>
      <c r="AI49" s="843">
        <f>IF(AI5=$C$49,Ana_eco!$U$8,0)</f>
        <v>0</v>
      </c>
      <c r="AJ49" s="843">
        <f>IF(AJ5=$C$49,Ana_eco!$U$8,0)</f>
        <v>0</v>
      </c>
      <c r="AK49" s="843">
        <f>IF(AK5=$C$49,Ana_eco!$U$8,0)</f>
        <v>0</v>
      </c>
      <c r="AL49" s="843">
        <f>IF(AL5=$C$49,Ana_eco!$U$8,0)</f>
        <v>0</v>
      </c>
      <c r="AM49" s="843">
        <f>IF(AM5=$C$49,Ana_eco!$U$8,0)</f>
        <v>0</v>
      </c>
      <c r="AN49" s="843">
        <f>IF(AN5=$C$49,Ana_eco!$U$8,0)</f>
        <v>0</v>
      </c>
      <c r="AO49" s="843">
        <f>IF(AO5=$C$49,Ana_eco!$U$8,0)</f>
        <v>0</v>
      </c>
      <c r="AP49" s="843">
        <f>IF(AP5=$C$49,Ana_eco!$U$8,0)</f>
        <v>0</v>
      </c>
      <c r="AR49" s="843">
        <f t="shared" ref="AR49:AR50" si="24">SUM(G49:R49)</f>
        <v>0</v>
      </c>
      <c r="AS49" s="843">
        <f>Ana_eco!U8</f>
        <v>0</v>
      </c>
      <c r="AT49" s="845" t="str">
        <f t="shared" si="20"/>
        <v>OK</v>
      </c>
      <c r="AX49" s="832"/>
      <c r="BD49" s="828"/>
    </row>
    <row r="50" spans="2:64" ht="24.9">
      <c r="B50" s="839" t="s">
        <v>1700</v>
      </c>
      <c r="C50" s="840">
        <v>1</v>
      </c>
      <c r="D50" s="842"/>
      <c r="E50" s="842"/>
      <c r="F50" s="842"/>
      <c r="G50" s="843">
        <f>IF(G5=$C$50,Ana_eco!$U$9,0)</f>
        <v>300</v>
      </c>
      <c r="H50" s="843">
        <f>IF(H5=$C$50,Ana_eco!$U$9,0)</f>
        <v>0</v>
      </c>
      <c r="I50" s="843">
        <f>IF(I5=$C$50,Ana_eco!$U$9,0)</f>
        <v>0</v>
      </c>
      <c r="J50" s="843">
        <f>IF(J5=$C$50,Ana_eco!$U$9,0)</f>
        <v>0</v>
      </c>
      <c r="K50" s="843">
        <f>IF(K5=$C$50,Ana_eco!$U$9,0)</f>
        <v>0</v>
      </c>
      <c r="L50" s="843">
        <f>IF(L5=$C$50,Ana_eco!$U$9,0)</f>
        <v>0</v>
      </c>
      <c r="M50" s="843">
        <f>IF(M5=$C$50,Ana_eco!$U$9,0)</f>
        <v>0</v>
      </c>
      <c r="N50" s="843">
        <f>IF(N5=$C$50,Ana_eco!$U$9,0)</f>
        <v>0</v>
      </c>
      <c r="O50" s="843">
        <f>IF(O5=$C$50,Ana_eco!$U$9,0)</f>
        <v>0</v>
      </c>
      <c r="P50" s="843">
        <f>IF(P5=$C$50,Ana_eco!$U$9,0)</f>
        <v>0</v>
      </c>
      <c r="Q50" s="843">
        <f>IF(Q5=$C$50,Ana_eco!$U$9,0)</f>
        <v>0</v>
      </c>
      <c r="R50" s="843">
        <f>IF(R5=$C$50,Ana_eco!$U$9,0)</f>
        <v>0</v>
      </c>
      <c r="S50" s="843">
        <f>IF(S5=$C$50,Ana_eco!$U$9,0)</f>
        <v>0</v>
      </c>
      <c r="T50" s="843">
        <f>IF(T5=$C$50,Ana_eco!$U$9,0)</f>
        <v>0</v>
      </c>
      <c r="U50" s="843">
        <f>IF(U5=$C$50,Ana_eco!$U$9,0)</f>
        <v>0</v>
      </c>
      <c r="V50" s="843">
        <f>IF(V5=$C$50,Ana_eco!$U$9,0)</f>
        <v>0</v>
      </c>
      <c r="W50" s="843">
        <f>IF(W5=$C$50,Ana_eco!$U$9,0)</f>
        <v>0</v>
      </c>
      <c r="X50" s="843">
        <f>IF(X5=$C$50,Ana_eco!$U$9,0)</f>
        <v>0</v>
      </c>
      <c r="Y50" s="843">
        <f>IF(Y5=$C$50,Ana_eco!$U$9,0)</f>
        <v>0</v>
      </c>
      <c r="Z50" s="843">
        <f>IF(Z5=$C$50,Ana_eco!$U$9,0)</f>
        <v>0</v>
      </c>
      <c r="AA50" s="843">
        <f>IF(AA5=$C$50,Ana_eco!$U$9,0)</f>
        <v>0</v>
      </c>
      <c r="AB50" s="843">
        <f>IF(AB5=$C$50,Ana_eco!$U$9,0)</f>
        <v>0</v>
      </c>
      <c r="AC50" s="843">
        <f>IF(AC5=$C$50,Ana_eco!$U$9,0)</f>
        <v>0</v>
      </c>
      <c r="AD50" s="843">
        <f>IF(AD5=$C$50,Ana_eco!$U$9,0)</f>
        <v>0</v>
      </c>
      <c r="AE50" s="843">
        <f>IF(AE5=$C$50,Ana_eco!$U$9,0)</f>
        <v>0</v>
      </c>
      <c r="AF50" s="843">
        <f>IF(AF5=$C$50,Ana_eco!$U$9,0)</f>
        <v>0</v>
      </c>
      <c r="AG50" s="843">
        <f>IF(AG5=$C$50,Ana_eco!$U$9,0)</f>
        <v>0</v>
      </c>
      <c r="AH50" s="843">
        <f>IF(AH5=$C$50,Ana_eco!$U$9,0)</f>
        <v>0</v>
      </c>
      <c r="AI50" s="843">
        <f>IF(AI5=$C$50,Ana_eco!$U$9,0)</f>
        <v>0</v>
      </c>
      <c r="AJ50" s="843">
        <f>IF(AJ5=$C$50,Ana_eco!$U$9,0)</f>
        <v>0</v>
      </c>
      <c r="AK50" s="843">
        <f>IF(AK5=$C$50,Ana_eco!$U$9,0)</f>
        <v>0</v>
      </c>
      <c r="AL50" s="843">
        <f>IF(AL5=$C$50,Ana_eco!$U$9,0)</f>
        <v>0</v>
      </c>
      <c r="AM50" s="843">
        <f>IF(AM5=$C$50,Ana_eco!$U$9,0)</f>
        <v>0</v>
      </c>
      <c r="AN50" s="843">
        <f>IF(AN5=$C$50,Ana_eco!$U$9,0)</f>
        <v>0</v>
      </c>
      <c r="AO50" s="843">
        <f>IF(AO5=$C$50,Ana_eco!$U$9,0)</f>
        <v>0</v>
      </c>
      <c r="AP50" s="843">
        <f>IF(AP5=$C$50,Ana_eco!$U$9,0)</f>
        <v>0</v>
      </c>
      <c r="AR50" s="843">
        <f t="shared" si="24"/>
        <v>300</v>
      </c>
      <c r="AS50" s="843">
        <f>Ana_eco!U9</f>
        <v>300</v>
      </c>
      <c r="AT50" s="845" t="str">
        <f t="shared" si="20"/>
        <v>OK</v>
      </c>
      <c r="AV50" s="835" t="s">
        <v>837</v>
      </c>
    </row>
    <row r="51" spans="2:64">
      <c r="B51" s="859" t="s">
        <v>1701</v>
      </c>
      <c r="C51" s="859"/>
      <c r="D51" s="859"/>
      <c r="E51" s="859"/>
      <c r="F51" s="859"/>
      <c r="G51" s="860">
        <f t="shared" ref="G51:AP51" si="25">G52</f>
        <v>0</v>
      </c>
      <c r="H51" s="860">
        <f t="shared" si="25"/>
        <v>0</v>
      </c>
      <c r="I51" s="860">
        <f t="shared" si="25"/>
        <v>0</v>
      </c>
      <c r="J51" s="860">
        <f t="shared" si="25"/>
        <v>0</v>
      </c>
      <c r="K51" s="860">
        <f t="shared" si="25"/>
        <v>0</v>
      </c>
      <c r="L51" s="860">
        <f t="shared" si="25"/>
        <v>0</v>
      </c>
      <c r="M51" s="860">
        <f t="shared" si="25"/>
        <v>0</v>
      </c>
      <c r="N51" s="860">
        <f t="shared" si="25"/>
        <v>0</v>
      </c>
      <c r="O51" s="860">
        <f t="shared" si="25"/>
        <v>0</v>
      </c>
      <c r="P51" s="860">
        <f t="shared" si="25"/>
        <v>0</v>
      </c>
      <c r="Q51" s="860">
        <f t="shared" si="25"/>
        <v>0</v>
      </c>
      <c r="R51" s="860">
        <f t="shared" si="25"/>
        <v>0</v>
      </c>
      <c r="S51" s="860">
        <f t="shared" si="25"/>
        <v>0</v>
      </c>
      <c r="T51" s="860">
        <f t="shared" si="25"/>
        <v>0</v>
      </c>
      <c r="U51" s="860">
        <f t="shared" si="25"/>
        <v>0</v>
      </c>
      <c r="V51" s="860">
        <f t="shared" si="25"/>
        <v>0</v>
      </c>
      <c r="W51" s="860">
        <f t="shared" si="25"/>
        <v>0</v>
      </c>
      <c r="X51" s="860">
        <f t="shared" si="25"/>
        <v>0</v>
      </c>
      <c r="Y51" s="860">
        <f t="shared" si="25"/>
        <v>0</v>
      </c>
      <c r="Z51" s="860">
        <f t="shared" si="25"/>
        <v>0</v>
      </c>
      <c r="AA51" s="860">
        <f t="shared" si="25"/>
        <v>0</v>
      </c>
      <c r="AB51" s="860">
        <f t="shared" si="25"/>
        <v>0</v>
      </c>
      <c r="AC51" s="860">
        <f t="shared" si="25"/>
        <v>0</v>
      </c>
      <c r="AD51" s="860">
        <f t="shared" si="25"/>
        <v>0</v>
      </c>
      <c r="AE51" s="860">
        <f t="shared" si="25"/>
        <v>0</v>
      </c>
      <c r="AF51" s="860">
        <f t="shared" si="25"/>
        <v>0</v>
      </c>
      <c r="AG51" s="860">
        <f t="shared" si="25"/>
        <v>0</v>
      </c>
      <c r="AH51" s="860">
        <f t="shared" si="25"/>
        <v>0</v>
      </c>
      <c r="AI51" s="860">
        <f t="shared" si="25"/>
        <v>0</v>
      </c>
      <c r="AJ51" s="860">
        <f t="shared" si="25"/>
        <v>0</v>
      </c>
      <c r="AK51" s="860">
        <f t="shared" si="25"/>
        <v>0</v>
      </c>
      <c r="AL51" s="860">
        <f t="shared" si="25"/>
        <v>0</v>
      </c>
      <c r="AM51" s="860">
        <f t="shared" si="25"/>
        <v>0</v>
      </c>
      <c r="AN51" s="860">
        <f t="shared" si="25"/>
        <v>0</v>
      </c>
      <c r="AO51" s="860">
        <f t="shared" si="25"/>
        <v>0</v>
      </c>
      <c r="AP51" s="860">
        <f t="shared" si="25"/>
        <v>0</v>
      </c>
      <c r="AT51" s="836"/>
      <c r="AX51" s="832"/>
    </row>
    <row r="52" spans="2:64" ht="24.9">
      <c r="B52" s="839" t="s">
        <v>1701</v>
      </c>
      <c r="C52" s="840">
        <v>8</v>
      </c>
      <c r="D52" s="842"/>
      <c r="E52" s="861" t="s">
        <v>1664</v>
      </c>
      <c r="F52" s="862"/>
      <c r="G52" s="843">
        <f>IF(G5&gt;=$C$52,Ana_eco!$M$13/12,0)</f>
        <v>0</v>
      </c>
      <c r="H52" s="843">
        <f>IF(H5&gt;=$C$52,Ana_eco!$M$13/12,0)</f>
        <v>0</v>
      </c>
      <c r="I52" s="843">
        <f>IF(I5&gt;=$C$52,Ana_eco!$M$13/12,0)</f>
        <v>0</v>
      </c>
      <c r="J52" s="843">
        <f>IF(J5&gt;=$C$52,Ana_eco!$M$13/12,0)</f>
        <v>0</v>
      </c>
      <c r="K52" s="843">
        <f>IF(K5&gt;=$C$52,Ana_eco!$M$13/12,0)</f>
        <v>0</v>
      </c>
      <c r="L52" s="843">
        <f>IF(L5&gt;=$C$52,Ana_eco!$M$13/12,0)</f>
        <v>0</v>
      </c>
      <c r="M52" s="843">
        <f>IF(M5&gt;=$C$52,Ana_eco!$M$13/12,0)</f>
        <v>0</v>
      </c>
      <c r="N52" s="843">
        <f>IF(N5&gt;=$C$52,Ana_eco!$M$13/12,0)</f>
        <v>0</v>
      </c>
      <c r="O52" s="843">
        <f>IF(O5&gt;=$C$52,Ana_eco!$M$13/12,0)</f>
        <v>0</v>
      </c>
      <c r="P52" s="843">
        <f>IF(P5&gt;=$C$52,Ana_eco!$M$13/12,0)</f>
        <v>0</v>
      </c>
      <c r="Q52" s="843">
        <f>IF(Q5&gt;=$C$52,Ana_eco!$M$13/12,0)</f>
        <v>0</v>
      </c>
      <c r="R52" s="843">
        <f>IF(R5&gt;=$C$52,Ana_eco!$M$13/12,0)</f>
        <v>0</v>
      </c>
      <c r="S52" s="843">
        <f>IF(S5&gt;=$C$52,Ana_eco!$M$13/12,0)</f>
        <v>0</v>
      </c>
      <c r="T52" s="843">
        <f>IF(T5&gt;=$C$52,Ana_eco!$M$13/12,0)</f>
        <v>0</v>
      </c>
      <c r="U52" s="843">
        <f>IF(U5&gt;=$C$52,Ana_eco!$M$13/12,0)</f>
        <v>0</v>
      </c>
      <c r="V52" s="843">
        <f>IF(V5&gt;=$C$52,Ana_eco!$M$13/12,0)</f>
        <v>0</v>
      </c>
      <c r="W52" s="843">
        <f>IF(W5&gt;=$C$52,Ana_eco!$M$13/12,0)</f>
        <v>0</v>
      </c>
      <c r="X52" s="843">
        <f>IF(X5&gt;=$C$52,Ana_eco!$M$13/12,0)</f>
        <v>0</v>
      </c>
      <c r="Y52" s="843">
        <f>IF(Y5&gt;=$C$52,Ana_eco!$M$13/12,0)</f>
        <v>0</v>
      </c>
      <c r="Z52" s="843">
        <f>IF(Z5&gt;=$C$52,Ana_eco!$M$13/12,0)</f>
        <v>0</v>
      </c>
      <c r="AA52" s="843">
        <f>IF(AA5&gt;=$C$52,Ana_eco!$M$13/12,0)</f>
        <v>0</v>
      </c>
      <c r="AB52" s="843">
        <f>IF(AB5&gt;=$C$52,Ana_eco!$M$13/12,0)</f>
        <v>0</v>
      </c>
      <c r="AC52" s="843">
        <f>IF(AC5&gt;=$C$52,Ana_eco!$M$13/12,0)</f>
        <v>0</v>
      </c>
      <c r="AD52" s="843">
        <f>IF(AD5&gt;=$C$52,Ana_eco!$M$13/12,0)</f>
        <v>0</v>
      </c>
      <c r="AE52" s="843">
        <f>IF(AE5&gt;=$C$52,Ana_eco!$M$13/12,0)</f>
        <v>0</v>
      </c>
      <c r="AF52" s="843">
        <f>IF(AF5&gt;=$C$52,Ana_eco!$M$13/12,0)</f>
        <v>0</v>
      </c>
      <c r="AG52" s="843">
        <f>IF(AG5&gt;=$C$52,Ana_eco!$M$13/12,0)</f>
        <v>0</v>
      </c>
      <c r="AH52" s="843">
        <f>IF(AH5&gt;=$C$52,Ana_eco!$M$13/12,0)</f>
        <v>0</v>
      </c>
      <c r="AI52" s="843">
        <f>IF(AI5&gt;=$C$52,Ana_eco!$M$13/12,0)</f>
        <v>0</v>
      </c>
      <c r="AJ52" s="843">
        <f>IF(AJ5&gt;=$C$52,Ana_eco!$M$13/12,0)</f>
        <v>0</v>
      </c>
      <c r="AK52" s="843">
        <f>IF(AK5&gt;=$C$52,Ana_eco!$M$13/12,0)</f>
        <v>0</v>
      </c>
      <c r="AL52" s="843">
        <f>IF(AL5&gt;=$C$52,Ana_eco!$M$13/12,0)</f>
        <v>0</v>
      </c>
      <c r="AM52" s="843">
        <f>IF(AM5&gt;=$C$52,Ana_eco!$M$13/12,0)</f>
        <v>0</v>
      </c>
      <c r="AN52" s="843">
        <f>IF(AN5&gt;=$C$52,Ana_eco!$M$13/12,0)</f>
        <v>0</v>
      </c>
      <c r="AO52" s="843">
        <f>IF(AO5&gt;=$C$52,Ana_eco!$M$13/12,0)</f>
        <v>0</v>
      </c>
      <c r="AP52" s="843">
        <f>IF(AP5&gt;=$C$52,Ana_eco!$M$13/12,0)</f>
        <v>0</v>
      </c>
      <c r="AR52" s="843">
        <f>SUM(R52:AD52)</f>
        <v>0</v>
      </c>
      <c r="AS52" s="826">
        <f>Ana_eco!M13*(1+taux_tva)</f>
        <v>0</v>
      </c>
      <c r="AT52" s="845" t="str">
        <f t="shared" si="20"/>
        <v>OK</v>
      </c>
      <c r="AX52" s="832"/>
      <c r="BD52" s="828"/>
    </row>
    <row r="53" spans="2:64">
      <c r="B53" s="863" t="s">
        <v>1702</v>
      </c>
      <c r="C53" s="864"/>
      <c r="D53" s="864"/>
      <c r="E53" s="864"/>
      <c r="F53" s="865"/>
      <c r="G53" s="860">
        <f t="shared" ref="G53:AP53" si="26">SUM(G54:G58)</f>
        <v>0</v>
      </c>
      <c r="H53" s="860">
        <f t="shared" si="26"/>
        <v>0</v>
      </c>
      <c r="I53" s="860">
        <f t="shared" si="26"/>
        <v>0</v>
      </c>
      <c r="J53" s="860">
        <f t="shared" si="26"/>
        <v>0</v>
      </c>
      <c r="K53" s="860">
        <f t="shared" si="26"/>
        <v>0</v>
      </c>
      <c r="L53" s="860">
        <f t="shared" si="26"/>
        <v>0</v>
      </c>
      <c r="M53" s="860">
        <f t="shared" si="26"/>
        <v>0</v>
      </c>
      <c r="N53" s="860">
        <f t="shared" si="26"/>
        <v>0</v>
      </c>
      <c r="O53" s="860">
        <f t="shared" si="26"/>
        <v>0</v>
      </c>
      <c r="P53" s="860">
        <f t="shared" si="26"/>
        <v>0</v>
      </c>
      <c r="Q53" s="860">
        <f t="shared" si="26"/>
        <v>0</v>
      </c>
      <c r="R53" s="860">
        <f t="shared" si="26"/>
        <v>0</v>
      </c>
      <c r="S53" s="860">
        <f t="shared" si="26"/>
        <v>0</v>
      </c>
      <c r="T53" s="860">
        <f t="shared" si="26"/>
        <v>0</v>
      </c>
      <c r="U53" s="860">
        <f t="shared" si="26"/>
        <v>0</v>
      </c>
      <c r="V53" s="860">
        <f t="shared" si="26"/>
        <v>0</v>
      </c>
      <c r="W53" s="860">
        <f t="shared" si="26"/>
        <v>0</v>
      </c>
      <c r="X53" s="860">
        <f t="shared" si="26"/>
        <v>0</v>
      </c>
      <c r="Y53" s="860">
        <f t="shared" si="26"/>
        <v>0</v>
      </c>
      <c r="Z53" s="860">
        <f t="shared" si="26"/>
        <v>0</v>
      </c>
      <c r="AA53" s="866">
        <f t="shared" si="26"/>
        <v>0</v>
      </c>
      <c r="AB53" s="866">
        <f t="shared" si="26"/>
        <v>0</v>
      </c>
      <c r="AC53" s="866">
        <f t="shared" si="26"/>
        <v>0</v>
      </c>
      <c r="AD53" s="866">
        <f t="shared" si="26"/>
        <v>0</v>
      </c>
      <c r="AE53" s="866">
        <f t="shared" si="26"/>
        <v>0</v>
      </c>
      <c r="AF53" s="866">
        <f t="shared" si="26"/>
        <v>0</v>
      </c>
      <c r="AG53" s="866">
        <f t="shared" si="26"/>
        <v>0</v>
      </c>
      <c r="AH53" s="866">
        <f t="shared" si="26"/>
        <v>0</v>
      </c>
      <c r="AI53" s="866">
        <f t="shared" si="26"/>
        <v>0</v>
      </c>
      <c r="AJ53" s="866">
        <f t="shared" si="26"/>
        <v>0</v>
      </c>
      <c r="AK53" s="866">
        <f t="shared" si="26"/>
        <v>0</v>
      </c>
      <c r="AL53" s="866">
        <f t="shared" si="26"/>
        <v>0</v>
      </c>
      <c r="AM53" s="866">
        <f t="shared" si="26"/>
        <v>0</v>
      </c>
      <c r="AN53" s="866">
        <f t="shared" si="26"/>
        <v>0</v>
      </c>
      <c r="AO53" s="866">
        <f t="shared" si="26"/>
        <v>0</v>
      </c>
      <c r="AP53" s="867">
        <f t="shared" si="26"/>
        <v>0</v>
      </c>
      <c r="AT53" s="836"/>
      <c r="AX53" s="832"/>
    </row>
    <row r="54" spans="2:64" ht="24.9">
      <c r="B54" s="868" t="s">
        <v>1703</v>
      </c>
      <c r="C54" s="840">
        <v>18</v>
      </c>
      <c r="D54" s="869"/>
      <c r="E54" s="870" t="s">
        <v>1675</v>
      </c>
      <c r="F54" s="869"/>
      <c r="G54" s="843">
        <f t="shared" ref="G54:W54" si="27">IF($C$54&gt;G5,0,IF(MOD(G5-$C$54,12)=0,-PMT(tx_emprunt1,durée_emprunt1,emprunt1)-IF(emprunt2=0,0,PMT(tx_emprunt2,durée_emprunt2,emprunt2)),0))</f>
        <v>0</v>
      </c>
      <c r="H54" s="843">
        <f t="shared" si="27"/>
        <v>0</v>
      </c>
      <c r="I54" s="843">
        <f t="shared" si="27"/>
        <v>0</v>
      </c>
      <c r="J54" s="843">
        <f t="shared" si="27"/>
        <v>0</v>
      </c>
      <c r="K54" s="843">
        <f t="shared" si="27"/>
        <v>0</v>
      </c>
      <c r="L54" s="843">
        <f t="shared" si="27"/>
        <v>0</v>
      </c>
      <c r="M54" s="843">
        <f t="shared" si="27"/>
        <v>0</v>
      </c>
      <c r="N54" s="843">
        <f t="shared" si="27"/>
        <v>0</v>
      </c>
      <c r="O54" s="843">
        <f t="shared" si="27"/>
        <v>0</v>
      </c>
      <c r="P54" s="843">
        <f t="shared" si="27"/>
        <v>0</v>
      </c>
      <c r="Q54" s="843">
        <f t="shared" si="27"/>
        <v>0</v>
      </c>
      <c r="R54" s="843">
        <f t="shared" si="27"/>
        <v>0</v>
      </c>
      <c r="S54" s="843">
        <f t="shared" si="27"/>
        <v>0</v>
      </c>
      <c r="T54" s="843">
        <f t="shared" si="27"/>
        <v>0</v>
      </c>
      <c r="U54" s="843">
        <f t="shared" si="27"/>
        <v>0</v>
      </c>
      <c r="V54" s="843">
        <f t="shared" si="27"/>
        <v>0</v>
      </c>
      <c r="W54" s="843">
        <f t="shared" si="27"/>
        <v>0</v>
      </c>
      <c r="X54" s="843">
        <v>0</v>
      </c>
      <c r="Y54" s="843">
        <f t="shared" ref="Y54:AI54" si="28">IF($C$54&gt;Y5,0,IF(MOD(Y5-$C$54,12)=0,-PMT(tx_emprunt1,durée_emprunt1,emprunt1)-IF(emprunt2=0,0,PMT(tx_emprunt2,durée_emprunt2,emprunt2)),0))</f>
        <v>0</v>
      </c>
      <c r="Z54" s="843">
        <f t="shared" si="28"/>
        <v>0</v>
      </c>
      <c r="AA54" s="871">
        <f t="shared" si="28"/>
        <v>0</v>
      </c>
      <c r="AB54" s="872">
        <f t="shared" si="28"/>
        <v>0</v>
      </c>
      <c r="AC54" s="872">
        <f t="shared" si="28"/>
        <v>0</v>
      </c>
      <c r="AD54" s="872">
        <f t="shared" si="28"/>
        <v>0</v>
      </c>
      <c r="AE54" s="872">
        <f t="shared" si="28"/>
        <v>0</v>
      </c>
      <c r="AF54" s="872">
        <f t="shared" si="28"/>
        <v>0</v>
      </c>
      <c r="AG54" s="872">
        <f t="shared" si="28"/>
        <v>0</v>
      </c>
      <c r="AH54" s="872">
        <f t="shared" si="28"/>
        <v>0</v>
      </c>
      <c r="AI54" s="872">
        <f t="shared" si="28"/>
        <v>0</v>
      </c>
      <c r="AJ54" s="872">
        <v>0</v>
      </c>
      <c r="AK54" s="872">
        <f t="shared" ref="AK54:AP54" si="29">IF($C$54&gt;AK5,0,IF(MOD(AK5-$C$54,12)=0,-PMT(tx_emprunt1,durée_emprunt1,emprunt1)-IF(emprunt2=0,0,PMT(tx_emprunt2,durée_emprunt2,emprunt2)),0))</f>
        <v>0</v>
      </c>
      <c r="AL54" s="872">
        <f t="shared" si="29"/>
        <v>0</v>
      </c>
      <c r="AM54" s="872">
        <f t="shared" si="29"/>
        <v>0</v>
      </c>
      <c r="AN54" s="872">
        <f t="shared" si="29"/>
        <v>0</v>
      </c>
      <c r="AO54" s="872">
        <f t="shared" si="29"/>
        <v>0</v>
      </c>
      <c r="AP54" s="872">
        <f t="shared" si="29"/>
        <v>0</v>
      </c>
      <c r="BD54" s="828"/>
    </row>
    <row r="55" spans="2:64" ht="24.9">
      <c r="B55" s="868" t="s">
        <v>1704</v>
      </c>
      <c r="C55" s="840">
        <v>8</v>
      </c>
      <c r="D55" s="869"/>
      <c r="E55" s="873" t="s">
        <v>1664</v>
      </c>
      <c r="F55" s="869"/>
      <c r="G55" s="872">
        <f>IF(Ana_eco!$K$42="Non",0,IF(G5&gt;=$C$55+Ana_eco!$L$45,0,IF(G5&lt;$C$55,0,-PMT(Ana_eco!$L$44/12,Ana_eco!$L$45,pret_relais_TVA))))</f>
        <v>0</v>
      </c>
      <c r="H55" s="872">
        <f>IF(Ana_eco!$K$42="Non",0,IF(H5&gt;=$C$55+Ana_eco!$L$45,0,IF(H5&lt;$C$55,0,-PMT(Ana_eco!$L$44/12,Ana_eco!$L$45,pret_relais_TVA))))</f>
        <v>0</v>
      </c>
      <c r="I55" s="872">
        <f>IF(Ana_eco!$K$42="Non",0,IF(I5&gt;=$C$55+Ana_eco!$L$45,0,IF(I5&lt;$C$55,0,-PMT(Ana_eco!$L$44/12,Ana_eco!$L$45,pret_relais_TVA))))</f>
        <v>0</v>
      </c>
      <c r="J55" s="872">
        <f>IF(Ana_eco!$K$42="Non",0,IF(J5&gt;=$C$55+Ana_eco!$L$45,0,IF(J5&lt;$C$55,0,-PMT(Ana_eco!$L$44/12,Ana_eco!$L$45,pret_relais_TVA))))</f>
        <v>0</v>
      </c>
      <c r="K55" s="872">
        <f>IF(Ana_eco!$K$42="Non",0,IF(K5&gt;=$C$55+Ana_eco!$L$45,0,IF(K5&lt;$C$55,0,-PMT(Ana_eco!$L$44/12,Ana_eco!$L$45,pret_relais_TVA))))</f>
        <v>0</v>
      </c>
      <c r="L55" s="872">
        <f>IF(Ana_eco!$K$42="Non",0,IF(L5&gt;=$C$55+Ana_eco!$L$45,0,IF(L5&lt;$C$55,0,-PMT(Ana_eco!$L$44/12,Ana_eco!$L$45,pret_relais_TVA))))</f>
        <v>0</v>
      </c>
      <c r="M55" s="872">
        <f>IF(Ana_eco!$K$42="Non",0,IF(M5&gt;=$C$55+Ana_eco!$L$45,0,IF(M5&lt;$C$55,0,-PMT(Ana_eco!$L$44/12,Ana_eco!$L$45,pret_relais_TVA))))</f>
        <v>0</v>
      </c>
      <c r="N55" s="872">
        <f>IF(Ana_eco!$K$42="Non",0,IF(N5&gt;=$C$55+Ana_eco!$L$45,0,IF(N5&lt;$C$55,0,-PMT(Ana_eco!$L$44/12,Ana_eco!$L$45,pret_relais_TVA))))</f>
        <v>0</v>
      </c>
      <c r="O55" s="872">
        <f>IF(Ana_eco!$K$42="Non",0,IF(O5&gt;=$C$55+Ana_eco!$L$45,0,IF(O5&lt;$C$55,0,-PMT(Ana_eco!$L$44/12,Ana_eco!$L$45,pret_relais_TVA))))</f>
        <v>0</v>
      </c>
      <c r="P55" s="872">
        <f>IF(Ana_eco!$K$42="Non",0,IF(P5&gt;=$C$55+Ana_eco!$L$45,0,IF(P5&lt;$C$55,0,-PMT(Ana_eco!$L$44/12,Ana_eco!$L$45,pret_relais_TVA))))</f>
        <v>0</v>
      </c>
      <c r="Q55" s="872">
        <f>IF(Ana_eco!$K$42="Non",0,IF(Q5&gt;=$C$55+Ana_eco!$L$45,0,IF(Q5&lt;$C$55,0,-PMT(Ana_eco!$L$44/12,Ana_eco!$L$45,pret_relais_TVA))))</f>
        <v>0</v>
      </c>
      <c r="R55" s="872">
        <f>IF(Ana_eco!$K$42="Non",0,IF(R5&gt;=$C$55+Ana_eco!$L$45,0,IF(R5&lt;$C$55,0,-PMT(Ana_eco!$L$44/12,Ana_eco!$L$45,pret_relais_TVA))))</f>
        <v>0</v>
      </c>
      <c r="S55" s="872">
        <f>IF(Ana_eco!$K$42="Non",0,IF(S5&gt;=$C$55+Ana_eco!$L$45,0,IF(S5&lt;$C$55,0,-PMT(Ana_eco!$L$44/12,Ana_eco!$L$45,pret_relais_TVA))))</f>
        <v>0</v>
      </c>
      <c r="T55" s="872">
        <f>IF(Ana_eco!$K$42="Non",0,IF(T5&gt;=$C$55+Ana_eco!$L$45,0,IF(T5&lt;$C$55,0,-PMT(Ana_eco!$L$44/12,Ana_eco!$L$45,pret_relais_TVA))))</f>
        <v>0</v>
      </c>
      <c r="U55" s="872">
        <f>IF(Ana_eco!$K$42="Non",0,IF(U5&gt;=$C$55+Ana_eco!$L$45,0,IF(U5&lt;$C$55,0,-PMT(Ana_eco!$L$44/12,Ana_eco!$L$45,pret_relais_TVA))))</f>
        <v>0</v>
      </c>
      <c r="V55" s="872">
        <f>IF(Ana_eco!$K$42="Non",0,IF(V5&gt;=$C$55+Ana_eco!$L$45,0,IF(V5&lt;$C$55,0,-PMT(Ana_eco!$L$44/12,Ana_eco!$L$45,pret_relais_TVA))))</f>
        <v>0</v>
      </c>
      <c r="W55" s="872">
        <f>IF(Ana_eco!$K$42="Non",0,IF(W5&gt;=$C$55+Ana_eco!$L$45,0,IF(W5&lt;$C$55,0,-PMT(Ana_eco!$L$44/12,Ana_eco!$L$45,pret_relais_TVA))))</f>
        <v>0</v>
      </c>
      <c r="X55" s="872">
        <f>IF(Ana_eco!$K$42="Non",0,IF(X5&gt;=$C$55+Ana_eco!$L$45,0,IF(X5&lt;$C$55,0,-PMT(Ana_eco!$L$44/12,Ana_eco!$L$45,pret_relais_TVA))))</f>
        <v>0</v>
      </c>
      <c r="Y55" s="872">
        <f>IF(Ana_eco!$K$42="Non",0,IF(Y5&gt;=$C$55+Ana_eco!$L$45,0,IF(Y5&lt;$C$55,0,-PMT(Ana_eco!$L$44/12,Ana_eco!$L$45,pret_relais_TVA))))</f>
        <v>0</v>
      </c>
      <c r="Z55" s="872">
        <f>IF(Ana_eco!$K$42="Non",0,IF(Z5&gt;=$C$55+Ana_eco!$L$45,0,IF(Z5&lt;$C$55,0,-PMT(Ana_eco!$L$44/12,Ana_eco!$L$45,pret_relais_TVA))))</f>
        <v>0</v>
      </c>
      <c r="AA55" s="872">
        <f>IF(Ana_eco!$K$42="Non",0,IF(AA5&gt;=$C$55+Ana_eco!$L$45,0,IF(AA5&lt;$C$55,0,-PMT(Ana_eco!$L$44/12,Ana_eco!$L$45,pret_relais_TVA))))</f>
        <v>0</v>
      </c>
      <c r="AB55" s="872">
        <f>IF(Ana_eco!$K$42="Non",0,IF(AB5&gt;=$C$55+Ana_eco!$L$45,0,IF(AB5&lt;$C$55,0,-PMT(Ana_eco!$L$44/12,Ana_eco!$L$45,pret_relais_TVA))))</f>
        <v>0</v>
      </c>
      <c r="AC55" s="872">
        <f>IF(Ana_eco!$K$42="Non",0,IF(AC5&gt;=$C$55+Ana_eco!$L$45,0,IF(AC5&lt;$C$55,0,-PMT(Ana_eco!$L$44/12,Ana_eco!$L$45,pret_relais_TVA))))</f>
        <v>0</v>
      </c>
      <c r="AD55" s="872">
        <f>IF(Ana_eco!$K$42="Non",0,IF(AD5&gt;=$C$55+Ana_eco!$L$45,0,IF(AD5&lt;$C$55,0,-PMT(Ana_eco!$L$44/12,Ana_eco!$L$45,pret_relais_TVA))))</f>
        <v>0</v>
      </c>
      <c r="AE55" s="872">
        <f>IF(Ana_eco!$K$42="Non",0,IF(AE5&gt;=$C$55+Ana_eco!$L$45,0,IF(AE5&lt;$C$55,0,-PMT(Ana_eco!$L$44/12,Ana_eco!$L$45,pret_relais_TVA))))</f>
        <v>0</v>
      </c>
      <c r="AF55" s="872">
        <f>IF(Ana_eco!$K$42="Non",0,IF(AF5&gt;=$C$55+Ana_eco!$L$45,0,IF(AF5&lt;$C$55,0,-PMT(Ana_eco!$L$44/12,Ana_eco!$L$45,pret_relais_TVA))))</f>
        <v>0</v>
      </c>
      <c r="AG55" s="872">
        <f>IF(Ana_eco!$K$42="Non",0,IF(AG5&gt;=$C$55+Ana_eco!$L$45,0,IF(AG5&lt;$C$55,0,-PMT(Ana_eco!$L$44/12,Ana_eco!$L$45,pret_relais_TVA))))</f>
        <v>0</v>
      </c>
      <c r="AH55" s="872">
        <f>IF(Ana_eco!$K$42="Non",0,IF(AH5&gt;=$C$55+Ana_eco!$L$45,0,IF(AH5&lt;$C$55,0,-PMT(Ana_eco!$L$44/12,Ana_eco!$L$45,pret_relais_TVA))))</f>
        <v>0</v>
      </c>
      <c r="AI55" s="872">
        <f>IF(Ana_eco!$K$42="Non",0,IF(AI5&gt;=$C$55+Ana_eco!$L$45,0,IF(AI5&lt;$C$55,0,-PMT(Ana_eco!$L$44/12,Ana_eco!$L$45,pret_relais_TVA))))</f>
        <v>0</v>
      </c>
      <c r="AJ55" s="872">
        <f>IF(Ana_eco!$K$42="Non",0,IF(AJ5&gt;=$C$55+Ana_eco!$L$45,0,IF(AJ5&lt;$C$55,0,-PMT(Ana_eco!$L$44/12,Ana_eco!$L$45,pret_relais_TVA))))</f>
        <v>0</v>
      </c>
      <c r="AK55" s="872">
        <f>IF(Ana_eco!$K$42="Non",0,IF(AK5&gt;=$C$55+Ana_eco!$L$45,0,IF(AK5&lt;$C$55,0,-PMT(Ana_eco!$L$44/12,Ana_eco!$L$45,pret_relais_TVA))))</f>
        <v>0</v>
      </c>
      <c r="AL55" s="872">
        <f>IF(Ana_eco!$K$42="Non",0,IF(AL5&gt;=$C$55+Ana_eco!$L$45,0,IF(AL5&lt;$C$55,0,-PMT(Ana_eco!$L$44/12,Ana_eco!$L$45,pret_relais_TVA))))</f>
        <v>0</v>
      </c>
      <c r="AM55" s="872">
        <f>IF(Ana_eco!$K$42="Non",0,IF(AM5&gt;=$C$55+Ana_eco!$L$45,0,IF(AM5&lt;$C$55,0,-PMT(Ana_eco!$L$44/12,Ana_eco!$L$45,pret_relais_TVA))))</f>
        <v>0</v>
      </c>
      <c r="AN55" s="872">
        <f>IF(Ana_eco!$K$42="Non",0,IF(AN5&gt;=$C$55+Ana_eco!$L$45,0,IF(AN5&lt;$C$55,0,-PMT(Ana_eco!$L$44/12,Ana_eco!$L$45,pret_relais_TVA))))</f>
        <v>0</v>
      </c>
      <c r="AO55" s="872">
        <f>IF(Ana_eco!$K$42="Non",0,IF(AO5&gt;=$C$55+Ana_eco!$L$45,0,IF(AO5&lt;$C$55,0,-PMT(Ana_eco!$L$44/12,Ana_eco!$L$45,pret_relais_TVA))))</f>
        <v>0</v>
      </c>
      <c r="AP55" s="872">
        <f>IF(Ana_eco!$K$42="Non",0,IF(AP5&gt;=$C$55+Ana_eco!$L$45,0,IF(AP5&lt;$C$55,0,-PMT(Ana_eco!$L$44/12,Ana_eco!$L$45,pret_relais_TVA))))</f>
        <v>0</v>
      </c>
    </row>
    <row r="56" spans="2:64" ht="24.9">
      <c r="B56" s="868" t="s">
        <v>1705</v>
      </c>
      <c r="C56" s="874">
        <f>12*differe_AR1</f>
        <v>0</v>
      </c>
      <c r="D56" s="840">
        <f>12*differe_AR2</f>
        <v>0</v>
      </c>
      <c r="E56" s="861" t="s">
        <v>1675</v>
      </c>
      <c r="F56" s="869"/>
      <c r="G56" s="872">
        <f t="shared" ref="G56:AP56" si="30">IF($C$56&gt;G5,0,IF(MOD(G5-$C$56,12)=0,IF(avance_remb_1=0,0,-PMT(tx_AR1,durée_AR1,avance_remb_1)),0))+IF($D$56&gt;G5,0,IF(MOD(G5-$D$56,12)=0,IF(avance_remb_2=0,0,-PMT(tx_AR2,durée_AR2,avance_remb_2)),0))</f>
        <v>0</v>
      </c>
      <c r="H56" s="872">
        <f t="shared" si="30"/>
        <v>0</v>
      </c>
      <c r="I56" s="872">
        <f t="shared" si="30"/>
        <v>0</v>
      </c>
      <c r="J56" s="872">
        <f t="shared" si="30"/>
        <v>0</v>
      </c>
      <c r="K56" s="872">
        <f t="shared" si="30"/>
        <v>0</v>
      </c>
      <c r="L56" s="872">
        <f t="shared" si="30"/>
        <v>0</v>
      </c>
      <c r="M56" s="872">
        <f t="shared" si="30"/>
        <v>0</v>
      </c>
      <c r="N56" s="872">
        <f t="shared" si="30"/>
        <v>0</v>
      </c>
      <c r="O56" s="872">
        <f t="shared" si="30"/>
        <v>0</v>
      </c>
      <c r="P56" s="872">
        <f t="shared" si="30"/>
        <v>0</v>
      </c>
      <c r="Q56" s="872">
        <f t="shared" si="30"/>
        <v>0</v>
      </c>
      <c r="R56" s="872">
        <f t="shared" si="30"/>
        <v>0</v>
      </c>
      <c r="S56" s="872">
        <f t="shared" si="30"/>
        <v>0</v>
      </c>
      <c r="T56" s="872">
        <f t="shared" si="30"/>
        <v>0</v>
      </c>
      <c r="U56" s="872">
        <f t="shared" si="30"/>
        <v>0</v>
      </c>
      <c r="V56" s="872">
        <f t="shared" si="30"/>
        <v>0</v>
      </c>
      <c r="W56" s="872">
        <f t="shared" si="30"/>
        <v>0</v>
      </c>
      <c r="X56" s="872">
        <f t="shared" si="30"/>
        <v>0</v>
      </c>
      <c r="Y56" s="872">
        <f t="shared" si="30"/>
        <v>0</v>
      </c>
      <c r="Z56" s="872">
        <f t="shared" si="30"/>
        <v>0</v>
      </c>
      <c r="AA56" s="872">
        <f t="shared" si="30"/>
        <v>0</v>
      </c>
      <c r="AB56" s="872">
        <f t="shared" si="30"/>
        <v>0</v>
      </c>
      <c r="AC56" s="872">
        <f t="shared" si="30"/>
        <v>0</v>
      </c>
      <c r="AD56" s="872">
        <f t="shared" si="30"/>
        <v>0</v>
      </c>
      <c r="AE56" s="872">
        <f t="shared" si="30"/>
        <v>0</v>
      </c>
      <c r="AF56" s="872">
        <f t="shared" si="30"/>
        <v>0</v>
      </c>
      <c r="AG56" s="872">
        <f t="shared" si="30"/>
        <v>0</v>
      </c>
      <c r="AH56" s="872">
        <f t="shared" si="30"/>
        <v>0</v>
      </c>
      <c r="AI56" s="872">
        <f t="shared" si="30"/>
        <v>0</v>
      </c>
      <c r="AJ56" s="872">
        <f t="shared" si="30"/>
        <v>0</v>
      </c>
      <c r="AK56" s="872">
        <f t="shared" si="30"/>
        <v>0</v>
      </c>
      <c r="AL56" s="872">
        <f t="shared" si="30"/>
        <v>0</v>
      </c>
      <c r="AM56" s="872">
        <f t="shared" si="30"/>
        <v>0</v>
      </c>
      <c r="AN56" s="872">
        <f t="shared" si="30"/>
        <v>0</v>
      </c>
      <c r="AO56" s="872">
        <f t="shared" si="30"/>
        <v>0</v>
      </c>
      <c r="AP56" s="872">
        <f t="shared" si="30"/>
        <v>0</v>
      </c>
    </row>
    <row r="57" spans="2:64">
      <c r="B57" s="868" t="s">
        <v>1706</v>
      </c>
      <c r="C57" s="875">
        <f>Ana_eco!H42</f>
        <v>0</v>
      </c>
      <c r="D57" s="850">
        <f>Ana_eco!H43</f>
        <v>0</v>
      </c>
      <c r="E57" s="876"/>
      <c r="F57" s="869"/>
      <c r="G57" s="872">
        <f>IF(G5=$C$57,Ana_eco!$I$42,0)+IF(G5=$D$57,Ana_eco!$I$43,0)</f>
        <v>0</v>
      </c>
      <c r="H57" s="872">
        <f>IF(H5=$C$57,Ana_eco!$I$42,0)+IF(H5=$D$57,Ana_eco!$I$43,0)</f>
        <v>0</v>
      </c>
      <c r="I57" s="872">
        <f>IF(I5=$C$57,Ana_eco!$I$42,0)+IF(I5=$D$57,Ana_eco!$I$43,0)</f>
        <v>0</v>
      </c>
      <c r="J57" s="872">
        <f>IF(J5=$C$57,Ana_eco!$I$42,0)+IF(J5=$D$57,Ana_eco!$I$43,0)</f>
        <v>0</v>
      </c>
      <c r="K57" s="872">
        <f>IF(K5=$C$57,Ana_eco!$I$42,0)+IF(K5=$D$57,Ana_eco!$I$43,0)</f>
        <v>0</v>
      </c>
      <c r="L57" s="872">
        <f>IF(L5=$C$57,Ana_eco!$I$42,0)+IF(L5=$D$57,Ana_eco!$I$43,0)</f>
        <v>0</v>
      </c>
      <c r="M57" s="872">
        <f>IF(M5=$C$57,Ana_eco!$I$42,0)+IF(M5=$D$57,Ana_eco!$I$43,0)</f>
        <v>0</v>
      </c>
      <c r="N57" s="872">
        <f>IF(N5=$C$57,Ana_eco!$I$42,0)+IF(N5=$D$57,Ana_eco!$I$43,0)</f>
        <v>0</v>
      </c>
      <c r="O57" s="872">
        <f>IF(O5=$C$57,Ana_eco!$I$42,0)+IF(O5=$D$57,Ana_eco!$I$43,0)</f>
        <v>0</v>
      </c>
      <c r="P57" s="872">
        <f>IF(P5=$C$57,Ana_eco!$I$42,0)+IF(P5=$D$57,Ana_eco!$I$43,0)</f>
        <v>0</v>
      </c>
      <c r="Q57" s="872">
        <f>IF(Q5=$C$57,Ana_eco!$I$42,0)+IF(Q5=$D$57,Ana_eco!$I$43,0)</f>
        <v>0</v>
      </c>
      <c r="R57" s="872">
        <f>IF(R5=$C$57,Ana_eco!$I$42,0)+IF(R5=$D$57,Ana_eco!$I$43,0)</f>
        <v>0</v>
      </c>
      <c r="S57" s="872">
        <f>IF(S5=$C$57,Ana_eco!$I$42,0)+IF(S5=$D$57,Ana_eco!$I$43,0)</f>
        <v>0</v>
      </c>
      <c r="T57" s="872">
        <f>IF(T5=$C$57,Ana_eco!$I$42,0)+IF(T5=$D$57,Ana_eco!$I$43,0)</f>
        <v>0</v>
      </c>
      <c r="U57" s="872">
        <f>IF(U5=$C$57,Ana_eco!$I$42,0)+IF(U5=$D$57,Ana_eco!$I$43,0)</f>
        <v>0</v>
      </c>
      <c r="V57" s="872">
        <f>IF(V5=$C$57,Ana_eco!$I$42,0)+IF(V5=$D$57,Ana_eco!$I$43,0)</f>
        <v>0</v>
      </c>
      <c r="W57" s="872">
        <f>IF(W5=$C$57,Ana_eco!$I$42,0)+IF(W5=$D$57,Ana_eco!$I$43,0)</f>
        <v>0</v>
      </c>
      <c r="X57" s="872">
        <f>IF(X5=$C$57,Ana_eco!$I$42,0)+IF(X5=$D$57,Ana_eco!$I$43,0)</f>
        <v>0</v>
      </c>
      <c r="Y57" s="872">
        <f>IF(Y5=$C$57,Ana_eco!$I$42,0)+IF(Y5=$D$57,Ana_eco!$I$43,0)</f>
        <v>0</v>
      </c>
      <c r="Z57" s="872">
        <f>IF(Z5=$C$57,Ana_eco!$I$42,0)+IF(Z5=$D$57,Ana_eco!$I$43,0)</f>
        <v>0</v>
      </c>
      <c r="AA57" s="872">
        <f>IF(AA5=$C$57,Ana_eco!$I$42,0)+IF(AA5=$D$57,Ana_eco!$I$43,0)</f>
        <v>0</v>
      </c>
      <c r="AB57" s="872">
        <f>IF(AB5=$C$57,Ana_eco!$I$42,0)+IF(AB5=$D$57,Ana_eco!$I$43,0)</f>
        <v>0</v>
      </c>
      <c r="AC57" s="872">
        <f>IF(AC5=$C$57,Ana_eco!$I$42,0)+IF(AC5=$D$57,Ana_eco!$I$43,0)</f>
        <v>0</v>
      </c>
      <c r="AD57" s="872">
        <f>IF(AD5=$C$57,Ana_eco!$I$42,0)+IF(AD5=$D$57,Ana_eco!$I$43,0)</f>
        <v>0</v>
      </c>
      <c r="AE57" s="872">
        <f>IF(AE5=$C$57,Ana_eco!$I$42,0)+IF(AE5=$D$57,Ana_eco!$I$43,0)</f>
        <v>0</v>
      </c>
      <c r="AF57" s="872">
        <f>IF(AF5=$C$57,Ana_eco!$I$42,0)+IF(AF5=$D$57,Ana_eco!$I$43,0)</f>
        <v>0</v>
      </c>
      <c r="AG57" s="872">
        <f>IF(AG5=$C$57,Ana_eco!$I$42,0)+IF(AG5=$D$57,Ana_eco!$I$43,0)</f>
        <v>0</v>
      </c>
      <c r="AH57" s="872">
        <f>IF(AH5=$C$57,Ana_eco!$I$42,0)+IF(AH5=$D$57,Ana_eco!$I$43,0)</f>
        <v>0</v>
      </c>
      <c r="AI57" s="872">
        <f>IF(AI5=$C$57,Ana_eco!$I$42,0)+IF(AI5=$D$57,Ana_eco!$I$43,0)</f>
        <v>0</v>
      </c>
      <c r="AJ57" s="872">
        <f>IF(AJ5=$C$57,Ana_eco!$I$42,0)+IF(AJ5=$D$57,Ana_eco!$I$43,0)</f>
        <v>0</v>
      </c>
      <c r="AK57" s="872">
        <f>IF(AK5=$C$57,Ana_eco!$I$42,0)+IF(AK5=$D$57,Ana_eco!$I$43,0)</f>
        <v>0</v>
      </c>
      <c r="AL57" s="872">
        <f>IF(AL5=$C$57,Ana_eco!$I$42,0)+IF(AL5=$D$57,Ana_eco!$I$43,0)</f>
        <v>0</v>
      </c>
      <c r="AM57" s="872">
        <f>IF(AM5=$C$57,Ana_eco!$I$42,0)+IF(AM5=$D$57,Ana_eco!$I$43,0)</f>
        <v>0</v>
      </c>
      <c r="AN57" s="872">
        <f>IF(AN5=$C$57,Ana_eco!$I$42,0)+IF(AN5=$D$57,Ana_eco!$I$43,0)</f>
        <v>0</v>
      </c>
      <c r="AO57" s="872">
        <f>IF(AO5=$C$57,Ana_eco!$I$42,0)+IF(AO5=$D$57,Ana_eco!$I$43,0)</f>
        <v>0</v>
      </c>
      <c r="AP57" s="872">
        <f>IF(AP5=$C$57,Ana_eco!$I$42,0)+IF(AP5=$D$57,Ana_eco!$I$43,0)</f>
        <v>0</v>
      </c>
    </row>
    <row r="58" spans="2:64">
      <c r="B58" s="839" t="s">
        <v>1707</v>
      </c>
      <c r="C58" s="840">
        <v>13</v>
      </c>
      <c r="D58" s="869"/>
      <c r="E58" s="826" t="s">
        <v>1675</v>
      </c>
      <c r="G58" s="843">
        <f t="shared" ref="G58:AP58" si="31">IF(AND(G5&gt;=$C$58,MOD(G5-$C$58,12)=0),tx_CCA*CCA_1,0)</f>
        <v>0</v>
      </c>
      <c r="H58" s="843">
        <f t="shared" si="31"/>
        <v>0</v>
      </c>
      <c r="I58" s="843">
        <f t="shared" si="31"/>
        <v>0</v>
      </c>
      <c r="J58" s="843">
        <f t="shared" si="31"/>
        <v>0</v>
      </c>
      <c r="K58" s="843">
        <f t="shared" si="31"/>
        <v>0</v>
      </c>
      <c r="L58" s="843">
        <f t="shared" si="31"/>
        <v>0</v>
      </c>
      <c r="M58" s="843">
        <f t="shared" si="31"/>
        <v>0</v>
      </c>
      <c r="N58" s="843">
        <f t="shared" si="31"/>
        <v>0</v>
      </c>
      <c r="O58" s="843">
        <f t="shared" si="31"/>
        <v>0</v>
      </c>
      <c r="P58" s="843">
        <f t="shared" si="31"/>
        <v>0</v>
      </c>
      <c r="Q58" s="843">
        <f t="shared" si="31"/>
        <v>0</v>
      </c>
      <c r="R58" s="843">
        <f t="shared" si="31"/>
        <v>0</v>
      </c>
      <c r="S58" s="843">
        <f t="shared" si="31"/>
        <v>0</v>
      </c>
      <c r="T58" s="843">
        <f t="shared" si="31"/>
        <v>0</v>
      </c>
      <c r="U58" s="843">
        <f t="shared" si="31"/>
        <v>0</v>
      </c>
      <c r="V58" s="843">
        <f t="shared" si="31"/>
        <v>0</v>
      </c>
      <c r="W58" s="843">
        <f t="shared" si="31"/>
        <v>0</v>
      </c>
      <c r="X58" s="843">
        <f t="shared" si="31"/>
        <v>0</v>
      </c>
      <c r="Y58" s="843">
        <f t="shared" si="31"/>
        <v>0</v>
      </c>
      <c r="Z58" s="843">
        <f t="shared" si="31"/>
        <v>0</v>
      </c>
      <c r="AA58" s="843">
        <f t="shared" si="31"/>
        <v>0</v>
      </c>
      <c r="AB58" s="843">
        <f t="shared" si="31"/>
        <v>0</v>
      </c>
      <c r="AC58" s="843">
        <f t="shared" si="31"/>
        <v>0</v>
      </c>
      <c r="AD58" s="843">
        <f t="shared" si="31"/>
        <v>0</v>
      </c>
      <c r="AE58" s="843">
        <f t="shared" si="31"/>
        <v>0</v>
      </c>
      <c r="AF58" s="843">
        <f t="shared" si="31"/>
        <v>0</v>
      </c>
      <c r="AG58" s="843">
        <f t="shared" si="31"/>
        <v>0</v>
      </c>
      <c r="AH58" s="843">
        <f t="shared" si="31"/>
        <v>0</v>
      </c>
      <c r="AI58" s="843">
        <f t="shared" si="31"/>
        <v>0</v>
      </c>
      <c r="AJ58" s="843">
        <f t="shared" si="31"/>
        <v>0</v>
      </c>
      <c r="AK58" s="843">
        <f t="shared" si="31"/>
        <v>0</v>
      </c>
      <c r="AL58" s="843">
        <f t="shared" si="31"/>
        <v>0</v>
      </c>
      <c r="AM58" s="843">
        <f t="shared" si="31"/>
        <v>0</v>
      </c>
      <c r="AN58" s="843">
        <f t="shared" si="31"/>
        <v>0</v>
      </c>
      <c r="AO58" s="843">
        <f t="shared" si="31"/>
        <v>0</v>
      </c>
      <c r="AP58" s="843">
        <f t="shared" si="31"/>
        <v>0</v>
      </c>
    </row>
    <row r="59" spans="2:64" ht="13.1" customHeight="1">
      <c r="B59" s="839" t="s">
        <v>1708</v>
      </c>
      <c r="C59" s="1085" t="s">
        <v>1709</v>
      </c>
      <c r="D59" s="1085"/>
      <c r="E59" s="1085"/>
      <c r="F59" s="1085"/>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c r="AN59" s="877"/>
      <c r="AO59" s="877"/>
      <c r="AP59" s="877"/>
      <c r="AT59" s="836"/>
    </row>
    <row r="60" spans="2:64">
      <c r="AT60" s="836"/>
    </row>
    <row r="61" spans="2:64" ht="16.399999999999999" customHeight="1">
      <c r="B61" s="1086" t="s">
        <v>1710</v>
      </c>
      <c r="C61" s="1086"/>
      <c r="D61" s="1086"/>
      <c r="E61" s="1086"/>
      <c r="F61" s="1086"/>
      <c r="G61" s="878">
        <f t="shared" ref="G61:AP61" si="32">SUM(G62,G66)</f>
        <v>0</v>
      </c>
      <c r="H61" s="879">
        <f t="shared" si="32"/>
        <v>17363.969115600001</v>
      </c>
      <c r="I61" s="880">
        <f t="shared" si="32"/>
        <v>9728.3833992</v>
      </c>
      <c r="J61" s="880">
        <f t="shared" si="32"/>
        <v>231.58125000000001</v>
      </c>
      <c r="K61" s="880">
        <f t="shared" si="32"/>
        <v>3390.154</v>
      </c>
      <c r="L61" s="880">
        <f t="shared" si="32"/>
        <v>6435.2014327999996</v>
      </c>
      <c r="M61" s="880">
        <f t="shared" si="32"/>
        <v>3165.6007163999975</v>
      </c>
      <c r="N61" s="880">
        <f t="shared" si="32"/>
        <v>0.27960000000000002</v>
      </c>
      <c r="O61" s="880">
        <f t="shared" si="32"/>
        <v>20.000000000000004</v>
      </c>
      <c r="P61" s="880">
        <f t="shared" si="32"/>
        <v>0</v>
      </c>
      <c r="Q61" s="880">
        <f t="shared" si="32"/>
        <v>0</v>
      </c>
      <c r="R61" s="880">
        <f t="shared" si="32"/>
        <v>0</v>
      </c>
      <c r="S61" s="880">
        <f t="shared" si="32"/>
        <v>160.00000000000003</v>
      </c>
      <c r="T61" s="880">
        <f t="shared" si="32"/>
        <v>0</v>
      </c>
      <c r="U61" s="880">
        <f t="shared" si="32"/>
        <v>0</v>
      </c>
      <c r="V61" s="880">
        <f t="shared" si="32"/>
        <v>0</v>
      </c>
      <c r="W61" s="880">
        <f t="shared" si="32"/>
        <v>0</v>
      </c>
      <c r="X61" s="880">
        <f t="shared" si="32"/>
        <v>0</v>
      </c>
      <c r="Y61" s="880">
        <f t="shared" si="32"/>
        <v>96.567999999999998</v>
      </c>
      <c r="Z61" s="880">
        <f t="shared" si="32"/>
        <v>0.27960000000000002</v>
      </c>
      <c r="AA61" s="880">
        <f t="shared" si="32"/>
        <v>20.000000000000004</v>
      </c>
      <c r="AB61" s="880">
        <f t="shared" si="32"/>
        <v>0</v>
      </c>
      <c r="AC61" s="880">
        <f t="shared" si="32"/>
        <v>0</v>
      </c>
      <c r="AD61" s="880">
        <f t="shared" si="32"/>
        <v>0</v>
      </c>
      <c r="AE61" s="880">
        <f t="shared" si="32"/>
        <v>160.00000000000003</v>
      </c>
      <c r="AF61" s="880">
        <f t="shared" si="32"/>
        <v>0</v>
      </c>
      <c r="AG61" s="880">
        <f t="shared" si="32"/>
        <v>0</v>
      </c>
      <c r="AH61" s="880">
        <f t="shared" si="32"/>
        <v>0</v>
      </c>
      <c r="AI61" s="880">
        <f t="shared" si="32"/>
        <v>0</v>
      </c>
      <c r="AJ61" s="880">
        <f t="shared" si="32"/>
        <v>0</v>
      </c>
      <c r="AK61" s="880">
        <f t="shared" si="32"/>
        <v>96.567999999999998</v>
      </c>
      <c r="AL61" s="880">
        <f t="shared" si="32"/>
        <v>0.27960000000000002</v>
      </c>
      <c r="AM61" s="880">
        <f t="shared" si="32"/>
        <v>20.000000000000004</v>
      </c>
      <c r="AN61" s="880">
        <f t="shared" si="32"/>
        <v>0</v>
      </c>
      <c r="AO61" s="880">
        <f t="shared" si="32"/>
        <v>0</v>
      </c>
      <c r="AP61" s="880">
        <f t="shared" si="32"/>
        <v>0</v>
      </c>
      <c r="AQ61" s="64"/>
      <c r="AR61" s="64"/>
      <c r="AS61" s="64"/>
      <c r="AT61" s="548"/>
      <c r="AU61" s="64"/>
      <c r="AV61" s="64"/>
      <c r="AW61" s="64"/>
      <c r="AX61" s="64"/>
      <c r="AY61" s="64"/>
      <c r="AZ61" s="64"/>
      <c r="BA61" s="64"/>
      <c r="BB61" s="64"/>
      <c r="BC61" s="64"/>
      <c r="BD61" s="64"/>
      <c r="BE61" s="64"/>
      <c r="BF61" s="64"/>
      <c r="BG61" s="64"/>
      <c r="BH61" s="64"/>
      <c r="BI61" s="64"/>
      <c r="BJ61" s="64"/>
      <c r="BK61" s="64"/>
      <c r="BL61" s="64"/>
    </row>
    <row r="62" spans="2:64" ht="14.4">
      <c r="B62" s="881" t="s">
        <v>1711</v>
      </c>
      <c r="C62" s="881"/>
      <c r="D62" s="881"/>
      <c r="E62" s="881"/>
      <c r="F62" s="881"/>
      <c r="G62" s="882">
        <f t="shared" ref="G62:AP62" si="33">G64-G63</f>
        <v>0</v>
      </c>
      <c r="H62" s="882">
        <f t="shared" si="33"/>
        <v>17363.969115600001</v>
      </c>
      <c r="I62" s="882">
        <f t="shared" si="33"/>
        <v>9728.3833992</v>
      </c>
      <c r="J62" s="882">
        <f t="shared" si="33"/>
        <v>231.58125000000001</v>
      </c>
      <c r="K62" s="882">
        <f t="shared" si="33"/>
        <v>3390.154</v>
      </c>
      <c r="L62" s="882">
        <f t="shared" si="33"/>
        <v>6435.2014327999996</v>
      </c>
      <c r="M62" s="882">
        <f t="shared" si="33"/>
        <v>3165.6007163999975</v>
      </c>
      <c r="N62" s="882">
        <f t="shared" si="33"/>
        <v>0</v>
      </c>
      <c r="O62" s="882">
        <f t="shared" si="33"/>
        <v>20.000000000000004</v>
      </c>
      <c r="P62" s="882">
        <f t="shared" si="33"/>
        <v>0</v>
      </c>
      <c r="Q62" s="882">
        <f t="shared" si="33"/>
        <v>0</v>
      </c>
      <c r="R62" s="882">
        <f t="shared" si="33"/>
        <v>0</v>
      </c>
      <c r="S62" s="882">
        <f t="shared" si="33"/>
        <v>160.00000000000003</v>
      </c>
      <c r="T62" s="882">
        <f t="shared" si="33"/>
        <v>0</v>
      </c>
      <c r="U62" s="882">
        <f t="shared" si="33"/>
        <v>0</v>
      </c>
      <c r="V62" s="882">
        <f t="shared" si="33"/>
        <v>0</v>
      </c>
      <c r="W62" s="882">
        <f t="shared" si="33"/>
        <v>0</v>
      </c>
      <c r="X62" s="882">
        <f t="shared" si="33"/>
        <v>0</v>
      </c>
      <c r="Y62" s="882">
        <f t="shared" si="33"/>
        <v>96.567999999999998</v>
      </c>
      <c r="Z62" s="882">
        <f t="shared" si="33"/>
        <v>0</v>
      </c>
      <c r="AA62" s="882">
        <f t="shared" si="33"/>
        <v>20.000000000000004</v>
      </c>
      <c r="AB62" s="882">
        <f t="shared" si="33"/>
        <v>0</v>
      </c>
      <c r="AC62" s="882">
        <f t="shared" si="33"/>
        <v>0</v>
      </c>
      <c r="AD62" s="882">
        <f t="shared" si="33"/>
        <v>0</v>
      </c>
      <c r="AE62" s="882">
        <f t="shared" si="33"/>
        <v>160.00000000000003</v>
      </c>
      <c r="AF62" s="882">
        <f t="shared" si="33"/>
        <v>0</v>
      </c>
      <c r="AG62" s="882">
        <f t="shared" si="33"/>
        <v>0</v>
      </c>
      <c r="AH62" s="882">
        <f t="shared" si="33"/>
        <v>0</v>
      </c>
      <c r="AI62" s="882">
        <f t="shared" si="33"/>
        <v>0</v>
      </c>
      <c r="AJ62" s="882">
        <f t="shared" si="33"/>
        <v>0</v>
      </c>
      <c r="AK62" s="882">
        <f t="shared" si="33"/>
        <v>96.567999999999998</v>
      </c>
      <c r="AL62" s="882">
        <f t="shared" si="33"/>
        <v>0</v>
      </c>
      <c r="AM62" s="882">
        <f t="shared" si="33"/>
        <v>20.000000000000004</v>
      </c>
      <c r="AN62" s="882">
        <f t="shared" si="33"/>
        <v>0</v>
      </c>
      <c r="AO62" s="882">
        <f t="shared" si="33"/>
        <v>0</v>
      </c>
      <c r="AP62" s="882">
        <f t="shared" si="33"/>
        <v>0</v>
      </c>
      <c r="AQ62" s="835"/>
      <c r="AR62" s="835"/>
      <c r="AS62" s="835"/>
      <c r="AT62" s="836"/>
      <c r="AU62" s="835"/>
      <c r="AV62" s="835"/>
      <c r="AW62" s="835"/>
      <c r="AX62" s="832"/>
      <c r="BA62" s="833"/>
      <c r="BB62" s="833"/>
      <c r="BC62" s="827"/>
      <c r="BD62" s="828"/>
      <c r="BE62" s="835"/>
      <c r="BF62" s="835"/>
      <c r="BG62" s="835"/>
      <c r="BH62" s="835"/>
      <c r="BI62" s="835"/>
      <c r="BJ62" s="835"/>
      <c r="BK62" s="835"/>
      <c r="BL62" s="835"/>
    </row>
    <row r="63" spans="2:64">
      <c r="B63" s="839" t="s">
        <v>1712</v>
      </c>
      <c r="C63" s="842"/>
      <c r="D63" s="842"/>
      <c r="E63" s="842"/>
      <c r="F63" s="883" t="str">
        <f>F64</f>
        <v>mensuel</v>
      </c>
      <c r="G63" s="843"/>
      <c r="H63" s="843"/>
      <c r="I63" s="843"/>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R63" s="884">
        <f>SUM(G63:AD63)</f>
        <v>0</v>
      </c>
      <c r="AS63" s="884">
        <f>AR8*0.2/1.2</f>
        <v>3457.7996000000007</v>
      </c>
      <c r="AT63" s="836"/>
    </row>
    <row r="64" spans="2:64">
      <c r="B64" s="839" t="s">
        <v>1713</v>
      </c>
      <c r="C64" s="842"/>
      <c r="D64" s="842"/>
      <c r="E64" s="842"/>
      <c r="F64" s="885" t="s">
        <v>1664</v>
      </c>
      <c r="G64" s="843"/>
      <c r="H64" s="843">
        <f>IF($F$64="trimestriel",IF(OR("mai"=H6,"août"=H6,"nov."=H6,"fév."=H6),inv_tx_tva*(SUM(G21:G48)-G35-G36-G40-G47),0),inv_tx_tva*(SUM(G21:G48)-G35-G36-G40-G47))</f>
        <v>17363.969115600001</v>
      </c>
      <c r="I64" s="843">
        <f>IF($F$64="trimestriel",IF(OR("mai"=I6,"août"=I6,"nov."=I6,"fév."=I6),inv_tx_tva*(SUM(G21:G48)-G35-G36-G40-G47+SUM(H21:H48)-H35-H36-H40-H47),0),inv_tx_tva*(SUM(H21:H48)-H35-H36-H40-H47))</f>
        <v>9728.3833992</v>
      </c>
      <c r="J64" s="843">
        <f t="shared" ref="J64:AP64" si="34">IF($F$64="trimestriel",IF(OR("mai"=J6,"août"=J6,"nov."=J6,"fév."=J6),inv_tx_tva*(SUM(H21:H48)-H35-H36-H40-H47+SUM(I21:I48)-I35-I36-I40-I47+SUM(G21:G48)-G35-G36-G40-G47),0),inv_tx_tva*(SUM(I21:I48)-I35-I36-I40-I47))</f>
        <v>231.58125000000001</v>
      </c>
      <c r="K64" s="843">
        <f t="shared" si="34"/>
        <v>3390.154</v>
      </c>
      <c r="L64" s="843">
        <f t="shared" si="34"/>
        <v>6435.2014327999996</v>
      </c>
      <c r="M64" s="843">
        <f t="shared" si="34"/>
        <v>3165.6007163999975</v>
      </c>
      <c r="N64" s="843">
        <f t="shared" si="34"/>
        <v>0</v>
      </c>
      <c r="O64" s="843">
        <f t="shared" si="34"/>
        <v>20.000000000000004</v>
      </c>
      <c r="P64" s="843">
        <f t="shared" si="34"/>
        <v>0</v>
      </c>
      <c r="Q64" s="843">
        <f t="shared" si="34"/>
        <v>0</v>
      </c>
      <c r="R64" s="843">
        <f t="shared" si="34"/>
        <v>0</v>
      </c>
      <c r="S64" s="843">
        <f t="shared" si="34"/>
        <v>160.00000000000003</v>
      </c>
      <c r="T64" s="843">
        <f t="shared" si="34"/>
        <v>0</v>
      </c>
      <c r="U64" s="843">
        <f t="shared" si="34"/>
        <v>0</v>
      </c>
      <c r="V64" s="843">
        <f t="shared" si="34"/>
        <v>0</v>
      </c>
      <c r="W64" s="843">
        <f t="shared" si="34"/>
        <v>0</v>
      </c>
      <c r="X64" s="843">
        <f t="shared" si="34"/>
        <v>0</v>
      </c>
      <c r="Y64" s="843">
        <f t="shared" si="34"/>
        <v>96.567999999999998</v>
      </c>
      <c r="Z64" s="843">
        <f t="shared" si="34"/>
        <v>0</v>
      </c>
      <c r="AA64" s="843">
        <f t="shared" si="34"/>
        <v>20.000000000000004</v>
      </c>
      <c r="AB64" s="843">
        <f t="shared" si="34"/>
        <v>0</v>
      </c>
      <c r="AC64" s="843">
        <f t="shared" si="34"/>
        <v>0</v>
      </c>
      <c r="AD64" s="843">
        <f t="shared" si="34"/>
        <v>0</v>
      </c>
      <c r="AE64" s="843">
        <f t="shared" si="34"/>
        <v>160.00000000000003</v>
      </c>
      <c r="AF64" s="843">
        <f t="shared" si="34"/>
        <v>0</v>
      </c>
      <c r="AG64" s="843">
        <f t="shared" si="34"/>
        <v>0</v>
      </c>
      <c r="AH64" s="843">
        <f t="shared" si="34"/>
        <v>0</v>
      </c>
      <c r="AI64" s="843">
        <f t="shared" si="34"/>
        <v>0</v>
      </c>
      <c r="AJ64" s="843">
        <f t="shared" si="34"/>
        <v>0</v>
      </c>
      <c r="AK64" s="843">
        <f t="shared" si="34"/>
        <v>96.567999999999998</v>
      </c>
      <c r="AL64" s="843">
        <f t="shared" si="34"/>
        <v>0</v>
      </c>
      <c r="AM64" s="843">
        <f t="shared" si="34"/>
        <v>20.000000000000004</v>
      </c>
      <c r="AN64" s="843">
        <f t="shared" si="34"/>
        <v>0</v>
      </c>
      <c r="AO64" s="843">
        <f t="shared" si="34"/>
        <v>0</v>
      </c>
      <c r="AP64" s="843">
        <f t="shared" si="34"/>
        <v>0</v>
      </c>
      <c r="AR64" s="884">
        <f>SUM(G64:AA64)</f>
        <v>40611.457913999991</v>
      </c>
      <c r="AS64" s="884">
        <f>(SUM(AR21:AR48)-AR36-AR40)*0.2/1.2</f>
        <v>40751.457913999999</v>
      </c>
      <c r="AT64" s="836"/>
    </row>
    <row r="65" spans="2:64">
      <c r="B65" s="881" t="s">
        <v>1714</v>
      </c>
      <c r="C65" s="861" t="s">
        <v>1673</v>
      </c>
      <c r="D65" s="881"/>
      <c r="E65" s="881"/>
      <c r="F65" s="886" t="s">
        <v>1675</v>
      </c>
      <c r="G65" s="882">
        <f>IF(AND(HLOOKUP(G4,SIG!$E$4:$G$35,18)&gt;0,HLOOKUP(G4,SIG!$E$4:$G$35,18)&lt;2000,G6="avril"),HLOOKUP(G4,SIG!$E$4:$G$35,18),0)</f>
        <v>0</v>
      </c>
      <c r="H65" s="882">
        <f>IF(AND(HLOOKUP(H4,SIG!$E$4:$G$35,18)&gt;0,HLOOKUP(H4,SIG!$E$4:$G$35,18)&lt;2000,H6="avril"),HLOOKUP(H4,SIG!$E$4:$G$35,18),0)</f>
        <v>0</v>
      </c>
      <c r="I65" s="882">
        <f>IF(AND(HLOOKUP(I4,SIG!$E$4:$G$35,18)&gt;0,HLOOKUP(I4,SIG!$E$4:$G$35,18)&lt;2000,I6="avril"),HLOOKUP(I4,SIG!$E$4:$G$35,18),0)</f>
        <v>0</v>
      </c>
      <c r="J65" s="882">
        <f>IF(AND(HLOOKUP(J4,SIG!$E$4:$G$35,18)&gt;0,HLOOKUP(J4,SIG!$E$4:$G$35,18)&lt;2000,J6="avril"),HLOOKUP(J4,SIG!$E$4:$G$35,18),0)</f>
        <v>0</v>
      </c>
      <c r="K65" s="882">
        <f>IF(AND(HLOOKUP(K4,SIG!$E$4:$G$35,18)&gt;0,HLOOKUP(K4,SIG!$E$4:$G$35,18)&lt;2000,K6="avril"),HLOOKUP(K4,SIG!$E$4:$G$35,18),0)</f>
        <v>0</v>
      </c>
      <c r="L65" s="882">
        <f>IF(AND(HLOOKUP(L4,SIG!$E$4:$G$35,18)&gt;0,HLOOKUP(L4,SIG!$E$4:$G$35,18)&lt;2000,L6="avril"),HLOOKUP(L4,SIG!$E$4:$G$35,18),0)</f>
        <v>0</v>
      </c>
      <c r="M65" s="882">
        <f>IF(AND(HLOOKUP(M4,SIG!$E$4:$G$35,18)&gt;0,HLOOKUP(M4,SIG!$E$4:$G$35,18)&lt;2000,M6="avril"),HLOOKUP(M4,SIG!$E$4:$G$35,18),0)</f>
        <v>0</v>
      </c>
      <c r="N65" s="882">
        <f>IF(AND(HLOOKUP(N4,SIG!$E$4:$G$35,18)&gt;0,HLOOKUP(N4,SIG!$E$4:$G$35,18)&lt;2000,N6="avril"),HLOOKUP(N4,SIG!$E$4:$G$35,18),0)</f>
        <v>0</v>
      </c>
      <c r="O65" s="882">
        <f>IF(AND(HLOOKUP(O4,SIG!$E$4:$G$35,18)&gt;0,HLOOKUP(O4,SIG!$E$4:$G$35,18)&lt;2000,O6="avril"),HLOOKUP(O4,SIG!$E$4:$G$35,18),0)</f>
        <v>0</v>
      </c>
      <c r="P65" s="882">
        <f>IF(AND(HLOOKUP(P4,SIG!$E$4:$G$35,18)&gt;0,HLOOKUP(P4,SIG!$E$4:$G$35,18)&lt;2000,P6="avril"),HLOOKUP(P4,SIG!$E$4:$G$35,18),0)</f>
        <v>0</v>
      </c>
      <c r="Q65" s="882">
        <f>IF(AND(HLOOKUP(Q4,SIG!$E$4:$G$35,18)&gt;0,HLOOKUP(Q4,SIG!$E$4:$G$35,18)&lt;2000,Q6="avril"),HLOOKUP(Q4,SIG!$E$4:$G$35,18),0)</f>
        <v>0</v>
      </c>
      <c r="R65" s="882">
        <f>IF(AND(HLOOKUP(R4,SIG!$E$4:$G$35,18)&gt;0,HLOOKUP(R4,SIG!$E$4:$G$35,18)&lt;2000,R6="avril"),HLOOKUP(R4,SIG!$E$4:$G$35,18),0)</f>
        <v>0</v>
      </c>
      <c r="S65" s="882">
        <f>IF(AND(HLOOKUP(S4,SIG!$E$4:$G$35,18)&gt;0,HLOOKUP(S4,SIG!$E$4:$G$35,18)&lt;2000,S6="avril"),HLOOKUP(S4,SIG!$E$4:$G$35,18),0)</f>
        <v>0</v>
      </c>
      <c r="T65" s="882">
        <f>IF(AND(HLOOKUP(T4,SIG!$E$4:$G$35,18)&gt;0,HLOOKUP(T4,SIG!$E$4:$G$35,18)&lt;2000,T6="avril"),HLOOKUP(T4,SIG!$E$4:$G$35,18),0)</f>
        <v>0</v>
      </c>
      <c r="U65" s="882">
        <f>IF(AND(HLOOKUP(U4,SIG!$E$4:$G$35,18)&gt;0,HLOOKUP(U4,SIG!$E$4:$G$35,18)&lt;2000,U6="avril"),HLOOKUP(U4,SIG!$E$4:$G$35,18),0)</f>
        <v>0</v>
      </c>
      <c r="V65" s="882">
        <f>IF(AND(HLOOKUP(V4,SIG!$E$4:$G$35,18)&gt;0,HLOOKUP(V4,SIG!$E$4:$G$35,18)&lt;2000,V6="avril"),HLOOKUP(V4,SIG!$E$4:$G$35,18),0)</f>
        <v>0</v>
      </c>
      <c r="W65" s="882">
        <f>IF(AND(HLOOKUP(W4,SIG!$E$4:$G$35,18)&gt;0,HLOOKUP(W4,SIG!$E$4:$G$35,18)&lt;2000,W6="avril"),HLOOKUP(W4,SIG!$E$4:$G$35,18),0)</f>
        <v>0</v>
      </c>
      <c r="X65" s="882">
        <f>IF(AND(HLOOKUP(X4,SIG!$E$4:$G$35,18)&gt;0,HLOOKUP(X4,SIG!$E$4:$G$35,18)&lt;2000,X6="avril"),HLOOKUP(X4,SIG!$E$4:$G$35,18),0)</f>
        <v>0</v>
      </c>
      <c r="Y65" s="882">
        <f>IF(AND(HLOOKUP(Y4,SIG!$E$4:$G$35,18)&gt;0,HLOOKUP(Y4,SIG!$E$4:$G$35,18)&lt;2000,Y6="avril"),HLOOKUP(Y4,SIG!$E$4:$G$35,18),0)</f>
        <v>0</v>
      </c>
      <c r="Z65" s="882">
        <f>IF(AND(HLOOKUP(Z4,SIG!$E$4:$G$35,18)&gt;0,HLOOKUP(Z4,SIG!$E$4:$G$35,18)&lt;2000,Z6="avril"),HLOOKUP(Z4,SIG!$E$4:$G$35,18),0)</f>
        <v>0</v>
      </c>
      <c r="AA65" s="882">
        <f>IF(AND(HLOOKUP(AA4,SIG!$E$4:$G$35,18)&gt;0,HLOOKUP(AA4,SIG!$E$4:$G$35,18)&lt;2000,AA6="avril"),HLOOKUP(AA4,SIG!$E$4:$G$35,18),0)</f>
        <v>0</v>
      </c>
      <c r="AB65" s="882">
        <f>IF(AND(HLOOKUP(AB4,SIG!$E$4:$G$35,18)&gt;0,HLOOKUP(AB4,SIG!$E$4:$G$35,18)&lt;2000,AB6="avril"),HLOOKUP(AB4,SIG!$E$4:$G$35,18),0)</f>
        <v>0</v>
      </c>
      <c r="AC65" s="882">
        <f>IF(AND(HLOOKUP(AC4,SIG!$E$4:$G$35,18)&gt;0,HLOOKUP(AC4,SIG!$E$4:$G$35,18)&lt;2000,AC6="avril"),HLOOKUP(AC4,SIG!$E$4:$G$35,18),0)</f>
        <v>0</v>
      </c>
      <c r="AD65" s="882">
        <f>IF(AND(HLOOKUP(AD4,SIG!$E$4:$G$35,18)&gt;0,HLOOKUP(AD4,SIG!$E$4:$G$35,18)&lt;2000,AD6="avril"),HLOOKUP(AD4,SIG!$E$4:$G$35,18),0)</f>
        <v>0</v>
      </c>
      <c r="AE65" s="882">
        <f>IF(AND(HLOOKUP(AE4,SIG!$E$4:$G$35,18)&gt;0,HLOOKUP(AE4,SIG!$E$4:$G$35,18)&lt;2000,AE6="avril"),HLOOKUP(AE4,SIG!$E$4:$G$35,18),0)</f>
        <v>0</v>
      </c>
      <c r="AF65" s="882">
        <f>IF(AND(HLOOKUP(AF4,SIG!$E$4:$G$35,18)&gt;0,HLOOKUP(AF4,SIG!$E$4:$G$35,18)&lt;2000,AF6="avril"),HLOOKUP(AF4,SIG!$E$4:$G$35,18),0)</f>
        <v>0</v>
      </c>
      <c r="AG65" s="882">
        <f>IF(AND(HLOOKUP(AG4,SIG!$E$4:$G$35,18)&gt;0,HLOOKUP(AG4,SIG!$E$4:$G$35,18)&lt;2000,AG6="avril"),HLOOKUP(AG4,SIG!$E$4:$G$35,18),0)</f>
        <v>0</v>
      </c>
      <c r="AH65" s="882">
        <f>IF(AND(HLOOKUP(AH4,SIG!$E$4:$G$35,18)&gt;0,HLOOKUP(AH4,SIG!$E$4:$G$35,18)&lt;2000,AH6="avril"),HLOOKUP(AH4,SIG!$E$4:$G$35,18),0)</f>
        <v>0</v>
      </c>
      <c r="AI65" s="882">
        <f>IF(AND(HLOOKUP(AI4,SIG!$E$4:$G$35,18)&gt;0,HLOOKUP(AI4,SIG!$E$4:$G$35,18)&lt;2000,AI6="avril"),HLOOKUP(AI4,SIG!$E$4:$G$35,18),0)</f>
        <v>0</v>
      </c>
      <c r="AJ65" s="882">
        <f>IF(AND(HLOOKUP(AJ4,SIG!$E$4:$G$35,18)&gt;0,HLOOKUP(AJ4,SIG!$E$4:$G$35,18)&lt;2000,AJ6="avril"),HLOOKUP(AJ4,SIG!$E$4:$G$35,18),0)</f>
        <v>0</v>
      </c>
      <c r="AK65" s="882">
        <f>IF(AND(HLOOKUP(AK4,SIG!$E$4:$G$35,18)&gt;0,HLOOKUP(AK4,SIG!$E$4:$G$35,18)&lt;2000,AK6="avril"),HLOOKUP(AK4,SIG!$E$4:$G$35,18),0)</f>
        <v>0</v>
      </c>
      <c r="AL65" s="882">
        <f>IF(AND(HLOOKUP(AL4,SIG!$E$4:$G$35,18)&gt;0,HLOOKUP(AL4,SIG!$E$4:$G$35,18)&lt;2000,AL6="avril"),HLOOKUP(AL4,SIG!$E$4:$G$35,18),0)</f>
        <v>0</v>
      </c>
      <c r="AM65" s="882">
        <f>IF(AND(HLOOKUP(AM4,SIG!$E$4:$G$35,18)&gt;0,HLOOKUP(AM4,SIG!$E$4:$G$35,18)&lt;2000,AM6="avril"),HLOOKUP(AM4,SIG!$E$4:$G$35,18),0)</f>
        <v>0</v>
      </c>
      <c r="AN65" s="882">
        <f>IF(AND(HLOOKUP(AN4,SIG!$E$4:$G$35,18)&gt;0,HLOOKUP(AN4,SIG!$E$4:$G$35,18)&lt;2000,AN6="avril"),HLOOKUP(AN4,SIG!$E$4:$G$35,18),0)</f>
        <v>0</v>
      </c>
      <c r="AO65" s="882">
        <f>IF(AND(HLOOKUP(AO4,SIG!$E$4:$G$35,18)&gt;0,HLOOKUP(AO4,SIG!$E$4:$G$35,18)&lt;2000,AO6="avril"),HLOOKUP(AO4,SIG!$E$4:$G$35,18),0)</f>
        <v>0</v>
      </c>
      <c r="AP65" s="882">
        <f>IF(AND(HLOOKUP(AP4,SIG!$E$4:$G$35,18)&gt;0,HLOOKUP(AP4,SIG!$E$4:$G$35,18)&lt;2000,AP6="avril"),HLOOKUP(AP4,SIG!$E$4:$G$35,18),0)</f>
        <v>0</v>
      </c>
      <c r="AT65" s="836"/>
    </row>
    <row r="66" spans="2:64">
      <c r="B66" s="881" t="s">
        <v>1715</v>
      </c>
      <c r="C66" s="840">
        <v>8</v>
      </c>
      <c r="D66" s="881"/>
      <c r="E66" s="881"/>
      <c r="F66" s="886" t="s">
        <v>1675</v>
      </c>
      <c r="G66" s="882">
        <f>IF(MOD($C$66-G5,12)=0,Ana_eco!$H$25,0)</f>
        <v>0</v>
      </c>
      <c r="H66" s="882">
        <f>IF(MOD($C$66-H5,12)=0,Ana_eco!$H$25,0)</f>
        <v>0</v>
      </c>
      <c r="I66" s="882">
        <f>IF(MOD($C$66-I5,12)=0,Ana_eco!$H$25,0)</f>
        <v>0</v>
      </c>
      <c r="J66" s="882">
        <f>IF(MOD($C$66-J5,12)=0,Ana_eco!$H$25,0)</f>
        <v>0</v>
      </c>
      <c r="K66" s="882">
        <f>IF(MOD($C$66-K5,12)=0,Ana_eco!$H$25,0)</f>
        <v>0</v>
      </c>
      <c r="L66" s="882">
        <f>IF(MOD($C$66-L5,12)=0,Ana_eco!$H$25,0)</f>
        <v>0</v>
      </c>
      <c r="M66" s="882">
        <f>IF(MOD($C$66-M5,12)=0,Ana_eco!$H$25,0)</f>
        <v>0</v>
      </c>
      <c r="N66" s="882">
        <f>IF(MOD($C$66-N5,12)=0,Ana_eco!$H$25,0)</f>
        <v>0.27960000000000002</v>
      </c>
      <c r="O66" s="882">
        <f>IF(MOD($C$66-O5,12)=0,Ana_eco!$H$25,0)</f>
        <v>0</v>
      </c>
      <c r="P66" s="882">
        <f>IF(MOD($C$66-P5,12)=0,Ana_eco!$H$25,0)</f>
        <v>0</v>
      </c>
      <c r="Q66" s="882">
        <f>IF(MOD($C$66-Q5,12)=0,Ana_eco!$H$25,0)</f>
        <v>0</v>
      </c>
      <c r="R66" s="882">
        <f>IF(MOD($C$66-R5,12)=0,Ana_eco!$H$25,0)</f>
        <v>0</v>
      </c>
      <c r="S66" s="882">
        <f>IF(MOD($C$66-S5,12)=0,Ana_eco!$H$25,0)</f>
        <v>0</v>
      </c>
      <c r="T66" s="882">
        <f>IF(MOD($C$66-T5,12)=0,Ana_eco!$H$25,0)</f>
        <v>0</v>
      </c>
      <c r="U66" s="882">
        <f>IF(MOD($C$66-U5,12)=0,Ana_eco!$H$25,0)</f>
        <v>0</v>
      </c>
      <c r="V66" s="882">
        <f>IF(MOD($C$66-V5,12)=0,Ana_eco!$H$25,0)</f>
        <v>0</v>
      </c>
      <c r="W66" s="882">
        <f>IF(MOD($C$66-W5,12)=0,Ana_eco!$H$25,0)</f>
        <v>0</v>
      </c>
      <c r="X66" s="882">
        <f>IF(MOD($C$66-X5,12)=0,Ana_eco!$H$25,0)</f>
        <v>0</v>
      </c>
      <c r="Y66" s="882">
        <f>IF(MOD($C$66-Y5,12)=0,Ana_eco!$H$25,0)</f>
        <v>0</v>
      </c>
      <c r="Z66" s="882">
        <f>IF(MOD($C$66-Z5,12)=0,Ana_eco!$H$25,0)</f>
        <v>0.27960000000000002</v>
      </c>
      <c r="AA66" s="882">
        <f>IF(MOD($C$66-AA5,12)=0,Ana_eco!$H$25,0)</f>
        <v>0</v>
      </c>
      <c r="AB66" s="882">
        <f>IF(MOD($C$66-AB5,12)=0,Ana_eco!$H$25,0)</f>
        <v>0</v>
      </c>
      <c r="AC66" s="882">
        <f>IF(MOD($C$66-AC5,12)=0,Ana_eco!$H$25,0)</f>
        <v>0</v>
      </c>
      <c r="AD66" s="882">
        <f>IF(MOD($C$66-AD5,12)=0,Ana_eco!$H$25,0)</f>
        <v>0</v>
      </c>
      <c r="AE66" s="882">
        <f>IF(MOD($C$66-AE5,12)=0,Ana_eco!$H$25,0)</f>
        <v>0</v>
      </c>
      <c r="AF66" s="882">
        <f>IF(MOD($C$66-AF5,12)=0,Ana_eco!$H$25,0)</f>
        <v>0</v>
      </c>
      <c r="AG66" s="882">
        <f>IF(MOD($C$66-AG5,12)=0,Ana_eco!$H$25,0)</f>
        <v>0</v>
      </c>
      <c r="AH66" s="882">
        <f>IF(MOD($C$66-AH5,12)=0,Ana_eco!$H$25,0)</f>
        <v>0</v>
      </c>
      <c r="AI66" s="882">
        <f>IF(MOD($C$66-AI5,12)=0,Ana_eco!$H$25,0)</f>
        <v>0</v>
      </c>
      <c r="AJ66" s="882">
        <f>IF(MOD($C$66-AJ5,12)=0,Ana_eco!$H$25,0)</f>
        <v>0</v>
      </c>
      <c r="AK66" s="882">
        <f>IF(MOD($C$66-AK5,12)=0,Ana_eco!$H$25,0)</f>
        <v>0</v>
      </c>
      <c r="AL66" s="882">
        <f>IF(MOD($C$66-AL5,12)=0,Ana_eco!$H$25,0)</f>
        <v>0.27960000000000002</v>
      </c>
      <c r="AM66" s="882">
        <f>IF(MOD($C$66-AM5,12)=0,Ana_eco!$H$25,0)</f>
        <v>0</v>
      </c>
      <c r="AN66" s="882">
        <f>IF(MOD($C$66-AN5,12)=0,Ana_eco!$H$25,0)</f>
        <v>0</v>
      </c>
      <c r="AO66" s="882">
        <f>IF(MOD($C$66-AO5,12)=0,Ana_eco!$H$25,0)</f>
        <v>0</v>
      </c>
      <c r="AP66" s="882">
        <f>IF(MOD($C$66-AP5,12)=0,Ana_eco!$H$25,0)</f>
        <v>0</v>
      </c>
      <c r="AT66" s="836"/>
    </row>
    <row r="67" spans="2:64">
      <c r="AT67" s="836"/>
    </row>
    <row r="68" spans="2:64">
      <c r="B68" s="887" t="s">
        <v>1716</v>
      </c>
      <c r="C68" s="887"/>
      <c r="D68" s="887"/>
      <c r="E68" s="887"/>
      <c r="F68" s="887"/>
      <c r="G68" s="888">
        <f t="shared" ref="G68:AP68" ca="1" si="35">G7-G19-G65-G66+G62</f>
        <v>70488.458529239986</v>
      </c>
      <c r="H68" s="888">
        <f t="shared" ca="1" si="35"/>
        <v>-16287.523903904996</v>
      </c>
      <c r="I68" s="888">
        <f t="shared" ca="1" si="35"/>
        <v>8338.8958992000007</v>
      </c>
      <c r="J68" s="888">
        <f t="shared" si="35"/>
        <v>-20109.34275</v>
      </c>
      <c r="K68" s="888">
        <f t="shared" ca="1" si="35"/>
        <v>-26981.452138235003</v>
      </c>
      <c r="L68" s="888">
        <f t="shared" ca="1" si="35"/>
        <v>-12558.402865599983</v>
      </c>
      <c r="M68" s="888">
        <f t="shared" si="35"/>
        <v>2461.4256137982734</v>
      </c>
      <c r="N68" s="888">
        <f t="shared" si="35"/>
        <v>-120.2796</v>
      </c>
      <c r="O68" s="888">
        <f t="shared" si="35"/>
        <v>20.000000000000004</v>
      </c>
      <c r="P68" s="888">
        <f t="shared" si="35"/>
        <v>0</v>
      </c>
      <c r="Q68" s="888">
        <f t="shared" si="35"/>
        <v>0</v>
      </c>
      <c r="R68" s="888">
        <f t="shared" si="35"/>
        <v>-1664.1751026017241</v>
      </c>
      <c r="S68" s="888">
        <f t="shared" si="35"/>
        <v>160.00000000000003</v>
      </c>
      <c r="T68" s="888">
        <f t="shared" si="35"/>
        <v>0</v>
      </c>
      <c r="U68" s="888">
        <f t="shared" si="35"/>
        <v>0</v>
      </c>
      <c r="V68" s="888">
        <f t="shared" si="35"/>
        <v>0</v>
      </c>
      <c r="W68" s="888">
        <f t="shared" si="35"/>
        <v>0</v>
      </c>
      <c r="X68" s="888">
        <f t="shared" si="35"/>
        <v>-579.4079999999999</v>
      </c>
      <c r="Y68" s="888">
        <f t="shared" si="35"/>
        <v>-614.64885362774135</v>
      </c>
      <c r="Z68" s="888">
        <f t="shared" si="35"/>
        <v>-120.2796</v>
      </c>
      <c r="AA68" s="888">
        <f t="shared" si="35"/>
        <v>20.000000000000004</v>
      </c>
      <c r="AB68" s="888">
        <f t="shared" si="35"/>
        <v>0</v>
      </c>
      <c r="AC68" s="888">
        <f t="shared" si="35"/>
        <v>0</v>
      </c>
      <c r="AD68" s="888">
        <f t="shared" si="35"/>
        <v>-1671.2168536277413</v>
      </c>
      <c r="AE68" s="888">
        <f t="shared" si="35"/>
        <v>160.00000000000003</v>
      </c>
      <c r="AF68" s="888">
        <f t="shared" si="35"/>
        <v>0</v>
      </c>
      <c r="AG68" s="888">
        <f t="shared" si="35"/>
        <v>0</v>
      </c>
      <c r="AH68" s="888">
        <f t="shared" si="35"/>
        <v>0</v>
      </c>
      <c r="AI68" s="888">
        <f t="shared" si="35"/>
        <v>0</v>
      </c>
      <c r="AJ68" s="888">
        <f t="shared" si="35"/>
        <v>20167.389600000002</v>
      </c>
      <c r="AK68" s="888">
        <f t="shared" si="35"/>
        <v>-621.76102216401875</v>
      </c>
      <c r="AL68" s="888">
        <f t="shared" si="35"/>
        <v>-120.2796</v>
      </c>
      <c r="AM68" s="888">
        <f t="shared" si="35"/>
        <v>20.000000000000004</v>
      </c>
      <c r="AN68" s="888">
        <f t="shared" si="35"/>
        <v>0</v>
      </c>
      <c r="AO68" s="888">
        <f t="shared" si="35"/>
        <v>0</v>
      </c>
      <c r="AP68" s="888">
        <f t="shared" si="35"/>
        <v>-1678.3290221640186</v>
      </c>
      <c r="AT68" s="819"/>
    </row>
    <row r="69" spans="2:64">
      <c r="B69" s="887" t="s">
        <v>1717</v>
      </c>
      <c r="C69" s="887"/>
      <c r="D69" s="887"/>
      <c r="E69" s="887"/>
      <c r="F69" s="887"/>
      <c r="G69" s="889">
        <f ca="1">G68</f>
        <v>70488.458529239986</v>
      </c>
      <c r="H69" s="889">
        <f t="shared" ref="H69:AP69" ca="1" si="36">H68+G69</f>
        <v>54200.934625334994</v>
      </c>
      <c r="I69" s="889">
        <f t="shared" ca="1" si="36"/>
        <v>62539.830524534991</v>
      </c>
      <c r="J69" s="889">
        <f t="shared" ca="1" si="36"/>
        <v>42430.487774534995</v>
      </c>
      <c r="K69" s="889">
        <f t="shared" ca="1" si="36"/>
        <v>15449.035636299992</v>
      </c>
      <c r="L69" s="889">
        <f t="shared" ca="1" si="36"/>
        <v>2890.6327707000091</v>
      </c>
      <c r="M69" s="889">
        <f t="shared" ca="1" si="36"/>
        <v>5352.058384498283</v>
      </c>
      <c r="N69" s="889">
        <f t="shared" ca="1" si="36"/>
        <v>5231.7787844982831</v>
      </c>
      <c r="O69" s="889">
        <f t="shared" ca="1" si="36"/>
        <v>5251.7787844982831</v>
      </c>
      <c r="P69" s="889">
        <f t="shared" ca="1" si="36"/>
        <v>5251.7787844982831</v>
      </c>
      <c r="Q69" s="889">
        <f t="shared" ca="1" si="36"/>
        <v>5251.7787844982831</v>
      </c>
      <c r="R69" s="889">
        <f t="shared" ca="1" si="36"/>
        <v>3587.603681896559</v>
      </c>
      <c r="S69" s="889">
        <f t="shared" ca="1" si="36"/>
        <v>3747.603681896559</v>
      </c>
      <c r="T69" s="889">
        <f t="shared" ca="1" si="36"/>
        <v>3747.603681896559</v>
      </c>
      <c r="U69" s="889">
        <f t="shared" ca="1" si="36"/>
        <v>3747.603681896559</v>
      </c>
      <c r="V69" s="889">
        <f t="shared" ca="1" si="36"/>
        <v>3747.603681896559</v>
      </c>
      <c r="W69" s="889">
        <f t="shared" ca="1" si="36"/>
        <v>3747.603681896559</v>
      </c>
      <c r="X69" s="889">
        <f t="shared" ca="1" si="36"/>
        <v>3168.1956818965591</v>
      </c>
      <c r="Y69" s="889">
        <f t="shared" ca="1" si="36"/>
        <v>2553.546828268818</v>
      </c>
      <c r="Z69" s="889">
        <f t="shared" ca="1" si="36"/>
        <v>2433.2672282688181</v>
      </c>
      <c r="AA69" s="889">
        <f t="shared" ca="1" si="36"/>
        <v>2453.2672282688181</v>
      </c>
      <c r="AB69" s="889">
        <f t="shared" ca="1" si="36"/>
        <v>2453.2672282688181</v>
      </c>
      <c r="AC69" s="889">
        <f t="shared" ca="1" si="36"/>
        <v>2453.2672282688181</v>
      </c>
      <c r="AD69" s="889">
        <f t="shared" ca="1" si="36"/>
        <v>782.05037464107681</v>
      </c>
      <c r="AE69" s="889">
        <f t="shared" ca="1" si="36"/>
        <v>942.05037464107681</v>
      </c>
      <c r="AF69" s="889">
        <f t="shared" ca="1" si="36"/>
        <v>942.05037464107681</v>
      </c>
      <c r="AG69" s="889">
        <f t="shared" ca="1" si="36"/>
        <v>942.05037464107681</v>
      </c>
      <c r="AH69" s="889">
        <f t="shared" ca="1" si="36"/>
        <v>942.05037464107681</v>
      </c>
      <c r="AI69" s="889">
        <f t="shared" ca="1" si="36"/>
        <v>942.05037464107681</v>
      </c>
      <c r="AJ69" s="889">
        <f t="shared" ca="1" si="36"/>
        <v>21109.439974641078</v>
      </c>
      <c r="AK69" s="889">
        <f t="shared" ca="1" si="36"/>
        <v>20487.678952477061</v>
      </c>
      <c r="AL69" s="889">
        <f t="shared" ca="1" si="36"/>
        <v>20367.399352477059</v>
      </c>
      <c r="AM69" s="889">
        <f t="shared" ca="1" si="36"/>
        <v>20387.399352477059</v>
      </c>
      <c r="AN69" s="889">
        <f t="shared" ca="1" si="36"/>
        <v>20387.399352477059</v>
      </c>
      <c r="AO69" s="889">
        <f t="shared" ca="1" si="36"/>
        <v>20387.399352477059</v>
      </c>
      <c r="AP69" s="889">
        <f t="shared" ca="1" si="36"/>
        <v>18709.070330313039</v>
      </c>
      <c r="AQ69" s="835"/>
      <c r="AR69" s="835"/>
      <c r="AS69" s="835"/>
      <c r="AT69" s="836"/>
      <c r="AU69" s="835"/>
      <c r="AV69" s="835"/>
      <c r="AW69" s="835"/>
      <c r="AY69" s="835"/>
      <c r="AZ69" s="835"/>
      <c r="BA69" s="835"/>
      <c r="BB69" s="835"/>
      <c r="BC69" s="835"/>
      <c r="BD69" s="835"/>
      <c r="BE69" s="835"/>
      <c r="BF69" s="835"/>
      <c r="BG69" s="835"/>
      <c r="BH69" s="835"/>
      <c r="BI69" s="835"/>
      <c r="BJ69" s="835"/>
      <c r="BK69" s="835"/>
      <c r="BL69" s="835"/>
    </row>
    <row r="70" spans="2:64">
      <c r="B70" s="890"/>
      <c r="C70" s="890"/>
      <c r="D70" s="890"/>
      <c r="E70" s="890"/>
      <c r="F70" s="890"/>
      <c r="G70" s="891"/>
      <c r="H70" s="891"/>
      <c r="I70" s="891"/>
      <c r="J70" s="891"/>
      <c r="K70" s="891"/>
      <c r="L70" s="891"/>
      <c r="M70" s="891"/>
      <c r="N70" s="891"/>
      <c r="O70" s="891"/>
      <c r="P70" s="891"/>
      <c r="Q70" s="891"/>
      <c r="R70" s="891"/>
      <c r="S70" s="891"/>
      <c r="T70" s="891"/>
      <c r="U70" s="891"/>
      <c r="V70" s="891"/>
      <c r="W70" s="891"/>
      <c r="X70" s="891"/>
      <c r="Y70" s="891"/>
      <c r="Z70" s="891"/>
      <c r="AA70" s="891"/>
      <c r="AB70" s="891"/>
      <c r="AC70" s="891"/>
      <c r="AD70" s="891"/>
      <c r="AE70" s="891"/>
      <c r="AF70" s="891"/>
      <c r="AG70" s="891"/>
      <c r="AH70" s="891"/>
      <c r="AI70" s="891"/>
      <c r="AJ70" s="891"/>
      <c r="AK70" s="891"/>
      <c r="AL70" s="891"/>
      <c r="AM70" s="891"/>
      <c r="AN70" s="891"/>
      <c r="AO70" s="891"/>
      <c r="AP70" s="891"/>
      <c r="AQ70" s="892"/>
      <c r="AR70" s="892"/>
      <c r="AS70" s="892"/>
      <c r="AT70" s="836"/>
      <c r="AU70" s="892"/>
      <c r="AV70" s="892"/>
      <c r="AW70" s="892"/>
    </row>
    <row r="71" spans="2:64">
      <c r="B71" s="893" t="s">
        <v>1718</v>
      </c>
      <c r="C71" s="894"/>
      <c r="D71" s="885">
        <v>0.2</v>
      </c>
      <c r="E71" s="895"/>
      <c r="F71" s="500">
        <f>taux_tva/(1+taux_tva)</f>
        <v>0.16666666666666669</v>
      </c>
      <c r="H71" s="896"/>
      <c r="I71" s="896"/>
      <c r="AQ71" s="835"/>
      <c r="AR71" s="835"/>
      <c r="AS71" s="835"/>
      <c r="AT71" s="836"/>
      <c r="AU71" s="835"/>
      <c r="AV71" s="835"/>
      <c r="AW71" s="835"/>
      <c r="AX71" s="892"/>
      <c r="AY71" s="892"/>
      <c r="AZ71" s="892"/>
      <c r="BA71" s="892"/>
      <c r="BB71" s="892"/>
      <c r="BC71" s="892"/>
      <c r="BD71" s="892"/>
      <c r="BE71" s="892"/>
      <c r="BF71" s="892"/>
      <c r="BG71" s="892"/>
      <c r="BH71" s="892"/>
      <c r="BI71" s="892"/>
      <c r="BJ71" s="892"/>
      <c r="BK71" s="892"/>
      <c r="BL71" s="892"/>
    </row>
    <row r="73" spans="2:64" ht="19.649999999999999" customHeight="1"/>
  </sheetData>
  <mergeCells count="458">
    <mergeCell ref="B1:AP1"/>
    <mergeCell ref="AR4:AS4"/>
    <mergeCell ref="C5:F6"/>
    <mergeCell ref="B7:F7"/>
    <mergeCell ref="B10:B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V10:V11"/>
    <mergeCell ref="W10:W11"/>
    <mergeCell ref="X10:X11"/>
    <mergeCell ref="Y10:Y11"/>
    <mergeCell ref="Z10:Z11"/>
    <mergeCell ref="AA10:AA11"/>
    <mergeCell ref="AB10:AB11"/>
    <mergeCell ref="AC10:AC11"/>
    <mergeCell ref="AD10:AD11"/>
    <mergeCell ref="AE10:AE11"/>
    <mergeCell ref="AF10:AF11"/>
    <mergeCell ref="AG10:AG11"/>
    <mergeCell ref="AH10:AH11"/>
    <mergeCell ref="AI10:AI11"/>
    <mergeCell ref="AJ10:AJ11"/>
    <mergeCell ref="AK10:AK11"/>
    <mergeCell ref="AL10:AL11"/>
    <mergeCell ref="AM10:AM11"/>
    <mergeCell ref="AN10:AN11"/>
    <mergeCell ref="AO10:AO11"/>
    <mergeCell ref="AP10:AP11"/>
    <mergeCell ref="AR10:AR11"/>
    <mergeCell ref="AS10:AS11"/>
    <mergeCell ref="B12:B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AA12:AA13"/>
    <mergeCell ref="AB12:AB13"/>
    <mergeCell ref="AC12:AC13"/>
    <mergeCell ref="AD12:AD13"/>
    <mergeCell ref="AE12:AE13"/>
    <mergeCell ref="AF12:AF13"/>
    <mergeCell ref="AG12:AG13"/>
    <mergeCell ref="AH12:AH13"/>
    <mergeCell ref="AI12:AI13"/>
    <mergeCell ref="AJ12:AJ13"/>
    <mergeCell ref="AK12:AK13"/>
    <mergeCell ref="AL12:AL13"/>
    <mergeCell ref="AM12:AM13"/>
    <mergeCell ref="AN12:AN13"/>
    <mergeCell ref="AO12:AO13"/>
    <mergeCell ref="AP12:AP13"/>
    <mergeCell ref="AR12:AR13"/>
    <mergeCell ref="AS12:AS13"/>
    <mergeCell ref="B15:B16"/>
    <mergeCell ref="G15:G16"/>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AC15:AC16"/>
    <mergeCell ref="AD15:AD16"/>
    <mergeCell ref="AE15:AE16"/>
    <mergeCell ref="AF15:AF16"/>
    <mergeCell ref="AG15:AG16"/>
    <mergeCell ref="AH15:AH16"/>
    <mergeCell ref="AI15:AI16"/>
    <mergeCell ref="AJ15:AJ16"/>
    <mergeCell ref="AK15:AK16"/>
    <mergeCell ref="AL15:AL16"/>
    <mergeCell ref="AM15:AM16"/>
    <mergeCell ref="AN15:AN16"/>
    <mergeCell ref="AO15:AO16"/>
    <mergeCell ref="AP15:AP16"/>
    <mergeCell ref="AR15:AR16"/>
    <mergeCell ref="AS15:AS16"/>
    <mergeCell ref="AT15:AT16"/>
    <mergeCell ref="B19:F19"/>
    <mergeCell ref="B21:B22"/>
    <mergeCell ref="G21:G22"/>
    <mergeCell ref="H21:H22"/>
    <mergeCell ref="I21:I22"/>
    <mergeCell ref="J21:J22"/>
    <mergeCell ref="K21:K22"/>
    <mergeCell ref="L21:L22"/>
    <mergeCell ref="M21:M22"/>
    <mergeCell ref="N21:N22"/>
    <mergeCell ref="O21:O22"/>
    <mergeCell ref="P21:P22"/>
    <mergeCell ref="Q21:Q22"/>
    <mergeCell ref="R21:R22"/>
    <mergeCell ref="S21:S22"/>
    <mergeCell ref="T21:T22"/>
    <mergeCell ref="U21:U22"/>
    <mergeCell ref="V21:V22"/>
    <mergeCell ref="W21:W22"/>
    <mergeCell ref="X21:X22"/>
    <mergeCell ref="Y21:Y22"/>
    <mergeCell ref="Z21:Z22"/>
    <mergeCell ref="AA21:AA22"/>
    <mergeCell ref="AB21:AB22"/>
    <mergeCell ref="AC21:AC22"/>
    <mergeCell ref="AD21:AD22"/>
    <mergeCell ref="AE21:AE22"/>
    <mergeCell ref="AF21:AF22"/>
    <mergeCell ref="AP21:AP22"/>
    <mergeCell ref="AR21:AR22"/>
    <mergeCell ref="AS21:AS22"/>
    <mergeCell ref="AT21:AT22"/>
    <mergeCell ref="B23:B24"/>
    <mergeCell ref="G23:G24"/>
    <mergeCell ref="H23:H24"/>
    <mergeCell ref="I23:I24"/>
    <mergeCell ref="J23:J24"/>
    <mergeCell ref="K23:K24"/>
    <mergeCell ref="L23:L24"/>
    <mergeCell ref="M23:M24"/>
    <mergeCell ref="AR23:AR24"/>
    <mergeCell ref="AS23:AS24"/>
    <mergeCell ref="AT23:AT24"/>
    <mergeCell ref="AG21:AG22"/>
    <mergeCell ref="AH21:AH22"/>
    <mergeCell ref="AI21:AI22"/>
    <mergeCell ref="AJ21:AJ22"/>
    <mergeCell ref="AK21:AK22"/>
    <mergeCell ref="AL21:AL22"/>
    <mergeCell ref="AM21:AM22"/>
    <mergeCell ref="AN21:AN22"/>
    <mergeCell ref="AO21:AO22"/>
    <mergeCell ref="B25:B26"/>
    <mergeCell ref="G25:G26"/>
    <mergeCell ref="H25:H26"/>
    <mergeCell ref="I25:I26"/>
    <mergeCell ref="J25:J26"/>
    <mergeCell ref="K25:K26"/>
    <mergeCell ref="L25:L26"/>
    <mergeCell ref="M25:M26"/>
    <mergeCell ref="N25:N26"/>
    <mergeCell ref="O25:O26"/>
    <mergeCell ref="P25:P26"/>
    <mergeCell ref="Q25:Q26"/>
    <mergeCell ref="R25:R26"/>
    <mergeCell ref="S25:S26"/>
    <mergeCell ref="T25:T26"/>
    <mergeCell ref="U25:U26"/>
    <mergeCell ref="V25:V26"/>
    <mergeCell ref="W25:W26"/>
    <mergeCell ref="X25:X26"/>
    <mergeCell ref="Y25:Y26"/>
    <mergeCell ref="Z25:Z26"/>
    <mergeCell ref="AA25:AA26"/>
    <mergeCell ref="AB25:AB26"/>
    <mergeCell ref="AC25:AC26"/>
    <mergeCell ref="AD25:AD26"/>
    <mergeCell ref="AE25:AE26"/>
    <mergeCell ref="AF25:AF26"/>
    <mergeCell ref="AG25:AG26"/>
    <mergeCell ref="AH25:AH26"/>
    <mergeCell ref="AI25:AI26"/>
    <mergeCell ref="AJ25:AJ26"/>
    <mergeCell ref="AK25:AK26"/>
    <mergeCell ref="AL25:AL26"/>
    <mergeCell ref="AM25:AM26"/>
    <mergeCell ref="AN25:AN26"/>
    <mergeCell ref="AO25:AO26"/>
    <mergeCell ref="AP25:AP26"/>
    <mergeCell ref="AR25:AR26"/>
    <mergeCell ref="AS25:AS26"/>
    <mergeCell ref="AT25:AT26"/>
    <mergeCell ref="B27:B28"/>
    <mergeCell ref="G27:G28"/>
    <mergeCell ref="H27:H28"/>
    <mergeCell ref="I27:I28"/>
    <mergeCell ref="J27:J28"/>
    <mergeCell ref="K27:K28"/>
    <mergeCell ref="L27:L28"/>
    <mergeCell ref="M27:M28"/>
    <mergeCell ref="N27:N28"/>
    <mergeCell ref="O27:O28"/>
    <mergeCell ref="P27:P28"/>
    <mergeCell ref="Q27:Q28"/>
    <mergeCell ref="R27:R28"/>
    <mergeCell ref="S27:S28"/>
    <mergeCell ref="T27:T28"/>
    <mergeCell ref="U27:U28"/>
    <mergeCell ref="V27:V28"/>
    <mergeCell ref="W27:W28"/>
    <mergeCell ref="X27:X28"/>
    <mergeCell ref="Y27:Y28"/>
    <mergeCell ref="Z27:Z28"/>
    <mergeCell ref="AA27:AA28"/>
    <mergeCell ref="AB27:AB28"/>
    <mergeCell ref="AC27:AC28"/>
    <mergeCell ref="AD27:AD28"/>
    <mergeCell ref="AE27:AE28"/>
    <mergeCell ref="AF27:AF28"/>
    <mergeCell ref="AG27:AG28"/>
    <mergeCell ref="AH27:AH28"/>
    <mergeCell ref="AI27:AI28"/>
    <mergeCell ref="AJ27:AJ28"/>
    <mergeCell ref="AK27:AK28"/>
    <mergeCell ref="AL27:AL28"/>
    <mergeCell ref="AM27:AM28"/>
    <mergeCell ref="AN27:AN28"/>
    <mergeCell ref="AO27:AO28"/>
    <mergeCell ref="AP27:AP28"/>
    <mergeCell ref="AR27:AR28"/>
    <mergeCell ref="AS27:AS28"/>
    <mergeCell ref="AT27:AT28"/>
    <mergeCell ref="B29:B30"/>
    <mergeCell ref="G29:G30"/>
    <mergeCell ref="H29:H30"/>
    <mergeCell ref="I29:I30"/>
    <mergeCell ref="J29:J30"/>
    <mergeCell ref="K29:K30"/>
    <mergeCell ref="L29:L30"/>
    <mergeCell ref="M29:M30"/>
    <mergeCell ref="N29:N30"/>
    <mergeCell ref="O29:O30"/>
    <mergeCell ref="P29:P30"/>
    <mergeCell ref="Q29:Q30"/>
    <mergeCell ref="R29:R30"/>
    <mergeCell ref="S29:S30"/>
    <mergeCell ref="T29:T30"/>
    <mergeCell ref="U29:U30"/>
    <mergeCell ref="V29:V30"/>
    <mergeCell ref="W29:W30"/>
    <mergeCell ref="X29:X30"/>
    <mergeCell ref="Y29:Y30"/>
    <mergeCell ref="Z29:Z30"/>
    <mergeCell ref="AA29:AA30"/>
    <mergeCell ref="AB29:AB30"/>
    <mergeCell ref="AC29:AC30"/>
    <mergeCell ref="AD29:AD30"/>
    <mergeCell ref="AE29:AE30"/>
    <mergeCell ref="AF29:AF30"/>
    <mergeCell ref="AG29:AG30"/>
    <mergeCell ref="AH29:AH30"/>
    <mergeCell ref="AI29:AI30"/>
    <mergeCell ref="AJ29:AJ30"/>
    <mergeCell ref="AK29:AK30"/>
    <mergeCell ref="AL29:AL30"/>
    <mergeCell ref="AM29:AM30"/>
    <mergeCell ref="AN29:AN30"/>
    <mergeCell ref="AO29:AO30"/>
    <mergeCell ref="AP29:AP30"/>
    <mergeCell ref="AR29:AR30"/>
    <mergeCell ref="AS29:AS30"/>
    <mergeCell ref="AT29:AT30"/>
    <mergeCell ref="B31:B32"/>
    <mergeCell ref="G31:G32"/>
    <mergeCell ref="H31:H32"/>
    <mergeCell ref="I31:I32"/>
    <mergeCell ref="J31:J32"/>
    <mergeCell ref="K31:K32"/>
    <mergeCell ref="L31:L32"/>
    <mergeCell ref="M31:M32"/>
    <mergeCell ref="N31:N32"/>
    <mergeCell ref="O31:O32"/>
    <mergeCell ref="P31:P32"/>
    <mergeCell ref="Q31:Q32"/>
    <mergeCell ref="R31:R32"/>
    <mergeCell ref="S31:S32"/>
    <mergeCell ref="T31:T32"/>
    <mergeCell ref="U31:U32"/>
    <mergeCell ref="V31:V32"/>
    <mergeCell ref="W31:W32"/>
    <mergeCell ref="X31:X32"/>
    <mergeCell ref="Y31:Y32"/>
    <mergeCell ref="Z31:Z32"/>
    <mergeCell ref="AA31:AA32"/>
    <mergeCell ref="AB31:AB32"/>
    <mergeCell ref="AC31:AC32"/>
    <mergeCell ref="AD31:AD32"/>
    <mergeCell ref="AE31:AE32"/>
    <mergeCell ref="AF31:AF32"/>
    <mergeCell ref="AG31:AG32"/>
    <mergeCell ref="AH31:AH32"/>
    <mergeCell ref="AI31:AI32"/>
    <mergeCell ref="AJ31:AJ32"/>
    <mergeCell ref="AK31:AK32"/>
    <mergeCell ref="AL31:AL32"/>
    <mergeCell ref="AM31:AM32"/>
    <mergeCell ref="AN31:AN32"/>
    <mergeCell ref="AO31:AO32"/>
    <mergeCell ref="AP31:AP32"/>
    <mergeCell ref="AR31:AR32"/>
    <mergeCell ref="AS31:AS32"/>
    <mergeCell ref="AT31:AT32"/>
    <mergeCell ref="B36:B37"/>
    <mergeCell ref="E36:E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R36:AR37"/>
    <mergeCell ref="AS36:AS37"/>
    <mergeCell ref="AT36:AT37"/>
    <mergeCell ref="B38:B39"/>
    <mergeCell ref="E38:E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R38:AR39"/>
    <mergeCell ref="AS38:AS39"/>
    <mergeCell ref="AT38:AT39"/>
    <mergeCell ref="B42:B43"/>
    <mergeCell ref="E42:E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42:W43"/>
    <mergeCell ref="X42:X43"/>
    <mergeCell ref="Y42:Y43"/>
    <mergeCell ref="Z42:Z43"/>
    <mergeCell ref="AR42:AR43"/>
    <mergeCell ref="AS42:AS43"/>
    <mergeCell ref="AA42:AA43"/>
    <mergeCell ref="AB42:AB43"/>
    <mergeCell ref="AC42:AC43"/>
    <mergeCell ref="AD42:AD43"/>
    <mergeCell ref="AE42:AE43"/>
    <mergeCell ref="AF42:AF43"/>
    <mergeCell ref="AG42:AG43"/>
    <mergeCell ref="AH42:AH43"/>
    <mergeCell ref="AI42:AI43"/>
    <mergeCell ref="C59:F59"/>
    <mergeCell ref="B61:F61"/>
    <mergeCell ref="AJ42:AJ43"/>
    <mergeCell ref="AK42:AK43"/>
    <mergeCell ref="AL42:AL43"/>
    <mergeCell ref="AM42:AM43"/>
    <mergeCell ref="AN42:AN43"/>
    <mergeCell ref="AO42:AO43"/>
    <mergeCell ref="AP42:AP43"/>
  </mergeCells>
  <conditionalFormatting sqref="AT52">
    <cfRule type="iconSet" priority="7">
      <iconSet iconSet="3Symbols">
        <cfvo type="percent" val="0"/>
        <cfvo type="percent" val="33"/>
        <cfvo type="percent" val="67"/>
      </iconSet>
    </cfRule>
  </conditionalFormatting>
  <conditionalFormatting sqref="AT52">
    <cfRule type="iconSet" priority="6">
      <iconSet iconSet="3Symbols2">
        <cfvo type="percent" val="0"/>
        <cfvo type="percent" val="33"/>
        <cfvo type="percent" val="67"/>
      </iconSet>
    </cfRule>
  </conditionalFormatting>
  <conditionalFormatting sqref="AT48:AT50">
    <cfRule type="iconSet" priority="5">
      <iconSet iconSet="3Symbols">
        <cfvo type="percent" val="0"/>
        <cfvo type="percent" val="33"/>
        <cfvo type="percent" val="67"/>
      </iconSet>
    </cfRule>
  </conditionalFormatting>
  <conditionalFormatting sqref="AT48:AT50">
    <cfRule type="iconSet" priority="4">
      <iconSet iconSet="3Symbols2">
        <cfvo type="percent" val="0"/>
        <cfvo type="percent" val="33"/>
        <cfvo type="percent" val="67"/>
      </iconSet>
    </cfRule>
  </conditionalFormatting>
  <conditionalFormatting sqref="AT40:AT46">
    <cfRule type="iconSet" priority="3">
      <iconSet iconSet="3Symbols">
        <cfvo type="percent" val="0"/>
        <cfvo type="percent" val="33"/>
        <cfvo type="percent" val="67"/>
      </iconSet>
    </cfRule>
  </conditionalFormatting>
  <conditionalFormatting sqref="AT40:AT46">
    <cfRule type="iconSet" priority="2">
      <iconSet iconSet="3Symbols2">
        <cfvo type="percent" val="0"/>
        <cfvo type="percent" val="33"/>
        <cfvo type="percent" val="67"/>
      </iconSet>
    </cfRule>
  </conditionalFormatting>
  <conditionalFormatting sqref="AT52 AT48:AT50 AT40:AT46">
    <cfRule type="cellIs" dxfId="1" priority="9" operator="equal">
      <formula>"OK"</formula>
    </cfRule>
  </conditionalFormatting>
  <conditionalFormatting sqref="B69:AP70">
    <cfRule type="cellIs" dxfId="0" priority="8" operator="lessThanOrEqual">
      <formula>0</formula>
    </cfRule>
  </conditionalFormatting>
  <dataValidations count="1">
    <dataValidation type="list" operator="equal" allowBlank="1" showErrorMessage="1" sqref="C8">
      <formula1>$AX$4:$AX$41</formula1>
      <formula2>0</formula2>
    </dataValidation>
  </dataValidations>
  <printOptions gridLines="1"/>
  <pageMargins left="0.19652777777777802" right="0.19652777777777802" top="0.27569444444444402" bottom="0.98402777777777795" header="0.51180555555555496" footer="0.51180555555555496"/>
  <pageSetup paperSize="9" firstPageNumber="0" orientation="landscape" horizontalDpi="300" verticalDpi="30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4"/>
  <sheetViews>
    <sheetView tabSelected="1" workbookViewId="0">
      <selection activeCell="A4" sqref="A4"/>
    </sheetView>
  </sheetViews>
  <sheetFormatPr baseColWidth="10" defaultRowHeight="11.15"/>
  <sheetData>
    <row r="2" spans="1:14">
      <c r="B2" t="s">
        <v>2096</v>
      </c>
      <c r="C2" t="s">
        <v>2097</v>
      </c>
    </row>
    <row r="4" spans="1:14">
      <c r="A4" t="s">
        <v>2102</v>
      </c>
      <c r="M4" t="s">
        <v>2100</v>
      </c>
    </row>
    <row r="5" spans="1:14" ht="11.8" thickBot="1">
      <c r="A5" s="965">
        <v>0.4</v>
      </c>
      <c r="G5" t="s">
        <v>2098</v>
      </c>
      <c r="J5" t="s">
        <v>2099</v>
      </c>
      <c r="K5" s="965"/>
      <c r="M5" t="s">
        <v>2098</v>
      </c>
      <c r="N5" s="965"/>
    </row>
    <row r="6" spans="1:14" ht="47.8" thickBot="1">
      <c r="B6" s="1005" t="s">
        <v>474</v>
      </c>
      <c r="C6" s="1005"/>
      <c r="D6" s="1005"/>
      <c r="E6" s="1005"/>
      <c r="F6" s="387" t="s">
        <v>490</v>
      </c>
      <c r="G6" s="388" t="s">
        <v>2101</v>
      </c>
      <c r="H6" s="388" t="s">
        <v>492</v>
      </c>
      <c r="J6" s="388" t="s">
        <v>2101</v>
      </c>
      <c r="K6" s="388" t="s">
        <v>492</v>
      </c>
      <c r="M6" s="388" t="s">
        <v>2101</v>
      </c>
      <c r="N6" s="388" t="s">
        <v>492</v>
      </c>
    </row>
    <row r="7" spans="1:14" ht="15.75">
      <c r="B7" s="1006" t="s">
        <v>477</v>
      </c>
      <c r="C7" s="1006"/>
      <c r="D7" s="1006"/>
      <c r="E7" s="1006"/>
      <c r="F7" s="389">
        <v>-14243.455346783767</v>
      </c>
      <c r="G7" s="373">
        <v>-9879.2768273936308</v>
      </c>
      <c r="H7" s="390">
        <v>4364.178519390136</v>
      </c>
      <c r="J7" s="373">
        <v>-17532.819204841249</v>
      </c>
      <c r="K7" s="390">
        <v>-3289.3638580574825</v>
      </c>
      <c r="M7" s="373">
        <v>-18449.663240077374</v>
      </c>
      <c r="N7" s="390">
        <v>-4206.2078932936074</v>
      </c>
    </row>
    <row r="8" spans="1:14" ht="15.75">
      <c r="B8" s="1006" t="s">
        <v>480</v>
      </c>
      <c r="C8" s="1006"/>
      <c r="D8" s="1006"/>
      <c r="E8" s="1006"/>
      <c r="F8" s="391">
        <v>-6.5361289713064319E-2</v>
      </c>
      <c r="G8" s="374">
        <v>4.3701494452347944E-2</v>
      </c>
      <c r="H8" s="392" t="s">
        <v>230</v>
      </c>
      <c r="J8" s="374">
        <v>4.0009645983328124E-2</v>
      </c>
      <c r="K8" s="392" t="s">
        <v>230</v>
      </c>
      <c r="M8" s="374">
        <v>4.0487523524778357E-2</v>
      </c>
      <c r="N8" s="392" t="s">
        <v>230</v>
      </c>
    </row>
    <row r="9" spans="1:14" ht="15.75">
      <c r="B9" s="1006" t="s">
        <v>481</v>
      </c>
      <c r="C9" s="1006"/>
      <c r="D9" s="1006"/>
      <c r="E9" s="1006"/>
      <c r="F9" s="396">
        <v>0.10335489031739442</v>
      </c>
      <c r="G9" s="376">
        <v>4.3165715195227383E-2</v>
      </c>
      <c r="H9" s="392">
        <v>-6.0189175122167038E-2</v>
      </c>
      <c r="J9" s="376">
        <v>3.9668723940147643E-2</v>
      </c>
      <c r="K9" s="392">
        <v>-6.3686166377246778E-2</v>
      </c>
      <c r="M9" s="376">
        <v>4.0360212373715232E-2</v>
      </c>
      <c r="N9" s="392">
        <v>-6.2994677943679189E-2</v>
      </c>
    </row>
    <row r="10" spans="1:14" ht="15.75">
      <c r="B10" s="1006" t="s">
        <v>482</v>
      </c>
      <c r="C10" s="1006"/>
      <c r="D10" s="1006"/>
      <c r="E10" s="1006"/>
      <c r="F10" s="391">
        <v>5.0642867484253741E-3</v>
      </c>
      <c r="G10" s="374">
        <v>1.5895951534625127E-2</v>
      </c>
      <c r="H10" s="392">
        <v>1.0831664786199752E-2</v>
      </c>
      <c r="J10" s="374">
        <v>1.3741069545798103E-2</v>
      </c>
      <c r="K10" s="392">
        <v>8.6767827973727278E-3</v>
      </c>
      <c r="M10" s="374">
        <v>1.1997935873676143E-2</v>
      </c>
      <c r="N10" s="392">
        <v>6.933649125250769E-3</v>
      </c>
    </row>
    <row r="11" spans="1:14" ht="15.75">
      <c r="B11" s="1006" t="s">
        <v>484</v>
      </c>
      <c r="C11" s="1006"/>
      <c r="D11" s="1006"/>
      <c r="E11" s="1006"/>
      <c r="F11" s="397">
        <v>3.0582655022798437E-3</v>
      </c>
      <c r="G11" s="134">
        <v>1.253058184851003E-2</v>
      </c>
      <c r="H11" s="392">
        <v>9.4723163462301866E-3</v>
      </c>
      <c r="J11" s="134">
        <v>1.0512036986359889E-2</v>
      </c>
      <c r="K11" s="392">
        <v>7.4537714840800448E-3</v>
      </c>
      <c r="M11" s="134">
        <v>9.353589996229747E-3</v>
      </c>
      <c r="N11" s="392">
        <v>6.2953244939499033E-3</v>
      </c>
    </row>
    <row r="12" spans="1:14" ht="15.75">
      <c r="B12" s="1006" t="s">
        <v>486</v>
      </c>
      <c r="C12" s="1006"/>
      <c r="D12" s="1006"/>
      <c r="E12" s="1006"/>
      <c r="F12" s="398">
        <v>21</v>
      </c>
      <c r="G12" s="381">
        <v>21</v>
      </c>
      <c r="H12" s="399" t="s">
        <v>230</v>
      </c>
      <c r="J12" s="381">
        <v>21</v>
      </c>
      <c r="K12" s="399" t="s">
        <v>230</v>
      </c>
      <c r="M12" s="381">
        <v>21</v>
      </c>
      <c r="N12" s="399" t="s">
        <v>230</v>
      </c>
    </row>
    <row r="13" spans="1:14" ht="16.399999999999999" thickBot="1">
      <c r="B13" s="1003" t="s">
        <v>488</v>
      </c>
      <c r="C13" s="1003"/>
      <c r="D13" s="1003"/>
      <c r="E13" s="1003"/>
      <c r="F13" s="400">
        <v>2.7884975694179798E-3</v>
      </c>
      <c r="G13" s="385">
        <v>8.4839399730605204E-3</v>
      </c>
      <c r="H13" s="401">
        <v>5.6954424036425406E-3</v>
      </c>
      <c r="J13" s="385">
        <v>7.3857671446202833E-3</v>
      </c>
      <c r="K13" s="401">
        <v>4.5972695752023035E-3</v>
      </c>
      <c r="M13" s="385">
        <v>6.3376145898287909E-3</v>
      </c>
      <c r="N13" s="401">
        <v>3.5491170204108111E-3</v>
      </c>
    </row>
    <row r="15" spans="1:14">
      <c r="M15" t="s">
        <v>2100</v>
      </c>
    </row>
    <row r="16" spans="1:14" ht="11.8" thickBot="1">
      <c r="A16" s="965">
        <v>0.6</v>
      </c>
      <c r="G16" t="s">
        <v>2098</v>
      </c>
      <c r="J16" t="s">
        <v>2099</v>
      </c>
      <c r="M16" t="s">
        <v>2098</v>
      </c>
    </row>
    <row r="17" spans="2:14" ht="47.8" thickBot="1">
      <c r="B17" s="1005" t="s">
        <v>474</v>
      </c>
      <c r="C17" s="1005"/>
      <c r="D17" s="1005"/>
      <c r="E17" s="1005"/>
      <c r="F17" s="387" t="s">
        <v>490</v>
      </c>
      <c r="G17" s="388" t="s">
        <v>2101</v>
      </c>
      <c r="H17" s="388" t="s">
        <v>492</v>
      </c>
      <c r="J17" s="388" t="s">
        <v>2101</v>
      </c>
      <c r="K17" s="388" t="s">
        <v>492</v>
      </c>
      <c r="M17" s="388" t="s">
        <v>2101</v>
      </c>
      <c r="N17" s="388" t="s">
        <v>492</v>
      </c>
    </row>
    <row r="18" spans="2:14" ht="15.75">
      <c r="B18" s="1006" t="s">
        <v>477</v>
      </c>
      <c r="C18" s="1006"/>
      <c r="D18" s="1006"/>
      <c r="E18" s="1006"/>
      <c r="F18" s="389">
        <v>-14243.455346783767</v>
      </c>
      <c r="G18" s="373">
        <v>-5117.3676415756499</v>
      </c>
      <c r="H18" s="390">
        <v>9126.0877052081159</v>
      </c>
      <c r="J18" s="373">
        <v>-12754.40058586168</v>
      </c>
      <c r="K18" s="390">
        <v>1489.0547609220866</v>
      </c>
      <c r="M18" s="373">
        <v>-13711.934271382863</v>
      </c>
      <c r="N18" s="390">
        <v>531.52107540090401</v>
      </c>
    </row>
    <row r="19" spans="2:14" ht="15.75">
      <c r="B19" s="1006" t="s">
        <v>480</v>
      </c>
      <c r="C19" s="1006"/>
      <c r="D19" s="1006"/>
      <c r="E19" s="1006"/>
      <c r="F19" s="391">
        <v>-6.5361289713064319E-2</v>
      </c>
      <c r="G19" s="374">
        <v>4.6459598584219775E-2</v>
      </c>
      <c r="H19" s="392" t="s">
        <v>230</v>
      </c>
      <c r="J19" s="374">
        <v>4.2630192865048766E-2</v>
      </c>
      <c r="K19" s="392" t="s">
        <v>230</v>
      </c>
      <c r="M19" s="374">
        <v>4.3250324249366257E-2</v>
      </c>
      <c r="N19" s="392" t="s">
        <v>230</v>
      </c>
    </row>
    <row r="20" spans="2:14" ht="15.75">
      <c r="B20" s="1006" t="s">
        <v>481</v>
      </c>
      <c r="C20" s="1006"/>
      <c r="D20" s="1006"/>
      <c r="E20" s="1006"/>
      <c r="F20" s="396">
        <v>0.10335489031739442</v>
      </c>
      <c r="G20" s="376">
        <v>4.6184280680860335E-2</v>
      </c>
      <c r="H20" s="392">
        <v>-5.7170609636534087E-2</v>
      </c>
      <c r="J20" s="376">
        <v>4.2424651308728967E-2</v>
      </c>
      <c r="K20" s="392">
        <v>-6.0930239008665454E-2</v>
      </c>
      <c r="M20" s="376">
        <v>4.3326794629328313E-2</v>
      </c>
      <c r="N20" s="392">
        <v>-6.0028095688066108E-2</v>
      </c>
    </row>
    <row r="21" spans="2:14" ht="15.75">
      <c r="B21" s="1006" t="s">
        <v>482</v>
      </c>
      <c r="C21" s="1006"/>
      <c r="D21" s="1006"/>
      <c r="E21" s="1006"/>
      <c r="F21" s="391">
        <v>5.0642867484253741E-3</v>
      </c>
      <c r="G21" s="374">
        <v>1.6659837379236517E-2</v>
      </c>
      <c r="H21" s="392">
        <v>1.1595550630811143E-2</v>
      </c>
      <c r="J21" s="374">
        <v>1.4515630032234772E-2</v>
      </c>
      <c r="K21" s="392">
        <v>9.4513432838093971E-3</v>
      </c>
      <c r="M21" s="374">
        <v>1.2760418975851147E-2</v>
      </c>
      <c r="N21" s="392">
        <v>7.6961322274257732E-3</v>
      </c>
    </row>
    <row r="22" spans="2:14" ht="15.75">
      <c r="B22" s="1006" t="s">
        <v>484</v>
      </c>
      <c r="C22" s="1006"/>
      <c r="D22" s="1006"/>
      <c r="E22" s="1006"/>
      <c r="F22" s="397">
        <v>3.0582655022798437E-3</v>
      </c>
      <c r="G22" s="134">
        <v>1.3760403277954055E-2</v>
      </c>
      <c r="H22" s="392">
        <v>1.0702137775674211E-2</v>
      </c>
      <c r="J22" s="134">
        <v>1.1583803223816419E-2</v>
      </c>
      <c r="K22" s="392">
        <v>8.525537721536575E-3</v>
      </c>
      <c r="M22" s="134">
        <v>1.0384781641504087E-2</v>
      </c>
      <c r="N22" s="392">
        <v>7.3265161392242432E-3</v>
      </c>
    </row>
    <row r="23" spans="2:14" ht="15.75">
      <c r="B23" s="1006" t="s">
        <v>486</v>
      </c>
      <c r="C23" s="1006"/>
      <c r="D23" s="1006"/>
      <c r="E23" s="1006"/>
      <c r="F23" s="398">
        <v>21</v>
      </c>
      <c r="G23" s="381">
        <v>21</v>
      </c>
      <c r="H23" s="399" t="s">
        <v>230</v>
      </c>
      <c r="J23" s="381">
        <v>21</v>
      </c>
      <c r="K23" s="399" t="s">
        <v>230</v>
      </c>
      <c r="M23" s="381">
        <v>21</v>
      </c>
      <c r="N23" s="399" t="s">
        <v>230</v>
      </c>
    </row>
    <row r="24" spans="2:14" ht="16.399999999999999" thickBot="1">
      <c r="B24" s="1003" t="s">
        <v>488</v>
      </c>
      <c r="C24" s="1003"/>
      <c r="D24" s="1003"/>
      <c r="E24" s="1003"/>
      <c r="F24" s="400">
        <v>2.7884975694179798E-3</v>
      </c>
      <c r="G24" s="385">
        <v>8.8477671375214121E-3</v>
      </c>
      <c r="H24" s="401">
        <v>6.0592695681034323E-3</v>
      </c>
      <c r="J24" s="385">
        <v>7.7547202939666398E-3</v>
      </c>
      <c r="K24" s="401">
        <v>4.96622272454866E-3</v>
      </c>
      <c r="M24" s="385">
        <v>6.7006693762493574E-3</v>
      </c>
      <c r="N24" s="401">
        <v>3.9121718068313776E-3</v>
      </c>
    </row>
  </sheetData>
  <mergeCells count="16">
    <mergeCell ref="B11:E11"/>
    <mergeCell ref="B6:E6"/>
    <mergeCell ref="B7:E7"/>
    <mergeCell ref="B8:E8"/>
    <mergeCell ref="B9:E9"/>
    <mergeCell ref="B10:E10"/>
    <mergeCell ref="B21:E21"/>
    <mergeCell ref="B22:E22"/>
    <mergeCell ref="B23:E23"/>
    <mergeCell ref="B24:E24"/>
    <mergeCell ref="B12:E12"/>
    <mergeCell ref="B13:E13"/>
    <mergeCell ref="B17:E17"/>
    <mergeCell ref="B18:E18"/>
    <mergeCell ref="B19:E19"/>
    <mergeCell ref="B20:E2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0"/>
  <sheetViews>
    <sheetView zoomScale="95" workbookViewId="0">
      <selection activeCell="B29" activeCellId="1" sqref="G16 B29"/>
    </sheetView>
  </sheetViews>
  <sheetFormatPr baseColWidth="10" defaultColWidth="10.140625" defaultRowHeight="19"/>
  <cols>
    <col min="1" max="1" width="3.42578125" style="897" customWidth="1"/>
    <col min="2" max="2" width="177.140625" style="897" customWidth="1"/>
    <col min="3" max="4" width="11.28515625" style="897" customWidth="1"/>
    <col min="5" max="5" width="17.140625" style="897" customWidth="1"/>
    <col min="6" max="64" width="11.28515625" style="897" customWidth="1"/>
  </cols>
  <sheetData>
    <row r="1" spans="1:64">
      <c r="A1" s="898" t="s">
        <v>1</v>
      </c>
      <c r="B1" s="899"/>
    </row>
    <row r="2" spans="1:64">
      <c r="A2" s="900"/>
      <c r="B2" s="901" t="s">
        <v>1719</v>
      </c>
    </row>
    <row r="3" spans="1:64">
      <c r="A3" s="900"/>
      <c r="B3" s="901" t="s">
        <v>1720</v>
      </c>
    </row>
    <row r="4" spans="1:64">
      <c r="A4" s="900"/>
      <c r="B4" s="901" t="s">
        <v>1721</v>
      </c>
    </row>
    <row r="5" spans="1:64">
      <c r="A5" s="902"/>
      <c r="B5" s="903" t="s">
        <v>1722</v>
      </c>
    </row>
    <row r="7" spans="1:64">
      <c r="A7" s="904" t="s">
        <v>1723</v>
      </c>
      <c r="B7" s="904"/>
      <c r="C7" s="110"/>
      <c r="D7" s="110"/>
      <c r="E7" s="905"/>
      <c r="F7" s="905"/>
      <c r="G7" s="905"/>
      <c r="H7" s="905"/>
      <c r="I7" s="905"/>
      <c r="J7" s="905"/>
      <c r="K7" s="905"/>
      <c r="L7" s="905"/>
      <c r="M7" s="905"/>
      <c r="N7" s="905"/>
      <c r="O7" s="905"/>
      <c r="P7" s="905"/>
      <c r="Q7" s="905"/>
      <c r="R7" s="905"/>
      <c r="S7" s="905"/>
      <c r="T7" s="905"/>
      <c r="U7" s="905"/>
      <c r="V7" s="905"/>
      <c r="W7" s="905"/>
      <c r="X7" s="905"/>
      <c r="Y7" s="905"/>
      <c r="Z7" s="905"/>
      <c r="AA7" s="905"/>
      <c r="AB7" s="905"/>
      <c r="AC7" s="905"/>
      <c r="AD7" s="905"/>
      <c r="AE7" s="905"/>
      <c r="AF7" s="905"/>
      <c r="AG7" s="905"/>
      <c r="AH7" s="905"/>
      <c r="AI7" s="905"/>
      <c r="AJ7" s="905"/>
      <c r="AK7" s="905"/>
      <c r="AL7" s="905"/>
      <c r="AM7" s="905"/>
      <c r="AN7" s="905"/>
      <c r="AO7" s="905"/>
      <c r="AP7" s="905"/>
      <c r="AQ7" s="905"/>
      <c r="AR7" s="905"/>
      <c r="AS7" s="905"/>
      <c r="AT7" s="905"/>
      <c r="AU7" s="905"/>
      <c r="AV7" s="905"/>
      <c r="AW7" s="905"/>
      <c r="AX7" s="905"/>
      <c r="AY7" s="905"/>
      <c r="AZ7" s="905"/>
      <c r="BA7" s="905"/>
      <c r="BB7" s="905"/>
      <c r="BC7" s="905"/>
      <c r="BD7" s="905"/>
      <c r="BE7" s="905"/>
      <c r="BF7" s="905"/>
      <c r="BG7" s="905"/>
      <c r="BH7" s="905"/>
      <c r="BI7" s="905"/>
      <c r="BJ7" s="905"/>
      <c r="BK7" s="905"/>
      <c r="BL7" s="905"/>
    </row>
    <row r="8" spans="1:64" ht="15.75">
      <c r="A8" s="1097">
        <v>1</v>
      </c>
      <c r="B8" s="110" t="s">
        <v>1724</v>
      </c>
      <c r="C8" s="35"/>
      <c r="D8" s="35"/>
      <c r="E8" s="35"/>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row>
    <row r="9" spans="1:64" ht="15.75">
      <c r="A9" s="1097"/>
      <c r="B9" s="110" t="s">
        <v>1725</v>
      </c>
      <c r="C9" s="35"/>
      <c r="D9" s="35"/>
      <c r="E9" s="35"/>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row>
    <row r="10" spans="1:64">
      <c r="A10" s="1097"/>
      <c r="B10" s="906" t="s">
        <v>1726</v>
      </c>
      <c r="C10" s="35"/>
      <c r="D10" s="35"/>
      <c r="E10" s="35"/>
    </row>
    <row r="11" spans="1:64">
      <c r="C11" s="35"/>
      <c r="D11" s="35"/>
      <c r="E11" s="35"/>
    </row>
    <row r="12" spans="1:64">
      <c r="A12" s="907" t="s">
        <v>1727</v>
      </c>
      <c r="B12" s="907"/>
      <c r="C12" s="35"/>
      <c r="D12" s="35"/>
      <c r="E12" s="35"/>
      <c r="F12" s="905"/>
      <c r="G12" s="905"/>
      <c r="H12" s="905"/>
      <c r="I12" s="905"/>
      <c r="J12" s="905"/>
      <c r="K12" s="905"/>
      <c r="L12" s="905"/>
      <c r="M12" s="905"/>
      <c r="N12" s="905"/>
      <c r="O12" s="905"/>
      <c r="P12" s="905"/>
      <c r="Q12" s="905"/>
      <c r="R12" s="905"/>
      <c r="S12" s="905"/>
      <c r="T12" s="905"/>
      <c r="U12" s="905"/>
      <c r="V12" s="905"/>
      <c r="W12" s="905"/>
      <c r="X12" s="905"/>
      <c r="Y12" s="905"/>
      <c r="Z12" s="905"/>
      <c r="AA12" s="905"/>
      <c r="AB12" s="905"/>
      <c r="AC12" s="905"/>
      <c r="AD12" s="905"/>
      <c r="AE12" s="905"/>
      <c r="AF12" s="905"/>
      <c r="AG12" s="905"/>
      <c r="AH12" s="905"/>
      <c r="AI12" s="905"/>
      <c r="AJ12" s="905"/>
      <c r="AK12" s="905"/>
      <c r="AL12" s="905"/>
      <c r="AM12" s="905"/>
      <c r="AN12" s="905"/>
      <c r="AO12" s="905"/>
      <c r="AP12" s="905"/>
      <c r="AQ12" s="905"/>
      <c r="AR12" s="905"/>
      <c r="AS12" s="905"/>
      <c r="AT12" s="905"/>
      <c r="AU12" s="905"/>
      <c r="AV12" s="905"/>
      <c r="AW12" s="905"/>
      <c r="AX12" s="905"/>
      <c r="AY12" s="905"/>
      <c r="AZ12" s="905"/>
      <c r="BA12" s="905"/>
      <c r="BB12" s="905"/>
      <c r="BC12" s="905"/>
      <c r="BD12" s="905"/>
      <c r="BE12" s="905"/>
      <c r="BF12" s="905"/>
      <c r="BG12" s="905"/>
      <c r="BH12" s="905"/>
      <c r="BI12" s="905"/>
      <c r="BJ12" s="905"/>
      <c r="BK12" s="905"/>
      <c r="BL12" s="905"/>
    </row>
    <row r="13" spans="1:64" ht="15.75">
      <c r="A13" s="1098">
        <v>2</v>
      </c>
      <c r="B13" s="35" t="s">
        <v>1728</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row>
    <row r="14" spans="1:64" ht="16.55" customHeight="1">
      <c r="A14" s="1098"/>
      <c r="B14" s="35" t="s">
        <v>1729</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row>
    <row r="15" spans="1:64" ht="31.45">
      <c r="A15" s="1098"/>
      <c r="B15" s="35" t="s">
        <v>1730</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row>
    <row r="16" spans="1:64" ht="31.45">
      <c r="A16" s="1098"/>
      <c r="B16" s="35" t="s">
        <v>1731</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row>
    <row r="17" spans="1:64" ht="15.75">
      <c r="A17" s="1098"/>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row>
    <row r="18" spans="1:64" ht="15.75">
      <c r="A18" s="1098"/>
      <c r="B18" s="35" t="s">
        <v>1732</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row>
    <row r="19" spans="1:64" ht="31.45">
      <c r="A19" s="1098"/>
      <c r="B19" s="908" t="s">
        <v>1733</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row>
    <row r="20" spans="1:64" ht="31.45">
      <c r="A20" s="1098"/>
      <c r="B20" s="908" t="s">
        <v>1734</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row>
    <row r="21" spans="1:64" ht="47.15">
      <c r="A21" s="1098"/>
      <c r="B21" s="908" t="s">
        <v>1735</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row>
    <row r="22" spans="1:64" ht="31.45">
      <c r="A22" s="1098"/>
      <c r="B22" s="908" t="s">
        <v>1736</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row>
    <row r="23" spans="1:64" ht="15.75">
      <c r="A23" s="1098"/>
      <c r="B23" s="21" t="s">
        <v>1737</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row>
    <row r="24" spans="1:64" ht="15.75">
      <c r="A24" s="1098"/>
      <c r="B24" s="21" t="s">
        <v>1738</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row>
    <row r="25" spans="1:64" ht="31.45">
      <c r="A25" s="1098"/>
      <c r="B25" s="908" t="s">
        <v>1739</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row>
    <row r="26" spans="1:64" ht="15.75">
      <c r="A26" s="1098"/>
      <c r="B26" s="35" t="s">
        <v>1740</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row>
    <row r="27" spans="1:64" ht="19.649999999999999" customHeight="1">
      <c r="A27" s="1098"/>
      <c r="B27" s="35" t="s">
        <v>1741</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row>
    <row r="28" spans="1:64" ht="15.75">
      <c r="A28" s="1098"/>
      <c r="B28" s="35" t="s">
        <v>1742</v>
      </c>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row>
    <row r="29" spans="1:64" ht="31.45">
      <c r="A29" s="1098"/>
      <c r="B29" s="908" t="s">
        <v>1743</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row>
    <row r="30" spans="1:64" ht="31.45">
      <c r="A30" s="1098"/>
      <c r="B30" s="908" t="s">
        <v>1744</v>
      </c>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row>
    <row r="31" spans="1:64" ht="15.75">
      <c r="A31" s="1098"/>
      <c r="B31" s="35" t="s">
        <v>1745</v>
      </c>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row>
    <row r="32" spans="1:64" ht="47.15">
      <c r="A32" s="1098"/>
      <c r="B32" s="908" t="s">
        <v>1746</v>
      </c>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row>
    <row r="33" spans="1:64" ht="36" customHeight="1">
      <c r="A33" s="1098"/>
      <c r="B33" s="908" t="s">
        <v>1747</v>
      </c>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row>
    <row r="34" spans="1:64" ht="62.85">
      <c r="A34" s="1098"/>
      <c r="B34" s="908" t="s">
        <v>1748</v>
      </c>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row>
    <row r="35" spans="1:64" ht="15.75">
      <c r="A35" s="1098"/>
      <c r="B35" s="908"/>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row>
    <row r="36" spans="1:64">
      <c r="A36" s="1098"/>
      <c r="B36" s="35" t="s">
        <v>1749</v>
      </c>
    </row>
    <row r="37" spans="1:64">
      <c r="A37" s="1098"/>
      <c r="B37" s="35" t="s">
        <v>1750</v>
      </c>
    </row>
    <row r="38" spans="1:64" ht="16.55" customHeight="1">
      <c r="A38" s="1098"/>
      <c r="B38" s="35" t="s">
        <v>1751</v>
      </c>
    </row>
    <row r="39" spans="1:64" ht="15.75">
      <c r="A39" s="110"/>
      <c r="B39" s="110"/>
      <c r="C39" s="35"/>
      <c r="D39" s="35"/>
      <c r="E39" s="35"/>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row>
    <row r="40" spans="1:64">
      <c r="A40" s="909" t="s">
        <v>1752</v>
      </c>
      <c r="B40" s="909"/>
      <c r="C40" s="35"/>
      <c r="D40" s="35"/>
      <c r="E40" s="35"/>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row>
    <row r="41" spans="1:64" ht="31.45">
      <c r="A41" s="1099">
        <v>3</v>
      </c>
      <c r="B41" s="35" t="s">
        <v>1753</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row>
    <row r="42" spans="1:64" ht="31.45">
      <c r="A42" s="1099"/>
      <c r="B42" s="35" t="s">
        <v>1754</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row>
    <row r="43" spans="1:64" ht="15.75">
      <c r="A43" s="1099"/>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row>
    <row r="44" spans="1:64" ht="15.75">
      <c r="A44" s="1099"/>
      <c r="B44" s="35" t="s">
        <v>1755</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row>
    <row r="45" spans="1:64" ht="15.75">
      <c r="A45" s="1099"/>
      <c r="B45" s="908" t="s">
        <v>1756</v>
      </c>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row>
    <row r="46" spans="1:64" ht="15.75">
      <c r="A46" s="1099"/>
      <c r="B46" s="908" t="s">
        <v>1757</v>
      </c>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row>
    <row r="47" spans="1:64" ht="15.75">
      <c r="A47" s="1099"/>
      <c r="B47" s="908" t="s">
        <v>1758</v>
      </c>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row>
    <row r="48" spans="1:64" ht="15.75">
      <c r="A48" s="1099"/>
      <c r="B48" s="908" t="s">
        <v>1759</v>
      </c>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row>
    <row r="49" spans="1:64" ht="15.75">
      <c r="A49" s="1099"/>
      <c r="B49" s="35" t="s">
        <v>1760</v>
      </c>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row>
    <row r="50" spans="1:64" ht="31.45">
      <c r="A50" s="1099"/>
      <c r="B50" s="908" t="s">
        <v>1761</v>
      </c>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row>
    <row r="51" spans="1:64" ht="15.75">
      <c r="A51" s="1099"/>
      <c r="B51" s="908" t="s">
        <v>1762</v>
      </c>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row>
    <row r="52" spans="1:64" ht="15.75">
      <c r="A52" s="1099"/>
      <c r="B52" s="35" t="s">
        <v>1763</v>
      </c>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row>
    <row r="53" spans="1:64" ht="15.75">
      <c r="A53" s="1099"/>
      <c r="B53" s="908" t="s">
        <v>1764</v>
      </c>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row>
    <row r="54" spans="1:64" ht="15.75">
      <c r="A54" s="1099"/>
      <c r="B54" s="908" t="s">
        <v>1765</v>
      </c>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row>
    <row r="55" spans="1:64" ht="15.75">
      <c r="A55" s="1099"/>
      <c r="B55" s="35" t="s">
        <v>1766</v>
      </c>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row>
    <row r="56" spans="1:64" ht="15.75">
      <c r="A56" s="1099"/>
      <c r="B56" s="908" t="s">
        <v>1767</v>
      </c>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row>
    <row r="57" spans="1:64" ht="47.15">
      <c r="A57" s="1099"/>
      <c r="B57" s="908" t="s">
        <v>1768</v>
      </c>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row>
    <row r="58" spans="1:64" ht="15.75">
      <c r="A58" s="1099"/>
      <c r="B58" s="908" t="s">
        <v>1769</v>
      </c>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row>
    <row r="59" spans="1:64" ht="15.75">
      <c r="A59" s="1099"/>
      <c r="B59" s="35" t="s">
        <v>1770</v>
      </c>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row>
    <row r="60" spans="1:64" ht="15.75">
      <c r="A60" s="1099"/>
      <c r="B60" s="908" t="s">
        <v>1771</v>
      </c>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row>
    <row r="61" spans="1:64" ht="15.75">
      <c r="A61" s="1099"/>
      <c r="B61" s="908" t="s">
        <v>1772</v>
      </c>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row>
    <row r="62" spans="1:64" ht="31.45">
      <c r="A62" s="1099"/>
      <c r="B62" s="908" t="s">
        <v>1773</v>
      </c>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row>
    <row r="63" spans="1:64" ht="15.75">
      <c r="A63" s="1099"/>
      <c r="B63" s="35" t="s">
        <v>1774</v>
      </c>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row>
    <row r="64" spans="1:64" ht="31.45">
      <c r="A64" s="1099"/>
      <c r="B64" s="908" t="s">
        <v>1775</v>
      </c>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row>
    <row r="65" spans="1:64" ht="15.75">
      <c r="A65" s="1099"/>
      <c r="B65" s="908" t="s">
        <v>1776</v>
      </c>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row>
    <row r="66" spans="1:64">
      <c r="A66" s="1099"/>
      <c r="B66" s="35" t="s">
        <v>1777</v>
      </c>
    </row>
    <row r="67" spans="1:64" ht="47.15">
      <c r="A67" s="1099"/>
      <c r="B67" s="908" t="s">
        <v>1778</v>
      </c>
    </row>
    <row r="68" spans="1:64" ht="31.45">
      <c r="A68" s="1099"/>
      <c r="B68" s="908" t="s">
        <v>1779</v>
      </c>
    </row>
    <row r="69" spans="1:64">
      <c r="A69" s="1099"/>
      <c r="B69" s="908" t="s">
        <v>1780</v>
      </c>
    </row>
    <row r="70" spans="1:64" ht="47.15">
      <c r="A70" s="1099"/>
      <c r="B70" s="908" t="s">
        <v>1781</v>
      </c>
    </row>
    <row r="71" spans="1:64" ht="47.15">
      <c r="A71" s="1099"/>
      <c r="B71" s="908" t="s">
        <v>1782</v>
      </c>
    </row>
    <row r="72" spans="1:64" ht="31.45">
      <c r="A72" s="1099"/>
      <c r="B72" s="908" t="s">
        <v>1783</v>
      </c>
    </row>
    <row r="73" spans="1:64" ht="31.45">
      <c r="A73" s="1099"/>
      <c r="B73" s="908" t="s">
        <v>1784</v>
      </c>
    </row>
    <row r="74" spans="1:64" ht="31.45">
      <c r="A74" s="1099"/>
      <c r="B74" s="908" t="s">
        <v>1785</v>
      </c>
    </row>
    <row r="75" spans="1:64" ht="47.15">
      <c r="A75" s="1099"/>
      <c r="B75" s="908" t="s">
        <v>1786</v>
      </c>
    </row>
    <row r="76" spans="1:64">
      <c r="A76" s="1099"/>
      <c r="B76" s="908"/>
    </row>
    <row r="77" spans="1:64" ht="15.75">
      <c r="A77" s="1099"/>
      <c r="B77" s="910" t="s">
        <v>1787</v>
      </c>
      <c r="C77" s="35"/>
      <c r="D77" s="35"/>
      <c r="E77" s="35"/>
      <c r="F77" s="35"/>
      <c r="G77" s="35"/>
      <c r="H77" s="35"/>
      <c r="I77" s="35"/>
      <c r="J77" s="35"/>
      <c r="K77" s="35"/>
      <c r="L77" s="35"/>
      <c r="M77" s="35"/>
      <c r="N77" s="35"/>
      <c r="O77" s="35"/>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row>
    <row r="78" spans="1:64">
      <c r="A78" s="1099"/>
      <c r="B78" s="911" t="s">
        <v>1788</v>
      </c>
      <c r="C78" s="35"/>
      <c r="D78" s="35"/>
      <c r="E78" s="35"/>
      <c r="F78" s="35"/>
      <c r="G78" s="35"/>
      <c r="H78" s="35"/>
      <c r="I78" s="35"/>
      <c r="J78" s="35"/>
      <c r="K78" s="35"/>
      <c r="L78" s="35"/>
      <c r="M78" s="35"/>
      <c r="N78" s="35"/>
      <c r="O78" s="35"/>
    </row>
    <row r="79" spans="1:64">
      <c r="A79" s="1099"/>
      <c r="B79" s="911" t="s">
        <v>1789</v>
      </c>
      <c r="C79" s="35"/>
      <c r="D79" s="35"/>
      <c r="E79" s="35"/>
      <c r="F79" s="35"/>
      <c r="G79" s="35"/>
      <c r="H79" s="35"/>
      <c r="I79" s="35"/>
      <c r="J79" s="35"/>
      <c r="K79" s="35"/>
      <c r="L79" s="35"/>
      <c r="M79" s="35"/>
      <c r="N79" s="35"/>
      <c r="O79" s="35"/>
    </row>
    <row r="80" spans="1:64">
      <c r="A80" s="1099"/>
      <c r="B80" s="912" t="s">
        <v>1790</v>
      </c>
      <c r="C80" s="35"/>
      <c r="D80" s="35"/>
      <c r="E80" s="35"/>
      <c r="F80" s="35"/>
      <c r="G80" s="35"/>
      <c r="H80" s="35"/>
      <c r="I80" s="35"/>
      <c r="J80" s="35"/>
      <c r="K80" s="35"/>
      <c r="L80" s="35"/>
      <c r="M80" s="35"/>
      <c r="N80" s="35"/>
      <c r="O80" s="35"/>
    </row>
  </sheetData>
  <mergeCells count="3">
    <mergeCell ref="A8:A10"/>
    <mergeCell ref="A13:A38"/>
    <mergeCell ref="A41:A80"/>
  </mergeCells>
  <printOptions gridLines="1"/>
  <pageMargins left="0.7" right="0.7" top="0.75" bottom="0.75" header="0.51180555555555496" footer="0.51180555555555496"/>
  <pageSetup paperSize="9" firstPageNumber="0" orientation="portrait" horizontalDpi="300" verticalDpi="30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D1D75"/>
  </sheetPr>
  <dimension ref="A1:BL12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7109375" style="17" customWidth="1"/>
    <col min="2" max="2" width="3.5703125" style="17" customWidth="1"/>
    <col min="3" max="3" width="10.140625" style="204"/>
    <col min="4" max="4" width="17.85546875" style="17" customWidth="1"/>
    <col min="5" max="5" width="39" style="17" customWidth="1"/>
    <col min="6" max="6" width="10.140625" style="17"/>
    <col min="7" max="7" width="10.140625" style="404"/>
    <col min="8" max="9" width="10.140625" style="17"/>
    <col min="10" max="10" width="30.85546875" style="17" customWidth="1"/>
    <col min="11" max="64" width="10.140625" style="17"/>
  </cols>
  <sheetData>
    <row r="1" spans="1:19" ht="15.75">
      <c r="B1" s="1053" t="s">
        <v>1791</v>
      </c>
      <c r="C1" s="1053"/>
      <c r="D1" s="1053"/>
      <c r="E1" s="1053"/>
      <c r="F1" s="1053"/>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07"/>
      <c r="B4" s="407"/>
      <c r="C4" s="487" t="s">
        <v>1792</v>
      </c>
      <c r="D4" s="423"/>
      <c r="E4" s="424" t="s">
        <v>1793</v>
      </c>
      <c r="F4" s="421"/>
      <c r="G4" s="410"/>
      <c r="H4" s="409"/>
      <c r="I4" s="409"/>
      <c r="J4" s="204"/>
      <c r="K4" s="403"/>
      <c r="L4" s="404"/>
      <c r="M4" s="437"/>
      <c r="N4" s="437"/>
      <c r="O4" s="437"/>
      <c r="P4" s="437"/>
      <c r="Q4" s="437"/>
      <c r="R4" s="437"/>
      <c r="S4" s="437"/>
    </row>
    <row r="5" spans="1:19" ht="22.25">
      <c r="A5" s="407">
        <v>1</v>
      </c>
      <c r="B5" s="407" t="s">
        <v>1794</v>
      </c>
      <c r="C5" s="408" t="s">
        <v>1795</v>
      </c>
      <c r="D5" s="407"/>
      <c r="E5" s="407" t="s">
        <v>1796</v>
      </c>
      <c r="F5" s="409">
        <v>195</v>
      </c>
      <c r="G5" s="410">
        <f>1500/65808.87</f>
        <v>2.2793279994019044E-2</v>
      </c>
      <c r="H5" s="409">
        <f t="shared" ref="H5:H9" si="0">F5*(1-G5)</f>
        <v>190.55531040116628</v>
      </c>
      <c r="I5" s="409">
        <f t="shared" ref="I5:I9" si="1">A5*H5</f>
        <v>190.55531040116628</v>
      </c>
      <c r="J5" s="204" t="s">
        <v>1797</v>
      </c>
      <c r="M5" s="437"/>
      <c r="N5" s="437"/>
      <c r="O5" s="437"/>
      <c r="P5" s="418">
        <f t="shared" ref="P5:P6" si="2">I5</f>
        <v>190.55531040116628</v>
      </c>
      <c r="Q5" s="437"/>
      <c r="R5" s="437"/>
      <c r="S5" s="437"/>
    </row>
    <row r="6" spans="1:19">
      <c r="A6" s="407">
        <v>1</v>
      </c>
      <c r="B6" s="407" t="s">
        <v>1794</v>
      </c>
      <c r="C6" s="408" t="s">
        <v>1795</v>
      </c>
      <c r="D6" s="407"/>
      <c r="E6" s="407" t="s">
        <v>1798</v>
      </c>
      <c r="F6" s="409">
        <v>1429.3</v>
      </c>
      <c r="G6" s="410">
        <f t="shared" ref="G6:G7" si="3">G5</f>
        <v>2.2793279994019044E-2</v>
      </c>
      <c r="H6" s="409">
        <f t="shared" si="0"/>
        <v>1396.7215649045486</v>
      </c>
      <c r="I6" s="409">
        <f t="shared" si="1"/>
        <v>1396.7215649045486</v>
      </c>
      <c r="J6" s="204"/>
      <c r="M6" s="437"/>
      <c r="N6" s="437"/>
      <c r="O6" s="437"/>
      <c r="P6" s="418">
        <f t="shared" si="2"/>
        <v>1396.7215649045486</v>
      </c>
      <c r="Q6" s="437"/>
      <c r="R6" s="437"/>
      <c r="S6" s="437"/>
    </row>
    <row r="7" spans="1:19" ht="22.25">
      <c r="A7" s="407">
        <v>9000</v>
      </c>
      <c r="B7" s="407" t="s">
        <v>494</v>
      </c>
      <c r="C7" s="408" t="s">
        <v>1795</v>
      </c>
      <c r="D7" s="407"/>
      <c r="E7" s="408" t="s">
        <v>1799</v>
      </c>
      <c r="F7" s="409">
        <v>0.58341299999999996</v>
      </c>
      <c r="G7" s="410">
        <f t="shared" si="3"/>
        <v>2.2793279994019044E-2</v>
      </c>
      <c r="H7" s="409">
        <f t="shared" si="0"/>
        <v>0.57011510413884936</v>
      </c>
      <c r="I7" s="409">
        <f t="shared" si="1"/>
        <v>5131.0359372496441</v>
      </c>
      <c r="J7" s="204"/>
      <c r="M7" s="418">
        <f t="shared" ref="M7:M9" si="4">I7</f>
        <v>5131.0359372496441</v>
      </c>
      <c r="N7" s="437"/>
      <c r="O7" s="437"/>
      <c r="P7" s="418"/>
      <c r="Q7" s="437"/>
      <c r="R7" s="437"/>
      <c r="S7" s="437"/>
    </row>
    <row r="8" spans="1:19">
      <c r="A8" s="407">
        <v>0</v>
      </c>
      <c r="B8" s="407" t="s">
        <v>494</v>
      </c>
      <c r="C8" s="408" t="s">
        <v>1795</v>
      </c>
      <c r="D8" s="407"/>
      <c r="E8" s="408" t="s">
        <v>1800</v>
      </c>
      <c r="F8" s="409">
        <v>0.67390000000000005</v>
      </c>
      <c r="G8" s="410">
        <f>G6</f>
        <v>2.2793279994019044E-2</v>
      </c>
      <c r="H8" s="409">
        <f t="shared" si="0"/>
        <v>0.65853960861203065</v>
      </c>
      <c r="I8" s="409">
        <f t="shared" si="1"/>
        <v>0</v>
      </c>
      <c r="J8" s="204"/>
      <c r="M8" s="418">
        <f t="shared" si="4"/>
        <v>0</v>
      </c>
      <c r="N8" s="437"/>
      <c r="O8" s="437"/>
      <c r="P8" s="437"/>
      <c r="Q8" s="437"/>
      <c r="R8" s="437"/>
      <c r="S8" s="437"/>
    </row>
    <row r="9" spans="1:19">
      <c r="A9" s="407">
        <v>1</v>
      </c>
      <c r="B9" s="407" t="s">
        <v>1794</v>
      </c>
      <c r="C9" s="408" t="s">
        <v>1795</v>
      </c>
      <c r="D9" s="407"/>
      <c r="E9" s="407" t="s">
        <v>1801</v>
      </c>
      <c r="F9" s="409">
        <v>125</v>
      </c>
      <c r="G9" s="410">
        <f t="shared" ref="G9:G10" si="5">G8</f>
        <v>2.2793279994019044E-2</v>
      </c>
      <c r="H9" s="409">
        <f t="shared" si="0"/>
        <v>122.15084000074762</v>
      </c>
      <c r="I9" s="409">
        <f t="shared" si="1"/>
        <v>122.15084000074762</v>
      </c>
      <c r="J9" s="204"/>
      <c r="M9" s="418">
        <f t="shared" si="4"/>
        <v>122.15084000074762</v>
      </c>
      <c r="N9" s="437"/>
      <c r="O9" s="437"/>
      <c r="P9" s="437"/>
      <c r="Q9" s="437"/>
      <c r="R9" s="437"/>
      <c r="S9" s="437"/>
    </row>
    <row r="10" spans="1:19">
      <c r="A10" s="407">
        <v>1</v>
      </c>
      <c r="B10" s="407" t="s">
        <v>1794</v>
      </c>
      <c r="C10" s="408" t="s">
        <v>1795</v>
      </c>
      <c r="D10" s="407"/>
      <c r="E10" s="408" t="s">
        <v>1571</v>
      </c>
      <c r="F10" s="409">
        <v>1763</v>
      </c>
      <c r="G10" s="410">
        <f t="shared" si="5"/>
        <v>2.2793279994019044E-2</v>
      </c>
      <c r="H10" s="409">
        <f t="shared" ref="H10:H73" si="6">F10*(1-G10)</f>
        <v>1722.8154473705445</v>
      </c>
      <c r="I10" s="409">
        <f t="shared" ref="I10:I14" si="7">A10*H10</f>
        <v>1722.8154473705445</v>
      </c>
      <c r="J10" s="204" t="s">
        <v>1802</v>
      </c>
      <c r="M10" s="418">
        <f>I10</f>
        <v>1722.8154473705445</v>
      </c>
      <c r="N10" s="437"/>
      <c r="O10" s="437"/>
      <c r="P10" s="437"/>
      <c r="Q10" s="437"/>
      <c r="R10" s="437"/>
      <c r="S10" s="437"/>
    </row>
    <row r="11" spans="1:19">
      <c r="A11" s="407">
        <v>1</v>
      </c>
      <c r="B11" s="407" t="s">
        <v>1794</v>
      </c>
      <c r="C11" s="408" t="s">
        <v>1795</v>
      </c>
      <c r="D11" s="407"/>
      <c r="E11" s="408" t="s">
        <v>1572</v>
      </c>
      <c r="F11" s="409">
        <v>390</v>
      </c>
      <c r="G11" s="410">
        <f t="shared" ref="G11:G14" si="8">G10</f>
        <v>2.2793279994019044E-2</v>
      </c>
      <c r="H11" s="409">
        <f t="shared" si="6"/>
        <v>381.11062080233256</v>
      </c>
      <c r="I11" s="409">
        <f t="shared" si="7"/>
        <v>381.11062080233256</v>
      </c>
      <c r="J11" s="204"/>
      <c r="M11" s="437"/>
      <c r="N11" s="437"/>
      <c r="O11" s="437"/>
      <c r="P11" s="418">
        <f t="shared" ref="P11:P49" si="9">I11</f>
        <v>381.11062080233256</v>
      </c>
      <c r="Q11" s="437"/>
      <c r="R11" s="418"/>
      <c r="S11" s="437"/>
    </row>
    <row r="12" spans="1:19">
      <c r="A12" s="407">
        <v>1</v>
      </c>
      <c r="B12" s="407" t="s">
        <v>1794</v>
      </c>
      <c r="C12" s="408" t="s">
        <v>1795</v>
      </c>
      <c r="D12" s="407"/>
      <c r="E12" s="408" t="s">
        <v>591</v>
      </c>
      <c r="F12" s="409">
        <v>650</v>
      </c>
      <c r="G12" s="410">
        <f t="shared" si="8"/>
        <v>2.2793279994019044E-2</v>
      </c>
      <c r="H12" s="409">
        <f t="shared" si="6"/>
        <v>635.18436800388758</v>
      </c>
      <c r="I12" s="409">
        <f t="shared" si="7"/>
        <v>635.18436800388758</v>
      </c>
      <c r="J12" s="204"/>
      <c r="M12" s="437"/>
      <c r="N12" s="437"/>
      <c r="O12" s="418"/>
      <c r="P12" s="418">
        <f t="shared" si="9"/>
        <v>635.18436800388758</v>
      </c>
      <c r="Q12" s="418"/>
      <c r="R12" s="437"/>
      <c r="S12" s="437"/>
    </row>
    <row r="13" spans="1:19">
      <c r="A13" s="407">
        <v>1</v>
      </c>
      <c r="B13" s="407" t="s">
        <v>1794</v>
      </c>
      <c r="C13" s="408" t="s">
        <v>1795</v>
      </c>
      <c r="D13" s="407"/>
      <c r="E13" s="408" t="s">
        <v>1573</v>
      </c>
      <c r="F13" s="409">
        <v>260</v>
      </c>
      <c r="G13" s="410">
        <f t="shared" si="8"/>
        <v>2.2793279994019044E-2</v>
      </c>
      <c r="H13" s="409">
        <f t="shared" si="6"/>
        <v>254.07374720155505</v>
      </c>
      <c r="I13" s="409">
        <f t="shared" si="7"/>
        <v>254.07374720155505</v>
      </c>
      <c r="J13" s="204" t="s">
        <v>1803</v>
      </c>
      <c r="M13" s="418">
        <f>I13</f>
        <v>254.07374720155505</v>
      </c>
      <c r="N13" s="437"/>
      <c r="O13" s="418"/>
      <c r="P13" s="418"/>
      <c r="Q13" s="418"/>
      <c r="R13" s="437"/>
      <c r="S13" s="437"/>
    </row>
    <row r="14" spans="1:19" ht="22.25">
      <c r="A14" s="407">
        <v>1</v>
      </c>
      <c r="B14" s="407" t="s">
        <v>1794</v>
      </c>
      <c r="C14" s="408" t="s">
        <v>1795</v>
      </c>
      <c r="D14" s="407"/>
      <c r="E14" s="408" t="s">
        <v>1574</v>
      </c>
      <c r="F14" s="409">
        <v>340</v>
      </c>
      <c r="G14" s="410">
        <f t="shared" si="8"/>
        <v>2.2793279994019044E-2</v>
      </c>
      <c r="H14" s="409">
        <f t="shared" si="6"/>
        <v>332.25028480203355</v>
      </c>
      <c r="I14" s="409">
        <f t="shared" si="7"/>
        <v>332.25028480203355</v>
      </c>
      <c r="J14" s="204"/>
      <c r="M14" s="437"/>
      <c r="N14" s="437"/>
      <c r="O14" s="437"/>
      <c r="P14" s="418">
        <f t="shared" si="9"/>
        <v>332.25028480203355</v>
      </c>
      <c r="Q14" s="437"/>
      <c r="R14" s="418"/>
      <c r="S14" s="437"/>
    </row>
    <row r="15" spans="1:19">
      <c r="A15" s="407"/>
      <c r="B15" s="407"/>
      <c r="C15" s="408"/>
      <c r="D15" s="407"/>
      <c r="E15" s="408"/>
      <c r="F15" s="409" t="s">
        <v>1804</v>
      </c>
      <c r="G15" s="410"/>
      <c r="H15" s="409"/>
      <c r="I15" s="421">
        <f>SUM(I4:I14)</f>
        <v>10165.89812073646</v>
      </c>
      <c r="J15" s="204"/>
      <c r="M15" s="437"/>
      <c r="N15" s="437"/>
      <c r="O15" s="437"/>
      <c r="P15" s="437"/>
      <c r="Q15" s="437"/>
      <c r="R15" s="418"/>
      <c r="S15" s="437"/>
    </row>
    <row r="16" spans="1:19">
      <c r="A16" s="407"/>
      <c r="B16" s="407"/>
      <c r="C16" s="408"/>
      <c r="D16" s="407"/>
      <c r="E16" s="420" t="s">
        <v>1805</v>
      </c>
      <c r="F16" s="409"/>
      <c r="G16" s="410"/>
      <c r="H16" s="409"/>
      <c r="I16" s="409"/>
      <c r="J16" s="204"/>
      <c r="M16" s="437"/>
      <c r="N16" s="418"/>
      <c r="O16" s="437"/>
      <c r="P16" s="437"/>
      <c r="Q16" s="437"/>
      <c r="R16" s="437"/>
      <c r="S16" s="437"/>
    </row>
    <row r="17" spans="1:19">
      <c r="A17" s="407">
        <v>0</v>
      </c>
      <c r="B17" s="407" t="s">
        <v>505</v>
      </c>
      <c r="C17" s="408" t="s">
        <v>1795</v>
      </c>
      <c r="D17" s="407"/>
      <c r="E17" s="408" t="s">
        <v>1806</v>
      </c>
      <c r="F17" s="409">
        <v>1398</v>
      </c>
      <c r="G17" s="410">
        <f>G14</f>
        <v>2.2793279994019044E-2</v>
      </c>
      <c r="H17" s="409">
        <f t="shared" si="6"/>
        <v>1366.1349945683614</v>
      </c>
      <c r="I17" s="409">
        <f t="shared" ref="I17:I22" si="10">A17*H17</f>
        <v>0</v>
      </c>
      <c r="J17" s="204"/>
      <c r="M17" s="437"/>
      <c r="N17" s="418">
        <f t="shared" ref="N17:N21" si="11">I17</f>
        <v>0</v>
      </c>
      <c r="O17" s="437"/>
      <c r="P17" s="437"/>
      <c r="Q17" s="437"/>
      <c r="R17" s="437"/>
      <c r="S17" s="437"/>
    </row>
    <row r="18" spans="1:19" ht="21.6">
      <c r="A18" s="407">
        <v>1</v>
      </c>
      <c r="B18" s="407" t="s">
        <v>505</v>
      </c>
      <c r="C18" s="408" t="s">
        <v>1795</v>
      </c>
      <c r="D18" s="407"/>
      <c r="E18" s="489" t="s">
        <v>1807</v>
      </c>
      <c r="F18" s="409">
        <v>1498</v>
      </c>
      <c r="G18" s="410">
        <f t="shared" ref="G18:G22" si="12">G17</f>
        <v>2.2793279994019044E-2</v>
      </c>
      <c r="H18" s="409">
        <f t="shared" si="6"/>
        <v>1463.8556665689596</v>
      </c>
      <c r="I18" s="409">
        <f t="shared" si="10"/>
        <v>1463.8556665689596</v>
      </c>
      <c r="J18" s="204"/>
      <c r="M18" s="437"/>
      <c r="N18" s="418">
        <f t="shared" si="11"/>
        <v>1463.8556665689596</v>
      </c>
      <c r="O18" s="437"/>
      <c r="P18" s="437"/>
      <c r="Q18" s="437"/>
      <c r="R18" s="437"/>
      <c r="S18" s="437"/>
    </row>
    <row r="19" spans="1:19">
      <c r="A19" s="407">
        <v>0</v>
      </c>
      <c r="B19" s="407" t="s">
        <v>505</v>
      </c>
      <c r="C19" s="408" t="s">
        <v>1795</v>
      </c>
      <c r="D19" s="407"/>
      <c r="E19" s="408" t="s">
        <v>1808</v>
      </c>
      <c r="F19" s="409">
        <v>45</v>
      </c>
      <c r="G19" s="410">
        <f t="shared" si="12"/>
        <v>2.2793279994019044E-2</v>
      </c>
      <c r="H19" s="409">
        <f t="shared" si="6"/>
        <v>43.974302400269146</v>
      </c>
      <c r="I19" s="409">
        <f t="shared" si="10"/>
        <v>0</v>
      </c>
      <c r="J19" s="204"/>
      <c r="M19" s="437"/>
      <c r="N19" s="418">
        <f t="shared" si="11"/>
        <v>0</v>
      </c>
      <c r="O19" s="437"/>
      <c r="P19" s="437"/>
      <c r="Q19" s="437"/>
      <c r="R19" s="437"/>
      <c r="S19" s="437"/>
    </row>
    <row r="20" spans="1:19" ht="22.25">
      <c r="A20" s="407">
        <v>0</v>
      </c>
      <c r="B20" s="407" t="s">
        <v>1794</v>
      </c>
      <c r="C20" s="408" t="s">
        <v>1795</v>
      </c>
      <c r="D20" s="407"/>
      <c r="E20" s="408" t="s">
        <v>1809</v>
      </c>
      <c r="F20" s="409">
        <v>260</v>
      </c>
      <c r="G20" s="410">
        <f t="shared" si="12"/>
        <v>2.2793279994019044E-2</v>
      </c>
      <c r="H20" s="409">
        <f t="shared" si="6"/>
        <v>254.07374720155505</v>
      </c>
      <c r="I20" s="409">
        <f t="shared" si="10"/>
        <v>0</v>
      </c>
      <c r="J20" s="204"/>
      <c r="M20" s="437"/>
      <c r="N20" s="418">
        <f t="shared" si="11"/>
        <v>0</v>
      </c>
      <c r="O20" s="437"/>
      <c r="P20" s="418"/>
      <c r="Q20" s="437"/>
      <c r="R20" s="418"/>
      <c r="S20" s="437"/>
    </row>
    <row r="21" spans="1:19">
      <c r="A21" s="407">
        <v>1</v>
      </c>
      <c r="B21" s="407" t="s">
        <v>1794</v>
      </c>
      <c r="C21" s="408" t="s">
        <v>1795</v>
      </c>
      <c r="D21" s="407"/>
      <c r="E21" s="408" t="s">
        <v>1810</v>
      </c>
      <c r="F21" s="409">
        <v>130</v>
      </c>
      <c r="G21" s="410">
        <f t="shared" si="12"/>
        <v>2.2793279994019044E-2</v>
      </c>
      <c r="H21" s="409">
        <f t="shared" si="6"/>
        <v>127.03687360077753</v>
      </c>
      <c r="I21" s="409">
        <f t="shared" si="10"/>
        <v>127.03687360077753</v>
      </c>
      <c r="J21" s="204"/>
      <c r="M21" s="437"/>
      <c r="N21" s="418">
        <f t="shared" si="11"/>
        <v>127.03687360077753</v>
      </c>
      <c r="O21" s="437"/>
      <c r="P21" s="418"/>
      <c r="Q21" s="437"/>
      <c r="R21" s="418"/>
      <c r="S21" s="437"/>
    </row>
    <row r="22" spans="1:19" ht="22.25">
      <c r="A22" s="407">
        <v>1</v>
      </c>
      <c r="B22" s="407" t="s">
        <v>1794</v>
      </c>
      <c r="C22" s="408" t="s">
        <v>1795</v>
      </c>
      <c r="D22" s="407"/>
      <c r="E22" s="408" t="s">
        <v>1811</v>
      </c>
      <c r="F22" s="409">
        <v>377.5</v>
      </c>
      <c r="G22" s="410">
        <f t="shared" si="12"/>
        <v>2.2793279994019044E-2</v>
      </c>
      <c r="H22" s="409">
        <f t="shared" si="6"/>
        <v>368.89553680225782</v>
      </c>
      <c r="I22" s="409">
        <f t="shared" si="10"/>
        <v>368.89553680225782</v>
      </c>
      <c r="J22" s="1054"/>
      <c r="K22" s="1054"/>
      <c r="L22" s="1054"/>
      <c r="M22" s="437"/>
      <c r="N22" s="437"/>
      <c r="O22" s="418">
        <f>I22</f>
        <v>368.89553680225782</v>
      </c>
      <c r="P22" s="437"/>
      <c r="Q22" s="437"/>
      <c r="R22" s="418"/>
      <c r="S22" s="437"/>
    </row>
    <row r="23" spans="1:19">
      <c r="A23" s="407"/>
      <c r="B23" s="407"/>
      <c r="C23" s="408"/>
      <c r="D23" s="407"/>
      <c r="E23" s="408"/>
      <c r="F23" s="409" t="s">
        <v>1804</v>
      </c>
      <c r="G23" s="410"/>
      <c r="H23" s="409"/>
      <c r="I23" s="421">
        <f>SUM(I16:I22)</f>
        <v>1959.7880769719948</v>
      </c>
      <c r="J23" s="204"/>
      <c r="M23" s="437"/>
      <c r="N23" s="437"/>
      <c r="O23" s="437"/>
      <c r="P23" s="437"/>
      <c r="Q23" s="437"/>
      <c r="R23" s="418"/>
      <c r="S23" s="437"/>
    </row>
    <row r="24" spans="1:19">
      <c r="A24" s="407"/>
      <c r="B24" s="407"/>
      <c r="C24" s="408" t="s">
        <v>1795</v>
      </c>
      <c r="D24" s="407"/>
      <c r="E24" s="420" t="s">
        <v>1812</v>
      </c>
      <c r="F24" s="409"/>
      <c r="G24" s="410"/>
      <c r="H24" s="409"/>
      <c r="I24" s="409"/>
      <c r="J24" s="204"/>
      <c r="M24" s="437"/>
      <c r="N24" s="437"/>
      <c r="O24" s="418"/>
      <c r="P24" s="437"/>
      <c r="Q24" s="437"/>
      <c r="R24" s="418"/>
      <c r="S24" s="437"/>
    </row>
    <row r="25" spans="1:19">
      <c r="A25" s="407">
        <v>1</v>
      </c>
      <c r="B25" s="407" t="s">
        <v>505</v>
      </c>
      <c r="C25" s="408" t="s">
        <v>1795</v>
      </c>
      <c r="D25" s="407"/>
      <c r="E25" s="408" t="s">
        <v>1813</v>
      </c>
      <c r="F25" s="409">
        <v>149</v>
      </c>
      <c r="G25" s="410">
        <f>G22</f>
        <v>2.2793279994019044E-2</v>
      </c>
      <c r="H25" s="409">
        <f t="shared" si="6"/>
        <v>145.60380128089116</v>
      </c>
      <c r="I25" s="409">
        <f t="shared" ref="I25:I28" si="13">A25*H25</f>
        <v>145.60380128089116</v>
      </c>
      <c r="J25" s="204"/>
      <c r="M25" s="437"/>
      <c r="N25" s="437"/>
      <c r="O25" s="418"/>
      <c r="P25" s="437"/>
      <c r="Q25" s="437"/>
      <c r="R25" s="418">
        <f t="shared" ref="R25:R26" si="14">I25</f>
        <v>145.60380128089116</v>
      </c>
      <c r="S25" s="437"/>
    </row>
    <row r="26" spans="1:19">
      <c r="A26" s="407">
        <v>1</v>
      </c>
      <c r="B26" s="407" t="s">
        <v>505</v>
      </c>
      <c r="C26" s="408" t="s">
        <v>1795</v>
      </c>
      <c r="D26" s="407"/>
      <c r="E26" s="408" t="s">
        <v>1814</v>
      </c>
      <c r="F26" s="409">
        <v>250</v>
      </c>
      <c r="G26" s="410">
        <f t="shared" ref="G26:G27" si="15">G25</f>
        <v>2.2793279994019044E-2</v>
      </c>
      <c r="H26" s="409">
        <f t="shared" si="6"/>
        <v>244.30168000149524</v>
      </c>
      <c r="I26" s="409">
        <f t="shared" si="13"/>
        <v>244.30168000149524</v>
      </c>
      <c r="J26" s="204"/>
      <c r="M26" s="437"/>
      <c r="N26" s="437"/>
      <c r="O26" s="418"/>
      <c r="P26" s="437"/>
      <c r="Q26" s="437"/>
      <c r="R26" s="418">
        <f t="shared" si="14"/>
        <v>244.30168000149524</v>
      </c>
      <c r="S26" s="437"/>
    </row>
    <row r="27" spans="1:19">
      <c r="A27" s="407">
        <v>1</v>
      </c>
      <c r="B27" s="407" t="s">
        <v>1794</v>
      </c>
      <c r="C27" s="408" t="s">
        <v>1795</v>
      </c>
      <c r="D27" s="407"/>
      <c r="E27" s="408" t="s">
        <v>1815</v>
      </c>
      <c r="F27" s="409">
        <v>130</v>
      </c>
      <c r="G27" s="410">
        <f t="shared" si="15"/>
        <v>2.2793279994019044E-2</v>
      </c>
      <c r="H27" s="409">
        <f t="shared" si="6"/>
        <v>127.03687360077753</v>
      </c>
      <c r="I27" s="409">
        <f t="shared" si="13"/>
        <v>127.03687360077753</v>
      </c>
      <c r="J27" s="204"/>
      <c r="M27" s="437"/>
      <c r="N27" s="437"/>
      <c r="O27" s="418"/>
      <c r="P27" s="418">
        <f t="shared" si="9"/>
        <v>127.03687360077753</v>
      </c>
      <c r="Q27" s="437"/>
      <c r="R27" s="418"/>
      <c r="S27" s="437"/>
    </row>
    <row r="28" spans="1:19">
      <c r="A28" s="407">
        <v>1</v>
      </c>
      <c r="B28" s="407" t="s">
        <v>1794</v>
      </c>
      <c r="C28" s="408" t="s">
        <v>1795</v>
      </c>
      <c r="D28" s="407"/>
      <c r="E28" s="408" t="s">
        <v>1816</v>
      </c>
      <c r="F28" s="409"/>
      <c r="G28" s="410"/>
      <c r="H28" s="409">
        <f t="shared" si="6"/>
        <v>0</v>
      </c>
      <c r="I28" s="409">
        <f t="shared" si="13"/>
        <v>0</v>
      </c>
      <c r="J28" s="204"/>
      <c r="M28" s="437"/>
      <c r="N28" s="437"/>
      <c r="O28" s="418"/>
      <c r="P28" s="437"/>
      <c r="Q28" s="437"/>
      <c r="R28" s="418"/>
      <c r="S28" s="437"/>
    </row>
    <row r="29" spans="1:19">
      <c r="A29" s="407"/>
      <c r="B29" s="407"/>
      <c r="C29" s="408"/>
      <c r="D29" s="407"/>
      <c r="E29" s="408"/>
      <c r="F29" s="409" t="s">
        <v>1804</v>
      </c>
      <c r="G29" s="410"/>
      <c r="H29" s="409"/>
      <c r="I29" s="421">
        <f>SUM(I25:I28)</f>
        <v>516.94235488316394</v>
      </c>
      <c r="J29" s="204"/>
      <c r="M29" s="437"/>
      <c r="N29" s="437"/>
      <c r="O29" s="418"/>
      <c r="P29" s="437"/>
      <c r="Q29" s="437"/>
      <c r="R29" s="418"/>
      <c r="S29" s="437"/>
    </row>
    <row r="30" spans="1:19">
      <c r="A30" s="407"/>
      <c r="B30" s="407"/>
      <c r="C30" s="408" t="s">
        <v>1795</v>
      </c>
      <c r="D30" s="407"/>
      <c r="E30" s="420" t="s">
        <v>1817</v>
      </c>
      <c r="F30" s="409"/>
      <c r="G30" s="410"/>
      <c r="H30" s="409"/>
      <c r="I30" s="409"/>
      <c r="J30" s="204"/>
      <c r="M30" s="437"/>
      <c r="N30" s="437"/>
      <c r="O30" s="418"/>
      <c r="P30" s="437"/>
      <c r="Q30" s="437"/>
      <c r="R30" s="418"/>
      <c r="S30" s="437"/>
    </row>
    <row r="31" spans="1:19">
      <c r="A31" s="407">
        <v>1</v>
      </c>
      <c r="B31" s="407" t="s">
        <v>1818</v>
      </c>
      <c r="C31" s="408" t="s">
        <v>1795</v>
      </c>
      <c r="D31" s="407"/>
      <c r="E31" s="408" t="s">
        <v>1819</v>
      </c>
      <c r="F31" s="409">
        <v>222.6</v>
      </c>
      <c r="G31" s="410">
        <f>G27</f>
        <v>2.2793279994019044E-2</v>
      </c>
      <c r="H31" s="409">
        <f t="shared" si="6"/>
        <v>217.52621587333135</v>
      </c>
      <c r="I31" s="409">
        <f t="shared" ref="I31:I36" si="16">A31*H31</f>
        <v>217.52621587333135</v>
      </c>
      <c r="J31" s="204"/>
      <c r="M31" s="437"/>
      <c r="N31" s="437"/>
      <c r="O31" s="418">
        <f t="shared" ref="O31:O36" si="17">I31</f>
        <v>217.52621587333135</v>
      </c>
      <c r="P31" s="437"/>
      <c r="Q31" s="437"/>
      <c r="R31" s="418"/>
      <c r="S31" s="437"/>
    </row>
    <row r="32" spans="1:19">
      <c r="A32" s="407">
        <v>1</v>
      </c>
      <c r="B32" s="407" t="s">
        <v>1818</v>
      </c>
      <c r="C32" s="408" t="s">
        <v>1795</v>
      </c>
      <c r="D32" s="407"/>
      <c r="E32" s="408" t="s">
        <v>1820</v>
      </c>
      <c r="F32" s="409">
        <v>70.61</v>
      </c>
      <c r="G32" s="410">
        <f t="shared" ref="G32:G36" si="18">G31</f>
        <v>2.2793279994019044E-2</v>
      </c>
      <c r="H32" s="409">
        <f t="shared" si="6"/>
        <v>69.000566499622309</v>
      </c>
      <c r="I32" s="409">
        <f t="shared" si="16"/>
        <v>69.000566499622309</v>
      </c>
      <c r="J32" s="204"/>
      <c r="M32" s="437"/>
      <c r="N32" s="437"/>
      <c r="O32" s="418">
        <f t="shared" si="17"/>
        <v>69.000566499622309</v>
      </c>
      <c r="P32" s="437"/>
      <c r="Q32" s="437"/>
      <c r="R32" s="418"/>
      <c r="S32" s="437"/>
    </row>
    <row r="33" spans="1:19" ht="22.25">
      <c r="A33" s="407">
        <v>8</v>
      </c>
      <c r="B33" s="407" t="s">
        <v>1551</v>
      </c>
      <c r="C33" s="408" t="s">
        <v>1795</v>
      </c>
      <c r="D33" s="407"/>
      <c r="E33" s="408" t="s">
        <v>1821</v>
      </c>
      <c r="F33" s="409">
        <v>76.5</v>
      </c>
      <c r="G33" s="410">
        <f t="shared" si="18"/>
        <v>2.2793279994019044E-2</v>
      </c>
      <c r="H33" s="409">
        <f t="shared" si="6"/>
        <v>74.756314080457543</v>
      </c>
      <c r="I33" s="409">
        <f t="shared" si="16"/>
        <v>598.05051264366034</v>
      </c>
      <c r="J33" s="204"/>
      <c r="M33" s="437"/>
      <c r="N33" s="437"/>
      <c r="O33" s="418">
        <f t="shared" si="17"/>
        <v>598.05051264366034</v>
      </c>
      <c r="P33" s="418"/>
      <c r="Q33" s="418"/>
      <c r="R33" s="418"/>
      <c r="S33" s="437"/>
    </row>
    <row r="34" spans="1:19">
      <c r="A34" s="407">
        <v>8</v>
      </c>
      <c r="B34" s="407" t="s">
        <v>1551</v>
      </c>
      <c r="C34" s="408" t="s">
        <v>1795</v>
      </c>
      <c r="D34" s="407"/>
      <c r="E34" s="408" t="s">
        <v>1822</v>
      </c>
      <c r="F34" s="409">
        <v>8.125</v>
      </c>
      <c r="G34" s="410">
        <f t="shared" si="18"/>
        <v>2.2793279994019044E-2</v>
      </c>
      <c r="H34" s="409">
        <f t="shared" si="6"/>
        <v>7.9398046000485953</v>
      </c>
      <c r="I34" s="409">
        <f t="shared" si="16"/>
        <v>63.518436800388763</v>
      </c>
      <c r="J34" s="204"/>
      <c r="M34" s="437"/>
      <c r="N34" s="437"/>
      <c r="O34" s="418"/>
      <c r="P34" s="418">
        <f t="shared" si="9"/>
        <v>63.518436800388763</v>
      </c>
      <c r="Q34" s="437"/>
      <c r="R34" s="418"/>
      <c r="S34" s="437"/>
    </row>
    <row r="35" spans="1:19">
      <c r="A35" s="407">
        <v>0</v>
      </c>
      <c r="B35" s="407" t="s">
        <v>505</v>
      </c>
      <c r="C35" s="408" t="s">
        <v>1795</v>
      </c>
      <c r="D35" s="407"/>
      <c r="E35" s="408" t="s">
        <v>1823</v>
      </c>
      <c r="F35" s="409">
        <v>160.69999999999999</v>
      </c>
      <c r="G35" s="410">
        <f t="shared" si="18"/>
        <v>2.2793279994019044E-2</v>
      </c>
      <c r="H35" s="409">
        <f t="shared" si="6"/>
        <v>157.03711990496112</v>
      </c>
      <c r="I35" s="409">
        <f t="shared" si="16"/>
        <v>0</v>
      </c>
      <c r="J35" s="204"/>
      <c r="M35" s="437"/>
      <c r="N35" s="437"/>
      <c r="O35" s="418">
        <f t="shared" si="17"/>
        <v>0</v>
      </c>
      <c r="P35" s="437"/>
      <c r="Q35" s="437"/>
      <c r="R35" s="418"/>
      <c r="S35" s="437"/>
    </row>
    <row r="36" spans="1:19">
      <c r="A36" s="407">
        <v>30</v>
      </c>
      <c r="B36" s="407" t="s">
        <v>505</v>
      </c>
      <c r="C36" s="408" t="s">
        <v>1795</v>
      </c>
      <c r="D36" s="407"/>
      <c r="E36" s="408" t="s">
        <v>1824</v>
      </c>
      <c r="F36" s="409">
        <v>10.773300000000001</v>
      </c>
      <c r="G36" s="410">
        <f t="shared" si="18"/>
        <v>2.2793279994019044E-2</v>
      </c>
      <c r="H36" s="409">
        <f t="shared" si="6"/>
        <v>10.527741156640435</v>
      </c>
      <c r="I36" s="409">
        <f t="shared" si="16"/>
        <v>315.83223469921302</v>
      </c>
      <c r="J36" s="204"/>
      <c r="M36" s="437"/>
      <c r="N36" s="437"/>
      <c r="O36" s="418">
        <f t="shared" si="17"/>
        <v>315.83223469921302</v>
      </c>
      <c r="P36" s="437"/>
      <c r="Q36" s="437"/>
      <c r="R36" s="418"/>
      <c r="S36" s="437"/>
    </row>
    <row r="37" spans="1:19">
      <c r="A37" s="407"/>
      <c r="B37" s="407"/>
      <c r="C37" s="408"/>
      <c r="D37" s="407"/>
      <c r="E37" s="408"/>
      <c r="F37" s="409" t="s">
        <v>1804</v>
      </c>
      <c r="G37" s="410"/>
      <c r="H37" s="409"/>
      <c r="I37" s="421">
        <f>SUM(I31:I36)</f>
        <v>1263.9279665162157</v>
      </c>
      <c r="J37" s="204"/>
      <c r="M37" s="437"/>
      <c r="N37" s="437"/>
      <c r="O37" s="418"/>
      <c r="P37" s="437"/>
      <c r="Q37" s="437"/>
      <c r="R37" s="418"/>
      <c r="S37" s="437"/>
    </row>
    <row r="38" spans="1:19">
      <c r="A38" s="407"/>
      <c r="B38" s="407"/>
      <c r="C38" s="408"/>
      <c r="D38" s="407"/>
      <c r="E38" s="420" t="s">
        <v>1825</v>
      </c>
      <c r="F38" s="409"/>
      <c r="G38" s="410"/>
      <c r="H38" s="409"/>
      <c r="I38" s="409"/>
      <c r="J38" s="204"/>
      <c r="M38" s="437"/>
      <c r="N38" s="437"/>
      <c r="O38" s="418"/>
      <c r="P38" s="437"/>
      <c r="Q38" s="437"/>
      <c r="R38" s="418"/>
      <c r="S38" s="437"/>
    </row>
    <row r="39" spans="1:19" ht="22.25">
      <c r="A39" s="407">
        <v>1</v>
      </c>
      <c r="B39" s="407" t="s">
        <v>1794</v>
      </c>
      <c r="C39" s="408" t="s">
        <v>1795</v>
      </c>
      <c r="D39" s="407"/>
      <c r="E39" s="408" t="s">
        <v>1826</v>
      </c>
      <c r="F39" s="409">
        <v>170</v>
      </c>
      <c r="G39" s="410">
        <f>G36</f>
        <v>2.2793279994019044E-2</v>
      </c>
      <c r="H39" s="409">
        <f t="shared" si="6"/>
        <v>166.12514240101677</v>
      </c>
      <c r="I39" s="409">
        <f>A39*H39</f>
        <v>166.12514240101677</v>
      </c>
      <c r="J39" s="204"/>
      <c r="M39" s="437"/>
      <c r="N39" s="437"/>
      <c r="O39" s="418"/>
      <c r="P39" s="418">
        <f t="shared" si="9"/>
        <v>166.12514240101677</v>
      </c>
      <c r="Q39" s="437"/>
      <c r="R39" s="418"/>
      <c r="S39" s="437"/>
    </row>
    <row r="40" spans="1:19">
      <c r="A40" s="407"/>
      <c r="B40" s="407"/>
      <c r="C40" s="408"/>
      <c r="D40" s="407"/>
      <c r="E40" s="408"/>
      <c r="F40" s="409" t="s">
        <v>1804</v>
      </c>
      <c r="G40" s="410"/>
      <c r="H40" s="409"/>
      <c r="I40" s="421">
        <f>I39</f>
        <v>166.12514240101677</v>
      </c>
      <c r="J40" s="204"/>
      <c r="M40" s="437"/>
      <c r="N40" s="437"/>
      <c r="O40" s="418"/>
      <c r="P40" s="437"/>
      <c r="Q40" s="437"/>
      <c r="R40" s="418"/>
      <c r="S40" s="437"/>
    </row>
    <row r="41" spans="1:19">
      <c r="A41" s="407"/>
      <c r="B41" s="407"/>
      <c r="C41" s="408"/>
      <c r="D41" s="407"/>
      <c r="E41" s="420" t="s">
        <v>1827</v>
      </c>
      <c r="F41" s="409"/>
      <c r="G41" s="410"/>
      <c r="H41" s="409"/>
      <c r="I41" s="409"/>
      <c r="J41" s="204"/>
      <c r="M41" s="437"/>
      <c r="N41" s="437"/>
      <c r="O41" s="418"/>
      <c r="P41" s="437"/>
      <c r="Q41" s="437"/>
      <c r="R41" s="418"/>
      <c r="S41" s="437"/>
    </row>
    <row r="42" spans="1:19">
      <c r="A42" s="407">
        <v>1</v>
      </c>
      <c r="B42" s="407" t="s">
        <v>1794</v>
      </c>
      <c r="C42" s="408" t="s">
        <v>1795</v>
      </c>
      <c r="D42" s="407"/>
      <c r="E42" s="408" t="s">
        <v>1828</v>
      </c>
      <c r="F42" s="409">
        <v>130</v>
      </c>
      <c r="G42" s="410">
        <f>G39</f>
        <v>2.2793279994019044E-2</v>
      </c>
      <c r="H42" s="409">
        <f t="shared" si="6"/>
        <v>127.03687360077753</v>
      </c>
      <c r="I42" s="409">
        <f t="shared" ref="I42:I44" si="19">A42*H42</f>
        <v>127.03687360077753</v>
      </c>
      <c r="J42" s="204"/>
      <c r="M42" s="418">
        <f t="shared" ref="M42:M44" si="20">I42</f>
        <v>127.03687360077753</v>
      </c>
      <c r="N42" s="437"/>
      <c r="O42" s="418"/>
      <c r="P42" s="437"/>
      <c r="Q42" s="437"/>
      <c r="R42" s="418"/>
      <c r="S42" s="437"/>
    </row>
    <row r="43" spans="1:19" ht="22.25">
      <c r="A43" s="407">
        <v>30</v>
      </c>
      <c r="B43" s="407" t="s">
        <v>517</v>
      </c>
      <c r="C43" s="408" t="s">
        <v>1795</v>
      </c>
      <c r="D43" s="407"/>
      <c r="E43" s="408" t="s">
        <v>1829</v>
      </c>
      <c r="F43" s="409">
        <v>18</v>
      </c>
      <c r="G43" s="410">
        <f t="shared" ref="G43:G44" si="21">G42</f>
        <v>2.2793279994019044E-2</v>
      </c>
      <c r="H43" s="409">
        <f t="shared" si="6"/>
        <v>17.589720960107659</v>
      </c>
      <c r="I43" s="409">
        <f t="shared" si="19"/>
        <v>527.69162880322972</v>
      </c>
      <c r="J43" s="204"/>
      <c r="M43" s="418">
        <f t="shared" si="20"/>
        <v>527.69162880322972</v>
      </c>
      <c r="N43" s="437"/>
      <c r="O43" s="418"/>
      <c r="P43" s="437"/>
      <c r="Q43" s="437"/>
      <c r="R43" s="418"/>
      <c r="S43" s="437"/>
    </row>
    <row r="44" spans="1:19">
      <c r="A44" s="407">
        <v>1</v>
      </c>
      <c r="B44" s="407" t="s">
        <v>505</v>
      </c>
      <c r="C44" s="408" t="s">
        <v>1795</v>
      </c>
      <c r="D44" s="407"/>
      <c r="E44" s="408" t="s">
        <v>1830</v>
      </c>
      <c r="F44" s="409">
        <v>392.54</v>
      </c>
      <c r="G44" s="410">
        <f t="shared" si="21"/>
        <v>2.2793279994019044E-2</v>
      </c>
      <c r="H44" s="409">
        <f t="shared" si="6"/>
        <v>383.59272587114776</v>
      </c>
      <c r="I44" s="409">
        <f t="shared" si="19"/>
        <v>383.59272587114776</v>
      </c>
      <c r="J44" s="204"/>
      <c r="M44" s="418">
        <f t="shared" si="20"/>
        <v>383.59272587114776</v>
      </c>
      <c r="N44" s="437"/>
      <c r="O44" s="418"/>
      <c r="P44" s="437"/>
      <c r="Q44" s="437"/>
      <c r="R44" s="418"/>
      <c r="S44" s="437"/>
    </row>
    <row r="45" spans="1:19">
      <c r="A45" s="407"/>
      <c r="B45" s="407"/>
      <c r="C45" s="408"/>
      <c r="D45" s="407"/>
      <c r="E45" s="408"/>
      <c r="F45" s="409" t="s">
        <v>1804</v>
      </c>
      <c r="G45" s="410"/>
      <c r="H45" s="409"/>
      <c r="I45" s="421">
        <f>SUM(I42:I44)</f>
        <v>1038.3212282751551</v>
      </c>
      <c r="J45" s="204"/>
      <c r="M45" s="437"/>
      <c r="N45" s="437"/>
      <c r="O45" s="418"/>
      <c r="P45" s="437"/>
      <c r="Q45" s="437"/>
      <c r="R45" s="418"/>
      <c r="S45" s="437"/>
    </row>
    <row r="46" spans="1:19">
      <c r="A46" s="407"/>
      <c r="B46" s="407"/>
      <c r="C46" s="408"/>
      <c r="D46" s="407"/>
      <c r="E46" s="420" t="s">
        <v>1816</v>
      </c>
      <c r="F46" s="409"/>
      <c r="G46" s="410"/>
      <c r="H46" s="409"/>
      <c r="I46" s="409"/>
      <c r="J46" s="204"/>
      <c r="M46" s="437"/>
      <c r="N46" s="437"/>
      <c r="O46" s="418"/>
      <c r="P46" s="437"/>
      <c r="Q46" s="437"/>
      <c r="R46" s="418"/>
      <c r="S46" s="437"/>
    </row>
    <row r="47" spans="1:19">
      <c r="A47" s="407">
        <v>1</v>
      </c>
      <c r="B47" s="407" t="s">
        <v>1794</v>
      </c>
      <c r="C47" s="408" t="s">
        <v>1795</v>
      </c>
      <c r="D47" s="407"/>
      <c r="E47" s="408" t="s">
        <v>1831</v>
      </c>
      <c r="F47" s="409"/>
      <c r="G47" s="410">
        <f>G44</f>
        <v>2.2793279994019044E-2</v>
      </c>
      <c r="H47" s="409">
        <f t="shared" si="6"/>
        <v>0</v>
      </c>
      <c r="I47" s="409">
        <f t="shared" ref="I47:I49" si="22">A47*H47</f>
        <v>0</v>
      </c>
      <c r="J47" s="204"/>
      <c r="M47" s="437"/>
      <c r="N47" s="437"/>
      <c r="O47" s="418"/>
      <c r="P47" s="437"/>
      <c r="Q47" s="437"/>
      <c r="R47" s="418"/>
      <c r="S47" s="437"/>
    </row>
    <row r="48" spans="1:19">
      <c r="A48" s="407">
        <v>1</v>
      </c>
      <c r="B48" s="407" t="s">
        <v>505</v>
      </c>
      <c r="C48" s="408" t="s">
        <v>1795</v>
      </c>
      <c r="D48" s="407"/>
      <c r="E48" s="408" t="s">
        <v>1832</v>
      </c>
      <c r="F48" s="409"/>
      <c r="G48" s="410">
        <f t="shared" ref="G48:G49" si="23">G47</f>
        <v>2.2793279994019044E-2</v>
      </c>
      <c r="H48" s="409">
        <f t="shared" si="6"/>
        <v>0</v>
      </c>
      <c r="I48" s="409">
        <f t="shared" si="22"/>
        <v>0</v>
      </c>
      <c r="J48" s="204"/>
      <c r="M48" s="437"/>
      <c r="N48" s="437"/>
      <c r="O48" s="418"/>
      <c r="P48" s="437"/>
      <c r="Q48" s="437"/>
      <c r="R48" s="418"/>
      <c r="S48" s="437"/>
    </row>
    <row r="49" spans="1:19" ht="22.25">
      <c r="A49" s="407">
        <v>1</v>
      </c>
      <c r="B49" s="407" t="s">
        <v>1794</v>
      </c>
      <c r="C49" s="408" t="s">
        <v>1795</v>
      </c>
      <c r="D49" s="407"/>
      <c r="E49" s="408" t="s">
        <v>1833</v>
      </c>
      <c r="F49" s="409">
        <v>130</v>
      </c>
      <c r="G49" s="410">
        <f t="shared" si="23"/>
        <v>2.2793279994019044E-2</v>
      </c>
      <c r="H49" s="409">
        <f t="shared" si="6"/>
        <v>127.03687360077753</v>
      </c>
      <c r="I49" s="409">
        <f t="shared" si="22"/>
        <v>127.03687360077753</v>
      </c>
      <c r="J49" s="204"/>
      <c r="M49" s="437"/>
      <c r="N49" s="437"/>
      <c r="O49" s="418"/>
      <c r="P49" s="418">
        <f t="shared" si="9"/>
        <v>127.03687360077753</v>
      </c>
      <c r="Q49" s="437"/>
      <c r="R49" s="418"/>
      <c r="S49" s="437"/>
    </row>
    <row r="50" spans="1:19">
      <c r="A50" s="407"/>
      <c r="B50" s="407"/>
      <c r="C50" s="408"/>
      <c r="D50" s="407"/>
      <c r="E50" s="408"/>
      <c r="F50" s="409" t="s">
        <v>1804</v>
      </c>
      <c r="G50" s="410"/>
      <c r="H50" s="409"/>
      <c r="I50" s="421">
        <f>SUM(I47:I49)</f>
        <v>127.03687360077753</v>
      </c>
      <c r="J50" s="204"/>
      <c r="M50" s="437"/>
      <c r="N50" s="437"/>
      <c r="O50" s="418"/>
      <c r="P50" s="437"/>
      <c r="Q50" s="437"/>
      <c r="R50" s="418"/>
      <c r="S50" s="437"/>
    </row>
    <row r="51" spans="1:19">
      <c r="A51" s="407"/>
      <c r="B51" s="407"/>
      <c r="C51" s="408"/>
      <c r="D51" s="407"/>
      <c r="E51" s="408"/>
      <c r="F51" s="409" t="s">
        <v>1834</v>
      </c>
      <c r="G51" s="410"/>
      <c r="H51" s="409"/>
      <c r="I51" s="421">
        <f>I15+I23+I29+I37+I40+I45+I50</f>
        <v>15238.039763384782</v>
      </c>
      <c r="J51" s="204"/>
      <c r="M51" s="437"/>
      <c r="N51" s="437"/>
      <c r="O51" s="418"/>
      <c r="P51" s="437"/>
      <c r="Q51" s="437"/>
      <c r="R51" s="418"/>
      <c r="S51" s="437"/>
    </row>
    <row r="52" spans="1:19">
      <c r="A52" s="407"/>
      <c r="B52" s="407"/>
      <c r="C52" s="408"/>
      <c r="D52" s="407"/>
      <c r="E52" s="407"/>
      <c r="F52" s="409"/>
      <c r="G52" s="410"/>
      <c r="H52" s="409"/>
      <c r="I52" s="409"/>
      <c r="J52" s="204"/>
      <c r="M52" s="418"/>
      <c r="N52" s="437"/>
      <c r="O52" s="437"/>
      <c r="P52" s="437"/>
      <c r="Q52" s="437"/>
      <c r="R52" s="437"/>
      <c r="S52" s="437"/>
    </row>
    <row r="53" spans="1:19">
      <c r="A53" s="407">
        <v>1</v>
      </c>
      <c r="B53" s="407" t="s">
        <v>517</v>
      </c>
      <c r="C53" s="408" t="s">
        <v>574</v>
      </c>
      <c r="D53" s="407" t="s">
        <v>1006</v>
      </c>
      <c r="E53" s="407" t="s">
        <v>1005</v>
      </c>
      <c r="F53" s="409">
        <v>365</v>
      </c>
      <c r="G53" s="410">
        <v>0.02</v>
      </c>
      <c r="H53" s="409">
        <f t="shared" si="6"/>
        <v>357.7</v>
      </c>
      <c r="I53" s="409">
        <f t="shared" ref="I53:I56" si="24">A53*H53</f>
        <v>357.7</v>
      </c>
      <c r="J53" s="204"/>
      <c r="M53" s="418"/>
      <c r="N53" s="437"/>
      <c r="O53" s="437"/>
      <c r="P53" s="437"/>
      <c r="Q53" s="437"/>
      <c r="R53" s="437"/>
      <c r="S53" s="418">
        <f t="shared" ref="S53:S56" si="25">I53</f>
        <v>357.7</v>
      </c>
    </row>
    <row r="54" spans="1:19">
      <c r="A54" s="407">
        <v>0</v>
      </c>
      <c r="B54" s="407" t="s">
        <v>517</v>
      </c>
      <c r="C54" s="408" t="s">
        <v>574</v>
      </c>
      <c r="D54" s="407"/>
      <c r="E54" s="407" t="s">
        <v>576</v>
      </c>
      <c r="F54" s="409"/>
      <c r="G54" s="410"/>
      <c r="H54" s="409">
        <f t="shared" si="6"/>
        <v>0</v>
      </c>
      <c r="I54" s="409">
        <f t="shared" si="24"/>
        <v>0</v>
      </c>
      <c r="J54" s="204"/>
      <c r="M54" s="418"/>
      <c r="N54" s="437"/>
      <c r="O54" s="437"/>
      <c r="P54" s="437"/>
      <c r="Q54" s="437"/>
      <c r="R54" s="437"/>
      <c r="S54" s="418">
        <f t="shared" si="25"/>
        <v>0</v>
      </c>
    </row>
    <row r="55" spans="1:19">
      <c r="A55" s="407">
        <v>1</v>
      </c>
      <c r="B55" s="407" t="s">
        <v>517</v>
      </c>
      <c r="C55" s="408" t="s">
        <v>574</v>
      </c>
      <c r="D55" s="407" t="s">
        <v>1835</v>
      </c>
      <c r="E55" s="407" t="s">
        <v>1836</v>
      </c>
      <c r="F55" s="409">
        <v>200</v>
      </c>
      <c r="G55" s="410">
        <v>0.02</v>
      </c>
      <c r="H55" s="409">
        <f t="shared" si="6"/>
        <v>196</v>
      </c>
      <c r="I55" s="409">
        <f t="shared" si="24"/>
        <v>196</v>
      </c>
      <c r="J55" s="204"/>
      <c r="M55" s="418"/>
      <c r="N55" s="437"/>
      <c r="O55" s="437"/>
      <c r="P55" s="437"/>
      <c r="Q55" s="437"/>
      <c r="R55" s="437"/>
      <c r="S55" s="418">
        <f t="shared" si="25"/>
        <v>196</v>
      </c>
    </row>
    <row r="56" spans="1:19">
      <c r="A56" s="407">
        <v>1</v>
      </c>
      <c r="B56" s="407" t="s">
        <v>517</v>
      </c>
      <c r="C56" s="408" t="s">
        <v>574</v>
      </c>
      <c r="D56" s="407"/>
      <c r="E56" s="407" t="s">
        <v>1837</v>
      </c>
      <c r="F56" s="409">
        <f>35/4</f>
        <v>8.75</v>
      </c>
      <c r="G56" s="410">
        <v>0.02</v>
      </c>
      <c r="H56" s="409">
        <f t="shared" si="6"/>
        <v>8.5749999999999993</v>
      </c>
      <c r="I56" s="409">
        <f t="shared" si="24"/>
        <v>8.5749999999999993</v>
      </c>
      <c r="J56" s="204"/>
      <c r="M56" s="418"/>
      <c r="N56" s="437"/>
      <c r="O56" s="437"/>
      <c r="P56" s="437"/>
      <c r="Q56" s="437"/>
      <c r="R56" s="437"/>
      <c r="S56" s="418">
        <f t="shared" si="25"/>
        <v>8.5749999999999993</v>
      </c>
    </row>
    <row r="57" spans="1:19" ht="12.45">
      <c r="A57" s="407"/>
      <c r="B57" s="407"/>
      <c r="C57" s="408"/>
      <c r="D57" s="407"/>
      <c r="E57" s="431"/>
      <c r="F57" s="409" t="s">
        <v>1804</v>
      </c>
      <c r="G57" s="410"/>
      <c r="H57" s="409"/>
      <c r="I57" s="421">
        <f>SUM(I53:I56)</f>
        <v>562.27500000000009</v>
      </c>
      <c r="J57" s="204"/>
      <c r="M57" s="418"/>
      <c r="N57" s="437"/>
      <c r="O57" s="437"/>
      <c r="P57" s="437"/>
      <c r="Q57" s="437"/>
      <c r="R57" s="437"/>
      <c r="S57" s="437"/>
    </row>
    <row r="58" spans="1:19">
      <c r="A58" s="407"/>
      <c r="B58" s="407"/>
      <c r="C58" s="408"/>
      <c r="D58" s="407"/>
      <c r="E58" s="407"/>
      <c r="F58" s="409"/>
      <c r="G58" s="410"/>
      <c r="H58" s="409"/>
      <c r="I58" s="409"/>
      <c r="J58" s="204"/>
      <c r="M58" s="437"/>
      <c r="N58" s="437"/>
      <c r="O58" s="437"/>
      <c r="P58" s="437"/>
      <c r="Q58" s="437"/>
      <c r="R58" s="437"/>
      <c r="S58" s="437"/>
    </row>
    <row r="59" spans="1:19">
      <c r="A59" s="407"/>
      <c r="B59" s="407"/>
      <c r="C59" s="408"/>
      <c r="D59" s="407"/>
      <c r="E59" s="432" t="s">
        <v>580</v>
      </c>
      <c r="F59" s="409"/>
      <c r="G59" s="410"/>
      <c r="H59" s="409"/>
      <c r="I59" s="421">
        <f>I51+I57</f>
        <v>15800.314763384782</v>
      </c>
      <c r="J59" s="204"/>
      <c r="M59" s="418">
        <f>SUM(M4:M57)</f>
        <v>8268.3972000976464</v>
      </c>
      <c r="N59" s="418">
        <f>SUM(N4:N57)</f>
        <v>1590.892540169737</v>
      </c>
      <c r="O59" s="418">
        <f>SUM(O4:O57)</f>
        <v>1569.3050665180849</v>
      </c>
      <c r="P59" s="418">
        <f>SUM(P4:P57)</f>
        <v>3419.5394753169294</v>
      </c>
      <c r="Q59" s="418"/>
      <c r="R59" s="418">
        <f>SUM(R4:R57)</f>
        <v>389.9054812823864</v>
      </c>
      <c r="S59" s="437"/>
    </row>
    <row r="60" spans="1:19">
      <c r="A60" s="407"/>
      <c r="B60" s="407"/>
      <c r="C60" s="408"/>
      <c r="D60" s="407"/>
      <c r="E60" s="413" t="s">
        <v>581</v>
      </c>
      <c r="F60" s="409"/>
      <c r="G60" s="410">
        <v>0</v>
      </c>
      <c r="H60" s="409"/>
      <c r="I60" s="421"/>
      <c r="J60" s="204"/>
      <c r="M60" s="418"/>
      <c r="N60" s="418"/>
      <c r="O60" s="418"/>
      <c r="P60" s="418"/>
      <c r="Q60" s="418"/>
      <c r="R60" s="418"/>
      <c r="S60" s="437"/>
    </row>
    <row r="61" spans="1:19" ht="15.75">
      <c r="E61" s="433" t="s">
        <v>582</v>
      </c>
      <c r="F61" s="418"/>
      <c r="G61" s="434"/>
      <c r="H61" s="418"/>
      <c r="I61" s="435">
        <f>I59*(1+$G$60)</f>
        <v>15800.314763384782</v>
      </c>
      <c r="J61" s="436"/>
      <c r="K61" s="437"/>
      <c r="L61" s="437"/>
      <c r="M61" s="165">
        <f>M59*(1+$G$60)</f>
        <v>8268.3972000976464</v>
      </c>
      <c r="N61" s="165">
        <f>N59*(1+$G$60)</f>
        <v>1590.892540169737</v>
      </c>
      <c r="O61" s="165">
        <f>O59*(1+$G$60)</f>
        <v>1569.3050665180849</v>
      </c>
      <c r="P61" s="165">
        <f>P59</f>
        <v>3419.5394753169294</v>
      </c>
      <c r="Q61" s="418"/>
      <c r="R61" s="165">
        <f>R59*(1+$G$60)</f>
        <v>389.9054812823864</v>
      </c>
      <c r="S61" s="165">
        <f>SUM(S4:S60)</f>
        <v>562.27500000000009</v>
      </c>
    </row>
    <row r="64" spans="1:19">
      <c r="E64" s="439" t="s">
        <v>585</v>
      </c>
    </row>
    <row r="65" spans="1:16">
      <c r="A65" s="445">
        <f t="shared" ref="A65:A79" si="26">P65/H65</f>
        <v>3.4646420072939326</v>
      </c>
      <c r="B65" s="17" t="s">
        <v>619</v>
      </c>
      <c r="E65" s="17" t="s">
        <v>586</v>
      </c>
      <c r="F65" s="403">
        <f t="shared" ref="F65:F79" si="27">F$83</f>
        <v>55</v>
      </c>
      <c r="H65" s="403">
        <f t="shared" si="6"/>
        <v>55</v>
      </c>
      <c r="I65" s="403">
        <f t="shared" ref="I65:I85" si="28">A65*H65</f>
        <v>190.55531040116628</v>
      </c>
      <c r="P65" s="403">
        <f>P5</f>
        <v>190.55531040116628</v>
      </c>
    </row>
    <row r="66" spans="1:16">
      <c r="A66" s="445">
        <f t="shared" si="26"/>
        <v>38.365135827434806</v>
      </c>
      <c r="B66" s="17" t="s">
        <v>619</v>
      </c>
      <c r="E66" s="17" t="s">
        <v>589</v>
      </c>
      <c r="F66" s="403">
        <f t="shared" si="27"/>
        <v>55</v>
      </c>
      <c r="H66" s="403">
        <f t="shared" si="6"/>
        <v>55</v>
      </c>
      <c r="I66" s="403">
        <f t="shared" si="28"/>
        <v>2110.0824705089144</v>
      </c>
      <c r="P66" s="403">
        <f>P6+P11+P14</f>
        <v>2110.0824705089144</v>
      </c>
    </row>
    <row r="67" spans="1:16">
      <c r="A67" s="445">
        <f t="shared" si="26"/>
        <v>0</v>
      </c>
      <c r="B67" s="17" t="s">
        <v>619</v>
      </c>
      <c r="E67" s="17" t="s">
        <v>1426</v>
      </c>
      <c r="F67" s="403">
        <f t="shared" si="27"/>
        <v>55</v>
      </c>
      <c r="H67" s="403">
        <f t="shared" si="6"/>
        <v>55</v>
      </c>
      <c r="I67" s="403">
        <f t="shared" si="28"/>
        <v>0</v>
      </c>
      <c r="P67" s="403"/>
    </row>
    <row r="68" spans="1:16">
      <c r="A68" s="445">
        <f t="shared" si="26"/>
        <v>11.548806690979774</v>
      </c>
      <c r="B68" s="17" t="s">
        <v>619</v>
      </c>
      <c r="E68" s="17" t="s">
        <v>591</v>
      </c>
      <c r="F68" s="403">
        <f t="shared" si="27"/>
        <v>55</v>
      </c>
      <c r="H68" s="403">
        <f t="shared" si="6"/>
        <v>55</v>
      </c>
      <c r="I68" s="403">
        <f t="shared" si="28"/>
        <v>635.18436800388758</v>
      </c>
      <c r="P68" s="403">
        <f>P12</f>
        <v>635.18436800388758</v>
      </c>
    </row>
    <row r="69" spans="1:16">
      <c r="A69" s="445">
        <f t="shared" si="26"/>
        <v>0</v>
      </c>
      <c r="B69" s="17" t="s">
        <v>619</v>
      </c>
      <c r="E69" s="17" t="s">
        <v>1428</v>
      </c>
      <c r="F69" s="403">
        <f t="shared" si="27"/>
        <v>55</v>
      </c>
      <c r="H69" s="403">
        <f t="shared" si="6"/>
        <v>55</v>
      </c>
      <c r="I69" s="403">
        <f t="shared" si="28"/>
        <v>0</v>
      </c>
      <c r="P69" s="403"/>
    </row>
    <row r="70" spans="1:16">
      <c r="A70" s="445">
        <f t="shared" si="26"/>
        <v>0</v>
      </c>
      <c r="B70" s="17" t="s">
        <v>619</v>
      </c>
      <c r="E70" s="17" t="s">
        <v>1429</v>
      </c>
      <c r="F70" s="403">
        <f t="shared" si="27"/>
        <v>55</v>
      </c>
      <c r="H70" s="403">
        <f t="shared" si="6"/>
        <v>55</v>
      </c>
      <c r="I70" s="403">
        <f t="shared" si="28"/>
        <v>0</v>
      </c>
      <c r="P70" s="403"/>
    </row>
    <row r="71" spans="1:16">
      <c r="A71" s="445">
        <f t="shared" si="26"/>
        <v>2.3097613381959552</v>
      </c>
      <c r="B71" s="17" t="s">
        <v>619</v>
      </c>
      <c r="E71" s="17" t="s">
        <v>605</v>
      </c>
      <c r="F71" s="403">
        <f t="shared" si="27"/>
        <v>55</v>
      </c>
      <c r="H71" s="403">
        <f t="shared" si="6"/>
        <v>55</v>
      </c>
      <c r="I71" s="403">
        <f t="shared" si="28"/>
        <v>127.03687360077754</v>
      </c>
      <c r="P71" s="403">
        <f>P27</f>
        <v>127.03687360077753</v>
      </c>
    </row>
    <row r="72" spans="1:16">
      <c r="A72" s="445">
        <f t="shared" si="26"/>
        <v>2.3097613381959552</v>
      </c>
      <c r="B72" s="17" t="s">
        <v>619</v>
      </c>
      <c r="E72" s="17" t="s">
        <v>607</v>
      </c>
      <c r="F72" s="403">
        <f t="shared" si="27"/>
        <v>55</v>
      </c>
      <c r="H72" s="403">
        <f t="shared" si="6"/>
        <v>55</v>
      </c>
      <c r="I72" s="403">
        <f t="shared" si="28"/>
        <v>127.03687360077754</v>
      </c>
      <c r="P72" s="403">
        <f>N21</f>
        <v>127.03687360077753</v>
      </c>
    </row>
    <row r="73" spans="1:16">
      <c r="A73" s="445">
        <f t="shared" si="26"/>
        <v>3.0204571345639413</v>
      </c>
      <c r="B73" s="17" t="s">
        <v>619</v>
      </c>
      <c r="E73" s="17" t="s">
        <v>609</v>
      </c>
      <c r="F73" s="403">
        <f t="shared" si="27"/>
        <v>55</v>
      </c>
      <c r="H73" s="403">
        <f t="shared" si="6"/>
        <v>55</v>
      </c>
      <c r="I73" s="403">
        <f t="shared" si="28"/>
        <v>166.12514240101677</v>
      </c>
      <c r="P73" s="403">
        <f>P39</f>
        <v>166.12514240101677</v>
      </c>
    </row>
    <row r="74" spans="1:16">
      <c r="A74" s="445">
        <f t="shared" si="26"/>
        <v>0</v>
      </c>
      <c r="B74" s="17" t="s">
        <v>619</v>
      </c>
      <c r="E74" s="17" t="s">
        <v>610</v>
      </c>
      <c r="F74" s="403">
        <f t="shared" si="27"/>
        <v>55</v>
      </c>
      <c r="H74" s="403">
        <f t="shared" ref="H74:H96" si="29">F74*(1-G74)</f>
        <v>55</v>
      </c>
      <c r="I74" s="403">
        <f t="shared" si="28"/>
        <v>0</v>
      </c>
      <c r="P74" s="403"/>
    </row>
    <row r="75" spans="1:16">
      <c r="A75" s="445">
        <f t="shared" si="26"/>
        <v>2.3097613381959552</v>
      </c>
      <c r="B75" s="17" t="s">
        <v>619</v>
      </c>
      <c r="E75" s="17" t="s">
        <v>611</v>
      </c>
      <c r="F75" s="403">
        <f t="shared" si="27"/>
        <v>55</v>
      </c>
      <c r="H75" s="403">
        <f t="shared" si="29"/>
        <v>55</v>
      </c>
      <c r="I75" s="403">
        <f t="shared" si="28"/>
        <v>127.03687360077754</v>
      </c>
      <c r="P75" s="403">
        <f>P49</f>
        <v>127.03687360077753</v>
      </c>
    </row>
    <row r="76" spans="1:16">
      <c r="A76" s="445">
        <f t="shared" si="26"/>
        <v>0</v>
      </c>
      <c r="B76" s="17" t="s">
        <v>619</v>
      </c>
      <c r="E76" s="17" t="s">
        <v>1431</v>
      </c>
      <c r="F76" s="403">
        <f t="shared" si="27"/>
        <v>55</v>
      </c>
      <c r="H76" s="403">
        <f t="shared" si="29"/>
        <v>55</v>
      </c>
      <c r="I76" s="403">
        <f t="shared" si="28"/>
        <v>0</v>
      </c>
      <c r="P76" s="403"/>
    </row>
    <row r="77" spans="1:16">
      <c r="A77" s="445">
        <f t="shared" si="26"/>
        <v>1.1548806690979776</v>
      </c>
      <c r="B77" s="17" t="s">
        <v>619</v>
      </c>
      <c r="E77" s="17" t="s">
        <v>612</v>
      </c>
      <c r="F77" s="403">
        <f t="shared" si="27"/>
        <v>55</v>
      </c>
      <c r="H77" s="403">
        <f t="shared" si="29"/>
        <v>55</v>
      </c>
      <c r="I77" s="403">
        <f t="shared" si="28"/>
        <v>63.51843680038877</v>
      </c>
      <c r="P77" s="403">
        <f>P34</f>
        <v>63.518436800388763</v>
      </c>
    </row>
    <row r="78" spans="1:16">
      <c r="A78" s="445">
        <f t="shared" si="26"/>
        <v>0</v>
      </c>
      <c r="B78" s="17" t="s">
        <v>619</v>
      </c>
      <c r="E78" s="17" t="s">
        <v>614</v>
      </c>
      <c r="F78" s="403">
        <f t="shared" si="27"/>
        <v>55</v>
      </c>
      <c r="H78" s="403">
        <f t="shared" si="29"/>
        <v>55</v>
      </c>
      <c r="I78" s="403">
        <f t="shared" si="28"/>
        <v>0</v>
      </c>
      <c r="J78" s="17" t="s">
        <v>1838</v>
      </c>
      <c r="P78" s="403"/>
    </row>
    <row r="79" spans="1:16">
      <c r="A79" s="445">
        <f t="shared" si="26"/>
        <v>0</v>
      </c>
      <c r="B79" s="17" t="s">
        <v>619</v>
      </c>
      <c r="E79" s="17" t="s">
        <v>616</v>
      </c>
      <c r="F79" s="403">
        <f t="shared" si="27"/>
        <v>55</v>
      </c>
      <c r="H79" s="403">
        <f t="shared" si="29"/>
        <v>55</v>
      </c>
      <c r="I79" s="403">
        <f t="shared" si="28"/>
        <v>0</v>
      </c>
      <c r="P79" s="403"/>
    </row>
    <row r="81" spans="1:10">
      <c r="A81" s="17">
        <f>SUM(A65:A80)</f>
        <v>64.483206343958301</v>
      </c>
      <c r="B81" s="17" t="s">
        <v>619</v>
      </c>
      <c r="E81" s="17" t="s">
        <v>620</v>
      </c>
    </row>
    <row r="82" spans="1:10">
      <c r="A82" s="441">
        <v>3</v>
      </c>
      <c r="B82" s="17" t="s">
        <v>517</v>
      </c>
      <c r="E82" s="17" t="s">
        <v>621</v>
      </c>
    </row>
    <row r="83" spans="1:10">
      <c r="A83" s="17">
        <v>1</v>
      </c>
      <c r="B83" s="17" t="s">
        <v>517</v>
      </c>
      <c r="E83" s="17" t="s">
        <v>622</v>
      </c>
      <c r="F83" s="445">
        <v>55</v>
      </c>
      <c r="H83" s="403">
        <f t="shared" si="29"/>
        <v>55</v>
      </c>
      <c r="I83" s="403">
        <f t="shared" si="28"/>
        <v>55</v>
      </c>
      <c r="J83" s="17" t="s">
        <v>623</v>
      </c>
    </row>
    <row r="84" spans="1:10">
      <c r="A84" s="17">
        <f>ROUNDUP(A81/8/A82,0)</f>
        <v>3</v>
      </c>
      <c r="B84" s="17" t="s">
        <v>624</v>
      </c>
      <c r="E84" s="17" t="s">
        <v>625</v>
      </c>
      <c r="F84" s="403">
        <f>A82*8*F83</f>
        <v>1320</v>
      </c>
      <c r="H84" s="403">
        <f t="shared" si="29"/>
        <v>1320</v>
      </c>
      <c r="I84" s="403">
        <f t="shared" si="28"/>
        <v>3960</v>
      </c>
    </row>
    <row r="85" spans="1:10">
      <c r="A85" s="441">
        <v>1</v>
      </c>
      <c r="B85" s="17" t="s">
        <v>517</v>
      </c>
      <c r="E85" s="17" t="s">
        <v>626</v>
      </c>
      <c r="F85" s="913"/>
      <c r="H85" s="403">
        <f t="shared" si="29"/>
        <v>0</v>
      </c>
      <c r="I85" s="403">
        <f t="shared" si="28"/>
        <v>0</v>
      </c>
    </row>
    <row r="86" spans="1:10">
      <c r="A86" s="441"/>
      <c r="F86" s="913"/>
      <c r="H86" s="403"/>
      <c r="I86" s="403"/>
    </row>
    <row r="87" spans="1:10">
      <c r="A87" s="441"/>
      <c r="F87" s="913"/>
      <c r="H87" s="403"/>
      <c r="I87" s="403"/>
    </row>
    <row r="88" spans="1:10">
      <c r="E88" s="439" t="s">
        <v>628</v>
      </c>
      <c r="I88" s="443">
        <f>SUM(I84:I87)</f>
        <v>3960</v>
      </c>
    </row>
    <row r="91" spans="1:10" ht="15.75">
      <c r="E91" s="449" t="s">
        <v>630</v>
      </c>
      <c r="F91" s="914"/>
    </row>
    <row r="92" spans="1:10">
      <c r="A92" s="441">
        <v>1</v>
      </c>
      <c r="B92" s="17" t="s">
        <v>517</v>
      </c>
      <c r="E92" s="17" t="s">
        <v>1839</v>
      </c>
      <c r="F92" s="447">
        <v>1870.4</v>
      </c>
      <c r="G92" s="404">
        <v>0.4</v>
      </c>
      <c r="H92" s="403">
        <f t="shared" si="29"/>
        <v>1122.24</v>
      </c>
      <c r="I92" s="403">
        <f t="shared" ref="I92:I96" si="30">A92*H92</f>
        <v>1122.24</v>
      </c>
    </row>
    <row r="93" spans="1:10" ht="22.25">
      <c r="A93" s="441">
        <v>1</v>
      </c>
      <c r="B93" s="17" t="s">
        <v>517</v>
      </c>
      <c r="E93" s="204" t="s">
        <v>1840</v>
      </c>
      <c r="F93" s="447">
        <v>223.18</v>
      </c>
      <c r="H93" s="403">
        <f t="shared" si="29"/>
        <v>223.18</v>
      </c>
      <c r="I93" s="403">
        <f t="shared" si="30"/>
        <v>223.18</v>
      </c>
    </row>
    <row r="94" spans="1:10" ht="22.25">
      <c r="A94" s="441">
        <v>1</v>
      </c>
      <c r="B94" s="17" t="s">
        <v>517</v>
      </c>
      <c r="E94" s="204" t="s">
        <v>1841</v>
      </c>
      <c r="F94" s="447">
        <v>40.68</v>
      </c>
      <c r="H94" s="403">
        <f t="shared" si="29"/>
        <v>40.68</v>
      </c>
      <c r="I94" s="403">
        <f t="shared" si="30"/>
        <v>40.68</v>
      </c>
    </row>
    <row r="95" spans="1:10">
      <c r="A95" s="441"/>
      <c r="B95" s="17" t="s">
        <v>517</v>
      </c>
      <c r="E95" s="17" t="s">
        <v>1842</v>
      </c>
      <c r="F95" s="447"/>
      <c r="H95" s="403">
        <f t="shared" si="29"/>
        <v>0</v>
      </c>
      <c r="I95" s="403">
        <f t="shared" si="30"/>
        <v>0</v>
      </c>
    </row>
    <row r="96" spans="1:10">
      <c r="A96" s="441">
        <v>1</v>
      </c>
      <c r="B96" s="17" t="s">
        <v>517</v>
      </c>
      <c r="E96" s="17" t="s">
        <v>1843</v>
      </c>
      <c r="F96" s="447"/>
      <c r="H96" s="403">
        <f t="shared" si="29"/>
        <v>0</v>
      </c>
      <c r="I96" s="403">
        <f t="shared" si="30"/>
        <v>0</v>
      </c>
    </row>
    <row r="97" spans="1:17" ht="15.75">
      <c r="E97" s="439" t="s">
        <v>676</v>
      </c>
      <c r="F97" s="403"/>
      <c r="I97" s="443">
        <f>SUM(I92:I96)</f>
        <v>1386.1000000000001</v>
      </c>
      <c r="Q97" s="165">
        <f>I97</f>
        <v>1386.1000000000001</v>
      </c>
    </row>
    <row r="99" spans="1:17" ht="13.75" customHeight="1">
      <c r="A99" s="986" t="s">
        <v>100</v>
      </c>
      <c r="B99" s="986"/>
      <c r="C99" s="986"/>
      <c r="D99" s="986"/>
      <c r="E99" s="986"/>
    </row>
    <row r="100" spans="1:17">
      <c r="E100" s="439" t="s">
        <v>1844</v>
      </c>
    </row>
    <row r="101" spans="1:17">
      <c r="A101" s="409">
        <v>2</v>
      </c>
      <c r="B101" s="409" t="s">
        <v>505</v>
      </c>
      <c r="C101" s="409"/>
      <c r="D101" s="409"/>
      <c r="E101" s="409" t="s">
        <v>1845</v>
      </c>
      <c r="F101" s="409">
        <v>175.72</v>
      </c>
      <c r="G101" s="410">
        <f>G49</f>
        <v>2.2793279994019044E-2</v>
      </c>
      <c r="H101" s="409">
        <f t="shared" ref="H101:H123" si="31">F101*(1-G101)</f>
        <v>171.71476483945096</v>
      </c>
      <c r="I101" s="409">
        <f t="shared" ref="I101:I108" si="32">A101*H101</f>
        <v>343.42952967890193</v>
      </c>
    </row>
    <row r="102" spans="1:17">
      <c r="A102" s="409">
        <v>1</v>
      </c>
      <c r="B102" s="409" t="s">
        <v>1794</v>
      </c>
      <c r="C102" s="409"/>
      <c r="D102" s="409"/>
      <c r="E102" s="409" t="s">
        <v>1846</v>
      </c>
      <c r="F102" s="409">
        <v>150</v>
      </c>
      <c r="G102" s="410">
        <f t="shared" ref="G102:G106" si="33">G101</f>
        <v>2.2793279994019044E-2</v>
      </c>
      <c r="H102" s="409">
        <f t="shared" si="31"/>
        <v>146.58100800089716</v>
      </c>
      <c r="I102" s="409">
        <f t="shared" si="32"/>
        <v>146.58100800089716</v>
      </c>
    </row>
    <row r="103" spans="1:17">
      <c r="A103" s="409">
        <v>1</v>
      </c>
      <c r="B103" s="409" t="s">
        <v>505</v>
      </c>
      <c r="C103" s="409"/>
      <c r="D103" s="409"/>
      <c r="E103" s="409" t="s">
        <v>1847</v>
      </c>
      <c r="F103" s="409">
        <v>339</v>
      </c>
      <c r="G103" s="410">
        <f t="shared" si="33"/>
        <v>2.2793279994019044E-2</v>
      </c>
      <c r="H103" s="409">
        <f t="shared" si="31"/>
        <v>331.27307808202755</v>
      </c>
      <c r="I103" s="409">
        <f t="shared" si="32"/>
        <v>331.27307808202755</v>
      </c>
    </row>
    <row r="104" spans="1:17">
      <c r="A104" s="409">
        <v>1</v>
      </c>
      <c r="B104" s="409" t="s">
        <v>505</v>
      </c>
      <c r="C104" s="409"/>
      <c r="D104" s="409"/>
      <c r="E104" s="409" t="s">
        <v>1848</v>
      </c>
      <c r="F104" s="409">
        <v>105</v>
      </c>
      <c r="G104" s="410">
        <f t="shared" si="33"/>
        <v>2.2793279994019044E-2</v>
      </c>
      <c r="H104" s="409">
        <f t="shared" si="31"/>
        <v>102.606705600628</v>
      </c>
      <c r="I104" s="409">
        <f t="shared" si="32"/>
        <v>102.606705600628</v>
      </c>
    </row>
    <row r="105" spans="1:17">
      <c r="A105" s="409">
        <v>1</v>
      </c>
      <c r="B105" s="409" t="s">
        <v>1794</v>
      </c>
      <c r="C105" s="409"/>
      <c r="D105" s="409"/>
      <c r="E105" s="409" t="s">
        <v>1849</v>
      </c>
      <c r="F105" s="409">
        <v>422.5</v>
      </c>
      <c r="G105" s="410">
        <f t="shared" si="33"/>
        <v>2.2793279994019044E-2</v>
      </c>
      <c r="H105" s="409">
        <f t="shared" si="31"/>
        <v>412.86983920252698</v>
      </c>
      <c r="I105" s="409">
        <f t="shared" si="32"/>
        <v>412.86983920252698</v>
      </c>
    </row>
    <row r="106" spans="1:17">
      <c r="A106" s="409">
        <v>1</v>
      </c>
      <c r="B106" s="409" t="s">
        <v>1794</v>
      </c>
      <c r="C106" s="409"/>
      <c r="D106" s="409"/>
      <c r="E106" s="409" t="s">
        <v>1850</v>
      </c>
      <c r="F106" s="409">
        <v>97.5</v>
      </c>
      <c r="G106" s="410">
        <f t="shared" si="33"/>
        <v>2.2793279994019044E-2</v>
      </c>
      <c r="H106" s="409">
        <f t="shared" si="31"/>
        <v>95.277655200583141</v>
      </c>
      <c r="I106" s="409">
        <f t="shared" si="32"/>
        <v>95.277655200583141</v>
      </c>
    </row>
    <row r="108" spans="1:17">
      <c r="A108" s="409">
        <v>1</v>
      </c>
      <c r="B108" s="409" t="s">
        <v>517</v>
      </c>
      <c r="C108" s="409"/>
      <c r="D108" s="409"/>
      <c r="E108" s="409" t="s">
        <v>1851</v>
      </c>
      <c r="F108" s="409">
        <v>250</v>
      </c>
      <c r="G108" s="410">
        <f>G106</f>
        <v>2.2793279994019044E-2</v>
      </c>
      <c r="H108" s="409">
        <f t="shared" si="31"/>
        <v>244.30168000149524</v>
      </c>
      <c r="I108" s="409">
        <f t="shared" si="32"/>
        <v>244.30168000149524</v>
      </c>
    </row>
    <row r="109" spans="1:17">
      <c r="E109" s="439" t="s">
        <v>1852</v>
      </c>
      <c r="I109" s="442">
        <f>SUM(I101:I108)</f>
        <v>1676.33949576706</v>
      </c>
    </row>
    <row r="112" spans="1:17" ht="15.05" customHeight="1">
      <c r="A112" s="1002" t="s">
        <v>90</v>
      </c>
      <c r="B112" s="1002"/>
      <c r="C112" s="1002"/>
      <c r="D112" s="1002"/>
      <c r="E112" s="1002"/>
    </row>
    <row r="114" spans="1:10" ht="22.25">
      <c r="A114" s="17">
        <v>1</v>
      </c>
      <c r="B114" s="17" t="s">
        <v>517</v>
      </c>
      <c r="C114" s="204" t="s">
        <v>1853</v>
      </c>
      <c r="E114" s="17" t="s">
        <v>1464</v>
      </c>
      <c r="F114" s="403">
        <f>1285.29</f>
        <v>1285.29</v>
      </c>
      <c r="H114" s="403">
        <f t="shared" si="31"/>
        <v>1285.29</v>
      </c>
      <c r="I114" s="403">
        <f t="shared" ref="I114:I117" si="34">A114*H114</f>
        <v>1285.29</v>
      </c>
      <c r="J114" s="494" t="s">
        <v>1854</v>
      </c>
    </row>
    <row r="115" spans="1:10">
      <c r="A115" s="17">
        <v>0</v>
      </c>
      <c r="B115" s="17" t="s">
        <v>517</v>
      </c>
      <c r="E115" s="17" t="s">
        <v>707</v>
      </c>
      <c r="F115" s="403">
        <v>1500</v>
      </c>
      <c r="H115" s="403">
        <f t="shared" si="31"/>
        <v>1500</v>
      </c>
      <c r="I115" s="403">
        <f t="shared" si="34"/>
        <v>0</v>
      </c>
    </row>
    <row r="116" spans="1:10">
      <c r="A116" s="17">
        <v>0</v>
      </c>
      <c r="B116" s="17" t="s">
        <v>517</v>
      </c>
      <c r="E116" s="17" t="s">
        <v>1855</v>
      </c>
      <c r="F116" s="403"/>
      <c r="H116" s="403">
        <f t="shared" si="31"/>
        <v>0</v>
      </c>
      <c r="I116" s="403">
        <f t="shared" si="34"/>
        <v>0</v>
      </c>
    </row>
    <row r="117" spans="1:10">
      <c r="A117" s="17">
        <v>0</v>
      </c>
      <c r="B117" s="17" t="s">
        <v>517</v>
      </c>
      <c r="E117" s="17" t="s">
        <v>1856</v>
      </c>
      <c r="F117" s="17">
        <f>15*9</f>
        <v>135</v>
      </c>
      <c r="H117" s="403">
        <f t="shared" si="31"/>
        <v>135</v>
      </c>
      <c r="I117" s="403">
        <f t="shared" si="34"/>
        <v>0</v>
      </c>
    </row>
    <row r="118" spans="1:10" ht="15.75">
      <c r="E118" s="439" t="s">
        <v>729</v>
      </c>
      <c r="I118" s="168">
        <f>SUM(I112:I117)</f>
        <v>1285.29</v>
      </c>
    </row>
    <row r="120" spans="1:10" ht="13.75" customHeight="1">
      <c r="A120" s="997" t="s">
        <v>68</v>
      </c>
      <c r="B120" s="997"/>
      <c r="C120" s="997"/>
      <c r="D120" s="997"/>
      <c r="E120" s="997"/>
    </row>
    <row r="121" spans="1:10">
      <c r="A121" s="17">
        <v>1</v>
      </c>
      <c r="B121" s="17" t="s">
        <v>517</v>
      </c>
      <c r="C121" s="204" t="s">
        <v>1795</v>
      </c>
      <c r="E121" s="17" t="s">
        <v>730</v>
      </c>
      <c r="F121" s="17">
        <v>300.7</v>
      </c>
      <c r="H121" s="403">
        <f t="shared" si="31"/>
        <v>300.7</v>
      </c>
      <c r="I121" s="403">
        <f t="shared" ref="I121:I123" si="35">A121*H121</f>
        <v>300.7</v>
      </c>
    </row>
    <row r="122" spans="1:10" ht="22.25">
      <c r="A122" s="17">
        <v>0</v>
      </c>
      <c r="B122" s="17" t="s">
        <v>517</v>
      </c>
      <c r="C122" s="204" t="s">
        <v>1857</v>
      </c>
      <c r="E122" s="204" t="s">
        <v>1858</v>
      </c>
      <c r="F122" s="17">
        <v>460</v>
      </c>
      <c r="H122" s="403">
        <f t="shared" si="31"/>
        <v>460</v>
      </c>
      <c r="I122" s="403">
        <f t="shared" si="35"/>
        <v>0</v>
      </c>
    </row>
    <row r="123" spans="1:10" ht="55.65">
      <c r="A123" s="17">
        <v>0</v>
      </c>
      <c r="B123" s="17" t="s">
        <v>517</v>
      </c>
      <c r="C123" s="204" t="s">
        <v>1859</v>
      </c>
      <c r="E123" s="204" t="s">
        <v>1860</v>
      </c>
      <c r="F123" s="17">
        <v>320</v>
      </c>
      <c r="H123" s="403">
        <f t="shared" si="31"/>
        <v>320</v>
      </c>
      <c r="I123" s="403">
        <f t="shared" si="35"/>
        <v>0</v>
      </c>
    </row>
    <row r="125" spans="1:10" ht="15.75">
      <c r="E125" s="439" t="s">
        <v>733</v>
      </c>
      <c r="I125" s="168">
        <f>SUM(I120:I124)</f>
        <v>300.7</v>
      </c>
    </row>
  </sheetData>
  <mergeCells count="6">
    <mergeCell ref="A120:E120"/>
    <mergeCell ref="B1:F1"/>
    <mergeCell ref="A2:G2"/>
    <mergeCell ref="J22:L22"/>
    <mergeCell ref="A99:E99"/>
    <mergeCell ref="A112:E112"/>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D1D75"/>
  </sheetPr>
  <dimension ref="A1:BL119"/>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7109375" style="17" customWidth="1"/>
    <col min="2" max="2" width="3.5703125" style="17" customWidth="1"/>
    <col min="3" max="3" width="10.140625" style="204"/>
    <col min="4" max="4" width="17.85546875" style="17" customWidth="1"/>
    <col min="5" max="5" width="39" style="17" customWidth="1"/>
    <col min="6" max="6" width="10.140625" style="17"/>
    <col min="7" max="7" width="10.140625" style="404"/>
    <col min="8" max="9" width="10.140625" style="17"/>
    <col min="10" max="10" width="30.85546875" style="17" customWidth="1"/>
    <col min="11" max="64" width="10.140625" style="17"/>
  </cols>
  <sheetData>
    <row r="1" spans="1:19" ht="15.75">
      <c r="B1" s="1053" t="s">
        <v>1861</v>
      </c>
      <c r="C1" s="1053"/>
      <c r="D1" s="1053"/>
      <c r="E1" s="1053"/>
      <c r="F1" s="1053"/>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07"/>
      <c r="B4" s="407"/>
      <c r="C4" s="407" t="s">
        <v>1862</v>
      </c>
      <c r="D4" s="423"/>
      <c r="E4" s="424" t="s">
        <v>1793</v>
      </c>
      <c r="F4" s="421"/>
      <c r="G4" s="410"/>
      <c r="H4" s="409"/>
      <c r="I4" s="409"/>
      <c r="J4" s="204" t="s">
        <v>1863</v>
      </c>
      <c r="K4" s="403"/>
      <c r="L4" s="404"/>
      <c r="M4" s="437"/>
      <c r="N4" s="437"/>
      <c r="O4" s="437"/>
      <c r="P4" s="437"/>
      <c r="Q4" s="437"/>
      <c r="R4" s="437"/>
      <c r="S4" s="437"/>
    </row>
    <row r="5" spans="1:19">
      <c r="A5" s="407">
        <v>1</v>
      </c>
      <c r="B5" s="407" t="s">
        <v>1794</v>
      </c>
      <c r="C5" s="408" t="s">
        <v>1795</v>
      </c>
      <c r="D5" s="407"/>
      <c r="E5" s="407" t="s">
        <v>1796</v>
      </c>
      <c r="F5" s="421">
        <v>0</v>
      </c>
      <c r="G5" s="410">
        <f>1500/65808.85</f>
        <v>2.2793286921135986E-2</v>
      </c>
      <c r="H5" s="409">
        <f t="shared" ref="H5:H9" si="0">F5*(1-G5)</f>
        <v>0</v>
      </c>
      <c r="I5" s="409">
        <f t="shared" ref="I5:I9" si="1">A5*H5</f>
        <v>0</v>
      </c>
      <c r="J5" s="204" t="s">
        <v>1864</v>
      </c>
      <c r="M5" s="437"/>
      <c r="N5" s="437"/>
      <c r="O5" s="437"/>
      <c r="P5" s="418">
        <f t="shared" ref="P5:P6" si="2">I5</f>
        <v>0</v>
      </c>
      <c r="Q5" s="437"/>
      <c r="R5" s="437"/>
      <c r="S5" s="437"/>
    </row>
    <row r="6" spans="1:19">
      <c r="A6" s="407">
        <v>1</v>
      </c>
      <c r="B6" s="407" t="s">
        <v>1794</v>
      </c>
      <c r="C6" s="408" t="s">
        <v>1795</v>
      </c>
      <c r="D6" s="407"/>
      <c r="E6" s="407" t="s">
        <v>1865</v>
      </c>
      <c r="F6" s="421">
        <v>0</v>
      </c>
      <c r="G6" s="410">
        <f t="shared" ref="G6:G7" si="3">G5</f>
        <v>2.2793286921135986E-2</v>
      </c>
      <c r="H6" s="409">
        <f t="shared" si="0"/>
        <v>0</v>
      </c>
      <c r="I6" s="409">
        <f t="shared" si="1"/>
        <v>0</v>
      </c>
      <c r="J6" s="204" t="s">
        <v>1864</v>
      </c>
      <c r="M6" s="437"/>
      <c r="N6" s="437"/>
      <c r="O6" s="437"/>
      <c r="P6" s="418">
        <f t="shared" si="2"/>
        <v>0</v>
      </c>
      <c r="Q6" s="437"/>
      <c r="R6" s="437"/>
      <c r="S6" s="437"/>
    </row>
    <row r="7" spans="1:19" ht="22.25">
      <c r="A7" s="407">
        <v>9000</v>
      </c>
      <c r="B7" s="407" t="s">
        <v>494</v>
      </c>
      <c r="C7" s="408" t="s">
        <v>1795</v>
      </c>
      <c r="D7" s="407"/>
      <c r="E7" s="408" t="s">
        <v>1799</v>
      </c>
      <c r="F7" s="421">
        <v>0.58341299999999996</v>
      </c>
      <c r="G7" s="410">
        <f t="shared" si="3"/>
        <v>2.2793286921135986E-2</v>
      </c>
      <c r="H7" s="409">
        <f t="shared" si="0"/>
        <v>0.57011510009747923</v>
      </c>
      <c r="I7" s="409">
        <f t="shared" si="1"/>
        <v>5131.035900877313</v>
      </c>
      <c r="J7" s="204"/>
      <c r="M7" s="418">
        <f t="shared" ref="M7:M9" si="4">I7</f>
        <v>5131.035900877313</v>
      </c>
      <c r="N7" s="437"/>
      <c r="O7" s="437"/>
      <c r="P7" s="418"/>
      <c r="Q7" s="437"/>
      <c r="R7" s="437"/>
      <c r="S7" s="437"/>
    </row>
    <row r="8" spans="1:19">
      <c r="A8" s="407">
        <v>0</v>
      </c>
      <c r="B8" s="407" t="s">
        <v>494</v>
      </c>
      <c r="C8" s="408" t="s">
        <v>1795</v>
      </c>
      <c r="D8" s="407"/>
      <c r="E8" s="408" t="s">
        <v>1800</v>
      </c>
      <c r="F8" s="409">
        <v>0.67390000000000005</v>
      </c>
      <c r="G8" s="410">
        <f>G6</f>
        <v>2.2793286921135986E-2</v>
      </c>
      <c r="H8" s="409">
        <f t="shared" si="0"/>
        <v>0.65853960394384647</v>
      </c>
      <c r="I8" s="409">
        <f t="shared" si="1"/>
        <v>0</v>
      </c>
      <c r="J8" s="204"/>
      <c r="M8" s="418">
        <f t="shared" si="4"/>
        <v>0</v>
      </c>
      <c r="N8" s="437"/>
      <c r="O8" s="437"/>
      <c r="P8" s="437"/>
      <c r="Q8" s="437"/>
      <c r="R8" s="437"/>
      <c r="S8" s="437"/>
    </row>
    <row r="9" spans="1:19">
      <c r="A9" s="407">
        <v>1</v>
      </c>
      <c r="B9" s="407" t="s">
        <v>1794</v>
      </c>
      <c r="C9" s="408" t="s">
        <v>1795</v>
      </c>
      <c r="D9" s="407"/>
      <c r="E9" s="407" t="s">
        <v>1801</v>
      </c>
      <c r="F9" s="421">
        <v>125</v>
      </c>
      <c r="G9" s="410">
        <f t="shared" ref="G9:G10" si="5">G8</f>
        <v>2.2793286921135986E-2</v>
      </c>
      <c r="H9" s="409">
        <f t="shared" si="0"/>
        <v>122.150839134858</v>
      </c>
      <c r="I9" s="409">
        <f t="shared" si="1"/>
        <v>122.150839134858</v>
      </c>
      <c r="J9" s="204"/>
      <c r="M9" s="418">
        <f t="shared" si="4"/>
        <v>122.150839134858</v>
      </c>
      <c r="N9" s="437"/>
      <c r="O9" s="437"/>
      <c r="P9" s="437"/>
      <c r="Q9" s="437"/>
      <c r="R9" s="437"/>
      <c r="S9" s="437"/>
    </row>
    <row r="10" spans="1:19" ht="22.25">
      <c r="A10" s="407">
        <v>1</v>
      </c>
      <c r="B10" s="407" t="s">
        <v>1794</v>
      </c>
      <c r="C10" s="408" t="s">
        <v>1795</v>
      </c>
      <c r="D10" s="407"/>
      <c r="E10" s="408" t="s">
        <v>1866</v>
      </c>
      <c r="F10" s="421">
        <v>2002.28</v>
      </c>
      <c r="G10" s="410">
        <f t="shared" si="5"/>
        <v>2.2793286921135986E-2</v>
      </c>
      <c r="H10" s="409">
        <f t="shared" ref="H10:H73" si="6">F10*(1-G10)</f>
        <v>1956.6414574635478</v>
      </c>
      <c r="I10" s="409">
        <f t="shared" ref="I10:I14" si="7">A10*H10</f>
        <v>1956.6414574635478</v>
      </c>
      <c r="J10" s="204" t="s">
        <v>1802</v>
      </c>
      <c r="M10" s="418">
        <f>I10</f>
        <v>1956.6414574635478</v>
      </c>
      <c r="N10" s="437"/>
      <c r="O10" s="437"/>
      <c r="P10" s="437"/>
      <c r="Q10" s="437"/>
      <c r="R10" s="437"/>
      <c r="S10" s="437"/>
    </row>
    <row r="11" spans="1:19">
      <c r="A11" s="407">
        <v>1</v>
      </c>
      <c r="B11" s="407" t="s">
        <v>1794</v>
      </c>
      <c r="C11" s="408" t="s">
        <v>1795</v>
      </c>
      <c r="D11" s="407"/>
      <c r="E11" s="408" t="s">
        <v>1572</v>
      </c>
      <c r="F11" s="421">
        <v>845</v>
      </c>
      <c r="G11" s="410">
        <f t="shared" ref="G11:G14" si="8">G10</f>
        <v>2.2793286921135986E-2</v>
      </c>
      <c r="H11" s="409">
        <f t="shared" si="6"/>
        <v>825.73967255164007</v>
      </c>
      <c r="I11" s="409">
        <f t="shared" si="7"/>
        <v>825.73967255164007</v>
      </c>
      <c r="J11" s="204"/>
      <c r="M11" s="437"/>
      <c r="N11" s="437"/>
      <c r="O11" s="437"/>
      <c r="P11" s="418">
        <f t="shared" ref="P11:P49" si="9">I11</f>
        <v>825.73967255164007</v>
      </c>
      <c r="Q11" s="437"/>
      <c r="R11" s="418"/>
      <c r="S11" s="437"/>
    </row>
    <row r="12" spans="1:19">
      <c r="A12" s="407">
        <v>1</v>
      </c>
      <c r="B12" s="407" t="s">
        <v>1794</v>
      </c>
      <c r="C12" s="408" t="s">
        <v>1795</v>
      </c>
      <c r="D12" s="407"/>
      <c r="E12" s="408" t="s">
        <v>591</v>
      </c>
      <c r="F12" s="421">
        <v>780</v>
      </c>
      <c r="G12" s="410">
        <f t="shared" si="8"/>
        <v>2.2793286921135986E-2</v>
      </c>
      <c r="H12" s="409">
        <f t="shared" si="6"/>
        <v>762.22123620151388</v>
      </c>
      <c r="I12" s="409">
        <f t="shared" si="7"/>
        <v>762.22123620151388</v>
      </c>
      <c r="J12" s="204"/>
      <c r="M12" s="437"/>
      <c r="N12" s="437"/>
      <c r="O12" s="418"/>
      <c r="P12" s="418">
        <f t="shared" si="9"/>
        <v>762.22123620151388</v>
      </c>
      <c r="Q12" s="418"/>
      <c r="R12" s="437"/>
      <c r="S12" s="437"/>
    </row>
    <row r="13" spans="1:19">
      <c r="A13" s="407">
        <v>1</v>
      </c>
      <c r="B13" s="407" t="s">
        <v>1794</v>
      </c>
      <c r="C13" s="408" t="s">
        <v>1795</v>
      </c>
      <c r="D13" s="407"/>
      <c r="E13" s="408" t="s">
        <v>1573</v>
      </c>
      <c r="F13" s="421">
        <v>130</v>
      </c>
      <c r="G13" s="410">
        <f t="shared" si="8"/>
        <v>2.2793286921135986E-2</v>
      </c>
      <c r="H13" s="409">
        <f t="shared" si="6"/>
        <v>127.03687270025232</v>
      </c>
      <c r="I13" s="409">
        <f t="shared" si="7"/>
        <v>127.03687270025232</v>
      </c>
      <c r="J13" s="204" t="s">
        <v>1803</v>
      </c>
      <c r="M13" s="418">
        <f>I13</f>
        <v>127.03687270025232</v>
      </c>
      <c r="N13" s="437"/>
      <c r="O13" s="418"/>
      <c r="P13" s="418"/>
      <c r="Q13" s="418"/>
      <c r="R13" s="437"/>
      <c r="S13" s="437"/>
    </row>
    <row r="14" spans="1:19" ht="22.25">
      <c r="A14" s="407">
        <v>1</v>
      </c>
      <c r="B14" s="407" t="s">
        <v>1794</v>
      </c>
      <c r="C14" s="408" t="s">
        <v>1795</v>
      </c>
      <c r="D14" s="407"/>
      <c r="E14" s="408" t="s">
        <v>1574</v>
      </c>
      <c r="F14" s="421">
        <v>0</v>
      </c>
      <c r="G14" s="410">
        <f t="shared" si="8"/>
        <v>2.2793286921135986E-2</v>
      </c>
      <c r="H14" s="409">
        <f t="shared" si="6"/>
        <v>0</v>
      </c>
      <c r="I14" s="409">
        <f t="shared" si="7"/>
        <v>0</v>
      </c>
      <c r="J14" s="204"/>
      <c r="M14" s="437"/>
      <c r="N14" s="437"/>
      <c r="O14" s="437"/>
      <c r="P14" s="418">
        <f t="shared" si="9"/>
        <v>0</v>
      </c>
      <c r="Q14" s="437"/>
      <c r="R14" s="418"/>
      <c r="S14" s="437"/>
    </row>
    <row r="15" spans="1:19">
      <c r="A15" s="407"/>
      <c r="B15" s="407"/>
      <c r="C15" s="408"/>
      <c r="D15" s="407"/>
      <c r="E15" s="408"/>
      <c r="F15" s="409" t="s">
        <v>1804</v>
      </c>
      <c r="G15" s="410"/>
      <c r="H15" s="409"/>
      <c r="I15" s="421">
        <f>SUM(I4:I14)</f>
        <v>8924.8259789291242</v>
      </c>
      <c r="J15" s="204"/>
      <c r="M15" s="437"/>
      <c r="N15" s="437"/>
      <c r="O15" s="437"/>
      <c r="P15" s="437"/>
      <c r="Q15" s="437"/>
      <c r="R15" s="418"/>
      <c r="S15" s="437"/>
    </row>
    <row r="16" spans="1:19">
      <c r="A16" s="407"/>
      <c r="B16" s="407"/>
      <c r="C16" s="408"/>
      <c r="D16" s="407"/>
      <c r="E16" s="420" t="s">
        <v>1805</v>
      </c>
      <c r="F16" s="409"/>
      <c r="G16" s="410"/>
      <c r="H16" s="409"/>
      <c r="I16" s="409"/>
      <c r="J16" s="204"/>
      <c r="M16" s="437"/>
      <c r="N16" s="418"/>
      <c r="O16" s="437"/>
      <c r="P16" s="437"/>
      <c r="Q16" s="437"/>
      <c r="R16" s="437"/>
      <c r="S16" s="437"/>
    </row>
    <row r="17" spans="1:19">
      <c r="A17" s="407">
        <v>0</v>
      </c>
      <c r="B17" s="407" t="s">
        <v>505</v>
      </c>
      <c r="C17" s="408" t="s">
        <v>1795</v>
      </c>
      <c r="D17" s="407"/>
      <c r="E17" s="408" t="s">
        <v>1806</v>
      </c>
      <c r="F17" s="409">
        <v>1398</v>
      </c>
      <c r="G17" s="410">
        <f>G14</f>
        <v>2.2793286921135986E-2</v>
      </c>
      <c r="H17" s="409">
        <f t="shared" si="6"/>
        <v>1366.1349848842519</v>
      </c>
      <c r="I17" s="409">
        <f t="shared" ref="I17:I22" si="10">A17*H17</f>
        <v>0</v>
      </c>
      <c r="J17" s="204"/>
      <c r="M17" s="437"/>
      <c r="N17" s="418">
        <f t="shared" ref="N17:N21" si="11">I17</f>
        <v>0</v>
      </c>
      <c r="O17" s="437"/>
      <c r="P17" s="437"/>
      <c r="Q17" s="437"/>
      <c r="R17" s="437"/>
      <c r="S17" s="437"/>
    </row>
    <row r="18" spans="1:19" ht="21.6">
      <c r="A18" s="407">
        <v>1</v>
      </c>
      <c r="B18" s="407" t="s">
        <v>505</v>
      </c>
      <c r="C18" s="408" t="s">
        <v>1795</v>
      </c>
      <c r="D18" s="407"/>
      <c r="E18" s="489" t="s">
        <v>1807</v>
      </c>
      <c r="F18" s="421">
        <v>1498</v>
      </c>
      <c r="G18" s="410">
        <f t="shared" ref="G18:G22" si="12">G17</f>
        <v>2.2793286921135986E-2</v>
      </c>
      <c r="H18" s="409">
        <f t="shared" si="6"/>
        <v>1463.8556561921382</v>
      </c>
      <c r="I18" s="409">
        <f t="shared" si="10"/>
        <v>1463.8556561921382</v>
      </c>
      <c r="J18" s="204"/>
      <c r="M18" s="437"/>
      <c r="N18" s="418">
        <f t="shared" si="11"/>
        <v>1463.8556561921382</v>
      </c>
      <c r="O18" s="437"/>
      <c r="P18" s="437"/>
      <c r="Q18" s="437"/>
      <c r="R18" s="437"/>
      <c r="S18" s="437"/>
    </row>
    <row r="19" spans="1:19">
      <c r="A19" s="407">
        <v>0</v>
      </c>
      <c r="B19" s="407" t="s">
        <v>505</v>
      </c>
      <c r="C19" s="408" t="s">
        <v>1795</v>
      </c>
      <c r="D19" s="407"/>
      <c r="E19" s="408" t="s">
        <v>1808</v>
      </c>
      <c r="F19" s="409">
        <v>45</v>
      </c>
      <c r="G19" s="410">
        <f t="shared" si="12"/>
        <v>2.2793286921135986E-2</v>
      </c>
      <c r="H19" s="409">
        <f t="shared" si="6"/>
        <v>43.974302088548882</v>
      </c>
      <c r="I19" s="409">
        <f t="shared" si="10"/>
        <v>0</v>
      </c>
      <c r="J19" s="204"/>
      <c r="M19" s="437"/>
      <c r="N19" s="418">
        <f t="shared" si="11"/>
        <v>0</v>
      </c>
      <c r="O19" s="437"/>
      <c r="P19" s="437"/>
      <c r="Q19" s="437"/>
      <c r="R19" s="437"/>
      <c r="S19" s="437"/>
    </row>
    <row r="20" spans="1:19" ht="22.25">
      <c r="A20" s="407">
        <v>0</v>
      </c>
      <c r="B20" s="407" t="s">
        <v>1794</v>
      </c>
      <c r="C20" s="408" t="s">
        <v>1795</v>
      </c>
      <c r="D20" s="407"/>
      <c r="E20" s="408" t="s">
        <v>1809</v>
      </c>
      <c r="F20" s="409">
        <v>260</v>
      </c>
      <c r="G20" s="410">
        <f t="shared" si="12"/>
        <v>2.2793286921135986E-2</v>
      </c>
      <c r="H20" s="409">
        <f t="shared" si="6"/>
        <v>254.07374540050463</v>
      </c>
      <c r="I20" s="409">
        <f t="shared" si="10"/>
        <v>0</v>
      </c>
      <c r="J20" s="204"/>
      <c r="M20" s="437"/>
      <c r="N20" s="418">
        <f t="shared" si="11"/>
        <v>0</v>
      </c>
      <c r="O20" s="437"/>
      <c r="P20" s="418"/>
      <c r="Q20" s="437"/>
      <c r="R20" s="418"/>
      <c r="S20" s="437"/>
    </row>
    <row r="21" spans="1:19">
      <c r="A21" s="407">
        <v>1</v>
      </c>
      <c r="B21" s="407" t="s">
        <v>1794</v>
      </c>
      <c r="C21" s="408" t="s">
        <v>1795</v>
      </c>
      <c r="D21" s="407"/>
      <c r="E21" s="408" t="s">
        <v>1810</v>
      </c>
      <c r="F21" s="421">
        <v>130</v>
      </c>
      <c r="G21" s="410">
        <f t="shared" si="12"/>
        <v>2.2793286921135986E-2</v>
      </c>
      <c r="H21" s="409">
        <f t="shared" si="6"/>
        <v>127.03687270025232</v>
      </c>
      <c r="I21" s="409">
        <f t="shared" si="10"/>
        <v>127.03687270025232</v>
      </c>
      <c r="J21" s="204"/>
      <c r="M21" s="437"/>
      <c r="N21" s="418">
        <f t="shared" si="11"/>
        <v>127.03687270025232</v>
      </c>
      <c r="O21" s="437"/>
      <c r="P21" s="418"/>
      <c r="Q21" s="437"/>
      <c r="R21" s="418"/>
      <c r="S21" s="437"/>
    </row>
    <row r="22" spans="1:19">
      <c r="A22" s="407">
        <v>1</v>
      </c>
      <c r="B22" s="407" t="s">
        <v>1794</v>
      </c>
      <c r="C22" s="408" t="s">
        <v>1795</v>
      </c>
      <c r="D22" s="407"/>
      <c r="E22" s="408" t="s">
        <v>1867</v>
      </c>
      <c r="F22" s="421">
        <v>0</v>
      </c>
      <c r="G22" s="410">
        <f t="shared" si="12"/>
        <v>2.2793286921135986E-2</v>
      </c>
      <c r="H22" s="409">
        <f t="shared" si="6"/>
        <v>0</v>
      </c>
      <c r="I22" s="409">
        <f t="shared" si="10"/>
        <v>0</v>
      </c>
      <c r="J22" s="1054"/>
      <c r="K22" s="1054"/>
      <c r="L22" s="1054"/>
      <c r="M22" s="437"/>
      <c r="N22" s="437"/>
      <c r="O22" s="418">
        <f>I22</f>
        <v>0</v>
      </c>
      <c r="P22" s="437"/>
      <c r="Q22" s="437"/>
      <c r="R22" s="418"/>
      <c r="S22" s="437"/>
    </row>
    <row r="23" spans="1:19">
      <c r="A23" s="407"/>
      <c r="B23" s="407"/>
      <c r="C23" s="408"/>
      <c r="D23" s="407"/>
      <c r="E23" s="408"/>
      <c r="F23" s="409" t="s">
        <v>1804</v>
      </c>
      <c r="G23" s="410"/>
      <c r="H23" s="409"/>
      <c r="I23" s="421">
        <f>SUM(I16:I22)</f>
        <v>1590.8925288923906</v>
      </c>
      <c r="J23" s="204"/>
      <c r="M23" s="437"/>
      <c r="N23" s="437"/>
      <c r="O23" s="437"/>
      <c r="P23" s="437"/>
      <c r="Q23" s="437"/>
      <c r="R23" s="418"/>
      <c r="S23" s="437"/>
    </row>
    <row r="24" spans="1:19">
      <c r="A24" s="407"/>
      <c r="B24" s="407"/>
      <c r="C24" s="408" t="s">
        <v>1795</v>
      </c>
      <c r="D24" s="407"/>
      <c r="E24" s="420" t="s">
        <v>1812</v>
      </c>
      <c r="F24" s="409"/>
      <c r="G24" s="410"/>
      <c r="H24" s="409"/>
      <c r="I24" s="409"/>
      <c r="J24" s="204"/>
      <c r="M24" s="437"/>
      <c r="N24" s="437"/>
      <c r="O24" s="418"/>
      <c r="P24" s="437"/>
      <c r="Q24" s="437"/>
      <c r="R24" s="418"/>
      <c r="S24" s="437"/>
    </row>
    <row r="25" spans="1:19">
      <c r="A25" s="407">
        <v>1</v>
      </c>
      <c r="B25" s="407" t="s">
        <v>505</v>
      </c>
      <c r="C25" s="408" t="s">
        <v>1795</v>
      </c>
      <c r="D25" s="407"/>
      <c r="E25" s="408" t="s">
        <v>1813</v>
      </c>
      <c r="F25" s="421">
        <v>149</v>
      </c>
      <c r="G25" s="410">
        <f>G22</f>
        <v>2.2793286921135986E-2</v>
      </c>
      <c r="H25" s="409">
        <f t="shared" si="6"/>
        <v>145.60380024875073</v>
      </c>
      <c r="I25" s="409">
        <f t="shared" ref="I25:I28" si="13">A25*H25</f>
        <v>145.60380024875073</v>
      </c>
      <c r="J25" s="204"/>
      <c r="M25" s="437"/>
      <c r="N25" s="437"/>
      <c r="O25" s="418"/>
      <c r="P25" s="437"/>
      <c r="Q25" s="437"/>
      <c r="R25" s="418">
        <f t="shared" ref="R25:R26" si="14">I25</f>
        <v>145.60380024875073</v>
      </c>
      <c r="S25" s="437"/>
    </row>
    <row r="26" spans="1:19">
      <c r="A26" s="407">
        <v>1</v>
      </c>
      <c r="B26" s="407" t="s">
        <v>505</v>
      </c>
      <c r="C26" s="408" t="s">
        <v>1795</v>
      </c>
      <c r="D26" s="407"/>
      <c r="E26" s="408" t="s">
        <v>1814</v>
      </c>
      <c r="F26" s="421">
        <v>250</v>
      </c>
      <c r="G26" s="410">
        <f t="shared" ref="G26:G27" si="15">G25</f>
        <v>2.2793286921135986E-2</v>
      </c>
      <c r="H26" s="409">
        <f t="shared" si="6"/>
        <v>244.30167826971601</v>
      </c>
      <c r="I26" s="409">
        <f t="shared" si="13"/>
        <v>244.30167826971601</v>
      </c>
      <c r="J26" s="204"/>
      <c r="M26" s="437"/>
      <c r="N26" s="437"/>
      <c r="O26" s="418"/>
      <c r="P26" s="437"/>
      <c r="Q26" s="437"/>
      <c r="R26" s="418">
        <f t="shared" si="14"/>
        <v>244.30167826971601</v>
      </c>
      <c r="S26" s="437"/>
    </row>
    <row r="27" spans="1:19">
      <c r="A27" s="407">
        <v>1</v>
      </c>
      <c r="B27" s="407" t="s">
        <v>1794</v>
      </c>
      <c r="C27" s="408" t="s">
        <v>1795</v>
      </c>
      <c r="D27" s="407"/>
      <c r="E27" s="408" t="s">
        <v>1815</v>
      </c>
      <c r="F27" s="421">
        <v>130</v>
      </c>
      <c r="G27" s="410">
        <f t="shared" si="15"/>
        <v>2.2793286921135986E-2</v>
      </c>
      <c r="H27" s="409">
        <f t="shared" si="6"/>
        <v>127.03687270025232</v>
      </c>
      <c r="I27" s="409">
        <f t="shared" si="13"/>
        <v>127.03687270025232</v>
      </c>
      <c r="J27" s="204"/>
      <c r="M27" s="437"/>
      <c r="N27" s="437"/>
      <c r="O27" s="418"/>
      <c r="P27" s="418">
        <f t="shared" si="9"/>
        <v>127.03687270025232</v>
      </c>
      <c r="Q27" s="437"/>
      <c r="R27" s="418"/>
      <c r="S27" s="437"/>
    </row>
    <row r="28" spans="1:19">
      <c r="A28" s="407">
        <v>1</v>
      </c>
      <c r="B28" s="407" t="s">
        <v>1794</v>
      </c>
      <c r="C28" s="408" t="s">
        <v>1795</v>
      </c>
      <c r="D28" s="407"/>
      <c r="E28" s="408" t="s">
        <v>1816</v>
      </c>
      <c r="F28" s="409"/>
      <c r="G28" s="410"/>
      <c r="H28" s="409">
        <f t="shared" si="6"/>
        <v>0</v>
      </c>
      <c r="I28" s="409">
        <f t="shared" si="13"/>
        <v>0</v>
      </c>
      <c r="J28" s="204"/>
      <c r="M28" s="437"/>
      <c r="N28" s="437"/>
      <c r="O28" s="418"/>
      <c r="P28" s="437"/>
      <c r="Q28" s="437"/>
      <c r="R28" s="418"/>
      <c r="S28" s="437"/>
    </row>
    <row r="29" spans="1:19">
      <c r="A29" s="407"/>
      <c r="B29" s="407"/>
      <c r="C29" s="408"/>
      <c r="D29" s="407"/>
      <c r="E29" s="408"/>
      <c r="F29" s="409" t="s">
        <v>1804</v>
      </c>
      <c r="G29" s="410"/>
      <c r="H29" s="409"/>
      <c r="I29" s="421">
        <f>SUM(I25:I28)</f>
        <v>516.94235121871907</v>
      </c>
      <c r="J29" s="204"/>
      <c r="M29" s="437"/>
      <c r="N29" s="437"/>
      <c r="O29" s="418"/>
      <c r="P29" s="437"/>
      <c r="Q29" s="437"/>
      <c r="R29" s="418"/>
      <c r="S29" s="437"/>
    </row>
    <row r="30" spans="1:19">
      <c r="A30" s="407"/>
      <c r="B30" s="407"/>
      <c r="C30" s="408" t="s">
        <v>1795</v>
      </c>
      <c r="D30" s="407"/>
      <c r="E30" s="420" t="s">
        <v>1817</v>
      </c>
      <c r="F30" s="409"/>
      <c r="G30" s="410"/>
      <c r="H30" s="409"/>
      <c r="I30" s="409"/>
      <c r="J30" s="204"/>
      <c r="M30" s="437"/>
      <c r="N30" s="437"/>
      <c r="O30" s="418"/>
      <c r="P30" s="437"/>
      <c r="Q30" s="437"/>
      <c r="R30" s="418"/>
      <c r="S30" s="437"/>
    </row>
    <row r="31" spans="1:19">
      <c r="A31" s="407">
        <v>1</v>
      </c>
      <c r="B31" s="407" t="s">
        <v>1818</v>
      </c>
      <c r="C31" s="408" t="s">
        <v>1795</v>
      </c>
      <c r="D31" s="407"/>
      <c r="E31" s="408" t="s">
        <v>1819</v>
      </c>
      <c r="F31" s="421">
        <v>216.35499999999999</v>
      </c>
      <c r="G31" s="410">
        <f>G27</f>
        <v>2.2793286921135986E-2</v>
      </c>
      <c r="H31" s="409">
        <f t="shared" si="6"/>
        <v>211.4235584081776</v>
      </c>
      <c r="I31" s="409">
        <f t="shared" ref="I31:I36" si="16">A31*H31</f>
        <v>211.4235584081776</v>
      </c>
      <c r="J31" s="204"/>
      <c r="M31" s="437"/>
      <c r="N31" s="437"/>
      <c r="O31" s="418">
        <f t="shared" ref="O31:O36" si="17">I31</f>
        <v>211.4235584081776</v>
      </c>
      <c r="P31" s="437"/>
      <c r="Q31" s="437"/>
      <c r="R31" s="418"/>
      <c r="S31" s="437"/>
    </row>
    <row r="32" spans="1:19">
      <c r="A32" s="407">
        <v>1</v>
      </c>
      <c r="B32" s="407" t="s">
        <v>1818</v>
      </c>
      <c r="C32" s="408" t="s">
        <v>1795</v>
      </c>
      <c r="D32" s="407"/>
      <c r="E32" s="408" t="s">
        <v>1820</v>
      </c>
      <c r="F32" s="421">
        <v>235.8</v>
      </c>
      <c r="G32" s="410">
        <f t="shared" ref="G32:G36" si="18">G31</f>
        <v>2.2793286921135986E-2</v>
      </c>
      <c r="H32" s="409">
        <f t="shared" si="6"/>
        <v>230.42534294399613</v>
      </c>
      <c r="I32" s="409">
        <f t="shared" si="16"/>
        <v>230.42534294399613</v>
      </c>
      <c r="J32" s="204"/>
      <c r="M32" s="437"/>
      <c r="N32" s="437"/>
      <c r="O32" s="418">
        <f t="shared" si="17"/>
        <v>230.42534294399613</v>
      </c>
      <c r="P32" s="437"/>
      <c r="Q32" s="437"/>
      <c r="R32" s="418"/>
      <c r="S32" s="437"/>
    </row>
    <row r="33" spans="1:19">
      <c r="A33" s="413">
        <v>60</v>
      </c>
      <c r="B33" s="407" t="s">
        <v>1551</v>
      </c>
      <c r="C33" s="408" t="s">
        <v>1795</v>
      </c>
      <c r="D33" s="407"/>
      <c r="E33" s="408" t="s">
        <v>1868</v>
      </c>
      <c r="F33" s="421">
        <v>10</v>
      </c>
      <c r="G33" s="410">
        <f t="shared" si="18"/>
        <v>2.2793286921135986E-2</v>
      </c>
      <c r="H33" s="409">
        <f t="shared" si="6"/>
        <v>9.7720671307886402</v>
      </c>
      <c r="I33" s="409">
        <f t="shared" si="16"/>
        <v>586.32402784731846</v>
      </c>
      <c r="J33" s="204"/>
      <c r="M33" s="437"/>
      <c r="N33" s="437"/>
      <c r="O33" s="418">
        <f t="shared" si="17"/>
        <v>586.32402784731846</v>
      </c>
      <c r="P33" s="418"/>
      <c r="Q33" s="418"/>
      <c r="R33" s="418"/>
      <c r="S33" s="437"/>
    </row>
    <row r="34" spans="1:19">
      <c r="A34" s="407">
        <v>60</v>
      </c>
      <c r="B34" s="407" t="s">
        <v>1551</v>
      </c>
      <c r="C34" s="408" t="s">
        <v>1795</v>
      </c>
      <c r="D34" s="407"/>
      <c r="E34" s="408" t="s">
        <v>1822</v>
      </c>
      <c r="F34" s="421">
        <f>325/A34</f>
        <v>5.416666666666667</v>
      </c>
      <c r="G34" s="410">
        <f t="shared" si="18"/>
        <v>2.2793286921135986E-2</v>
      </c>
      <c r="H34" s="409">
        <f t="shared" si="6"/>
        <v>5.2932030291771799</v>
      </c>
      <c r="I34" s="409">
        <f t="shared" si="16"/>
        <v>317.5921817506308</v>
      </c>
      <c r="J34" s="204"/>
      <c r="M34" s="437"/>
      <c r="N34" s="437"/>
      <c r="O34" s="418"/>
      <c r="P34" s="418">
        <f t="shared" si="9"/>
        <v>317.5921817506308</v>
      </c>
      <c r="Q34" s="437"/>
      <c r="R34" s="418"/>
      <c r="S34" s="437"/>
    </row>
    <row r="35" spans="1:19">
      <c r="A35" s="407">
        <v>1</v>
      </c>
      <c r="B35" s="407" t="s">
        <v>505</v>
      </c>
      <c r="C35" s="408" t="s">
        <v>1795</v>
      </c>
      <c r="D35" s="407"/>
      <c r="E35" s="408" t="s">
        <v>1823</v>
      </c>
      <c r="F35" s="421">
        <v>160.69999999999999</v>
      </c>
      <c r="G35" s="410">
        <f t="shared" si="18"/>
        <v>2.2793286921135986E-2</v>
      </c>
      <c r="H35" s="409">
        <f t="shared" si="6"/>
        <v>157.03711879177342</v>
      </c>
      <c r="I35" s="409">
        <f t="shared" si="16"/>
        <v>157.03711879177342</v>
      </c>
      <c r="J35" s="204"/>
      <c r="M35" s="437"/>
      <c r="N35" s="437"/>
      <c r="O35" s="418">
        <f t="shared" si="17"/>
        <v>157.03711879177342</v>
      </c>
      <c r="P35" s="437"/>
      <c r="Q35" s="437"/>
      <c r="R35" s="418"/>
      <c r="S35" s="437"/>
    </row>
    <row r="36" spans="1:19">
      <c r="A36" s="407">
        <v>30</v>
      </c>
      <c r="B36" s="407" t="s">
        <v>505</v>
      </c>
      <c r="C36" s="408" t="s">
        <v>1795</v>
      </c>
      <c r="D36" s="407"/>
      <c r="E36" s="408" t="s">
        <v>1824</v>
      </c>
      <c r="F36" s="421">
        <v>10.833299999999999</v>
      </c>
      <c r="G36" s="410">
        <f t="shared" si="18"/>
        <v>2.2793286921135986E-2</v>
      </c>
      <c r="H36" s="409">
        <f t="shared" si="6"/>
        <v>10.586373484797257</v>
      </c>
      <c r="I36" s="409">
        <f t="shared" si="16"/>
        <v>317.59120454391768</v>
      </c>
      <c r="J36" s="204"/>
      <c r="M36" s="437"/>
      <c r="N36" s="437"/>
      <c r="O36" s="418">
        <f t="shared" si="17"/>
        <v>317.59120454391768</v>
      </c>
      <c r="P36" s="437"/>
      <c r="Q36" s="437"/>
      <c r="R36" s="418"/>
      <c r="S36" s="437"/>
    </row>
    <row r="37" spans="1:19">
      <c r="A37" s="407"/>
      <c r="B37" s="407"/>
      <c r="C37" s="408"/>
      <c r="D37" s="407"/>
      <c r="E37" s="408"/>
      <c r="F37" s="409" t="s">
        <v>1804</v>
      </c>
      <c r="G37" s="410"/>
      <c r="H37" s="409"/>
      <c r="I37" s="421">
        <f>SUM(I31:I36)</f>
        <v>1820.3934342858138</v>
      </c>
      <c r="J37" s="204"/>
      <c r="M37" s="437"/>
      <c r="N37" s="437"/>
      <c r="O37" s="418"/>
      <c r="P37" s="437"/>
      <c r="Q37" s="437"/>
      <c r="R37" s="418"/>
      <c r="S37" s="437"/>
    </row>
    <row r="38" spans="1:19">
      <c r="A38" s="407"/>
      <c r="B38" s="407"/>
      <c r="C38" s="408"/>
      <c r="D38" s="407"/>
      <c r="E38" s="420" t="s">
        <v>1825</v>
      </c>
      <c r="F38" s="409"/>
      <c r="G38" s="410"/>
      <c r="H38" s="409"/>
      <c r="I38" s="409"/>
      <c r="J38" s="204"/>
      <c r="M38" s="437"/>
      <c r="N38" s="437"/>
      <c r="O38" s="418"/>
      <c r="P38" s="437"/>
      <c r="Q38" s="437"/>
      <c r="R38" s="418"/>
      <c r="S38" s="437"/>
    </row>
    <row r="39" spans="1:19" ht="22.25">
      <c r="A39" s="407">
        <v>1</v>
      </c>
      <c r="B39" s="407" t="s">
        <v>1794</v>
      </c>
      <c r="C39" s="408" t="s">
        <v>1795</v>
      </c>
      <c r="D39" s="407"/>
      <c r="E39" s="408" t="s">
        <v>1826</v>
      </c>
      <c r="F39" s="421">
        <v>170</v>
      </c>
      <c r="G39" s="410">
        <f>G36</f>
        <v>2.2793286921135986E-2</v>
      </c>
      <c r="H39" s="409">
        <f t="shared" si="6"/>
        <v>166.12514122340687</v>
      </c>
      <c r="I39" s="409">
        <f>A39*H39</f>
        <v>166.12514122340687</v>
      </c>
      <c r="J39" s="204"/>
      <c r="M39" s="437"/>
      <c r="N39" s="437"/>
      <c r="O39" s="418"/>
      <c r="P39" s="418">
        <f t="shared" si="9"/>
        <v>166.12514122340687</v>
      </c>
      <c r="Q39" s="437"/>
      <c r="R39" s="418"/>
      <c r="S39" s="437"/>
    </row>
    <row r="40" spans="1:19">
      <c r="A40" s="407"/>
      <c r="B40" s="407"/>
      <c r="C40" s="408"/>
      <c r="D40" s="407"/>
      <c r="E40" s="408"/>
      <c r="F40" s="409" t="s">
        <v>1804</v>
      </c>
      <c r="G40" s="410"/>
      <c r="H40" s="409"/>
      <c r="I40" s="421">
        <f>I39</f>
        <v>166.12514122340687</v>
      </c>
      <c r="J40" s="204"/>
      <c r="M40" s="437"/>
      <c r="N40" s="437"/>
      <c r="O40" s="418"/>
      <c r="P40" s="437"/>
      <c r="Q40" s="437"/>
      <c r="R40" s="418"/>
      <c r="S40" s="437"/>
    </row>
    <row r="41" spans="1:19">
      <c r="A41" s="407"/>
      <c r="B41" s="407"/>
      <c r="C41" s="408"/>
      <c r="D41" s="407"/>
      <c r="E41" s="420" t="s">
        <v>1827</v>
      </c>
      <c r="F41" s="409"/>
      <c r="G41" s="410"/>
      <c r="H41" s="409"/>
      <c r="I41" s="409"/>
      <c r="J41" s="204"/>
      <c r="M41" s="437"/>
      <c r="N41" s="437"/>
      <c r="O41" s="418"/>
      <c r="P41" s="437"/>
      <c r="Q41" s="437"/>
      <c r="R41" s="418"/>
      <c r="S41" s="437"/>
    </row>
    <row r="42" spans="1:19">
      <c r="A42" s="407">
        <v>1</v>
      </c>
      <c r="B42" s="407" t="s">
        <v>1794</v>
      </c>
      <c r="C42" s="408" t="s">
        <v>1795</v>
      </c>
      <c r="D42" s="407"/>
      <c r="E42" s="408" t="s">
        <v>1828</v>
      </c>
      <c r="F42" s="421">
        <v>130</v>
      </c>
      <c r="G42" s="410">
        <f>G39</f>
        <v>2.2793286921135986E-2</v>
      </c>
      <c r="H42" s="409">
        <f t="shared" si="6"/>
        <v>127.03687270025232</v>
      </c>
      <c r="I42" s="409">
        <f t="shared" ref="I42:I44" si="19">A42*H42</f>
        <v>127.03687270025232</v>
      </c>
      <c r="J42" s="204"/>
      <c r="M42" s="418">
        <f t="shared" ref="M42:M44" si="20">I42</f>
        <v>127.03687270025232</v>
      </c>
      <c r="N42" s="437"/>
      <c r="O42" s="418"/>
      <c r="P42" s="437"/>
      <c r="Q42" s="437"/>
      <c r="R42" s="418"/>
      <c r="S42" s="437"/>
    </row>
    <row r="43" spans="1:19" ht="22.25">
      <c r="A43" s="407">
        <v>30</v>
      </c>
      <c r="B43" s="407" t="s">
        <v>517</v>
      </c>
      <c r="C43" s="408" t="s">
        <v>1795</v>
      </c>
      <c r="D43" s="407"/>
      <c r="E43" s="408" t="s">
        <v>1829</v>
      </c>
      <c r="F43" s="421">
        <v>18</v>
      </c>
      <c r="G43" s="410">
        <f t="shared" ref="G43:G44" si="21">G42</f>
        <v>2.2793286921135986E-2</v>
      </c>
      <c r="H43" s="409">
        <f t="shared" si="6"/>
        <v>17.589720835419552</v>
      </c>
      <c r="I43" s="409">
        <f t="shared" si="19"/>
        <v>527.69162506258658</v>
      </c>
      <c r="J43" s="204"/>
      <c r="M43" s="418">
        <f t="shared" si="20"/>
        <v>527.69162506258658</v>
      </c>
      <c r="N43" s="437"/>
      <c r="O43" s="418"/>
      <c r="P43" s="437"/>
      <c r="Q43" s="437"/>
      <c r="R43" s="418"/>
      <c r="S43" s="437"/>
    </row>
    <row r="44" spans="1:19">
      <c r="A44" s="407">
        <v>1</v>
      </c>
      <c r="B44" s="407" t="s">
        <v>505</v>
      </c>
      <c r="C44" s="408" t="s">
        <v>1795</v>
      </c>
      <c r="D44" s="407"/>
      <c r="E44" s="408" t="s">
        <v>1830</v>
      </c>
      <c r="F44" s="421">
        <v>295.04000000000002</v>
      </c>
      <c r="G44" s="410">
        <f t="shared" si="21"/>
        <v>2.2793286921135986E-2</v>
      </c>
      <c r="H44" s="409">
        <f t="shared" si="6"/>
        <v>288.31506862678805</v>
      </c>
      <c r="I44" s="409">
        <f t="shared" si="19"/>
        <v>288.31506862678805</v>
      </c>
      <c r="J44" s="204"/>
      <c r="M44" s="418">
        <f t="shared" si="20"/>
        <v>288.31506862678805</v>
      </c>
      <c r="N44" s="437"/>
      <c r="O44" s="418"/>
      <c r="P44" s="437"/>
      <c r="Q44" s="437"/>
      <c r="R44" s="418"/>
      <c r="S44" s="437"/>
    </row>
    <row r="45" spans="1:19">
      <c r="A45" s="407"/>
      <c r="B45" s="407"/>
      <c r="C45" s="408"/>
      <c r="D45" s="407"/>
      <c r="E45" s="408"/>
      <c r="F45" s="409" t="s">
        <v>1804</v>
      </c>
      <c r="G45" s="410"/>
      <c r="H45" s="409"/>
      <c r="I45" s="421">
        <f>SUM(I42:I44)</f>
        <v>943.0435663896269</v>
      </c>
      <c r="J45" s="204"/>
      <c r="M45" s="437"/>
      <c r="N45" s="437"/>
      <c r="O45" s="418"/>
      <c r="P45" s="437"/>
      <c r="Q45" s="437"/>
      <c r="R45" s="418"/>
      <c r="S45" s="437"/>
    </row>
    <row r="46" spans="1:19">
      <c r="A46" s="407"/>
      <c r="B46" s="407"/>
      <c r="C46" s="408"/>
      <c r="D46" s="407"/>
      <c r="E46" s="420" t="s">
        <v>1816</v>
      </c>
      <c r="F46" s="409"/>
      <c r="G46" s="410"/>
      <c r="H46" s="409"/>
      <c r="I46" s="409"/>
      <c r="J46" s="204"/>
      <c r="M46" s="437"/>
      <c r="N46" s="437"/>
      <c r="O46" s="418"/>
      <c r="P46" s="437"/>
      <c r="Q46" s="437"/>
      <c r="R46" s="418"/>
      <c r="S46" s="437"/>
    </row>
    <row r="47" spans="1:19">
      <c r="A47" s="407">
        <v>1</v>
      </c>
      <c r="B47" s="407" t="s">
        <v>1794</v>
      </c>
      <c r="C47" s="408" t="s">
        <v>1795</v>
      </c>
      <c r="D47" s="407"/>
      <c r="E47" s="408" t="s">
        <v>1831</v>
      </c>
      <c r="F47" s="409"/>
      <c r="G47" s="410">
        <f>G44</f>
        <v>2.2793286921135986E-2</v>
      </c>
      <c r="H47" s="409">
        <f t="shared" si="6"/>
        <v>0</v>
      </c>
      <c r="I47" s="409">
        <f t="shared" ref="I47:I49" si="22">A47*H47</f>
        <v>0</v>
      </c>
      <c r="J47" s="204"/>
      <c r="M47" s="437"/>
      <c r="N47" s="437"/>
      <c r="O47" s="418"/>
      <c r="P47" s="437"/>
      <c r="Q47" s="437"/>
      <c r="R47" s="418"/>
      <c r="S47" s="437"/>
    </row>
    <row r="48" spans="1:19">
      <c r="A48" s="407">
        <v>1</v>
      </c>
      <c r="B48" s="407" t="s">
        <v>505</v>
      </c>
      <c r="C48" s="408" t="s">
        <v>1795</v>
      </c>
      <c r="D48" s="407"/>
      <c r="E48" s="408" t="s">
        <v>1832</v>
      </c>
      <c r="F48" s="409"/>
      <c r="G48" s="410">
        <f t="shared" ref="G48:G49" si="23">G47</f>
        <v>2.2793286921135986E-2</v>
      </c>
      <c r="H48" s="409">
        <f t="shared" si="6"/>
        <v>0</v>
      </c>
      <c r="I48" s="409">
        <f t="shared" si="22"/>
        <v>0</v>
      </c>
      <c r="J48" s="204"/>
      <c r="M48" s="437"/>
      <c r="N48" s="437"/>
      <c r="O48" s="418"/>
      <c r="P48" s="437"/>
      <c r="Q48" s="437"/>
      <c r="R48" s="418"/>
      <c r="S48" s="437"/>
    </row>
    <row r="49" spans="1:19" ht="22.25">
      <c r="A49" s="407">
        <v>1</v>
      </c>
      <c r="B49" s="407" t="s">
        <v>1794</v>
      </c>
      <c r="C49" s="408" t="s">
        <v>1795</v>
      </c>
      <c r="D49" s="407"/>
      <c r="E49" s="408" t="s">
        <v>1833</v>
      </c>
      <c r="F49" s="421">
        <v>130</v>
      </c>
      <c r="G49" s="410">
        <f t="shared" si="23"/>
        <v>2.2793286921135986E-2</v>
      </c>
      <c r="H49" s="409">
        <f t="shared" si="6"/>
        <v>127.03687270025232</v>
      </c>
      <c r="I49" s="409">
        <f t="shared" si="22"/>
        <v>127.03687270025232</v>
      </c>
      <c r="J49" s="204"/>
      <c r="M49" s="437"/>
      <c r="N49" s="437"/>
      <c r="O49" s="418"/>
      <c r="P49" s="418">
        <f t="shared" si="9"/>
        <v>127.03687270025232</v>
      </c>
      <c r="Q49" s="437"/>
      <c r="R49" s="418"/>
      <c r="S49" s="437"/>
    </row>
    <row r="50" spans="1:19">
      <c r="A50" s="407"/>
      <c r="B50" s="407"/>
      <c r="C50" s="408"/>
      <c r="D50" s="407"/>
      <c r="E50" s="408"/>
      <c r="F50" s="409" t="s">
        <v>1804</v>
      </c>
      <c r="G50" s="410"/>
      <c r="H50" s="409"/>
      <c r="I50" s="421">
        <f>SUM(I47:I49)</f>
        <v>127.03687270025232</v>
      </c>
      <c r="J50" s="204"/>
      <c r="M50" s="437"/>
      <c r="N50" s="437"/>
      <c r="O50" s="418"/>
      <c r="P50" s="437"/>
      <c r="Q50" s="437"/>
      <c r="R50" s="418"/>
      <c r="S50" s="437"/>
    </row>
    <row r="51" spans="1:19">
      <c r="A51" s="407"/>
      <c r="B51" s="407"/>
      <c r="C51" s="408"/>
      <c r="D51" s="407"/>
      <c r="E51" s="408"/>
      <c r="F51" s="409" t="s">
        <v>1834</v>
      </c>
      <c r="G51" s="410"/>
      <c r="H51" s="409"/>
      <c r="I51" s="421">
        <f>I15+I23+I29+I37+I40+I45+I50</f>
        <v>14089.259873639332</v>
      </c>
      <c r="J51" s="204"/>
      <c r="M51" s="437"/>
      <c r="N51" s="437"/>
      <c r="O51" s="418"/>
      <c r="P51" s="437"/>
      <c r="Q51" s="437"/>
      <c r="R51" s="418"/>
      <c r="S51" s="437"/>
    </row>
    <row r="52" spans="1:19">
      <c r="A52" s="407"/>
      <c r="B52" s="407"/>
      <c r="C52" s="408"/>
      <c r="D52" s="407"/>
      <c r="E52" s="407"/>
      <c r="F52" s="409"/>
      <c r="G52" s="410"/>
      <c r="H52" s="409"/>
      <c r="I52" s="409"/>
      <c r="J52" s="204"/>
      <c r="M52" s="418"/>
      <c r="N52" s="437"/>
      <c r="O52" s="437"/>
      <c r="P52" s="437"/>
      <c r="Q52" s="437"/>
      <c r="R52" s="437"/>
      <c r="S52" s="437"/>
    </row>
    <row r="53" spans="1:19">
      <c r="A53" s="407">
        <v>1</v>
      </c>
      <c r="B53" s="407" t="s">
        <v>517</v>
      </c>
      <c r="C53" s="408" t="s">
        <v>574</v>
      </c>
      <c r="D53" s="407" t="s">
        <v>1006</v>
      </c>
      <c r="E53" s="407" t="s">
        <v>1005</v>
      </c>
      <c r="F53" s="409">
        <v>365</v>
      </c>
      <c r="G53" s="410">
        <v>0.02</v>
      </c>
      <c r="H53" s="409">
        <f t="shared" si="6"/>
        <v>357.7</v>
      </c>
      <c r="I53" s="409">
        <f t="shared" ref="I53:I56" si="24">A53*H53</f>
        <v>357.7</v>
      </c>
      <c r="J53" s="204"/>
      <c r="M53" s="418"/>
      <c r="N53" s="437"/>
      <c r="O53" s="437"/>
      <c r="P53" s="437"/>
      <c r="Q53" s="437"/>
      <c r="R53" s="437"/>
      <c r="S53" s="418">
        <f t="shared" ref="S53:S56" si="25">I53</f>
        <v>357.7</v>
      </c>
    </row>
    <row r="54" spans="1:19">
      <c r="A54" s="407">
        <v>0</v>
      </c>
      <c r="B54" s="407" t="s">
        <v>517</v>
      </c>
      <c r="C54" s="408" t="s">
        <v>574</v>
      </c>
      <c r="D54" s="407"/>
      <c r="E54" s="407" t="s">
        <v>576</v>
      </c>
      <c r="F54" s="409"/>
      <c r="G54" s="410"/>
      <c r="H54" s="409">
        <f t="shared" si="6"/>
        <v>0</v>
      </c>
      <c r="I54" s="409">
        <f t="shared" si="24"/>
        <v>0</v>
      </c>
      <c r="J54" s="204"/>
      <c r="M54" s="418"/>
      <c r="N54" s="437"/>
      <c r="O54" s="437"/>
      <c r="P54" s="437"/>
      <c r="Q54" s="437"/>
      <c r="R54" s="437"/>
      <c r="S54" s="418">
        <f t="shared" si="25"/>
        <v>0</v>
      </c>
    </row>
    <row r="55" spans="1:19">
      <c r="A55" s="407">
        <v>1</v>
      </c>
      <c r="B55" s="407" t="s">
        <v>517</v>
      </c>
      <c r="C55" s="408" t="s">
        <v>574</v>
      </c>
      <c r="D55" s="407" t="s">
        <v>1835</v>
      </c>
      <c r="E55" s="407" t="s">
        <v>1836</v>
      </c>
      <c r="F55" s="409">
        <v>200</v>
      </c>
      <c r="G55" s="410">
        <v>0.02</v>
      </c>
      <c r="H55" s="409">
        <f t="shared" si="6"/>
        <v>196</v>
      </c>
      <c r="I55" s="409">
        <f t="shared" si="24"/>
        <v>196</v>
      </c>
      <c r="J55" s="204"/>
      <c r="M55" s="418"/>
      <c r="N55" s="437"/>
      <c r="O55" s="437"/>
      <c r="P55" s="437"/>
      <c r="Q55" s="437"/>
      <c r="R55" s="437"/>
      <c r="S55" s="418">
        <f t="shared" si="25"/>
        <v>196</v>
      </c>
    </row>
    <row r="56" spans="1:19">
      <c r="A56" s="407">
        <v>1</v>
      </c>
      <c r="B56" s="407" t="s">
        <v>517</v>
      </c>
      <c r="C56" s="408" t="s">
        <v>574</v>
      </c>
      <c r="D56" s="407"/>
      <c r="E56" s="407" t="s">
        <v>1837</v>
      </c>
      <c r="F56" s="409">
        <f>35/4</f>
        <v>8.75</v>
      </c>
      <c r="G56" s="410">
        <v>0.02</v>
      </c>
      <c r="H56" s="409">
        <f t="shared" si="6"/>
        <v>8.5749999999999993</v>
      </c>
      <c r="I56" s="409">
        <f t="shared" si="24"/>
        <v>8.5749999999999993</v>
      </c>
      <c r="J56" s="204"/>
      <c r="M56" s="418"/>
      <c r="N56" s="437"/>
      <c r="O56" s="437"/>
      <c r="P56" s="437"/>
      <c r="Q56" s="437"/>
      <c r="R56" s="437"/>
      <c r="S56" s="418">
        <f t="shared" si="25"/>
        <v>8.5749999999999993</v>
      </c>
    </row>
    <row r="57" spans="1:19" ht="12.45">
      <c r="A57" s="407"/>
      <c r="B57" s="407"/>
      <c r="C57" s="408"/>
      <c r="D57" s="407"/>
      <c r="E57" s="431"/>
      <c r="F57" s="409" t="s">
        <v>1804</v>
      </c>
      <c r="G57" s="410"/>
      <c r="H57" s="409"/>
      <c r="I57" s="421">
        <f>SUM(I53:I56)</f>
        <v>562.27500000000009</v>
      </c>
      <c r="J57" s="204"/>
      <c r="M57" s="418"/>
      <c r="N57" s="437"/>
      <c r="O57" s="437"/>
      <c r="P57" s="437"/>
      <c r="Q57" s="437"/>
      <c r="R57" s="437"/>
      <c r="S57" s="437"/>
    </row>
    <row r="58" spans="1:19">
      <c r="A58" s="407"/>
      <c r="B58" s="407"/>
      <c r="C58" s="408"/>
      <c r="D58" s="407"/>
      <c r="E58" s="407"/>
      <c r="F58" s="409"/>
      <c r="G58" s="410"/>
      <c r="H58" s="409"/>
      <c r="I58" s="409"/>
      <c r="J58" s="204"/>
      <c r="M58" s="437"/>
      <c r="N58" s="437"/>
      <c r="O58" s="437"/>
      <c r="P58" s="437"/>
      <c r="Q58" s="437"/>
      <c r="R58" s="437"/>
      <c r="S58" s="437"/>
    </row>
    <row r="59" spans="1:19">
      <c r="A59" s="407"/>
      <c r="B59" s="407"/>
      <c r="C59" s="408"/>
      <c r="D59" s="407"/>
      <c r="E59" s="432" t="s">
        <v>580</v>
      </c>
      <c r="F59" s="409"/>
      <c r="G59" s="410"/>
      <c r="H59" s="409"/>
      <c r="I59" s="421">
        <f>I51+I57</f>
        <v>14651.534873639332</v>
      </c>
      <c r="J59" s="204"/>
      <c r="M59" s="418">
        <f>SUM(M4:M57)</f>
        <v>8279.9086365655985</v>
      </c>
      <c r="N59" s="418">
        <f>SUM(N4:N57)</f>
        <v>1590.8925288923906</v>
      </c>
      <c r="O59" s="418">
        <f>SUM(O4:O57)</f>
        <v>1502.8012525351833</v>
      </c>
      <c r="P59" s="418">
        <f>SUM(P4:P57)</f>
        <v>2325.7519771276961</v>
      </c>
      <c r="Q59" s="418"/>
      <c r="R59" s="418">
        <f>SUM(R4:R57)</f>
        <v>389.90547851846674</v>
      </c>
      <c r="S59" s="437"/>
    </row>
    <row r="60" spans="1:19">
      <c r="A60" s="407"/>
      <c r="B60" s="407"/>
      <c r="C60" s="408"/>
      <c r="D60" s="407"/>
      <c r="E60" s="413" t="s">
        <v>581</v>
      </c>
      <c r="F60" s="409"/>
      <c r="G60" s="410">
        <v>0</v>
      </c>
      <c r="H60" s="409"/>
      <c r="I60" s="421"/>
      <c r="J60" s="204"/>
      <c r="M60" s="418"/>
      <c r="N60" s="418"/>
      <c r="O60" s="418"/>
      <c r="P60" s="418"/>
      <c r="Q60" s="418"/>
      <c r="R60" s="418"/>
      <c r="S60" s="437"/>
    </row>
    <row r="61" spans="1:19" ht="15.75">
      <c r="E61" s="433" t="s">
        <v>582</v>
      </c>
      <c r="F61" s="418"/>
      <c r="G61" s="434"/>
      <c r="H61" s="418"/>
      <c r="I61" s="435">
        <f>I59*(1+$G$60)</f>
        <v>14651.534873639332</v>
      </c>
      <c r="J61" s="436"/>
      <c r="K61" s="437"/>
      <c r="L61" s="437"/>
      <c r="M61" s="165">
        <f>M59*(1+$G$60)</f>
        <v>8279.9086365655985</v>
      </c>
      <c r="N61" s="165">
        <f>N59*(1+$G$60)</f>
        <v>1590.8925288923906</v>
      </c>
      <c r="O61" s="165">
        <f>O59*(1+$G$60)</f>
        <v>1502.8012525351833</v>
      </c>
      <c r="P61" s="165">
        <f>P59</f>
        <v>2325.7519771276961</v>
      </c>
      <c r="Q61" s="418"/>
      <c r="R61" s="165">
        <f>R59*(1+$G$60)</f>
        <v>389.90547851846674</v>
      </c>
      <c r="S61" s="165">
        <f>SUM(S4:S60)</f>
        <v>562.27500000000009</v>
      </c>
    </row>
    <row r="64" spans="1:19">
      <c r="E64" s="439" t="s">
        <v>585</v>
      </c>
    </row>
    <row r="65" spans="1:17">
      <c r="A65" s="445">
        <f t="shared" ref="A65:A79" si="26">P65/H65</f>
        <v>0</v>
      </c>
      <c r="B65" s="17" t="s">
        <v>619</v>
      </c>
      <c r="E65" s="17" t="s">
        <v>586</v>
      </c>
      <c r="F65" s="403">
        <f t="shared" ref="F65:F79" si="27">F$83</f>
        <v>55</v>
      </c>
      <c r="H65" s="403">
        <f t="shared" si="6"/>
        <v>55</v>
      </c>
      <c r="I65" s="403">
        <f t="shared" ref="I65:I85" si="28">A65*H65</f>
        <v>0</v>
      </c>
      <c r="P65" s="403">
        <f>P5</f>
        <v>0</v>
      </c>
    </row>
    <row r="66" spans="1:17">
      <c r="A66" s="445">
        <f t="shared" si="26"/>
        <v>15.013448591848002</v>
      </c>
      <c r="B66" s="17" t="s">
        <v>619</v>
      </c>
      <c r="E66" s="17" t="s">
        <v>589</v>
      </c>
      <c r="F66" s="403">
        <f t="shared" si="27"/>
        <v>55</v>
      </c>
      <c r="H66" s="403">
        <f t="shared" si="6"/>
        <v>55</v>
      </c>
      <c r="I66" s="403">
        <f t="shared" si="28"/>
        <v>825.73967255164007</v>
      </c>
      <c r="P66" s="403">
        <f>P6+P11+P14</f>
        <v>825.73967255164007</v>
      </c>
      <c r="Q66" s="17">
        <f>SUM(P65:P77)-N21-P59</f>
        <v>0</v>
      </c>
    </row>
    <row r="67" spans="1:17">
      <c r="A67" s="445">
        <f t="shared" si="26"/>
        <v>0</v>
      </c>
      <c r="B67" s="17" t="s">
        <v>619</v>
      </c>
      <c r="E67" s="17" t="s">
        <v>1426</v>
      </c>
      <c r="F67" s="403">
        <f t="shared" si="27"/>
        <v>55</v>
      </c>
      <c r="H67" s="403">
        <f t="shared" si="6"/>
        <v>55</v>
      </c>
      <c r="I67" s="403">
        <f t="shared" si="28"/>
        <v>0</v>
      </c>
      <c r="P67" s="403"/>
    </row>
    <row r="68" spans="1:17">
      <c r="A68" s="445">
        <f t="shared" si="26"/>
        <v>13.858567930936616</v>
      </c>
      <c r="B68" s="17" t="s">
        <v>619</v>
      </c>
      <c r="E68" s="17" t="s">
        <v>591</v>
      </c>
      <c r="F68" s="403">
        <f t="shared" si="27"/>
        <v>55</v>
      </c>
      <c r="H68" s="403">
        <f t="shared" si="6"/>
        <v>55</v>
      </c>
      <c r="I68" s="403">
        <f t="shared" si="28"/>
        <v>762.22123620151388</v>
      </c>
      <c r="P68" s="403">
        <f>P12</f>
        <v>762.22123620151388</v>
      </c>
    </row>
    <row r="69" spans="1:17">
      <c r="A69" s="445">
        <f t="shared" si="26"/>
        <v>0</v>
      </c>
      <c r="B69" s="17" t="s">
        <v>619</v>
      </c>
      <c r="E69" s="17" t="s">
        <v>1428</v>
      </c>
      <c r="F69" s="403">
        <f t="shared" si="27"/>
        <v>55</v>
      </c>
      <c r="H69" s="403">
        <f t="shared" si="6"/>
        <v>55</v>
      </c>
      <c r="I69" s="403">
        <f t="shared" si="28"/>
        <v>0</v>
      </c>
      <c r="P69" s="403"/>
    </row>
    <row r="70" spans="1:17">
      <c r="A70" s="445">
        <f t="shared" si="26"/>
        <v>0</v>
      </c>
      <c r="B70" s="17" t="s">
        <v>619</v>
      </c>
      <c r="E70" s="17" t="s">
        <v>1429</v>
      </c>
      <c r="F70" s="403">
        <f t="shared" si="27"/>
        <v>55</v>
      </c>
      <c r="H70" s="403">
        <f t="shared" si="6"/>
        <v>55</v>
      </c>
      <c r="I70" s="403">
        <f t="shared" si="28"/>
        <v>0</v>
      </c>
      <c r="P70" s="403"/>
    </row>
    <row r="71" spans="1:17">
      <c r="A71" s="445">
        <f t="shared" si="26"/>
        <v>2.3097613218227693</v>
      </c>
      <c r="B71" s="17" t="s">
        <v>619</v>
      </c>
      <c r="E71" s="17" t="s">
        <v>605</v>
      </c>
      <c r="F71" s="403">
        <f t="shared" si="27"/>
        <v>55</v>
      </c>
      <c r="H71" s="403">
        <f t="shared" si="6"/>
        <v>55</v>
      </c>
      <c r="I71" s="403">
        <f t="shared" si="28"/>
        <v>127.0368727002523</v>
      </c>
      <c r="P71" s="403">
        <f>P27</f>
        <v>127.03687270025232</v>
      </c>
    </row>
    <row r="72" spans="1:17">
      <c r="A72" s="445">
        <f t="shared" si="26"/>
        <v>2.3097613218227693</v>
      </c>
      <c r="B72" s="17" t="s">
        <v>619</v>
      </c>
      <c r="E72" s="17" t="s">
        <v>607</v>
      </c>
      <c r="F72" s="403">
        <f t="shared" si="27"/>
        <v>55</v>
      </c>
      <c r="H72" s="403">
        <f t="shared" si="6"/>
        <v>55</v>
      </c>
      <c r="I72" s="403">
        <f t="shared" si="28"/>
        <v>127.0368727002523</v>
      </c>
      <c r="P72" s="403">
        <f>N21</f>
        <v>127.03687270025232</v>
      </c>
    </row>
    <row r="73" spans="1:17">
      <c r="A73" s="445">
        <f t="shared" si="26"/>
        <v>3.0204571131528524</v>
      </c>
      <c r="B73" s="17" t="s">
        <v>619</v>
      </c>
      <c r="E73" s="17" t="s">
        <v>609</v>
      </c>
      <c r="F73" s="403">
        <f t="shared" si="27"/>
        <v>55</v>
      </c>
      <c r="H73" s="403">
        <f t="shared" si="6"/>
        <v>55</v>
      </c>
      <c r="I73" s="403">
        <f t="shared" si="28"/>
        <v>166.12514122340687</v>
      </c>
      <c r="P73" s="403">
        <f>P39</f>
        <v>166.12514122340687</v>
      </c>
    </row>
    <row r="74" spans="1:17">
      <c r="A74" s="445">
        <f t="shared" si="26"/>
        <v>0</v>
      </c>
      <c r="B74" s="17" t="s">
        <v>619</v>
      </c>
      <c r="E74" s="17" t="s">
        <v>610</v>
      </c>
      <c r="F74" s="403">
        <f t="shared" si="27"/>
        <v>55</v>
      </c>
      <c r="H74" s="403">
        <f t="shared" ref="H74:H96" si="29">F74*(1-G74)</f>
        <v>55</v>
      </c>
      <c r="I74" s="403">
        <f t="shared" si="28"/>
        <v>0</v>
      </c>
      <c r="P74" s="403"/>
    </row>
    <row r="75" spans="1:17">
      <c r="A75" s="445">
        <f t="shared" si="26"/>
        <v>2.3097613218227693</v>
      </c>
      <c r="B75" s="17" t="s">
        <v>619</v>
      </c>
      <c r="E75" s="17" t="s">
        <v>611</v>
      </c>
      <c r="F75" s="403">
        <f t="shared" si="27"/>
        <v>55</v>
      </c>
      <c r="H75" s="403">
        <f t="shared" si="29"/>
        <v>55</v>
      </c>
      <c r="I75" s="403">
        <f t="shared" si="28"/>
        <v>127.0368727002523</v>
      </c>
      <c r="P75" s="403">
        <f>P49</f>
        <v>127.03687270025232</v>
      </c>
    </row>
    <row r="76" spans="1:17">
      <c r="A76" s="445">
        <f t="shared" si="26"/>
        <v>0</v>
      </c>
      <c r="B76" s="17" t="s">
        <v>619</v>
      </c>
      <c r="E76" s="17" t="s">
        <v>1431</v>
      </c>
      <c r="F76" s="403">
        <f t="shared" si="27"/>
        <v>55</v>
      </c>
      <c r="H76" s="403">
        <f t="shared" si="29"/>
        <v>55</v>
      </c>
      <c r="I76" s="403">
        <f t="shared" si="28"/>
        <v>0</v>
      </c>
      <c r="P76" s="403"/>
    </row>
    <row r="77" spans="1:17">
      <c r="A77" s="445">
        <f t="shared" si="26"/>
        <v>5.7744033045569241</v>
      </c>
      <c r="B77" s="17" t="s">
        <v>619</v>
      </c>
      <c r="E77" s="17" t="s">
        <v>612</v>
      </c>
      <c r="F77" s="403">
        <f t="shared" si="27"/>
        <v>55</v>
      </c>
      <c r="H77" s="403">
        <f t="shared" si="29"/>
        <v>55</v>
      </c>
      <c r="I77" s="403">
        <f t="shared" si="28"/>
        <v>317.5921817506308</v>
      </c>
      <c r="P77" s="403">
        <f>P34</f>
        <v>317.5921817506308</v>
      </c>
    </row>
    <row r="78" spans="1:17">
      <c r="A78" s="445">
        <f t="shared" si="26"/>
        <v>0</v>
      </c>
      <c r="B78" s="17" t="s">
        <v>619</v>
      </c>
      <c r="E78" s="17" t="s">
        <v>614</v>
      </c>
      <c r="F78" s="403">
        <f t="shared" si="27"/>
        <v>55</v>
      </c>
      <c r="H78" s="403">
        <f t="shared" si="29"/>
        <v>55</v>
      </c>
      <c r="I78" s="403">
        <f t="shared" si="28"/>
        <v>0</v>
      </c>
      <c r="J78" s="17" t="s">
        <v>1838</v>
      </c>
    </row>
    <row r="79" spans="1:17">
      <c r="A79" s="445">
        <f t="shared" si="26"/>
        <v>0</v>
      </c>
      <c r="B79" s="17" t="s">
        <v>619</v>
      </c>
      <c r="E79" s="17" t="s">
        <v>616</v>
      </c>
      <c r="F79" s="403">
        <f t="shared" si="27"/>
        <v>55</v>
      </c>
      <c r="H79" s="403">
        <f t="shared" si="29"/>
        <v>55</v>
      </c>
      <c r="I79" s="403">
        <f t="shared" si="28"/>
        <v>0</v>
      </c>
    </row>
    <row r="81" spans="1:10">
      <c r="A81" s="17">
        <f>SUM(A65:A80)</f>
        <v>44.596160905962705</v>
      </c>
      <c r="B81" s="17" t="s">
        <v>619</v>
      </c>
      <c r="E81" s="17" t="s">
        <v>620</v>
      </c>
    </row>
    <row r="82" spans="1:10">
      <c r="A82" s="441">
        <v>3</v>
      </c>
      <c r="B82" s="17" t="s">
        <v>517</v>
      </c>
      <c r="E82" s="17" t="s">
        <v>621</v>
      </c>
    </row>
    <row r="83" spans="1:10">
      <c r="A83" s="17">
        <v>1</v>
      </c>
      <c r="B83" s="17" t="s">
        <v>517</v>
      </c>
      <c r="E83" s="17" t="s">
        <v>622</v>
      </c>
      <c r="F83" s="445">
        <v>55</v>
      </c>
      <c r="H83" s="403">
        <f t="shared" si="29"/>
        <v>55</v>
      </c>
      <c r="I83" s="403">
        <f t="shared" si="28"/>
        <v>55</v>
      </c>
      <c r="J83" s="17" t="s">
        <v>623</v>
      </c>
    </row>
    <row r="84" spans="1:10">
      <c r="A84" s="17">
        <f>ROUNDUP(A81/8/A82,0)</f>
        <v>2</v>
      </c>
      <c r="B84" s="17" t="s">
        <v>624</v>
      </c>
      <c r="E84" s="17" t="s">
        <v>625</v>
      </c>
      <c r="F84" s="403">
        <f>A82*8*F83</f>
        <v>1320</v>
      </c>
      <c r="H84" s="403">
        <f t="shared" si="29"/>
        <v>1320</v>
      </c>
      <c r="I84" s="403">
        <f t="shared" si="28"/>
        <v>2640</v>
      </c>
    </row>
    <row r="85" spans="1:10">
      <c r="A85" s="441">
        <v>1</v>
      </c>
      <c r="B85" s="17" t="s">
        <v>517</v>
      </c>
      <c r="E85" s="17" t="s">
        <v>626</v>
      </c>
      <c r="F85" s="913"/>
      <c r="H85" s="403">
        <f t="shared" si="29"/>
        <v>0</v>
      </c>
      <c r="I85" s="403">
        <f t="shared" si="28"/>
        <v>0</v>
      </c>
    </row>
    <row r="86" spans="1:10">
      <c r="A86" s="441"/>
      <c r="F86" s="913"/>
      <c r="H86" s="403"/>
      <c r="I86" s="403"/>
    </row>
    <row r="87" spans="1:10">
      <c r="A87" s="441"/>
      <c r="F87" s="913"/>
      <c r="H87" s="403"/>
      <c r="I87" s="403"/>
    </row>
    <row r="88" spans="1:10">
      <c r="E88" s="439" t="s">
        <v>628</v>
      </c>
      <c r="I88" s="443">
        <f>SUM(I84:I87)</f>
        <v>2640</v>
      </c>
    </row>
    <row r="91" spans="1:10">
      <c r="E91" s="449" t="s">
        <v>630</v>
      </c>
    </row>
    <row r="92" spans="1:10">
      <c r="A92" s="441">
        <v>1</v>
      </c>
      <c r="B92" s="17" t="s">
        <v>517</v>
      </c>
      <c r="E92" s="17" t="s">
        <v>1839</v>
      </c>
      <c r="F92" s="447">
        <v>1798.4</v>
      </c>
      <c r="G92" s="404">
        <v>0.4</v>
      </c>
      <c r="H92" s="403">
        <f t="shared" si="29"/>
        <v>1079.04</v>
      </c>
      <c r="I92" s="403">
        <f>A92*H92</f>
        <v>1079.04</v>
      </c>
    </row>
    <row r="93" spans="1:10">
      <c r="A93" s="441"/>
      <c r="B93" s="17" t="s">
        <v>517</v>
      </c>
      <c r="E93" s="204"/>
      <c r="F93" s="447"/>
      <c r="H93" s="403"/>
      <c r="I93" s="403"/>
    </row>
    <row r="94" spans="1:10" ht="22.25">
      <c r="A94" s="441">
        <v>1</v>
      </c>
      <c r="B94" s="17" t="s">
        <v>517</v>
      </c>
      <c r="E94" s="204" t="s">
        <v>1841</v>
      </c>
      <c r="F94" s="447">
        <v>40.68</v>
      </c>
      <c r="H94" s="403">
        <f t="shared" si="29"/>
        <v>40.68</v>
      </c>
      <c r="I94" s="403">
        <f t="shared" ref="I94:I96" si="30">A94*H94</f>
        <v>40.68</v>
      </c>
    </row>
    <row r="95" spans="1:10">
      <c r="A95" s="441"/>
      <c r="B95" s="17" t="s">
        <v>517</v>
      </c>
      <c r="E95" s="17" t="s">
        <v>1842</v>
      </c>
      <c r="F95" s="447"/>
      <c r="H95" s="403">
        <f t="shared" si="29"/>
        <v>0</v>
      </c>
      <c r="I95" s="403">
        <f t="shared" si="30"/>
        <v>0</v>
      </c>
    </row>
    <row r="96" spans="1:10">
      <c r="A96" s="441">
        <v>1</v>
      </c>
      <c r="B96" s="17" t="s">
        <v>517</v>
      </c>
      <c r="E96" s="17" t="s">
        <v>1843</v>
      </c>
      <c r="F96" s="447"/>
      <c r="H96" s="403">
        <f t="shared" si="29"/>
        <v>0</v>
      </c>
      <c r="I96" s="403">
        <f t="shared" si="30"/>
        <v>0</v>
      </c>
    </row>
    <row r="97" spans="1:17" ht="15.75">
      <c r="E97" s="439" t="s">
        <v>676</v>
      </c>
      <c r="F97" s="403"/>
      <c r="I97" s="443">
        <f>SUM(I92:I96)</f>
        <v>1119.72</v>
      </c>
      <c r="Q97" s="165">
        <f>I97</f>
        <v>1119.72</v>
      </c>
    </row>
    <row r="99" spans="1:17" ht="13.75" customHeight="1">
      <c r="A99" s="986" t="s">
        <v>100</v>
      </c>
      <c r="B99" s="986"/>
      <c r="C99" s="986"/>
      <c r="D99" s="986"/>
      <c r="E99" s="986"/>
    </row>
    <row r="106" spans="1:17" ht="15.05" customHeight="1">
      <c r="A106" s="1002" t="s">
        <v>90</v>
      </c>
      <c r="B106" s="1002"/>
      <c r="C106" s="1002"/>
      <c r="D106" s="1002"/>
      <c r="E106" s="1002"/>
    </row>
    <row r="108" spans="1:17" ht="22.25">
      <c r="A108" s="17">
        <v>1</v>
      </c>
      <c r="B108" s="17" t="s">
        <v>517</v>
      </c>
      <c r="C108" s="204" t="s">
        <v>1853</v>
      </c>
      <c r="E108" s="17" t="s">
        <v>1464</v>
      </c>
      <c r="F108" s="403">
        <f>1285.29</f>
        <v>1285.29</v>
      </c>
      <c r="H108" s="403">
        <f t="shared" ref="H108:H117" si="31">F108*(1-G108)</f>
        <v>1285.29</v>
      </c>
      <c r="I108" s="403">
        <f t="shared" ref="I108:I111" si="32">A108*H108</f>
        <v>1285.29</v>
      </c>
      <c r="J108" s="494" t="s">
        <v>1854</v>
      </c>
    </row>
    <row r="109" spans="1:17">
      <c r="A109" s="17">
        <v>0</v>
      </c>
      <c r="B109" s="17" t="s">
        <v>517</v>
      </c>
      <c r="E109" s="17" t="s">
        <v>707</v>
      </c>
      <c r="F109" s="403">
        <v>1500</v>
      </c>
      <c r="H109" s="403">
        <f t="shared" si="31"/>
        <v>1500</v>
      </c>
      <c r="I109" s="403">
        <f t="shared" si="32"/>
        <v>0</v>
      </c>
    </row>
    <row r="110" spans="1:17">
      <c r="A110" s="17">
        <v>0</v>
      </c>
      <c r="B110" s="17" t="s">
        <v>517</v>
      </c>
      <c r="E110" s="17" t="s">
        <v>1855</v>
      </c>
      <c r="F110" s="403"/>
      <c r="H110" s="403">
        <f t="shared" si="31"/>
        <v>0</v>
      </c>
      <c r="I110" s="403">
        <f t="shared" si="32"/>
        <v>0</v>
      </c>
    </row>
    <row r="111" spans="1:17">
      <c r="A111" s="17">
        <v>0</v>
      </c>
      <c r="B111" s="17" t="s">
        <v>517</v>
      </c>
      <c r="E111" s="17" t="s">
        <v>1856</v>
      </c>
      <c r="F111" s="17">
        <f>15*9</f>
        <v>135</v>
      </c>
      <c r="H111" s="403">
        <f t="shared" si="31"/>
        <v>135</v>
      </c>
      <c r="I111" s="403">
        <f t="shared" si="32"/>
        <v>0</v>
      </c>
    </row>
    <row r="112" spans="1:17" ht="15.75">
      <c r="E112" s="439" t="s">
        <v>729</v>
      </c>
      <c r="I112" s="168">
        <f>SUM(I106:I111)</f>
        <v>1285.29</v>
      </c>
    </row>
    <row r="114" spans="1:9" ht="13.75" customHeight="1">
      <c r="A114" s="997" t="s">
        <v>68</v>
      </c>
      <c r="B114" s="997"/>
      <c r="C114" s="997"/>
      <c r="D114" s="997"/>
      <c r="E114" s="997"/>
    </row>
    <row r="115" spans="1:9">
      <c r="A115" s="17">
        <v>1</v>
      </c>
      <c r="B115" s="17" t="s">
        <v>517</v>
      </c>
      <c r="C115" s="204" t="s">
        <v>1795</v>
      </c>
      <c r="E115" s="17" t="s">
        <v>730</v>
      </c>
      <c r="F115" s="17">
        <v>198.5</v>
      </c>
      <c r="H115" s="403">
        <f t="shared" si="31"/>
        <v>198.5</v>
      </c>
      <c r="I115" s="403">
        <f t="shared" ref="I115:I117" si="33">A115*H115</f>
        <v>198.5</v>
      </c>
    </row>
    <row r="116" spans="1:9" ht="22.25">
      <c r="A116" s="17">
        <v>0</v>
      </c>
      <c r="B116" s="17" t="s">
        <v>517</v>
      </c>
      <c r="C116" s="204" t="s">
        <v>1857</v>
      </c>
      <c r="E116" s="204" t="s">
        <v>1858</v>
      </c>
      <c r="F116" s="17">
        <v>460</v>
      </c>
      <c r="H116" s="403">
        <f t="shared" si="31"/>
        <v>460</v>
      </c>
      <c r="I116" s="403">
        <f t="shared" si="33"/>
        <v>0</v>
      </c>
    </row>
    <row r="117" spans="1:9" ht="55.65">
      <c r="A117" s="17">
        <v>0</v>
      </c>
      <c r="B117" s="17" t="s">
        <v>517</v>
      </c>
      <c r="C117" s="204" t="s">
        <v>1859</v>
      </c>
      <c r="E117" s="204" t="s">
        <v>1860</v>
      </c>
      <c r="F117" s="17">
        <v>320</v>
      </c>
      <c r="H117" s="403">
        <f t="shared" si="31"/>
        <v>320</v>
      </c>
      <c r="I117" s="403">
        <f t="shared" si="33"/>
        <v>0</v>
      </c>
    </row>
    <row r="119" spans="1:9" ht="15.75">
      <c r="E119" s="439" t="s">
        <v>733</v>
      </c>
      <c r="I119" s="168">
        <f>SUM(I114:I118)</f>
        <v>198.5</v>
      </c>
    </row>
  </sheetData>
  <mergeCells count="6">
    <mergeCell ref="A114:E114"/>
    <mergeCell ref="B1:F1"/>
    <mergeCell ref="A2:G2"/>
    <mergeCell ref="J22:L22"/>
    <mergeCell ref="A99:E99"/>
    <mergeCell ref="A106:E10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D1D75"/>
  </sheetPr>
  <dimension ref="A1:BL127"/>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7109375" style="17" customWidth="1"/>
    <col min="2" max="2" width="3.5703125" style="17" customWidth="1"/>
    <col min="3" max="3" width="10.140625" style="204"/>
    <col min="4" max="4" width="17.85546875" style="17" customWidth="1"/>
    <col min="5" max="5" width="39" style="17" customWidth="1"/>
    <col min="6" max="6" width="10.140625" style="17"/>
    <col min="7" max="7" width="10.140625" style="404"/>
    <col min="8" max="9" width="10.140625" style="17"/>
    <col min="10" max="10" width="30.85546875" style="17" customWidth="1"/>
    <col min="11" max="64" width="10.140625" style="17"/>
  </cols>
  <sheetData>
    <row r="1" spans="1:19" ht="15.75">
      <c r="B1" s="1053" t="s">
        <v>1869</v>
      </c>
      <c r="C1" s="1053"/>
      <c r="D1" s="1053"/>
      <c r="E1" s="1053"/>
      <c r="F1" s="1053"/>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07"/>
      <c r="B4" s="407"/>
      <c r="C4" s="487" t="s">
        <v>1792</v>
      </c>
      <c r="D4" s="423"/>
      <c r="E4" s="424" t="s">
        <v>1793</v>
      </c>
      <c r="F4" s="421"/>
      <c r="G4" s="410"/>
      <c r="H4" s="409"/>
      <c r="I4" s="409"/>
      <c r="J4" s="204"/>
      <c r="K4" s="403"/>
      <c r="L4" s="404"/>
      <c r="M4" s="437"/>
      <c r="N4" s="437"/>
      <c r="O4" s="437"/>
      <c r="P4" s="437"/>
      <c r="Q4" s="437"/>
      <c r="R4" s="437"/>
      <c r="S4" s="437"/>
    </row>
    <row r="5" spans="1:19" ht="22.25">
      <c r="A5" s="407">
        <v>1</v>
      </c>
      <c r="B5" s="407" t="s">
        <v>1794</v>
      </c>
      <c r="C5" s="408" t="s">
        <v>1795</v>
      </c>
      <c r="D5" s="407"/>
      <c r="E5" s="407" t="s">
        <v>1796</v>
      </c>
      <c r="F5" s="409">
        <v>1395</v>
      </c>
      <c r="G5" s="410">
        <f>1500/65808.85</f>
        <v>2.2793286921135986E-2</v>
      </c>
      <c r="H5" s="409">
        <f t="shared" ref="H5:H9" si="0">F5*(1-G5)</f>
        <v>1363.2033647450153</v>
      </c>
      <c r="I5" s="409">
        <f t="shared" ref="I5:I9" si="1">A5*H5</f>
        <v>1363.2033647450153</v>
      </c>
      <c r="J5" s="204" t="s">
        <v>1863</v>
      </c>
      <c r="M5" s="437"/>
      <c r="N5" s="437"/>
      <c r="O5" s="437"/>
      <c r="P5" s="418">
        <f t="shared" ref="P5:P6" si="2">I5</f>
        <v>1363.2033647450153</v>
      </c>
      <c r="Q5" s="437"/>
      <c r="R5" s="437"/>
      <c r="S5" s="437"/>
    </row>
    <row r="6" spans="1:19">
      <c r="A6" s="407">
        <v>1</v>
      </c>
      <c r="B6" s="407" t="s">
        <v>1794</v>
      </c>
      <c r="C6" s="408" t="s">
        <v>1795</v>
      </c>
      <c r="D6" s="407"/>
      <c r="E6" s="407" t="s">
        <v>1798</v>
      </c>
      <c r="F6" s="409">
        <v>1656.8</v>
      </c>
      <c r="G6" s="410">
        <f t="shared" ref="G6:G7" si="3">G5</f>
        <v>2.2793286921135986E-2</v>
      </c>
      <c r="H6" s="409">
        <f t="shared" si="0"/>
        <v>1619.0360822290618</v>
      </c>
      <c r="I6" s="409">
        <f t="shared" si="1"/>
        <v>1619.0360822290618</v>
      </c>
      <c r="J6" s="204"/>
      <c r="M6" s="437"/>
      <c r="N6" s="437"/>
      <c r="O6" s="437"/>
      <c r="P6" s="418">
        <f t="shared" si="2"/>
        <v>1619.0360822290618</v>
      </c>
      <c r="Q6" s="437"/>
      <c r="R6" s="437"/>
      <c r="S6" s="437"/>
    </row>
    <row r="7" spans="1:19" ht="22.25">
      <c r="A7" s="407">
        <v>9000</v>
      </c>
      <c r="B7" s="407" t="s">
        <v>494</v>
      </c>
      <c r="C7" s="408" t="s">
        <v>1795</v>
      </c>
      <c r="D7" s="407"/>
      <c r="E7" s="408" t="s">
        <v>1799</v>
      </c>
      <c r="F7" s="409">
        <v>0.58341299999999996</v>
      </c>
      <c r="G7" s="410">
        <f t="shared" si="3"/>
        <v>2.2793286921135986E-2</v>
      </c>
      <c r="H7" s="409">
        <f t="shared" si="0"/>
        <v>0.57011510009747923</v>
      </c>
      <c r="I7" s="409">
        <f t="shared" si="1"/>
        <v>5131.035900877313</v>
      </c>
      <c r="J7" s="204"/>
      <c r="M7" s="418">
        <f t="shared" ref="M7:M9" si="4">I7</f>
        <v>5131.035900877313</v>
      </c>
      <c r="N7" s="437"/>
      <c r="O7" s="437"/>
      <c r="P7" s="418"/>
      <c r="Q7" s="437"/>
      <c r="R7" s="437"/>
      <c r="S7" s="437"/>
    </row>
    <row r="8" spans="1:19">
      <c r="A8" s="407">
        <v>0</v>
      </c>
      <c r="B8" s="407" t="s">
        <v>494</v>
      </c>
      <c r="C8" s="408" t="s">
        <v>1795</v>
      </c>
      <c r="D8" s="407"/>
      <c r="E8" s="408" t="s">
        <v>1800</v>
      </c>
      <c r="F8" s="409">
        <v>0.67390000000000005</v>
      </c>
      <c r="G8" s="410">
        <f>G6</f>
        <v>2.2793286921135986E-2</v>
      </c>
      <c r="H8" s="409">
        <f t="shared" si="0"/>
        <v>0.65853960394384647</v>
      </c>
      <c r="I8" s="409">
        <f t="shared" si="1"/>
        <v>0</v>
      </c>
      <c r="J8" s="204"/>
      <c r="M8" s="418">
        <f t="shared" si="4"/>
        <v>0</v>
      </c>
      <c r="N8" s="437"/>
      <c r="O8" s="437"/>
      <c r="P8" s="437"/>
      <c r="Q8" s="437"/>
      <c r="R8" s="437"/>
      <c r="S8" s="437"/>
    </row>
    <row r="9" spans="1:19">
      <c r="A9" s="407">
        <v>1</v>
      </c>
      <c r="B9" s="407" t="s">
        <v>1794</v>
      </c>
      <c r="C9" s="408" t="s">
        <v>1795</v>
      </c>
      <c r="D9" s="407"/>
      <c r="E9" s="407" t="s">
        <v>1801</v>
      </c>
      <c r="F9" s="409">
        <v>125</v>
      </c>
      <c r="G9" s="410">
        <f t="shared" ref="G9:G10" si="5">G8</f>
        <v>2.2793286921135986E-2</v>
      </c>
      <c r="H9" s="409">
        <f t="shared" si="0"/>
        <v>122.150839134858</v>
      </c>
      <c r="I9" s="409">
        <f t="shared" si="1"/>
        <v>122.150839134858</v>
      </c>
      <c r="J9" s="204"/>
      <c r="M9" s="418">
        <f t="shared" si="4"/>
        <v>122.150839134858</v>
      </c>
      <c r="N9" s="437"/>
      <c r="O9" s="437"/>
      <c r="P9" s="437"/>
      <c r="Q9" s="437"/>
      <c r="R9" s="437"/>
      <c r="S9" s="437"/>
    </row>
    <row r="10" spans="1:19">
      <c r="A10" s="407">
        <v>1</v>
      </c>
      <c r="B10" s="407" t="s">
        <v>1794</v>
      </c>
      <c r="C10" s="408" t="s">
        <v>1795</v>
      </c>
      <c r="D10" s="407"/>
      <c r="E10" s="408" t="s">
        <v>1571</v>
      </c>
      <c r="F10" s="409">
        <v>1763</v>
      </c>
      <c r="G10" s="410">
        <f t="shared" si="5"/>
        <v>2.2793286921135986E-2</v>
      </c>
      <c r="H10" s="409">
        <f t="shared" ref="H10:H73" si="6">F10*(1-G10)</f>
        <v>1722.8154351580372</v>
      </c>
      <c r="I10" s="409">
        <f t="shared" ref="I10:I16" si="7">A10*H10</f>
        <v>1722.8154351580372</v>
      </c>
      <c r="J10" s="204" t="s">
        <v>1802</v>
      </c>
      <c r="M10" s="418">
        <f>I10</f>
        <v>1722.8154351580372</v>
      </c>
      <c r="N10" s="437"/>
      <c r="O10" s="437"/>
      <c r="P10" s="437"/>
      <c r="Q10" s="437"/>
      <c r="R10" s="437"/>
      <c r="S10" s="437"/>
    </row>
    <row r="11" spans="1:19">
      <c r="A11" s="407">
        <v>1</v>
      </c>
      <c r="B11" s="407" t="s">
        <v>1794</v>
      </c>
      <c r="C11" s="408" t="s">
        <v>1795</v>
      </c>
      <c r="D11" s="407"/>
      <c r="E11" s="408" t="s">
        <v>1572</v>
      </c>
      <c r="F11" s="409">
        <v>390</v>
      </c>
      <c r="G11" s="410">
        <f>G10</f>
        <v>2.2793286921135986E-2</v>
      </c>
      <c r="H11" s="409">
        <f t="shared" si="6"/>
        <v>381.11061810075694</v>
      </c>
      <c r="I11" s="409">
        <f t="shared" si="7"/>
        <v>381.11061810075694</v>
      </c>
      <c r="J11" s="204"/>
      <c r="M11" s="437"/>
      <c r="N11" s="437"/>
      <c r="O11" s="437"/>
      <c r="P11" s="418">
        <f t="shared" ref="P11:P51" si="8">I11</f>
        <v>381.11061810075694</v>
      </c>
      <c r="Q11" s="437"/>
      <c r="R11" s="418"/>
      <c r="S11" s="437"/>
    </row>
    <row r="12" spans="1:19">
      <c r="A12" s="407">
        <v>30</v>
      </c>
      <c r="B12" s="407" t="s">
        <v>619</v>
      </c>
      <c r="C12" s="408" t="s">
        <v>1795</v>
      </c>
      <c r="D12" s="407"/>
      <c r="E12" s="408" t="s">
        <v>1870</v>
      </c>
      <c r="F12" s="409">
        <v>45</v>
      </c>
      <c r="G12" s="410">
        <v>0</v>
      </c>
      <c r="H12" s="409">
        <f t="shared" si="6"/>
        <v>45</v>
      </c>
      <c r="I12" s="409">
        <f t="shared" si="7"/>
        <v>1350</v>
      </c>
      <c r="J12" s="204"/>
      <c r="M12" s="437"/>
      <c r="N12" s="437"/>
      <c r="O12" s="437"/>
      <c r="P12" s="418">
        <f t="shared" si="8"/>
        <v>1350</v>
      </c>
      <c r="Q12" s="437"/>
      <c r="R12" s="418"/>
      <c r="S12" s="437"/>
    </row>
    <row r="13" spans="1:19">
      <c r="A13" s="407">
        <v>1</v>
      </c>
      <c r="B13" s="407" t="s">
        <v>1794</v>
      </c>
      <c r="C13" s="408" t="s">
        <v>1795</v>
      </c>
      <c r="D13" s="407"/>
      <c r="E13" s="408" t="s">
        <v>591</v>
      </c>
      <c r="F13" s="409">
        <v>715</v>
      </c>
      <c r="G13" s="410">
        <f>G11</f>
        <v>2.2793286921135986E-2</v>
      </c>
      <c r="H13" s="409">
        <f t="shared" si="6"/>
        <v>698.70279985138779</v>
      </c>
      <c r="I13" s="409">
        <f t="shared" si="7"/>
        <v>698.70279985138779</v>
      </c>
      <c r="J13" s="204"/>
      <c r="M13" s="437"/>
      <c r="N13" s="437"/>
      <c r="O13" s="418"/>
      <c r="P13" s="418">
        <f t="shared" si="8"/>
        <v>698.70279985138779</v>
      </c>
      <c r="Q13" s="418"/>
      <c r="R13" s="437"/>
      <c r="S13" s="437"/>
    </row>
    <row r="14" spans="1:19">
      <c r="A14" s="407">
        <v>1</v>
      </c>
      <c r="B14" s="407" t="s">
        <v>1794</v>
      </c>
      <c r="C14" s="408" t="s">
        <v>1795</v>
      </c>
      <c r="D14" s="407"/>
      <c r="E14" s="408" t="s">
        <v>1573</v>
      </c>
      <c r="F14" s="409">
        <v>520</v>
      </c>
      <c r="G14" s="410">
        <f>G13</f>
        <v>2.2793286921135986E-2</v>
      </c>
      <c r="H14" s="409">
        <f t="shared" si="6"/>
        <v>508.14749080100927</v>
      </c>
      <c r="I14" s="409">
        <f t="shared" si="7"/>
        <v>508.14749080100927</v>
      </c>
      <c r="J14" s="204" t="s">
        <v>1803</v>
      </c>
      <c r="M14" s="418">
        <f t="shared" ref="M14:M46" si="9">I14</f>
        <v>508.14749080100927</v>
      </c>
      <c r="N14" s="437"/>
      <c r="O14" s="418"/>
      <c r="P14" s="418"/>
      <c r="Q14" s="418"/>
      <c r="R14" s="437"/>
      <c r="S14" s="437"/>
    </row>
    <row r="15" spans="1:19" ht="22.25">
      <c r="A15" s="407">
        <v>4</v>
      </c>
      <c r="B15" s="407" t="s">
        <v>517</v>
      </c>
      <c r="C15" s="408" t="s">
        <v>1795</v>
      </c>
      <c r="D15" s="407"/>
      <c r="E15" s="408" t="s">
        <v>1871</v>
      </c>
      <c r="F15" s="409">
        <v>40.299999999999997</v>
      </c>
      <c r="G15" s="410">
        <v>0</v>
      </c>
      <c r="H15" s="409">
        <f t="shared" si="6"/>
        <v>40.299999999999997</v>
      </c>
      <c r="I15" s="409">
        <f t="shared" si="7"/>
        <v>161.19999999999999</v>
      </c>
      <c r="J15" s="204" t="s">
        <v>1803</v>
      </c>
      <c r="M15" s="418">
        <f t="shared" si="9"/>
        <v>161.19999999999999</v>
      </c>
      <c r="N15" s="437"/>
      <c r="O15" s="418"/>
      <c r="P15" s="418"/>
      <c r="Q15" s="418"/>
      <c r="R15" s="437"/>
      <c r="S15" s="437"/>
    </row>
    <row r="16" spans="1:19" ht="22.25">
      <c r="A16" s="407">
        <v>1</v>
      </c>
      <c r="B16" s="407" t="s">
        <v>1794</v>
      </c>
      <c r="C16" s="408" t="s">
        <v>1795</v>
      </c>
      <c r="D16" s="407"/>
      <c r="E16" s="408" t="s">
        <v>1574</v>
      </c>
      <c r="F16" s="409">
        <v>615</v>
      </c>
      <c r="G16" s="410">
        <f>G14</f>
        <v>2.2793286921135986E-2</v>
      </c>
      <c r="H16" s="409">
        <f t="shared" si="6"/>
        <v>600.98212854350129</v>
      </c>
      <c r="I16" s="409">
        <f t="shared" si="7"/>
        <v>600.98212854350129</v>
      </c>
      <c r="J16" s="204"/>
      <c r="M16" s="437"/>
      <c r="N16" s="437"/>
      <c r="O16" s="437"/>
      <c r="P16" s="418">
        <f t="shared" si="8"/>
        <v>600.98212854350129</v>
      </c>
      <c r="Q16" s="437"/>
      <c r="R16" s="418"/>
      <c r="S16" s="437"/>
    </row>
    <row r="17" spans="1:19">
      <c r="A17" s="407"/>
      <c r="B17" s="407"/>
      <c r="C17" s="408"/>
      <c r="D17" s="407"/>
      <c r="E17" s="408"/>
      <c r="F17" s="409" t="s">
        <v>1804</v>
      </c>
      <c r="G17" s="410"/>
      <c r="H17" s="409"/>
      <c r="I17" s="421">
        <f>SUM(I4:I16)</f>
        <v>13658.384659440941</v>
      </c>
      <c r="J17" s="204"/>
      <c r="M17" s="437"/>
      <c r="N17" s="437"/>
      <c r="O17" s="437"/>
      <c r="P17" s="437"/>
      <c r="Q17" s="437"/>
      <c r="R17" s="418"/>
      <c r="S17" s="437"/>
    </row>
    <row r="18" spans="1:19">
      <c r="A18" s="407"/>
      <c r="B18" s="407"/>
      <c r="C18" s="408"/>
      <c r="D18" s="407"/>
      <c r="E18" s="420" t="s">
        <v>1805</v>
      </c>
      <c r="F18" s="409"/>
      <c r="G18" s="410"/>
      <c r="H18" s="409"/>
      <c r="I18" s="409"/>
      <c r="J18" s="204"/>
      <c r="M18" s="437"/>
      <c r="N18" s="418"/>
      <c r="O18" s="437"/>
      <c r="P18" s="437"/>
      <c r="Q18" s="437"/>
      <c r="R18" s="437"/>
      <c r="S18" s="437"/>
    </row>
    <row r="19" spans="1:19">
      <c r="A19" s="407">
        <v>0</v>
      </c>
      <c r="B19" s="407" t="s">
        <v>505</v>
      </c>
      <c r="C19" s="408" t="s">
        <v>1795</v>
      </c>
      <c r="D19" s="407"/>
      <c r="E19" s="408" t="s">
        <v>1806</v>
      </c>
      <c r="F19" s="409">
        <v>1398</v>
      </c>
      <c r="G19" s="410">
        <f>G16</f>
        <v>2.2793286921135986E-2</v>
      </c>
      <c r="H19" s="409">
        <f t="shared" si="6"/>
        <v>1366.1349848842519</v>
      </c>
      <c r="I19" s="409">
        <f t="shared" ref="I19:I24" si="10">A19*H19</f>
        <v>0</v>
      </c>
      <c r="J19" s="204"/>
      <c r="M19" s="437"/>
      <c r="N19" s="418">
        <f t="shared" ref="N19:N23" si="11">I19</f>
        <v>0</v>
      </c>
      <c r="O19" s="437"/>
      <c r="P19" s="437"/>
      <c r="Q19" s="437"/>
      <c r="R19" s="437"/>
      <c r="S19" s="437"/>
    </row>
    <row r="20" spans="1:19" ht="21.6">
      <c r="A20" s="407">
        <v>1</v>
      </c>
      <c r="B20" s="407" t="s">
        <v>505</v>
      </c>
      <c r="C20" s="408" t="s">
        <v>1795</v>
      </c>
      <c r="D20" s="407"/>
      <c r="E20" s="489" t="s">
        <v>1807</v>
      </c>
      <c r="F20" s="409">
        <v>1498</v>
      </c>
      <c r="G20" s="410">
        <f t="shared" ref="G20:G24" si="12">G19</f>
        <v>2.2793286921135986E-2</v>
      </c>
      <c r="H20" s="409">
        <f t="shared" si="6"/>
        <v>1463.8556561921382</v>
      </c>
      <c r="I20" s="409">
        <f t="shared" si="10"/>
        <v>1463.8556561921382</v>
      </c>
      <c r="J20" s="204"/>
      <c r="M20" s="437"/>
      <c r="N20" s="418">
        <f t="shared" si="11"/>
        <v>1463.8556561921382</v>
      </c>
      <c r="O20" s="437"/>
      <c r="P20" s="437"/>
      <c r="Q20" s="437"/>
      <c r="R20" s="437"/>
      <c r="S20" s="437"/>
    </row>
    <row r="21" spans="1:19">
      <c r="A21" s="407">
        <v>0</v>
      </c>
      <c r="B21" s="407" t="s">
        <v>505</v>
      </c>
      <c r="C21" s="408" t="s">
        <v>1795</v>
      </c>
      <c r="D21" s="407"/>
      <c r="E21" s="408" t="s">
        <v>1808</v>
      </c>
      <c r="F21" s="409">
        <v>45</v>
      </c>
      <c r="G21" s="410">
        <f t="shared" si="12"/>
        <v>2.2793286921135986E-2</v>
      </c>
      <c r="H21" s="409">
        <f t="shared" si="6"/>
        <v>43.974302088548882</v>
      </c>
      <c r="I21" s="409">
        <f t="shared" si="10"/>
        <v>0</v>
      </c>
      <c r="J21" s="204"/>
      <c r="M21" s="437"/>
      <c r="N21" s="418">
        <f t="shared" si="11"/>
        <v>0</v>
      </c>
      <c r="O21" s="437"/>
      <c r="P21" s="437"/>
      <c r="Q21" s="437"/>
      <c r="R21" s="437"/>
      <c r="S21" s="437"/>
    </row>
    <row r="22" spans="1:19" ht="22.25">
      <c r="A22" s="407">
        <v>0</v>
      </c>
      <c r="B22" s="407" t="s">
        <v>1794</v>
      </c>
      <c r="C22" s="408" t="s">
        <v>1795</v>
      </c>
      <c r="D22" s="407"/>
      <c r="E22" s="408" t="s">
        <v>1809</v>
      </c>
      <c r="F22" s="409">
        <v>260</v>
      </c>
      <c r="G22" s="410">
        <f t="shared" si="12"/>
        <v>2.2793286921135986E-2</v>
      </c>
      <c r="H22" s="409">
        <f t="shared" si="6"/>
        <v>254.07374540050463</v>
      </c>
      <c r="I22" s="409">
        <f t="shared" si="10"/>
        <v>0</v>
      </c>
      <c r="J22" s="204"/>
      <c r="M22" s="437"/>
      <c r="N22" s="418">
        <f t="shared" si="11"/>
        <v>0</v>
      </c>
      <c r="O22" s="437"/>
      <c r="P22" s="418"/>
      <c r="Q22" s="437"/>
      <c r="R22" s="418"/>
      <c r="S22" s="437"/>
    </row>
    <row r="23" spans="1:19">
      <c r="A23" s="407">
        <v>1</v>
      </c>
      <c r="B23" s="407" t="s">
        <v>1794</v>
      </c>
      <c r="C23" s="408" t="s">
        <v>1795</v>
      </c>
      <c r="D23" s="407"/>
      <c r="E23" s="408" t="s">
        <v>1810</v>
      </c>
      <c r="F23" s="409">
        <v>130</v>
      </c>
      <c r="G23" s="410">
        <f t="shared" si="12"/>
        <v>2.2793286921135986E-2</v>
      </c>
      <c r="H23" s="409">
        <f t="shared" si="6"/>
        <v>127.03687270025232</v>
      </c>
      <c r="I23" s="409">
        <f t="shared" si="10"/>
        <v>127.03687270025232</v>
      </c>
      <c r="J23" s="204"/>
      <c r="M23" s="437"/>
      <c r="N23" s="418">
        <f t="shared" si="11"/>
        <v>127.03687270025232</v>
      </c>
      <c r="O23" s="437"/>
      <c r="P23" s="418"/>
      <c r="Q23" s="437"/>
      <c r="R23" s="418"/>
      <c r="S23" s="437"/>
    </row>
    <row r="24" spans="1:19">
      <c r="A24" s="407">
        <v>1</v>
      </c>
      <c r="B24" s="407" t="s">
        <v>1794</v>
      </c>
      <c r="C24" s="408" t="s">
        <v>1795</v>
      </c>
      <c r="D24" s="407"/>
      <c r="E24" s="408" t="s">
        <v>1867</v>
      </c>
      <c r="F24" s="409">
        <v>80</v>
      </c>
      <c r="G24" s="410">
        <f t="shared" si="12"/>
        <v>2.2793286921135986E-2</v>
      </c>
      <c r="H24" s="409">
        <f t="shared" si="6"/>
        <v>78.176537046309122</v>
      </c>
      <c r="I24" s="409">
        <f t="shared" si="10"/>
        <v>78.176537046309122</v>
      </c>
      <c r="J24" s="1054"/>
      <c r="K24" s="1054"/>
      <c r="L24" s="1054"/>
      <c r="M24" s="437"/>
      <c r="N24" s="437"/>
      <c r="O24" s="418">
        <f>I24</f>
        <v>78.176537046309122</v>
      </c>
      <c r="P24" s="437"/>
      <c r="Q24" s="437"/>
      <c r="R24" s="418"/>
      <c r="S24" s="437"/>
    </row>
    <row r="25" spans="1:19">
      <c r="A25" s="407"/>
      <c r="B25" s="407"/>
      <c r="C25" s="408"/>
      <c r="D25" s="407"/>
      <c r="E25" s="408"/>
      <c r="F25" s="409" t="s">
        <v>1804</v>
      </c>
      <c r="G25" s="410"/>
      <c r="H25" s="409"/>
      <c r="I25" s="421">
        <f>SUM(I18:I24)</f>
        <v>1669.0690659386996</v>
      </c>
      <c r="J25" s="204"/>
      <c r="M25" s="437"/>
      <c r="N25" s="437"/>
      <c r="O25" s="437"/>
      <c r="P25" s="437"/>
      <c r="Q25" s="437"/>
      <c r="R25" s="418"/>
      <c r="S25" s="437"/>
    </row>
    <row r="26" spans="1:19">
      <c r="A26" s="407"/>
      <c r="B26" s="407"/>
      <c r="C26" s="408" t="s">
        <v>1795</v>
      </c>
      <c r="D26" s="407"/>
      <c r="E26" s="420" t="s">
        <v>1812</v>
      </c>
      <c r="F26" s="409"/>
      <c r="G26" s="410"/>
      <c r="H26" s="409"/>
      <c r="I26" s="409"/>
      <c r="J26" s="204"/>
      <c r="M26" s="437"/>
      <c r="N26" s="437"/>
      <c r="O26" s="418"/>
      <c r="P26" s="437"/>
      <c r="Q26" s="437"/>
      <c r="R26" s="418"/>
      <c r="S26" s="437"/>
    </row>
    <row r="27" spans="1:19">
      <c r="A27" s="407">
        <v>1</v>
      </c>
      <c r="B27" s="407" t="s">
        <v>505</v>
      </c>
      <c r="C27" s="408" t="s">
        <v>1795</v>
      </c>
      <c r="D27" s="407"/>
      <c r="E27" s="408" t="s">
        <v>1813</v>
      </c>
      <c r="F27" s="409">
        <v>149</v>
      </c>
      <c r="G27" s="410">
        <f>G24</f>
        <v>2.2793286921135986E-2</v>
      </c>
      <c r="H27" s="409">
        <f t="shared" si="6"/>
        <v>145.60380024875073</v>
      </c>
      <c r="I27" s="409">
        <f t="shared" ref="I27:I30" si="13">A27*H27</f>
        <v>145.60380024875073</v>
      </c>
      <c r="J27" s="204"/>
      <c r="M27" s="437"/>
      <c r="N27" s="437"/>
      <c r="O27" s="418"/>
      <c r="P27" s="437"/>
      <c r="Q27" s="437"/>
      <c r="R27" s="418">
        <f t="shared" ref="R27:R28" si="14">I27</f>
        <v>145.60380024875073</v>
      </c>
      <c r="S27" s="437"/>
    </row>
    <row r="28" spans="1:19">
      <c r="A28" s="407">
        <v>1</v>
      </c>
      <c r="B28" s="407" t="s">
        <v>505</v>
      </c>
      <c r="C28" s="408" t="s">
        <v>1795</v>
      </c>
      <c r="D28" s="407"/>
      <c r="E28" s="408" t="s">
        <v>1814</v>
      </c>
      <c r="F28" s="409">
        <v>250</v>
      </c>
      <c r="G28" s="410">
        <f t="shared" ref="G28:G29" si="15">G27</f>
        <v>2.2793286921135986E-2</v>
      </c>
      <c r="H28" s="409">
        <f t="shared" si="6"/>
        <v>244.30167826971601</v>
      </c>
      <c r="I28" s="409">
        <f t="shared" si="13"/>
        <v>244.30167826971601</v>
      </c>
      <c r="J28" s="204"/>
      <c r="M28" s="437"/>
      <c r="N28" s="437"/>
      <c r="O28" s="418"/>
      <c r="P28" s="437"/>
      <c r="Q28" s="437"/>
      <c r="R28" s="418">
        <f t="shared" si="14"/>
        <v>244.30167826971601</v>
      </c>
      <c r="S28" s="437"/>
    </row>
    <row r="29" spans="1:19">
      <c r="A29" s="407">
        <v>1</v>
      </c>
      <c r="B29" s="407" t="s">
        <v>1794</v>
      </c>
      <c r="C29" s="408" t="s">
        <v>1795</v>
      </c>
      <c r="D29" s="407"/>
      <c r="E29" s="408" t="s">
        <v>1815</v>
      </c>
      <c r="F29" s="409">
        <v>130</v>
      </c>
      <c r="G29" s="410">
        <f t="shared" si="15"/>
        <v>2.2793286921135986E-2</v>
      </c>
      <c r="H29" s="409">
        <f t="shared" si="6"/>
        <v>127.03687270025232</v>
      </c>
      <c r="I29" s="409">
        <f t="shared" si="13"/>
        <v>127.03687270025232</v>
      </c>
      <c r="J29" s="204"/>
      <c r="M29" s="437"/>
      <c r="N29" s="437"/>
      <c r="O29" s="418"/>
      <c r="P29" s="418">
        <f t="shared" si="8"/>
        <v>127.03687270025232</v>
      </c>
      <c r="Q29" s="437"/>
      <c r="R29" s="418"/>
      <c r="S29" s="437"/>
    </row>
    <row r="30" spans="1:19">
      <c r="A30" s="407">
        <v>1</v>
      </c>
      <c r="B30" s="407" t="s">
        <v>1794</v>
      </c>
      <c r="C30" s="408" t="s">
        <v>1795</v>
      </c>
      <c r="D30" s="407"/>
      <c r="E30" s="408" t="s">
        <v>1816</v>
      </c>
      <c r="F30" s="409"/>
      <c r="G30" s="410"/>
      <c r="H30" s="409">
        <f t="shared" si="6"/>
        <v>0</v>
      </c>
      <c r="I30" s="409">
        <f t="shared" si="13"/>
        <v>0</v>
      </c>
      <c r="J30" s="204"/>
      <c r="M30" s="437"/>
      <c r="N30" s="437"/>
      <c r="O30" s="418"/>
      <c r="P30" s="437"/>
      <c r="Q30" s="437"/>
      <c r="R30" s="418"/>
      <c r="S30" s="437"/>
    </row>
    <row r="31" spans="1:19">
      <c r="A31" s="407"/>
      <c r="B31" s="407"/>
      <c r="C31" s="408"/>
      <c r="D31" s="407"/>
      <c r="E31" s="408"/>
      <c r="F31" s="409" t="s">
        <v>1804</v>
      </c>
      <c r="G31" s="410"/>
      <c r="H31" s="409"/>
      <c r="I31" s="421">
        <f>SUM(I27:I30)</f>
        <v>516.94235121871907</v>
      </c>
      <c r="J31" s="204"/>
      <c r="M31" s="437"/>
      <c r="N31" s="437"/>
      <c r="O31" s="418"/>
      <c r="P31" s="437"/>
      <c r="Q31" s="437"/>
      <c r="R31" s="418"/>
      <c r="S31" s="437"/>
    </row>
    <row r="32" spans="1:19">
      <c r="A32" s="407"/>
      <c r="B32" s="407"/>
      <c r="C32" s="408" t="s">
        <v>1795</v>
      </c>
      <c r="D32" s="407"/>
      <c r="E32" s="420" t="s">
        <v>1817</v>
      </c>
      <c r="F32" s="409"/>
      <c r="G32" s="410"/>
      <c r="H32" s="409"/>
      <c r="I32" s="409"/>
      <c r="J32" s="204"/>
      <c r="M32" s="437"/>
      <c r="N32" s="437"/>
      <c r="O32" s="418"/>
      <c r="P32" s="437"/>
      <c r="Q32" s="437"/>
      <c r="R32" s="418"/>
      <c r="S32" s="437"/>
    </row>
    <row r="33" spans="1:19">
      <c r="A33" s="407">
        <v>1</v>
      </c>
      <c r="B33" s="407" t="s">
        <v>1818</v>
      </c>
      <c r="C33" s="408" t="s">
        <v>1795</v>
      </c>
      <c r="D33" s="407"/>
      <c r="E33" s="408" t="s">
        <v>1819</v>
      </c>
      <c r="F33" s="409">
        <v>287.17</v>
      </c>
      <c r="G33" s="410">
        <f>G29</f>
        <v>2.2793286921135986E-2</v>
      </c>
      <c r="H33" s="409">
        <f t="shared" si="6"/>
        <v>280.62445179485741</v>
      </c>
      <c r="I33" s="409">
        <f t="shared" ref="I33:I38" si="16">A33*H33</f>
        <v>280.62445179485741</v>
      </c>
      <c r="J33" s="204"/>
      <c r="M33" s="437"/>
      <c r="N33" s="437"/>
      <c r="O33" s="418">
        <f t="shared" ref="O33:O38" si="17">I33</f>
        <v>280.62445179485741</v>
      </c>
      <c r="P33" s="437"/>
      <c r="Q33" s="437"/>
      <c r="R33" s="418"/>
      <c r="S33" s="437"/>
    </row>
    <row r="34" spans="1:19">
      <c r="A34" s="407">
        <v>1</v>
      </c>
      <c r="B34" s="407" t="s">
        <v>1818</v>
      </c>
      <c r="C34" s="408" t="s">
        <v>1795</v>
      </c>
      <c r="D34" s="407"/>
      <c r="E34" s="408" t="s">
        <v>1820</v>
      </c>
      <c r="F34" s="409">
        <v>156.01499999999999</v>
      </c>
      <c r="G34" s="410">
        <f t="shared" ref="G34:G38" si="18">G33</f>
        <v>2.2793286921135986E-2</v>
      </c>
      <c r="H34" s="409">
        <f t="shared" si="6"/>
        <v>152.45890534099894</v>
      </c>
      <c r="I34" s="409">
        <f t="shared" si="16"/>
        <v>152.45890534099894</v>
      </c>
      <c r="J34" s="204"/>
      <c r="M34" s="437"/>
      <c r="N34" s="437"/>
      <c r="O34" s="418">
        <f t="shared" si="17"/>
        <v>152.45890534099894</v>
      </c>
      <c r="P34" s="437"/>
      <c r="Q34" s="437"/>
      <c r="R34" s="418"/>
      <c r="S34" s="437"/>
    </row>
    <row r="35" spans="1:19" ht="22.25">
      <c r="A35" s="407">
        <v>15</v>
      </c>
      <c r="B35" s="407" t="s">
        <v>1551</v>
      </c>
      <c r="C35" s="408" t="s">
        <v>1795</v>
      </c>
      <c r="D35" s="407"/>
      <c r="E35" s="408" t="s">
        <v>1821</v>
      </c>
      <c r="F35" s="409">
        <v>10</v>
      </c>
      <c r="G35" s="410">
        <f t="shared" si="18"/>
        <v>2.2793286921135986E-2</v>
      </c>
      <c r="H35" s="409">
        <f t="shared" si="6"/>
        <v>9.7720671307886402</v>
      </c>
      <c r="I35" s="409">
        <f t="shared" si="16"/>
        <v>146.58100696182962</v>
      </c>
      <c r="J35" s="204"/>
      <c r="M35" s="437"/>
      <c r="N35" s="437"/>
      <c r="O35" s="418">
        <f t="shared" si="17"/>
        <v>146.58100696182962</v>
      </c>
      <c r="P35" s="418"/>
      <c r="Q35" s="418"/>
      <c r="R35" s="418"/>
      <c r="S35" s="437"/>
    </row>
    <row r="36" spans="1:19">
      <c r="A36" s="407">
        <v>15</v>
      </c>
      <c r="B36" s="407" t="s">
        <v>1551</v>
      </c>
      <c r="C36" s="408" t="s">
        <v>1795</v>
      </c>
      <c r="D36" s="407"/>
      <c r="E36" s="408" t="s">
        <v>1822</v>
      </c>
      <c r="F36" s="409">
        <v>8.67</v>
      </c>
      <c r="G36" s="410">
        <f t="shared" si="18"/>
        <v>2.2793286921135986E-2</v>
      </c>
      <c r="H36" s="409">
        <f t="shared" si="6"/>
        <v>8.4723822023937512</v>
      </c>
      <c r="I36" s="409">
        <f t="shared" si="16"/>
        <v>127.08573303590627</v>
      </c>
      <c r="J36" s="204"/>
      <c r="M36" s="437"/>
      <c r="N36" s="437"/>
      <c r="O36" s="418"/>
      <c r="P36" s="418">
        <f t="shared" si="8"/>
        <v>127.08573303590627</v>
      </c>
      <c r="Q36" s="437"/>
      <c r="R36" s="418"/>
      <c r="S36" s="437"/>
    </row>
    <row r="37" spans="1:19">
      <c r="A37" s="407">
        <v>0</v>
      </c>
      <c r="B37" s="407" t="s">
        <v>505</v>
      </c>
      <c r="C37" s="408" t="s">
        <v>1795</v>
      </c>
      <c r="D37" s="407"/>
      <c r="E37" s="408" t="s">
        <v>1823</v>
      </c>
      <c r="F37" s="409">
        <v>160.69999999999999</v>
      </c>
      <c r="G37" s="410">
        <f t="shared" si="18"/>
        <v>2.2793286921135986E-2</v>
      </c>
      <c r="H37" s="409">
        <f t="shared" si="6"/>
        <v>157.03711879177342</v>
      </c>
      <c r="I37" s="409">
        <f t="shared" si="16"/>
        <v>0</v>
      </c>
      <c r="J37" s="204"/>
      <c r="M37" s="437"/>
      <c r="N37" s="437"/>
      <c r="O37" s="418">
        <f t="shared" si="17"/>
        <v>0</v>
      </c>
      <c r="P37" s="437"/>
      <c r="Q37" s="437"/>
      <c r="R37" s="418"/>
      <c r="S37" s="437"/>
    </row>
    <row r="38" spans="1:19">
      <c r="A38" s="407">
        <v>30</v>
      </c>
      <c r="B38" s="407" t="s">
        <v>505</v>
      </c>
      <c r="C38" s="408" t="s">
        <v>1795</v>
      </c>
      <c r="D38" s="407"/>
      <c r="E38" s="408" t="s">
        <v>1824</v>
      </c>
      <c r="F38" s="409">
        <v>8.6667000000000005</v>
      </c>
      <c r="G38" s="410">
        <f t="shared" si="18"/>
        <v>2.2793286921135986E-2</v>
      </c>
      <c r="H38" s="409">
        <f t="shared" si="6"/>
        <v>8.4691574202405917</v>
      </c>
      <c r="I38" s="409">
        <f t="shared" si="16"/>
        <v>254.07472260721775</v>
      </c>
      <c r="J38" s="204"/>
      <c r="M38" s="437"/>
      <c r="N38" s="437"/>
      <c r="O38" s="418">
        <f t="shared" si="17"/>
        <v>254.07472260721775</v>
      </c>
      <c r="P38" s="437"/>
      <c r="Q38" s="437"/>
      <c r="R38" s="418"/>
      <c r="S38" s="437"/>
    </row>
    <row r="39" spans="1:19">
      <c r="A39" s="407"/>
      <c r="B39" s="407"/>
      <c r="C39" s="408"/>
      <c r="D39" s="407"/>
      <c r="E39" s="408"/>
      <c r="F39" s="409" t="s">
        <v>1804</v>
      </c>
      <c r="G39" s="410"/>
      <c r="H39" s="409"/>
      <c r="I39" s="421">
        <f>SUM(I33:I38)</f>
        <v>960.82481974080997</v>
      </c>
      <c r="J39" s="204"/>
      <c r="M39" s="437"/>
      <c r="N39" s="437"/>
      <c r="O39" s="418"/>
      <c r="P39" s="437"/>
      <c r="Q39" s="437"/>
      <c r="R39" s="418"/>
      <c r="S39" s="437"/>
    </row>
    <row r="40" spans="1:19">
      <c r="A40" s="407"/>
      <c r="B40" s="407"/>
      <c r="C40" s="408"/>
      <c r="D40" s="407"/>
      <c r="E40" s="420" t="s">
        <v>1825</v>
      </c>
      <c r="F40" s="409"/>
      <c r="G40" s="410"/>
      <c r="H40" s="409"/>
      <c r="I40" s="409"/>
      <c r="J40" s="204"/>
      <c r="M40" s="437"/>
      <c r="N40" s="437"/>
      <c r="O40" s="418"/>
      <c r="P40" s="437"/>
      <c r="Q40" s="437"/>
      <c r="R40" s="418"/>
      <c r="S40" s="437"/>
    </row>
    <row r="41" spans="1:19" ht="22.25">
      <c r="A41" s="407">
        <v>1</v>
      </c>
      <c r="B41" s="407" t="s">
        <v>1794</v>
      </c>
      <c r="C41" s="408" t="s">
        <v>1795</v>
      </c>
      <c r="D41" s="407"/>
      <c r="E41" s="408" t="s">
        <v>1826</v>
      </c>
      <c r="F41" s="409">
        <v>170</v>
      </c>
      <c r="G41" s="410">
        <f>G38</f>
        <v>2.2793286921135986E-2</v>
      </c>
      <c r="H41" s="409">
        <f t="shared" si="6"/>
        <v>166.12514122340687</v>
      </c>
      <c r="I41" s="409">
        <f>A41*H41</f>
        <v>166.12514122340687</v>
      </c>
      <c r="J41" s="204"/>
      <c r="M41" s="437"/>
      <c r="N41" s="437"/>
      <c r="O41" s="418"/>
      <c r="P41" s="418">
        <f t="shared" si="8"/>
        <v>166.12514122340687</v>
      </c>
      <c r="Q41" s="437"/>
      <c r="R41" s="418"/>
      <c r="S41" s="437"/>
    </row>
    <row r="42" spans="1:19">
      <c r="A42" s="407"/>
      <c r="B42" s="407"/>
      <c r="C42" s="408"/>
      <c r="D42" s="407"/>
      <c r="E42" s="408"/>
      <c r="F42" s="409" t="s">
        <v>1804</v>
      </c>
      <c r="G42" s="410"/>
      <c r="H42" s="409"/>
      <c r="I42" s="421">
        <f>I41</f>
        <v>166.12514122340687</v>
      </c>
      <c r="J42" s="204"/>
      <c r="M42" s="437"/>
      <c r="N42" s="437"/>
      <c r="O42" s="418"/>
      <c r="P42" s="437"/>
      <c r="Q42" s="437"/>
      <c r="R42" s="418"/>
      <c r="S42" s="437"/>
    </row>
    <row r="43" spans="1:19">
      <c r="A43" s="407"/>
      <c r="B43" s="407"/>
      <c r="C43" s="408"/>
      <c r="D43" s="407"/>
      <c r="E43" s="420" t="s">
        <v>1827</v>
      </c>
      <c r="F43" s="409"/>
      <c r="G43" s="410"/>
      <c r="H43" s="409"/>
      <c r="I43" s="409"/>
      <c r="J43" s="204"/>
      <c r="M43" s="437"/>
      <c r="N43" s="437"/>
      <c r="O43" s="418"/>
      <c r="P43" s="437"/>
      <c r="Q43" s="437"/>
      <c r="R43" s="418"/>
      <c r="S43" s="437"/>
    </row>
    <row r="44" spans="1:19">
      <c r="A44" s="407">
        <v>1</v>
      </c>
      <c r="B44" s="407" t="s">
        <v>1794</v>
      </c>
      <c r="C44" s="408" t="s">
        <v>1795</v>
      </c>
      <c r="D44" s="407"/>
      <c r="E44" s="408" t="s">
        <v>1828</v>
      </c>
      <c r="F44" s="409">
        <v>130</v>
      </c>
      <c r="G44" s="410">
        <f>G41</f>
        <v>2.2793286921135986E-2</v>
      </c>
      <c r="H44" s="409">
        <f t="shared" si="6"/>
        <v>127.03687270025232</v>
      </c>
      <c r="I44" s="409">
        <f t="shared" ref="I44:I46" si="19">A44*H44</f>
        <v>127.03687270025232</v>
      </c>
      <c r="J44" s="204"/>
      <c r="M44" s="418">
        <f t="shared" si="9"/>
        <v>127.03687270025232</v>
      </c>
      <c r="N44" s="437"/>
      <c r="O44" s="418"/>
      <c r="P44" s="437"/>
      <c r="Q44" s="437"/>
      <c r="R44" s="418"/>
      <c r="S44" s="437"/>
    </row>
    <row r="45" spans="1:19" ht="22.25">
      <c r="A45" s="407">
        <v>30</v>
      </c>
      <c r="B45" s="407" t="s">
        <v>517</v>
      </c>
      <c r="C45" s="408" t="s">
        <v>1795</v>
      </c>
      <c r="D45" s="407"/>
      <c r="E45" s="408" t="s">
        <v>1829</v>
      </c>
      <c r="F45" s="409">
        <v>18</v>
      </c>
      <c r="G45" s="410">
        <f t="shared" ref="G45:G46" si="20">G44</f>
        <v>2.2793286921135986E-2</v>
      </c>
      <c r="H45" s="409">
        <f t="shared" si="6"/>
        <v>17.589720835419552</v>
      </c>
      <c r="I45" s="409">
        <f t="shared" si="19"/>
        <v>527.69162506258658</v>
      </c>
      <c r="J45" s="204"/>
      <c r="M45" s="418">
        <f t="shared" si="9"/>
        <v>527.69162506258658</v>
      </c>
      <c r="N45" s="437"/>
      <c r="O45" s="418"/>
      <c r="P45" s="437"/>
      <c r="Q45" s="437"/>
      <c r="R45" s="418"/>
      <c r="S45" s="437"/>
    </row>
    <row r="46" spans="1:19">
      <c r="A46" s="407">
        <v>1</v>
      </c>
      <c r="B46" s="407" t="s">
        <v>505</v>
      </c>
      <c r="C46" s="408" t="s">
        <v>1795</v>
      </c>
      <c r="D46" s="407"/>
      <c r="E46" s="408" t="s">
        <v>1830</v>
      </c>
      <c r="F46" s="409">
        <v>392.54</v>
      </c>
      <c r="G46" s="410">
        <f t="shared" si="20"/>
        <v>2.2793286921135986E-2</v>
      </c>
      <c r="H46" s="409">
        <f t="shared" si="6"/>
        <v>383.59272315197728</v>
      </c>
      <c r="I46" s="409">
        <f t="shared" si="19"/>
        <v>383.59272315197728</v>
      </c>
      <c r="J46" s="204"/>
      <c r="M46" s="418">
        <f t="shared" si="9"/>
        <v>383.59272315197728</v>
      </c>
      <c r="N46" s="437"/>
      <c r="O46" s="418"/>
      <c r="P46" s="437"/>
      <c r="Q46" s="437"/>
      <c r="R46" s="418"/>
      <c r="S46" s="437"/>
    </row>
    <row r="47" spans="1:19">
      <c r="A47" s="407"/>
      <c r="B47" s="407"/>
      <c r="C47" s="408"/>
      <c r="D47" s="407"/>
      <c r="E47" s="408"/>
      <c r="F47" s="409" t="s">
        <v>1804</v>
      </c>
      <c r="G47" s="410"/>
      <c r="H47" s="409"/>
      <c r="I47" s="421">
        <f>SUM(I44:I46)</f>
        <v>1038.3212209148162</v>
      </c>
      <c r="J47" s="204"/>
      <c r="M47" s="437"/>
      <c r="N47" s="437"/>
      <c r="O47" s="418"/>
      <c r="P47" s="437"/>
      <c r="Q47" s="437"/>
      <c r="R47" s="418"/>
      <c r="S47" s="437"/>
    </row>
    <row r="48" spans="1:19">
      <c r="A48" s="407"/>
      <c r="B48" s="407"/>
      <c r="C48" s="408"/>
      <c r="D48" s="407"/>
      <c r="E48" s="420" t="s">
        <v>1816</v>
      </c>
      <c r="F48" s="409"/>
      <c r="G48" s="410"/>
      <c r="H48" s="409"/>
      <c r="I48" s="409"/>
      <c r="J48" s="204"/>
      <c r="M48" s="437"/>
      <c r="N48" s="437"/>
      <c r="O48" s="418"/>
      <c r="P48" s="437"/>
      <c r="Q48" s="437"/>
      <c r="R48" s="418"/>
      <c r="S48" s="437"/>
    </row>
    <row r="49" spans="1:19">
      <c r="A49" s="407">
        <v>1</v>
      </c>
      <c r="B49" s="407" t="s">
        <v>1794</v>
      </c>
      <c r="C49" s="408" t="s">
        <v>1795</v>
      </c>
      <c r="D49" s="407"/>
      <c r="E49" s="408" t="s">
        <v>1831</v>
      </c>
      <c r="F49" s="409"/>
      <c r="G49" s="410">
        <f>G46</f>
        <v>2.2793286921135986E-2</v>
      </c>
      <c r="H49" s="409">
        <f t="shared" si="6"/>
        <v>0</v>
      </c>
      <c r="I49" s="409">
        <f t="shared" ref="I49:I51" si="21">A49*H49</f>
        <v>0</v>
      </c>
      <c r="J49" s="204"/>
      <c r="M49" s="437"/>
      <c r="N49" s="437"/>
      <c r="O49" s="418"/>
      <c r="P49" s="437"/>
      <c r="Q49" s="437"/>
      <c r="R49" s="418"/>
      <c r="S49" s="437"/>
    </row>
    <row r="50" spans="1:19">
      <c r="A50" s="407">
        <v>1</v>
      </c>
      <c r="B50" s="407" t="s">
        <v>505</v>
      </c>
      <c r="C50" s="408" t="s">
        <v>1795</v>
      </c>
      <c r="D50" s="407"/>
      <c r="E50" s="408" t="s">
        <v>1832</v>
      </c>
      <c r="F50" s="409"/>
      <c r="G50" s="410">
        <f t="shared" ref="G50:G51" si="22">G49</f>
        <v>2.2793286921135986E-2</v>
      </c>
      <c r="H50" s="409">
        <f t="shared" si="6"/>
        <v>0</v>
      </c>
      <c r="I50" s="409">
        <f t="shared" si="21"/>
        <v>0</v>
      </c>
      <c r="J50" s="204"/>
      <c r="M50" s="437"/>
      <c r="N50" s="437"/>
      <c r="O50" s="418"/>
      <c r="P50" s="437"/>
      <c r="Q50" s="437"/>
      <c r="R50" s="418"/>
      <c r="S50" s="437"/>
    </row>
    <row r="51" spans="1:19" ht="22.25">
      <c r="A51" s="407">
        <v>1</v>
      </c>
      <c r="B51" s="407" t="s">
        <v>1794</v>
      </c>
      <c r="C51" s="408" t="s">
        <v>1795</v>
      </c>
      <c r="D51" s="407"/>
      <c r="E51" s="408" t="s">
        <v>1833</v>
      </c>
      <c r="F51" s="409">
        <v>130</v>
      </c>
      <c r="G51" s="410">
        <f t="shared" si="22"/>
        <v>2.2793286921135986E-2</v>
      </c>
      <c r="H51" s="409">
        <f t="shared" si="6"/>
        <v>127.03687270025232</v>
      </c>
      <c r="I51" s="409">
        <f t="shared" si="21"/>
        <v>127.03687270025232</v>
      </c>
      <c r="J51" s="204"/>
      <c r="M51" s="437"/>
      <c r="N51" s="437"/>
      <c r="O51" s="418"/>
      <c r="P51" s="418">
        <f t="shared" si="8"/>
        <v>127.03687270025232</v>
      </c>
      <c r="Q51" s="437"/>
      <c r="R51" s="418"/>
      <c r="S51" s="437"/>
    </row>
    <row r="52" spans="1:19">
      <c r="A52" s="407"/>
      <c r="B52" s="407"/>
      <c r="C52" s="408"/>
      <c r="D52" s="407"/>
      <c r="E52" s="408"/>
      <c r="F52" s="409" t="s">
        <v>1804</v>
      </c>
      <c r="G52" s="410"/>
      <c r="H52" s="409"/>
      <c r="I52" s="421">
        <f>SUM(I49:I51)</f>
        <v>127.03687270025232</v>
      </c>
      <c r="J52" s="204"/>
      <c r="M52" s="437"/>
      <c r="N52" s="437"/>
      <c r="O52" s="418"/>
      <c r="P52" s="437"/>
      <c r="Q52" s="437"/>
      <c r="R52" s="418"/>
      <c r="S52" s="437"/>
    </row>
    <row r="53" spans="1:19">
      <c r="A53" s="407"/>
      <c r="B53" s="407"/>
      <c r="C53" s="408"/>
      <c r="D53" s="407"/>
      <c r="E53" s="408"/>
      <c r="F53" s="409" t="s">
        <v>1834</v>
      </c>
      <c r="G53" s="410"/>
      <c r="H53" s="409"/>
      <c r="I53" s="421">
        <f>I17+I25+I31+I39+I42+I47+I52</f>
        <v>18136.704131177641</v>
      </c>
      <c r="J53" s="204"/>
      <c r="M53" s="437"/>
      <c r="N53" s="437"/>
      <c r="O53" s="418"/>
      <c r="P53" s="437"/>
      <c r="Q53" s="437"/>
      <c r="R53" s="418"/>
      <c r="S53" s="437"/>
    </row>
    <row r="54" spans="1:19">
      <c r="A54" s="407"/>
      <c r="B54" s="407"/>
      <c r="C54" s="408"/>
      <c r="D54" s="407"/>
      <c r="E54" s="407"/>
      <c r="F54" s="409"/>
      <c r="G54" s="410"/>
      <c r="H54" s="409"/>
      <c r="I54" s="409"/>
      <c r="J54" s="204"/>
      <c r="M54" s="418"/>
      <c r="N54" s="437"/>
      <c r="O54" s="437"/>
      <c r="P54" s="437"/>
      <c r="Q54" s="437"/>
      <c r="R54" s="437"/>
      <c r="S54" s="437"/>
    </row>
    <row r="55" spans="1:19">
      <c r="A55" s="407">
        <v>1</v>
      </c>
      <c r="B55" s="407" t="s">
        <v>517</v>
      </c>
      <c r="C55" s="408" t="s">
        <v>574</v>
      </c>
      <c r="D55" s="407" t="s">
        <v>1006</v>
      </c>
      <c r="E55" s="407" t="s">
        <v>1005</v>
      </c>
      <c r="F55" s="409">
        <v>365</v>
      </c>
      <c r="G55" s="410">
        <v>0.02</v>
      </c>
      <c r="H55" s="409">
        <f t="shared" si="6"/>
        <v>357.7</v>
      </c>
      <c r="I55" s="409">
        <f t="shared" ref="I55:I58" si="23">A55*H55</f>
        <v>357.7</v>
      </c>
      <c r="J55" s="204"/>
      <c r="M55" s="418"/>
      <c r="N55" s="437"/>
      <c r="O55" s="437"/>
      <c r="P55" s="437"/>
      <c r="Q55" s="437"/>
      <c r="R55" s="437"/>
      <c r="S55" s="418">
        <f t="shared" ref="S55:S58" si="24">I55</f>
        <v>357.7</v>
      </c>
    </row>
    <row r="56" spans="1:19">
      <c r="A56" s="407">
        <v>0</v>
      </c>
      <c r="B56" s="407" t="s">
        <v>517</v>
      </c>
      <c r="C56" s="408" t="s">
        <v>574</v>
      </c>
      <c r="D56" s="407"/>
      <c r="E56" s="407" t="s">
        <v>576</v>
      </c>
      <c r="F56" s="409"/>
      <c r="G56" s="410"/>
      <c r="H56" s="409">
        <f t="shared" si="6"/>
        <v>0</v>
      </c>
      <c r="I56" s="409">
        <f t="shared" si="23"/>
        <v>0</v>
      </c>
      <c r="J56" s="204"/>
      <c r="M56" s="418"/>
      <c r="N56" s="437"/>
      <c r="O56" s="437"/>
      <c r="P56" s="437"/>
      <c r="Q56" s="437"/>
      <c r="R56" s="437"/>
      <c r="S56" s="418">
        <f t="shared" si="24"/>
        <v>0</v>
      </c>
    </row>
    <row r="57" spans="1:19">
      <c r="A57" s="407">
        <v>1</v>
      </c>
      <c r="B57" s="407" t="s">
        <v>517</v>
      </c>
      <c r="C57" s="408" t="s">
        <v>574</v>
      </c>
      <c r="D57" s="407" t="s">
        <v>1835</v>
      </c>
      <c r="E57" s="407" t="s">
        <v>1836</v>
      </c>
      <c r="F57" s="409">
        <v>200</v>
      </c>
      <c r="G57" s="410">
        <v>0.02</v>
      </c>
      <c r="H57" s="409">
        <f t="shared" si="6"/>
        <v>196</v>
      </c>
      <c r="I57" s="409">
        <f t="shared" si="23"/>
        <v>196</v>
      </c>
      <c r="J57" s="204"/>
      <c r="M57" s="418"/>
      <c r="N57" s="437"/>
      <c r="O57" s="437"/>
      <c r="P57" s="437"/>
      <c r="Q57" s="437"/>
      <c r="R57" s="437"/>
      <c r="S57" s="418">
        <f t="shared" si="24"/>
        <v>196</v>
      </c>
    </row>
    <row r="58" spans="1:19">
      <c r="A58" s="407">
        <v>1</v>
      </c>
      <c r="B58" s="407" t="s">
        <v>517</v>
      </c>
      <c r="C58" s="408" t="s">
        <v>574</v>
      </c>
      <c r="D58" s="407"/>
      <c r="E58" s="407" t="s">
        <v>1837</v>
      </c>
      <c r="F58" s="409">
        <f>35/4</f>
        <v>8.75</v>
      </c>
      <c r="G58" s="410">
        <v>0.02</v>
      </c>
      <c r="H58" s="409">
        <f t="shared" si="6"/>
        <v>8.5749999999999993</v>
      </c>
      <c r="I58" s="409">
        <f t="shared" si="23"/>
        <v>8.5749999999999993</v>
      </c>
      <c r="J58" s="204"/>
      <c r="M58" s="418"/>
      <c r="N58" s="437"/>
      <c r="O58" s="437"/>
      <c r="P58" s="437"/>
      <c r="Q58" s="437"/>
      <c r="R58" s="437"/>
      <c r="S58" s="418">
        <f t="shared" si="24"/>
        <v>8.5749999999999993</v>
      </c>
    </row>
    <row r="59" spans="1:19" ht="12.45">
      <c r="A59" s="407"/>
      <c r="B59" s="407"/>
      <c r="C59" s="408"/>
      <c r="D59" s="407"/>
      <c r="E59" s="431"/>
      <c r="F59" s="409" t="s">
        <v>1804</v>
      </c>
      <c r="G59" s="410"/>
      <c r="H59" s="409"/>
      <c r="I59" s="421">
        <f>SUM(I55:I58)</f>
        <v>562.27500000000009</v>
      </c>
      <c r="J59" s="204"/>
      <c r="M59" s="418"/>
      <c r="N59" s="437"/>
      <c r="O59" s="437"/>
      <c r="P59" s="437"/>
      <c r="Q59" s="437"/>
      <c r="R59" s="437"/>
      <c r="S59" s="437"/>
    </row>
    <row r="60" spans="1:19">
      <c r="A60" s="407"/>
      <c r="B60" s="407"/>
      <c r="C60" s="408"/>
      <c r="D60" s="407"/>
      <c r="E60" s="407"/>
      <c r="F60" s="409"/>
      <c r="G60" s="410"/>
      <c r="H60" s="409"/>
      <c r="I60" s="409"/>
      <c r="J60" s="204"/>
      <c r="M60" s="437"/>
      <c r="N60" s="437"/>
      <c r="O60" s="437"/>
      <c r="P60" s="437"/>
      <c r="Q60" s="437"/>
      <c r="R60" s="437"/>
      <c r="S60" s="437"/>
    </row>
    <row r="61" spans="1:19">
      <c r="A61" s="407"/>
      <c r="B61" s="407"/>
      <c r="C61" s="408"/>
      <c r="D61" s="407"/>
      <c r="E61" s="432" t="s">
        <v>580</v>
      </c>
      <c r="F61" s="409"/>
      <c r="G61" s="410"/>
      <c r="H61" s="409"/>
      <c r="I61" s="421">
        <f>I53+I59</f>
        <v>18698.979131177643</v>
      </c>
      <c r="J61" s="204"/>
      <c r="M61" s="418">
        <f>SUM(M4:M59)</f>
        <v>8683.6708868860351</v>
      </c>
      <c r="N61" s="418">
        <f>SUM(N4:N59)</f>
        <v>1590.8925288923906</v>
      </c>
      <c r="O61" s="418">
        <f>SUM(O4:O59)</f>
        <v>911.91562375121282</v>
      </c>
      <c r="P61" s="418">
        <f>SUM(P4:P59)</f>
        <v>6560.3196131295399</v>
      </c>
      <c r="Q61" s="418"/>
      <c r="R61" s="418">
        <f>SUM(R4:R59)</f>
        <v>389.90547851846674</v>
      </c>
      <c r="S61" s="437"/>
    </row>
    <row r="62" spans="1:19">
      <c r="A62" s="407"/>
      <c r="B62" s="407"/>
      <c r="C62" s="408"/>
      <c r="D62" s="407"/>
      <c r="E62" s="413" t="s">
        <v>581</v>
      </c>
      <c r="F62" s="409"/>
      <c r="G62" s="410">
        <v>0</v>
      </c>
      <c r="H62" s="409"/>
      <c r="I62" s="421"/>
      <c r="J62" s="204"/>
      <c r="M62" s="418"/>
      <c r="N62" s="418"/>
      <c r="O62" s="418"/>
      <c r="P62" s="418"/>
      <c r="Q62" s="418"/>
      <c r="R62" s="418"/>
      <c r="S62" s="437"/>
    </row>
    <row r="63" spans="1:19" ht="15.75">
      <c r="E63" s="433" t="s">
        <v>582</v>
      </c>
      <c r="F63" s="418"/>
      <c r="G63" s="434"/>
      <c r="H63" s="418"/>
      <c r="I63" s="435">
        <f>I61*(1+$G$62)</f>
        <v>18698.979131177643</v>
      </c>
      <c r="J63" s="436"/>
      <c r="K63" s="437"/>
      <c r="L63" s="437"/>
      <c r="M63" s="165">
        <f>M61*(1+$G$62)</f>
        <v>8683.6708868860351</v>
      </c>
      <c r="N63" s="165">
        <f>N61*(1+$G$62)</f>
        <v>1590.8925288923906</v>
      </c>
      <c r="O63" s="165">
        <f>O61*(1+$G$62)</f>
        <v>911.91562375121282</v>
      </c>
      <c r="P63" s="165">
        <f>P61</f>
        <v>6560.3196131295399</v>
      </c>
      <c r="Q63" s="418"/>
      <c r="R63" s="165">
        <f>R61*(1+$G$62)</f>
        <v>389.90547851846674</v>
      </c>
      <c r="S63" s="165">
        <f>SUM(S4:S62)</f>
        <v>562.27500000000009</v>
      </c>
    </row>
    <row r="66" spans="1:17">
      <c r="E66" s="439" t="s">
        <v>585</v>
      </c>
    </row>
    <row r="67" spans="1:17">
      <c r="A67" s="445">
        <f t="shared" ref="A67:A81" si="25">P67/H67</f>
        <v>24.785515722636642</v>
      </c>
      <c r="B67" s="17" t="s">
        <v>619</v>
      </c>
      <c r="E67" s="17" t="s">
        <v>586</v>
      </c>
      <c r="F67" s="403">
        <f t="shared" ref="F67:F81" si="26">F$85</f>
        <v>55</v>
      </c>
      <c r="H67" s="403">
        <f t="shared" si="6"/>
        <v>55</v>
      </c>
      <c r="I67" s="403">
        <f t="shared" ref="I67:I87" si="27">A67*H67</f>
        <v>1363.2033647450153</v>
      </c>
      <c r="P67" s="403">
        <f>P5</f>
        <v>1363.2033647450153</v>
      </c>
    </row>
    <row r="68" spans="1:17">
      <c r="A68" s="445">
        <f t="shared" si="25"/>
        <v>59.996938704085601</v>
      </c>
      <c r="B68" s="17" t="s">
        <v>619</v>
      </c>
      <c r="E68" s="17" t="s">
        <v>589</v>
      </c>
      <c r="F68" s="403">
        <f t="shared" si="26"/>
        <v>55</v>
      </c>
      <c r="H68" s="403">
        <f t="shared" si="6"/>
        <v>55</v>
      </c>
      <c r="I68" s="403">
        <f t="shared" si="27"/>
        <v>3299.831628724708</v>
      </c>
      <c r="P68" s="403">
        <f>P6+P11+P13+P16</f>
        <v>3299.831628724708</v>
      </c>
      <c r="Q68" s="17">
        <f>SUM(P67:P79)-N23-P61</f>
        <v>0</v>
      </c>
    </row>
    <row r="69" spans="1:17">
      <c r="A69" s="445">
        <f t="shared" si="25"/>
        <v>0</v>
      </c>
      <c r="B69" s="17" t="s">
        <v>619</v>
      </c>
      <c r="E69" s="17" t="s">
        <v>1426</v>
      </c>
      <c r="F69" s="403">
        <f t="shared" si="26"/>
        <v>55</v>
      </c>
      <c r="H69" s="403">
        <f t="shared" si="6"/>
        <v>55</v>
      </c>
      <c r="I69" s="403">
        <f t="shared" si="27"/>
        <v>0</v>
      </c>
      <c r="P69" s="403"/>
    </row>
    <row r="70" spans="1:17">
      <c r="A70" s="445">
        <f t="shared" si="25"/>
        <v>24.545454545454547</v>
      </c>
      <c r="B70" s="17" t="s">
        <v>619</v>
      </c>
      <c r="E70" s="17" t="s">
        <v>591</v>
      </c>
      <c r="F70" s="403">
        <f t="shared" si="26"/>
        <v>55</v>
      </c>
      <c r="H70" s="403">
        <f t="shared" si="6"/>
        <v>55</v>
      </c>
      <c r="I70" s="403">
        <f t="shared" si="27"/>
        <v>1350</v>
      </c>
      <c r="P70" s="403">
        <f>P12</f>
        <v>1350</v>
      </c>
    </row>
    <row r="71" spans="1:17">
      <c r="A71" s="445">
        <f t="shared" si="25"/>
        <v>0</v>
      </c>
      <c r="B71" s="17" t="s">
        <v>619</v>
      </c>
      <c r="E71" s="17" t="s">
        <v>1428</v>
      </c>
      <c r="F71" s="403">
        <f t="shared" si="26"/>
        <v>55</v>
      </c>
      <c r="H71" s="403">
        <f t="shared" si="6"/>
        <v>55</v>
      </c>
      <c r="I71" s="403">
        <f t="shared" si="27"/>
        <v>0</v>
      </c>
      <c r="P71" s="403"/>
    </row>
    <row r="72" spans="1:17">
      <c r="A72" s="445">
        <f t="shared" si="25"/>
        <v>0</v>
      </c>
      <c r="B72" s="17" t="s">
        <v>619</v>
      </c>
      <c r="E72" s="17" t="s">
        <v>1429</v>
      </c>
      <c r="F72" s="403">
        <f t="shared" si="26"/>
        <v>55</v>
      </c>
      <c r="H72" s="403">
        <f t="shared" si="6"/>
        <v>55</v>
      </c>
      <c r="I72" s="403">
        <f t="shared" si="27"/>
        <v>0</v>
      </c>
      <c r="P72" s="403"/>
    </row>
    <row r="73" spans="1:17">
      <c r="A73" s="445">
        <f t="shared" si="25"/>
        <v>2.3097613218227693</v>
      </c>
      <c r="B73" s="17" t="s">
        <v>619</v>
      </c>
      <c r="E73" s="17" t="s">
        <v>605</v>
      </c>
      <c r="F73" s="403">
        <f t="shared" si="26"/>
        <v>55</v>
      </c>
      <c r="H73" s="403">
        <f t="shared" si="6"/>
        <v>55</v>
      </c>
      <c r="I73" s="403">
        <f t="shared" si="27"/>
        <v>127.0368727002523</v>
      </c>
      <c r="P73" s="403">
        <f>P29</f>
        <v>127.03687270025232</v>
      </c>
    </row>
    <row r="74" spans="1:17">
      <c r="A74" s="445">
        <f t="shared" si="25"/>
        <v>2.3097613218227693</v>
      </c>
      <c r="B74" s="17" t="s">
        <v>619</v>
      </c>
      <c r="E74" s="17" t="s">
        <v>607</v>
      </c>
      <c r="F74" s="403">
        <f t="shared" si="26"/>
        <v>55</v>
      </c>
      <c r="H74" s="403">
        <f t="shared" ref="H74:H98" si="28">F74*(1-G74)</f>
        <v>55</v>
      </c>
      <c r="I74" s="403">
        <f t="shared" si="27"/>
        <v>127.0368727002523</v>
      </c>
      <c r="P74" s="403">
        <f>N23</f>
        <v>127.03687270025232</v>
      </c>
    </row>
    <row r="75" spans="1:17">
      <c r="A75" s="445">
        <f t="shared" si="25"/>
        <v>3.0204571131528524</v>
      </c>
      <c r="B75" s="17" t="s">
        <v>619</v>
      </c>
      <c r="E75" s="17" t="s">
        <v>609</v>
      </c>
      <c r="F75" s="403">
        <f t="shared" si="26"/>
        <v>55</v>
      </c>
      <c r="H75" s="403">
        <f t="shared" si="28"/>
        <v>55</v>
      </c>
      <c r="I75" s="403">
        <f t="shared" si="27"/>
        <v>166.12514122340687</v>
      </c>
      <c r="P75" s="403">
        <f>P41</f>
        <v>166.12514122340687</v>
      </c>
    </row>
    <row r="76" spans="1:17">
      <c r="A76" s="445">
        <f t="shared" si="25"/>
        <v>0</v>
      </c>
      <c r="B76" s="17" t="s">
        <v>619</v>
      </c>
      <c r="E76" s="17" t="s">
        <v>610</v>
      </c>
      <c r="F76" s="403">
        <f t="shared" si="26"/>
        <v>55</v>
      </c>
      <c r="H76" s="403">
        <f t="shared" si="28"/>
        <v>55</v>
      </c>
      <c r="I76" s="403">
        <f t="shared" si="27"/>
        <v>0</v>
      </c>
      <c r="P76" s="403"/>
    </row>
    <row r="77" spans="1:17">
      <c r="A77" s="445">
        <f t="shared" si="25"/>
        <v>2.3097613218227693</v>
      </c>
      <c r="B77" s="17" t="s">
        <v>619</v>
      </c>
      <c r="E77" s="17" t="s">
        <v>611</v>
      </c>
      <c r="F77" s="403">
        <f t="shared" si="26"/>
        <v>55</v>
      </c>
      <c r="H77" s="403">
        <f t="shared" si="28"/>
        <v>55</v>
      </c>
      <c r="I77" s="403">
        <f t="shared" si="27"/>
        <v>127.0368727002523</v>
      </c>
      <c r="P77" s="403">
        <f>P51</f>
        <v>127.03687270025232</v>
      </c>
    </row>
    <row r="78" spans="1:17">
      <c r="A78" s="445">
        <f t="shared" si="25"/>
        <v>0</v>
      </c>
      <c r="B78" s="17" t="s">
        <v>619</v>
      </c>
      <c r="E78" s="17" t="s">
        <v>1431</v>
      </c>
      <c r="F78" s="403">
        <f t="shared" si="26"/>
        <v>55</v>
      </c>
      <c r="H78" s="403">
        <f t="shared" si="28"/>
        <v>55</v>
      </c>
      <c r="I78" s="403">
        <f t="shared" si="27"/>
        <v>0</v>
      </c>
      <c r="P78" s="403"/>
    </row>
    <row r="79" spans="1:17">
      <c r="A79" s="445">
        <f t="shared" si="25"/>
        <v>2.3106496915619323</v>
      </c>
      <c r="B79" s="17" t="s">
        <v>619</v>
      </c>
      <c r="E79" s="17" t="s">
        <v>612</v>
      </c>
      <c r="F79" s="403">
        <f t="shared" si="26"/>
        <v>55</v>
      </c>
      <c r="H79" s="403">
        <f t="shared" si="28"/>
        <v>55</v>
      </c>
      <c r="I79" s="403">
        <f t="shared" si="27"/>
        <v>127.08573303590627</v>
      </c>
      <c r="P79" s="403">
        <f>P36</f>
        <v>127.08573303590627</v>
      </c>
    </row>
    <row r="80" spans="1:17">
      <c r="A80" s="445">
        <f t="shared" si="25"/>
        <v>0</v>
      </c>
      <c r="B80" s="17" t="s">
        <v>619</v>
      </c>
      <c r="E80" s="17" t="s">
        <v>614</v>
      </c>
      <c r="F80" s="403">
        <f t="shared" si="26"/>
        <v>55</v>
      </c>
      <c r="H80" s="403">
        <f t="shared" si="28"/>
        <v>55</v>
      </c>
      <c r="I80" s="403">
        <f t="shared" si="27"/>
        <v>0</v>
      </c>
      <c r="J80" s="17" t="s">
        <v>1838</v>
      </c>
    </row>
    <row r="81" spans="1:10">
      <c r="A81" s="445">
        <f t="shared" si="25"/>
        <v>0</v>
      </c>
      <c r="B81" s="17" t="s">
        <v>619</v>
      </c>
      <c r="E81" s="17" t="s">
        <v>616</v>
      </c>
      <c r="F81" s="403">
        <f t="shared" si="26"/>
        <v>55</v>
      </c>
      <c r="H81" s="403">
        <f t="shared" si="28"/>
        <v>55</v>
      </c>
      <c r="I81" s="403">
        <f t="shared" si="27"/>
        <v>0</v>
      </c>
    </row>
    <row r="83" spans="1:10">
      <c r="A83" s="17">
        <f>SUM(A67:A82)</f>
        <v>121.58829974235988</v>
      </c>
      <c r="B83" s="17" t="s">
        <v>619</v>
      </c>
      <c r="E83" s="17" t="s">
        <v>620</v>
      </c>
    </row>
    <row r="84" spans="1:10">
      <c r="A84" s="441">
        <v>3</v>
      </c>
      <c r="B84" s="17" t="s">
        <v>517</v>
      </c>
      <c r="E84" s="17" t="s">
        <v>621</v>
      </c>
    </row>
    <row r="85" spans="1:10">
      <c r="A85" s="17">
        <v>1</v>
      </c>
      <c r="B85" s="17" t="s">
        <v>517</v>
      </c>
      <c r="E85" s="17" t="s">
        <v>622</v>
      </c>
      <c r="F85" s="445">
        <v>55</v>
      </c>
      <c r="H85" s="403">
        <f t="shared" si="28"/>
        <v>55</v>
      </c>
      <c r="I85" s="403">
        <f t="shared" si="27"/>
        <v>55</v>
      </c>
      <c r="J85" s="17" t="s">
        <v>623</v>
      </c>
    </row>
    <row r="86" spans="1:10">
      <c r="A86" s="17">
        <f>ROUNDUP(A83/8/A84,0)</f>
        <v>6</v>
      </c>
      <c r="B86" s="17" t="s">
        <v>624</v>
      </c>
      <c r="E86" s="17" t="s">
        <v>625</v>
      </c>
      <c r="F86" s="403">
        <f>A84*8*F85</f>
        <v>1320</v>
      </c>
      <c r="H86" s="403">
        <f t="shared" si="28"/>
        <v>1320</v>
      </c>
      <c r="I86" s="403">
        <f t="shared" si="27"/>
        <v>7920</v>
      </c>
    </row>
    <row r="87" spans="1:10">
      <c r="A87" s="441">
        <v>1</v>
      </c>
      <c r="B87" s="17" t="s">
        <v>517</v>
      </c>
      <c r="E87" s="17" t="s">
        <v>626</v>
      </c>
      <c r="F87" s="913"/>
      <c r="H87" s="403">
        <f t="shared" si="28"/>
        <v>0</v>
      </c>
      <c r="I87" s="403">
        <f t="shared" si="27"/>
        <v>0</v>
      </c>
    </row>
    <row r="88" spans="1:10">
      <c r="A88" s="441"/>
      <c r="F88" s="913"/>
      <c r="H88" s="403"/>
      <c r="I88" s="403"/>
    </row>
    <row r="89" spans="1:10">
      <c r="A89" s="441"/>
      <c r="F89" s="913"/>
      <c r="H89" s="403"/>
      <c r="I89" s="403"/>
    </row>
    <row r="90" spans="1:10">
      <c r="E90" s="439" t="s">
        <v>628</v>
      </c>
      <c r="I90" s="443">
        <f>SUM(I86:I89)</f>
        <v>7920</v>
      </c>
    </row>
    <row r="93" spans="1:10" ht="15.75">
      <c r="E93" s="449" t="s">
        <v>630</v>
      </c>
      <c r="F93" s="914"/>
    </row>
    <row r="94" spans="1:10">
      <c r="A94" s="441">
        <v>1</v>
      </c>
      <c r="B94" s="17" t="s">
        <v>517</v>
      </c>
      <c r="E94" s="17" t="s">
        <v>1839</v>
      </c>
      <c r="F94" s="447">
        <v>1798.4</v>
      </c>
      <c r="G94" s="404">
        <v>0.4</v>
      </c>
      <c r="H94" s="403">
        <f t="shared" si="28"/>
        <v>1079.04</v>
      </c>
      <c r="I94" s="403">
        <f t="shared" ref="I94:I98" si="29">A94*H94</f>
        <v>1079.04</v>
      </c>
    </row>
    <row r="95" spans="1:10">
      <c r="A95" s="441"/>
      <c r="B95" s="17" t="s">
        <v>517</v>
      </c>
      <c r="E95" s="204"/>
      <c r="F95" s="447"/>
      <c r="H95" s="403">
        <f t="shared" si="28"/>
        <v>0</v>
      </c>
      <c r="I95" s="403">
        <f t="shared" si="29"/>
        <v>0</v>
      </c>
    </row>
    <row r="96" spans="1:10" ht="22.25">
      <c r="A96" s="441">
        <v>1</v>
      </c>
      <c r="B96" s="17" t="s">
        <v>517</v>
      </c>
      <c r="E96" s="204" t="s">
        <v>1841</v>
      </c>
      <c r="F96" s="447">
        <v>40.68</v>
      </c>
      <c r="H96" s="403">
        <f t="shared" si="28"/>
        <v>40.68</v>
      </c>
      <c r="I96" s="403">
        <f t="shared" si="29"/>
        <v>40.68</v>
      </c>
    </row>
    <row r="97" spans="1:17">
      <c r="A97" s="441"/>
      <c r="B97" s="17" t="s">
        <v>517</v>
      </c>
      <c r="E97" s="17" t="s">
        <v>1842</v>
      </c>
      <c r="F97" s="447"/>
      <c r="H97" s="403">
        <f t="shared" si="28"/>
        <v>0</v>
      </c>
      <c r="I97" s="403">
        <f t="shared" si="29"/>
        <v>0</v>
      </c>
    </row>
    <row r="98" spans="1:17">
      <c r="A98" s="441">
        <v>1</v>
      </c>
      <c r="B98" s="17" t="s">
        <v>517</v>
      </c>
      <c r="E98" s="17" t="s">
        <v>1843</v>
      </c>
      <c r="F98" s="447"/>
      <c r="H98" s="403">
        <f t="shared" si="28"/>
        <v>0</v>
      </c>
      <c r="I98" s="403">
        <f t="shared" si="29"/>
        <v>0</v>
      </c>
    </row>
    <row r="99" spans="1:17" ht="15.75">
      <c r="E99" s="439" t="s">
        <v>676</v>
      </c>
      <c r="F99" s="403"/>
      <c r="I99" s="443">
        <f>SUM(I94:I98)</f>
        <v>1119.72</v>
      </c>
      <c r="Q99" s="165">
        <f>I99</f>
        <v>1119.72</v>
      </c>
    </row>
    <row r="101" spans="1:17" ht="13.75" customHeight="1">
      <c r="A101" s="986" t="s">
        <v>100</v>
      </c>
      <c r="B101" s="986"/>
      <c r="C101" s="986"/>
      <c r="D101" s="986"/>
      <c r="E101" s="986"/>
    </row>
    <row r="102" spans="1:17">
      <c r="E102" s="439" t="s">
        <v>1844</v>
      </c>
    </row>
    <row r="103" spans="1:17">
      <c r="A103" s="409"/>
      <c r="B103" s="409" t="s">
        <v>505</v>
      </c>
      <c r="C103" s="409"/>
      <c r="D103" s="409"/>
      <c r="E103" s="409"/>
      <c r="F103" s="409"/>
      <c r="G103" s="410">
        <f>G51</f>
        <v>2.2793286921135986E-2</v>
      </c>
      <c r="H103" s="409">
        <f t="shared" ref="H103:H125" si="30">F103*(1-G103)</f>
        <v>0</v>
      </c>
      <c r="I103" s="409">
        <f t="shared" ref="I103:I110" si="31">A103*H103</f>
        <v>0</v>
      </c>
    </row>
    <row r="104" spans="1:17">
      <c r="A104" s="409"/>
      <c r="B104" s="409" t="s">
        <v>1794</v>
      </c>
      <c r="C104" s="409"/>
      <c r="D104" s="409"/>
      <c r="E104" s="409"/>
      <c r="F104" s="409"/>
      <c r="G104" s="410">
        <f t="shared" ref="G104:G108" si="32">G103</f>
        <v>2.2793286921135986E-2</v>
      </c>
      <c r="H104" s="409">
        <f t="shared" si="30"/>
        <v>0</v>
      </c>
      <c r="I104" s="409">
        <f t="shared" si="31"/>
        <v>0</v>
      </c>
    </row>
    <row r="105" spans="1:17">
      <c r="A105" s="409"/>
      <c r="B105" s="409" t="s">
        <v>505</v>
      </c>
      <c r="C105" s="409"/>
      <c r="D105" s="409"/>
      <c r="E105" s="409"/>
      <c r="F105" s="409"/>
      <c r="G105" s="410">
        <f t="shared" si="32"/>
        <v>2.2793286921135986E-2</v>
      </c>
      <c r="H105" s="409">
        <f t="shared" si="30"/>
        <v>0</v>
      </c>
      <c r="I105" s="409">
        <f t="shared" si="31"/>
        <v>0</v>
      </c>
    </row>
    <row r="106" spans="1:17">
      <c r="A106" s="409"/>
      <c r="B106" s="409" t="s">
        <v>505</v>
      </c>
      <c r="C106" s="409"/>
      <c r="D106" s="409"/>
      <c r="E106" s="409"/>
      <c r="F106" s="409"/>
      <c r="G106" s="410">
        <f t="shared" si="32"/>
        <v>2.2793286921135986E-2</v>
      </c>
      <c r="H106" s="409">
        <f t="shared" si="30"/>
        <v>0</v>
      </c>
      <c r="I106" s="409">
        <f t="shared" si="31"/>
        <v>0</v>
      </c>
    </row>
    <row r="107" spans="1:17">
      <c r="A107" s="409"/>
      <c r="B107" s="409" t="s">
        <v>1794</v>
      </c>
      <c r="C107" s="409"/>
      <c r="D107" s="409"/>
      <c r="E107" s="409"/>
      <c r="F107" s="409"/>
      <c r="G107" s="410">
        <f t="shared" si="32"/>
        <v>2.2793286921135986E-2</v>
      </c>
      <c r="H107" s="409">
        <f t="shared" si="30"/>
        <v>0</v>
      </c>
      <c r="I107" s="409">
        <f t="shared" si="31"/>
        <v>0</v>
      </c>
    </row>
    <row r="108" spans="1:17">
      <c r="A108" s="409"/>
      <c r="B108" s="409" t="s">
        <v>1794</v>
      </c>
      <c r="C108" s="409"/>
      <c r="D108" s="409"/>
      <c r="E108" s="409"/>
      <c r="F108" s="409"/>
      <c r="G108" s="410">
        <f t="shared" si="32"/>
        <v>2.2793286921135986E-2</v>
      </c>
      <c r="H108" s="409">
        <f t="shared" si="30"/>
        <v>0</v>
      </c>
      <c r="I108" s="409">
        <f t="shared" si="31"/>
        <v>0</v>
      </c>
    </row>
    <row r="110" spans="1:17">
      <c r="A110" s="409"/>
      <c r="B110" s="409" t="s">
        <v>517</v>
      </c>
      <c r="C110" s="409"/>
      <c r="D110" s="409"/>
      <c r="E110" s="409"/>
      <c r="F110" s="409"/>
      <c r="G110" s="410">
        <f>G108</f>
        <v>2.2793286921135986E-2</v>
      </c>
      <c r="H110" s="409">
        <f t="shared" si="30"/>
        <v>0</v>
      </c>
      <c r="I110" s="409">
        <f t="shared" si="31"/>
        <v>0</v>
      </c>
    </row>
    <row r="111" spans="1:17">
      <c r="E111" s="439" t="s">
        <v>1852</v>
      </c>
      <c r="I111" s="442">
        <f>SUM(I103:I110)</f>
        <v>0</v>
      </c>
    </row>
    <row r="114" spans="1:10" ht="15.05" customHeight="1">
      <c r="A114" s="1002" t="s">
        <v>90</v>
      </c>
      <c r="B114" s="1002"/>
      <c r="C114" s="1002"/>
      <c r="D114" s="1002"/>
      <c r="E114" s="1002"/>
    </row>
    <row r="116" spans="1:10" ht="22.25">
      <c r="A116" s="17">
        <v>1</v>
      </c>
      <c r="B116" s="17" t="s">
        <v>517</v>
      </c>
      <c r="C116" s="204" t="s">
        <v>1853</v>
      </c>
      <c r="E116" s="17" t="s">
        <v>1464</v>
      </c>
      <c r="F116" s="403">
        <f>1285.29</f>
        <v>1285.29</v>
      </c>
      <c r="H116" s="403">
        <f t="shared" si="30"/>
        <v>1285.29</v>
      </c>
      <c r="I116" s="403">
        <f t="shared" ref="I116:I119" si="33">A116*H116</f>
        <v>1285.29</v>
      </c>
      <c r="J116" s="494" t="s">
        <v>1854</v>
      </c>
    </row>
    <row r="117" spans="1:10">
      <c r="A117" s="17">
        <v>0</v>
      </c>
      <c r="B117" s="17" t="s">
        <v>517</v>
      </c>
      <c r="E117" s="17" t="s">
        <v>707</v>
      </c>
      <c r="F117" s="403">
        <v>1500</v>
      </c>
      <c r="H117" s="403">
        <f t="shared" si="30"/>
        <v>1500</v>
      </c>
      <c r="I117" s="403">
        <f t="shared" si="33"/>
        <v>0</v>
      </c>
    </row>
    <row r="118" spans="1:10">
      <c r="A118" s="17">
        <v>0</v>
      </c>
      <c r="B118" s="17" t="s">
        <v>517</v>
      </c>
      <c r="E118" s="17" t="s">
        <v>1855</v>
      </c>
      <c r="F118" s="403"/>
      <c r="H118" s="403">
        <f t="shared" si="30"/>
        <v>0</v>
      </c>
      <c r="I118" s="403">
        <f t="shared" si="33"/>
        <v>0</v>
      </c>
    </row>
    <row r="119" spans="1:10">
      <c r="A119" s="17">
        <v>0</v>
      </c>
      <c r="B119" s="17" t="s">
        <v>517</v>
      </c>
      <c r="E119" s="17" t="s">
        <v>1856</v>
      </c>
      <c r="F119" s="17">
        <f>15*9</f>
        <v>135</v>
      </c>
      <c r="H119" s="403">
        <f t="shared" si="30"/>
        <v>135</v>
      </c>
      <c r="I119" s="403">
        <f t="shared" si="33"/>
        <v>0</v>
      </c>
    </row>
    <row r="120" spans="1:10" ht="15.75">
      <c r="E120" s="439" t="s">
        <v>729</v>
      </c>
      <c r="I120" s="168">
        <f>SUM(I114:I119)</f>
        <v>1285.29</v>
      </c>
    </row>
    <row r="122" spans="1:10" ht="13.75" customHeight="1">
      <c r="A122" s="997" t="s">
        <v>68</v>
      </c>
      <c r="B122" s="997"/>
      <c r="C122" s="997"/>
      <c r="D122" s="997"/>
      <c r="E122" s="997"/>
    </row>
    <row r="123" spans="1:10">
      <c r="A123" s="17">
        <v>1</v>
      </c>
      <c r="B123" s="17" t="s">
        <v>517</v>
      </c>
      <c r="C123" s="204" t="s">
        <v>1795</v>
      </c>
      <c r="E123" s="17" t="s">
        <v>730</v>
      </c>
      <c r="F123" s="17">
        <v>276.7</v>
      </c>
      <c r="H123" s="403">
        <f t="shared" si="30"/>
        <v>276.7</v>
      </c>
      <c r="I123" s="403">
        <f t="shared" ref="I123:I125" si="34">A123*H123</f>
        <v>276.7</v>
      </c>
    </row>
    <row r="124" spans="1:10" ht="22.25">
      <c r="A124" s="17">
        <v>0</v>
      </c>
      <c r="B124" s="17" t="s">
        <v>517</v>
      </c>
      <c r="C124" s="204" t="s">
        <v>1857</v>
      </c>
      <c r="E124" s="204" t="s">
        <v>1858</v>
      </c>
      <c r="F124" s="17">
        <v>460</v>
      </c>
      <c r="H124" s="403">
        <f t="shared" si="30"/>
        <v>460</v>
      </c>
      <c r="I124" s="403">
        <f t="shared" si="34"/>
        <v>0</v>
      </c>
    </row>
    <row r="125" spans="1:10" ht="55.65">
      <c r="A125" s="17">
        <v>0</v>
      </c>
      <c r="B125" s="17" t="s">
        <v>517</v>
      </c>
      <c r="C125" s="204" t="s">
        <v>1859</v>
      </c>
      <c r="E125" s="204" t="s">
        <v>1860</v>
      </c>
      <c r="F125" s="17">
        <v>320</v>
      </c>
      <c r="H125" s="403">
        <f t="shared" si="30"/>
        <v>320</v>
      </c>
      <c r="I125" s="403">
        <f t="shared" si="34"/>
        <v>0</v>
      </c>
    </row>
    <row r="127" spans="1:10" ht="15.75">
      <c r="E127" s="439" t="s">
        <v>733</v>
      </c>
      <c r="I127" s="168">
        <f>SUM(I122:I126)</f>
        <v>276.7</v>
      </c>
    </row>
  </sheetData>
  <mergeCells count="6">
    <mergeCell ref="A122:E122"/>
    <mergeCell ref="B1:F1"/>
    <mergeCell ref="A2:G2"/>
    <mergeCell ref="J24:L24"/>
    <mergeCell ref="A101:E101"/>
    <mergeCell ref="A114:E114"/>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D1D75"/>
  </sheetPr>
  <dimension ref="A1:BL119"/>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7109375" style="17" customWidth="1"/>
    <col min="2" max="2" width="3.5703125" style="17" customWidth="1"/>
    <col min="3" max="3" width="10.140625" style="204"/>
    <col min="4" max="4" width="17.85546875" style="17" customWidth="1"/>
    <col min="5" max="5" width="39" style="17" customWidth="1"/>
    <col min="6" max="6" width="10.140625" style="17"/>
    <col min="7" max="7" width="10.140625" style="404"/>
    <col min="8" max="9" width="10.140625" style="17"/>
    <col min="10" max="10" width="30.85546875" style="17" customWidth="1"/>
    <col min="11" max="64" width="10.140625" style="17"/>
  </cols>
  <sheetData>
    <row r="1" spans="1:19" ht="15.75">
      <c r="B1" s="1053" t="s">
        <v>1872</v>
      </c>
      <c r="C1" s="1053"/>
      <c r="D1" s="1053"/>
      <c r="E1" s="1053"/>
      <c r="F1" s="1053"/>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07"/>
      <c r="B4" s="407"/>
      <c r="C4" s="487" t="s">
        <v>1792</v>
      </c>
      <c r="D4" s="423"/>
      <c r="E4" s="424" t="s">
        <v>1793</v>
      </c>
      <c r="F4" s="421"/>
      <c r="G4" s="410"/>
      <c r="H4" s="409"/>
      <c r="I4" s="409"/>
      <c r="J4" s="204"/>
      <c r="K4" s="403"/>
      <c r="L4" s="404"/>
      <c r="M4" s="437"/>
      <c r="N4" s="437"/>
      <c r="O4" s="437"/>
      <c r="P4" s="437"/>
      <c r="Q4" s="437"/>
      <c r="R4" s="437"/>
      <c r="S4" s="437"/>
    </row>
    <row r="5" spans="1:19" ht="22.25">
      <c r="A5" s="407">
        <v>1</v>
      </c>
      <c r="B5" s="407" t="s">
        <v>1794</v>
      </c>
      <c r="C5" s="408" t="s">
        <v>1795</v>
      </c>
      <c r="D5" s="407"/>
      <c r="E5" s="407" t="s">
        <v>1796</v>
      </c>
      <c r="F5" s="421">
        <v>1305</v>
      </c>
      <c r="G5" s="410">
        <f>1500/65808.85</f>
        <v>2.2793286921135986E-2</v>
      </c>
      <c r="H5" s="409">
        <f t="shared" ref="H5:H9" si="0">F5*(1-G5)</f>
        <v>1275.2547605679174</v>
      </c>
      <c r="I5" s="409">
        <f t="shared" ref="I5:I9" si="1">A5*H5</f>
        <v>1275.2547605679174</v>
      </c>
      <c r="J5" s="204" t="s">
        <v>1863</v>
      </c>
      <c r="M5" s="437"/>
      <c r="N5" s="437"/>
      <c r="O5" s="437"/>
      <c r="P5" s="418">
        <f t="shared" ref="P5:P6" si="2">I5</f>
        <v>1275.2547605679174</v>
      </c>
      <c r="Q5" s="437"/>
      <c r="R5" s="437"/>
      <c r="S5" s="437"/>
    </row>
    <row r="6" spans="1:19">
      <c r="A6" s="407">
        <v>1</v>
      </c>
      <c r="B6" s="407" t="s">
        <v>1794</v>
      </c>
      <c r="C6" s="408" t="s">
        <v>1795</v>
      </c>
      <c r="D6" s="407"/>
      <c r="E6" s="407" t="s">
        <v>1865</v>
      </c>
      <c r="F6" s="421">
        <v>1149</v>
      </c>
      <c r="G6" s="410">
        <f t="shared" ref="G6:G7" si="3">G5</f>
        <v>2.2793286921135986E-2</v>
      </c>
      <c r="H6" s="409">
        <f t="shared" si="0"/>
        <v>1122.8105133276147</v>
      </c>
      <c r="I6" s="409">
        <f t="shared" si="1"/>
        <v>1122.8105133276147</v>
      </c>
      <c r="J6" s="204"/>
      <c r="M6" s="437"/>
      <c r="N6" s="437"/>
      <c r="O6" s="437"/>
      <c r="P6" s="418">
        <f t="shared" si="2"/>
        <v>1122.8105133276147</v>
      </c>
      <c r="Q6" s="437"/>
      <c r="R6" s="437"/>
      <c r="S6" s="437"/>
    </row>
    <row r="7" spans="1:19" ht="22.25">
      <c r="A7" s="407">
        <v>9000</v>
      </c>
      <c r="B7" s="407" t="s">
        <v>494</v>
      </c>
      <c r="C7" s="408" t="s">
        <v>1795</v>
      </c>
      <c r="D7" s="407"/>
      <c r="E7" s="408" t="s">
        <v>1799</v>
      </c>
      <c r="F7" s="421">
        <v>0.58341299999999996</v>
      </c>
      <c r="G7" s="410">
        <f t="shared" si="3"/>
        <v>2.2793286921135986E-2</v>
      </c>
      <c r="H7" s="409">
        <f t="shared" si="0"/>
        <v>0.57011510009747923</v>
      </c>
      <c r="I7" s="409">
        <f t="shared" si="1"/>
        <v>5131.035900877313</v>
      </c>
      <c r="J7" s="204"/>
      <c r="M7" s="418">
        <f t="shared" ref="M7:M9" si="4">I7</f>
        <v>5131.035900877313</v>
      </c>
      <c r="N7" s="437"/>
      <c r="O7" s="437"/>
      <c r="P7" s="437"/>
      <c r="Q7" s="437"/>
      <c r="R7" s="437"/>
      <c r="S7" s="437"/>
    </row>
    <row r="8" spans="1:19">
      <c r="A8" s="407">
        <v>0</v>
      </c>
      <c r="B8" s="407" t="s">
        <v>494</v>
      </c>
      <c r="C8" s="408" t="s">
        <v>1795</v>
      </c>
      <c r="D8" s="407"/>
      <c r="E8" s="408" t="s">
        <v>1800</v>
      </c>
      <c r="F8" s="421">
        <v>0.67390000000000005</v>
      </c>
      <c r="G8" s="410">
        <f t="shared" ref="G8:G9" si="5">G6</f>
        <v>2.2793286921135986E-2</v>
      </c>
      <c r="H8" s="409">
        <f t="shared" si="0"/>
        <v>0.65853960394384647</v>
      </c>
      <c r="I8" s="409">
        <f t="shared" si="1"/>
        <v>0</v>
      </c>
      <c r="J8" s="204"/>
      <c r="M8" s="418">
        <f t="shared" si="4"/>
        <v>0</v>
      </c>
      <c r="N8" s="437"/>
      <c r="O8" s="437"/>
      <c r="P8" s="437"/>
      <c r="Q8" s="437"/>
      <c r="R8" s="437"/>
      <c r="S8" s="437"/>
    </row>
    <row r="9" spans="1:19">
      <c r="A9" s="407">
        <v>1</v>
      </c>
      <c r="B9" s="407" t="s">
        <v>1794</v>
      </c>
      <c r="C9" s="408" t="s">
        <v>1795</v>
      </c>
      <c r="D9" s="407"/>
      <c r="E9" s="407" t="s">
        <v>1801</v>
      </c>
      <c r="F9" s="421">
        <v>125</v>
      </c>
      <c r="G9" s="410">
        <f t="shared" si="5"/>
        <v>2.2793286921135986E-2</v>
      </c>
      <c r="H9" s="409">
        <f t="shared" si="0"/>
        <v>122.150839134858</v>
      </c>
      <c r="I9" s="409">
        <f t="shared" si="1"/>
        <v>122.150839134858</v>
      </c>
      <c r="J9" s="204"/>
      <c r="M9" s="418">
        <f t="shared" si="4"/>
        <v>122.150839134858</v>
      </c>
      <c r="N9" s="437"/>
      <c r="O9" s="437"/>
      <c r="P9" s="437"/>
      <c r="Q9" s="437"/>
      <c r="R9" s="437"/>
      <c r="S9" s="437"/>
    </row>
    <row r="10" spans="1:19">
      <c r="A10" s="407">
        <v>1</v>
      </c>
      <c r="B10" s="407" t="s">
        <v>1794</v>
      </c>
      <c r="C10" s="408" t="s">
        <v>1795</v>
      </c>
      <c r="D10" s="407"/>
      <c r="E10" s="408" t="s">
        <v>1571</v>
      </c>
      <c r="F10" s="421">
        <v>1763</v>
      </c>
      <c r="G10" s="410">
        <f>G9</f>
        <v>2.2793286921135986E-2</v>
      </c>
      <c r="H10" s="409">
        <f t="shared" ref="H10:H73" si="6">F10*(1-G10)</f>
        <v>1722.8154351580372</v>
      </c>
      <c r="I10" s="409">
        <f t="shared" ref="I10:I14" si="7">A10*H10</f>
        <v>1722.8154351580372</v>
      </c>
      <c r="J10" s="204" t="s">
        <v>1802</v>
      </c>
      <c r="M10" s="418">
        <f>I10</f>
        <v>1722.8154351580372</v>
      </c>
      <c r="N10" s="437"/>
      <c r="O10" s="437"/>
      <c r="P10" s="437"/>
      <c r="Q10" s="437"/>
      <c r="R10" s="437"/>
      <c r="S10" s="437"/>
    </row>
    <row r="11" spans="1:19">
      <c r="A11" s="407">
        <v>1</v>
      </c>
      <c r="B11" s="407" t="s">
        <v>1794</v>
      </c>
      <c r="C11" s="408" t="s">
        <v>1795</v>
      </c>
      <c r="D11" s="407"/>
      <c r="E11" s="408" t="s">
        <v>1572</v>
      </c>
      <c r="F11" s="421">
        <v>455</v>
      </c>
      <c r="G11" s="410">
        <f t="shared" ref="G11:G14" si="8">G10</f>
        <v>2.2793286921135986E-2</v>
      </c>
      <c r="H11" s="409">
        <f t="shared" si="6"/>
        <v>444.62905445088313</v>
      </c>
      <c r="I11" s="409">
        <f t="shared" si="7"/>
        <v>444.62905445088313</v>
      </c>
      <c r="J11" s="204"/>
      <c r="M11" s="437"/>
      <c r="N11" s="437"/>
      <c r="O11" s="437"/>
      <c r="P11" s="418">
        <f t="shared" ref="P11:P49" si="9">I11</f>
        <v>444.62905445088313</v>
      </c>
      <c r="Q11" s="437"/>
      <c r="R11" s="418"/>
      <c r="S11" s="437"/>
    </row>
    <row r="12" spans="1:19">
      <c r="A12" s="407">
        <v>1</v>
      </c>
      <c r="B12" s="407" t="s">
        <v>1794</v>
      </c>
      <c r="C12" s="408" t="s">
        <v>1795</v>
      </c>
      <c r="D12" s="407"/>
      <c r="E12" s="408" t="s">
        <v>591</v>
      </c>
      <c r="F12" s="421">
        <v>650</v>
      </c>
      <c r="G12" s="410">
        <f t="shared" si="8"/>
        <v>2.2793286921135986E-2</v>
      </c>
      <c r="H12" s="409">
        <f t="shared" si="6"/>
        <v>635.1843635012616</v>
      </c>
      <c r="I12" s="409">
        <f t="shared" si="7"/>
        <v>635.1843635012616</v>
      </c>
      <c r="J12" s="204"/>
      <c r="M12" s="437"/>
      <c r="N12" s="437"/>
      <c r="O12" s="418"/>
      <c r="P12" s="418">
        <f t="shared" si="9"/>
        <v>635.1843635012616</v>
      </c>
      <c r="Q12" s="418"/>
      <c r="R12" s="437"/>
      <c r="S12" s="437"/>
    </row>
    <row r="13" spans="1:19">
      <c r="A13" s="407">
        <v>1</v>
      </c>
      <c r="B13" s="407" t="s">
        <v>1794</v>
      </c>
      <c r="C13" s="408" t="s">
        <v>1795</v>
      </c>
      <c r="D13" s="407"/>
      <c r="E13" s="408" t="s">
        <v>1573</v>
      </c>
      <c r="F13" s="421">
        <v>260</v>
      </c>
      <c r="G13" s="410">
        <f t="shared" si="8"/>
        <v>2.2793286921135986E-2</v>
      </c>
      <c r="H13" s="409">
        <f t="shared" si="6"/>
        <v>254.07374540050463</v>
      </c>
      <c r="I13" s="409">
        <f t="shared" si="7"/>
        <v>254.07374540050463</v>
      </c>
      <c r="J13" s="204" t="s">
        <v>1803</v>
      </c>
      <c r="M13" s="418">
        <f>I13</f>
        <v>254.07374540050463</v>
      </c>
      <c r="N13" s="437"/>
      <c r="O13" s="418"/>
      <c r="P13" s="418"/>
      <c r="Q13" s="418"/>
      <c r="R13" s="437"/>
      <c r="S13" s="437"/>
    </row>
    <row r="14" spans="1:19" ht="22.25">
      <c r="A14" s="407">
        <v>1</v>
      </c>
      <c r="B14" s="407" t="s">
        <v>1794</v>
      </c>
      <c r="C14" s="408" t="s">
        <v>1795</v>
      </c>
      <c r="D14" s="407"/>
      <c r="E14" s="408" t="s">
        <v>1574</v>
      </c>
      <c r="F14" s="421">
        <v>340</v>
      </c>
      <c r="G14" s="410">
        <f t="shared" si="8"/>
        <v>2.2793286921135986E-2</v>
      </c>
      <c r="H14" s="409">
        <f t="shared" si="6"/>
        <v>332.25028244681374</v>
      </c>
      <c r="I14" s="409">
        <f t="shared" si="7"/>
        <v>332.25028244681374</v>
      </c>
      <c r="J14" s="204"/>
      <c r="M14" s="437"/>
      <c r="N14" s="437"/>
      <c r="O14" s="437"/>
      <c r="P14" s="418">
        <f t="shared" si="9"/>
        <v>332.25028244681374</v>
      </c>
      <c r="Q14" s="437"/>
      <c r="R14" s="418"/>
      <c r="S14" s="437"/>
    </row>
    <row r="15" spans="1:19">
      <c r="A15" s="407"/>
      <c r="B15" s="407"/>
      <c r="C15" s="408"/>
      <c r="D15" s="407"/>
      <c r="E15" s="408"/>
      <c r="F15" s="409" t="s">
        <v>1804</v>
      </c>
      <c r="G15" s="410"/>
      <c r="H15" s="409"/>
      <c r="I15" s="421">
        <f>SUM(I4:I14)</f>
        <v>11040.204894865203</v>
      </c>
      <c r="J15" s="204"/>
      <c r="M15" s="437"/>
      <c r="N15" s="437"/>
      <c r="O15" s="437"/>
      <c r="P15" s="437"/>
      <c r="Q15" s="437"/>
      <c r="R15" s="418"/>
      <c r="S15" s="437"/>
    </row>
    <row r="16" spans="1:19">
      <c r="A16" s="407"/>
      <c r="B16" s="407"/>
      <c r="C16" s="408"/>
      <c r="D16" s="407"/>
      <c r="E16" s="420" t="s">
        <v>1805</v>
      </c>
      <c r="F16" s="409"/>
      <c r="G16" s="410"/>
      <c r="H16" s="409"/>
      <c r="I16" s="409"/>
      <c r="J16" s="204"/>
      <c r="M16" s="437"/>
      <c r="N16" s="418"/>
      <c r="O16" s="437"/>
      <c r="P16" s="437"/>
      <c r="Q16" s="437"/>
      <c r="R16" s="437"/>
      <c r="S16" s="437"/>
    </row>
    <row r="17" spans="1:19">
      <c r="A17" s="407">
        <v>0</v>
      </c>
      <c r="B17" s="407" t="s">
        <v>505</v>
      </c>
      <c r="C17" s="408" t="s">
        <v>1795</v>
      </c>
      <c r="D17" s="407"/>
      <c r="E17" s="408" t="s">
        <v>1806</v>
      </c>
      <c r="F17" s="421">
        <v>1398</v>
      </c>
      <c r="G17" s="410">
        <f>G14</f>
        <v>2.2793286921135986E-2</v>
      </c>
      <c r="H17" s="409">
        <f t="shared" si="6"/>
        <v>1366.1349848842519</v>
      </c>
      <c r="I17" s="409">
        <f t="shared" ref="I17:I22" si="10">A17*H17</f>
        <v>0</v>
      </c>
      <c r="J17" s="204"/>
      <c r="M17" s="437"/>
      <c r="N17" s="418">
        <f t="shared" ref="N17:N21" si="11">I17</f>
        <v>0</v>
      </c>
      <c r="O17" s="437"/>
      <c r="P17" s="437"/>
      <c r="Q17" s="437"/>
      <c r="R17" s="437"/>
      <c r="S17" s="437"/>
    </row>
    <row r="18" spans="1:19" ht="21.6">
      <c r="A18" s="407">
        <v>1</v>
      </c>
      <c r="B18" s="407" t="s">
        <v>505</v>
      </c>
      <c r="C18" s="408" t="s">
        <v>1795</v>
      </c>
      <c r="D18" s="407"/>
      <c r="E18" s="489" t="s">
        <v>1807</v>
      </c>
      <c r="F18" s="421">
        <v>1498</v>
      </c>
      <c r="G18" s="410">
        <f t="shared" ref="G18:G22" si="12">G17</f>
        <v>2.2793286921135986E-2</v>
      </c>
      <c r="H18" s="409">
        <f t="shared" si="6"/>
        <v>1463.8556561921382</v>
      </c>
      <c r="I18" s="409">
        <f t="shared" si="10"/>
        <v>1463.8556561921382</v>
      </c>
      <c r="J18" s="204"/>
      <c r="M18" s="437"/>
      <c r="N18" s="418">
        <f t="shared" si="11"/>
        <v>1463.8556561921382</v>
      </c>
      <c r="O18" s="437"/>
      <c r="P18" s="437"/>
      <c r="Q18" s="437"/>
      <c r="R18" s="437"/>
      <c r="S18" s="437"/>
    </row>
    <row r="19" spans="1:19">
      <c r="A19" s="407">
        <v>0</v>
      </c>
      <c r="B19" s="407" t="s">
        <v>505</v>
      </c>
      <c r="C19" s="408" t="s">
        <v>1795</v>
      </c>
      <c r="D19" s="407"/>
      <c r="E19" s="408" t="s">
        <v>1808</v>
      </c>
      <c r="F19" s="421">
        <v>45</v>
      </c>
      <c r="G19" s="410">
        <f t="shared" si="12"/>
        <v>2.2793286921135986E-2</v>
      </c>
      <c r="H19" s="409">
        <f t="shared" si="6"/>
        <v>43.974302088548882</v>
      </c>
      <c r="I19" s="409">
        <f t="shared" si="10"/>
        <v>0</v>
      </c>
      <c r="J19" s="204"/>
      <c r="M19" s="437"/>
      <c r="N19" s="418">
        <f t="shared" si="11"/>
        <v>0</v>
      </c>
      <c r="O19" s="437"/>
      <c r="P19" s="437"/>
      <c r="Q19" s="437"/>
      <c r="R19" s="437"/>
      <c r="S19" s="437"/>
    </row>
    <row r="20" spans="1:19" ht="22.25">
      <c r="A20" s="407">
        <v>0</v>
      </c>
      <c r="B20" s="407" t="s">
        <v>1794</v>
      </c>
      <c r="C20" s="408" t="s">
        <v>1795</v>
      </c>
      <c r="D20" s="407"/>
      <c r="E20" s="408" t="s">
        <v>1809</v>
      </c>
      <c r="F20" s="421">
        <v>260</v>
      </c>
      <c r="G20" s="410">
        <f t="shared" si="12"/>
        <v>2.2793286921135986E-2</v>
      </c>
      <c r="H20" s="409">
        <f t="shared" si="6"/>
        <v>254.07374540050463</v>
      </c>
      <c r="I20" s="409">
        <f t="shared" si="10"/>
        <v>0</v>
      </c>
      <c r="J20" s="204"/>
      <c r="M20" s="437"/>
      <c r="N20" s="418">
        <f t="shared" si="11"/>
        <v>0</v>
      </c>
      <c r="O20" s="437"/>
      <c r="P20" s="418"/>
      <c r="Q20" s="437"/>
      <c r="R20" s="418"/>
      <c r="S20" s="437"/>
    </row>
    <row r="21" spans="1:19">
      <c r="A21" s="407">
        <v>1</v>
      </c>
      <c r="B21" s="407" t="s">
        <v>1794</v>
      </c>
      <c r="C21" s="408" t="s">
        <v>1795</v>
      </c>
      <c r="D21" s="407"/>
      <c r="E21" s="408" t="s">
        <v>1810</v>
      </c>
      <c r="F21" s="421">
        <v>130</v>
      </c>
      <c r="G21" s="410">
        <f t="shared" si="12"/>
        <v>2.2793286921135986E-2</v>
      </c>
      <c r="H21" s="409">
        <f t="shared" si="6"/>
        <v>127.03687270025232</v>
      </c>
      <c r="I21" s="409">
        <f t="shared" si="10"/>
        <v>127.03687270025232</v>
      </c>
      <c r="J21" s="204"/>
      <c r="M21" s="437"/>
      <c r="N21" s="418">
        <f t="shared" si="11"/>
        <v>127.03687270025232</v>
      </c>
      <c r="O21" s="437"/>
      <c r="P21" s="418"/>
      <c r="Q21" s="437"/>
      <c r="R21" s="418"/>
      <c r="S21" s="437"/>
    </row>
    <row r="22" spans="1:19" ht="22.25">
      <c r="A22" s="407">
        <v>1</v>
      </c>
      <c r="B22" s="407" t="s">
        <v>1794</v>
      </c>
      <c r="C22" s="408" t="s">
        <v>1795</v>
      </c>
      <c r="D22" s="407"/>
      <c r="E22" s="408" t="s">
        <v>1811</v>
      </c>
      <c r="F22" s="421">
        <v>447.5</v>
      </c>
      <c r="G22" s="410">
        <f t="shared" si="12"/>
        <v>2.2793286921135986E-2</v>
      </c>
      <c r="H22" s="409">
        <f t="shared" si="6"/>
        <v>437.3000041027916</v>
      </c>
      <c r="I22" s="409">
        <f t="shared" si="10"/>
        <v>437.3000041027916</v>
      </c>
      <c r="J22" s="1054"/>
      <c r="K22" s="1054"/>
      <c r="L22" s="1054"/>
      <c r="M22" s="437"/>
      <c r="N22" s="437"/>
      <c r="O22" s="418">
        <f>I22</f>
        <v>437.3000041027916</v>
      </c>
      <c r="P22" s="437"/>
      <c r="Q22" s="437"/>
      <c r="R22" s="418"/>
      <c r="S22" s="437"/>
    </row>
    <row r="23" spans="1:19">
      <c r="A23" s="407"/>
      <c r="B23" s="407"/>
      <c r="C23" s="408"/>
      <c r="D23" s="407"/>
      <c r="E23" s="408"/>
      <c r="F23" s="409" t="s">
        <v>1804</v>
      </c>
      <c r="G23" s="410"/>
      <c r="H23" s="409"/>
      <c r="I23" s="421">
        <f>SUM(I16:I22)</f>
        <v>2028.1925329951823</v>
      </c>
      <c r="J23" s="204"/>
      <c r="M23" s="437"/>
      <c r="N23" s="437"/>
      <c r="O23" s="437"/>
      <c r="P23" s="437"/>
      <c r="Q23" s="437"/>
      <c r="R23" s="418"/>
      <c r="S23" s="437"/>
    </row>
    <row r="24" spans="1:19">
      <c r="A24" s="407"/>
      <c r="B24" s="407"/>
      <c r="C24" s="408" t="s">
        <v>1795</v>
      </c>
      <c r="D24" s="407"/>
      <c r="E24" s="420" t="s">
        <v>1812</v>
      </c>
      <c r="F24" s="409"/>
      <c r="G24" s="410"/>
      <c r="H24" s="409"/>
      <c r="I24" s="409"/>
      <c r="J24" s="204"/>
      <c r="M24" s="437"/>
      <c r="N24" s="437"/>
      <c r="O24" s="418"/>
      <c r="P24" s="437"/>
      <c r="Q24" s="437"/>
      <c r="R24" s="418"/>
      <c r="S24" s="437"/>
    </row>
    <row r="25" spans="1:19">
      <c r="A25" s="407">
        <v>1</v>
      </c>
      <c r="B25" s="407" t="s">
        <v>505</v>
      </c>
      <c r="C25" s="408" t="s">
        <v>1795</v>
      </c>
      <c r="D25" s="407"/>
      <c r="E25" s="408" t="s">
        <v>1813</v>
      </c>
      <c r="F25" s="421">
        <v>149</v>
      </c>
      <c r="G25" s="410">
        <f>G22</f>
        <v>2.2793286921135986E-2</v>
      </c>
      <c r="H25" s="409">
        <f t="shared" si="6"/>
        <v>145.60380024875073</v>
      </c>
      <c r="I25" s="409">
        <f t="shared" ref="I25:I28" si="13">A25*H25</f>
        <v>145.60380024875073</v>
      </c>
      <c r="J25" s="204"/>
      <c r="M25" s="437"/>
      <c r="N25" s="437"/>
      <c r="O25" s="418"/>
      <c r="P25" s="437"/>
      <c r="Q25" s="437"/>
      <c r="R25" s="418">
        <f t="shared" ref="R25:R33" si="14">I25</f>
        <v>145.60380024875073</v>
      </c>
      <c r="S25" s="437"/>
    </row>
    <row r="26" spans="1:19">
      <c r="A26" s="407">
        <v>1</v>
      </c>
      <c r="B26" s="407" t="s">
        <v>505</v>
      </c>
      <c r="C26" s="408" t="s">
        <v>1795</v>
      </c>
      <c r="D26" s="407"/>
      <c r="E26" s="408" t="s">
        <v>1873</v>
      </c>
      <c r="F26" s="421">
        <v>500</v>
      </c>
      <c r="G26" s="410">
        <f t="shared" ref="G26:G27" si="15">G25</f>
        <v>2.2793286921135986E-2</v>
      </c>
      <c r="H26" s="409">
        <f t="shared" si="6"/>
        <v>488.60335653943201</v>
      </c>
      <c r="I26" s="409">
        <f t="shared" si="13"/>
        <v>488.60335653943201</v>
      </c>
      <c r="J26" s="204"/>
      <c r="M26" s="437"/>
      <c r="N26" s="437"/>
      <c r="O26" s="418"/>
      <c r="P26" s="437"/>
      <c r="Q26" s="437"/>
      <c r="R26" s="418">
        <f t="shared" si="14"/>
        <v>488.60335653943201</v>
      </c>
      <c r="S26" s="437"/>
    </row>
    <row r="27" spans="1:19" ht="22.25">
      <c r="A27" s="407">
        <v>1</v>
      </c>
      <c r="B27" s="407" t="s">
        <v>1794</v>
      </c>
      <c r="C27" s="408" t="s">
        <v>1795</v>
      </c>
      <c r="D27" s="407"/>
      <c r="E27" s="408" t="s">
        <v>1874</v>
      </c>
      <c r="F27" s="421">
        <v>325</v>
      </c>
      <c r="G27" s="410">
        <f t="shared" si="15"/>
        <v>2.2793286921135986E-2</v>
      </c>
      <c r="H27" s="409">
        <f t="shared" si="6"/>
        <v>317.5921817506308</v>
      </c>
      <c r="I27" s="409">
        <f t="shared" si="13"/>
        <v>317.5921817506308</v>
      </c>
      <c r="J27" s="204"/>
      <c r="M27" s="437"/>
      <c r="N27" s="437"/>
      <c r="O27" s="418"/>
      <c r="P27" s="418">
        <f t="shared" si="9"/>
        <v>317.5921817506308</v>
      </c>
      <c r="Q27" s="437"/>
      <c r="R27" s="418"/>
      <c r="S27" s="437"/>
    </row>
    <row r="28" spans="1:19">
      <c r="A28" s="407">
        <v>1</v>
      </c>
      <c r="B28" s="407" t="s">
        <v>1794</v>
      </c>
      <c r="C28" s="408" t="s">
        <v>1795</v>
      </c>
      <c r="D28" s="407"/>
      <c r="E28" s="408" t="s">
        <v>1816</v>
      </c>
      <c r="F28" s="409"/>
      <c r="G28" s="410"/>
      <c r="H28" s="409">
        <f t="shared" si="6"/>
        <v>0</v>
      </c>
      <c r="I28" s="409">
        <f t="shared" si="13"/>
        <v>0</v>
      </c>
      <c r="J28" s="204"/>
      <c r="M28" s="437"/>
      <c r="N28" s="437"/>
      <c r="O28" s="418"/>
      <c r="P28" s="437"/>
      <c r="Q28" s="437"/>
      <c r="R28" s="418"/>
      <c r="S28" s="437"/>
    </row>
    <row r="29" spans="1:19">
      <c r="A29" s="407"/>
      <c r="B29" s="407"/>
      <c r="C29" s="408"/>
      <c r="D29" s="407"/>
      <c r="E29" s="408"/>
      <c r="F29" s="409" t="s">
        <v>1804</v>
      </c>
      <c r="G29" s="410"/>
      <c r="H29" s="409"/>
      <c r="I29" s="421">
        <f>SUM(I25:I28)</f>
        <v>951.79933853881357</v>
      </c>
      <c r="J29" s="204"/>
      <c r="M29" s="437"/>
      <c r="N29" s="437"/>
      <c r="O29" s="418"/>
      <c r="P29" s="437"/>
      <c r="Q29" s="437"/>
      <c r="R29" s="418"/>
      <c r="S29" s="437"/>
    </row>
    <row r="30" spans="1:19">
      <c r="A30" s="407"/>
      <c r="B30" s="407"/>
      <c r="C30" s="408" t="s">
        <v>1795</v>
      </c>
      <c r="D30" s="407"/>
      <c r="E30" s="420" t="s">
        <v>1817</v>
      </c>
      <c r="F30" s="409"/>
      <c r="G30" s="410"/>
      <c r="H30" s="409"/>
      <c r="I30" s="409"/>
      <c r="J30" s="204"/>
      <c r="M30" s="437"/>
      <c r="N30" s="437"/>
      <c r="O30" s="418"/>
      <c r="P30" s="437"/>
      <c r="Q30" s="437"/>
      <c r="R30" s="418"/>
      <c r="S30" s="437"/>
    </row>
    <row r="31" spans="1:19">
      <c r="A31" s="407">
        <v>1</v>
      </c>
      <c r="B31" s="407" t="s">
        <v>1818</v>
      </c>
      <c r="C31" s="408" t="s">
        <v>1795</v>
      </c>
      <c r="D31" s="407"/>
      <c r="E31" s="408" t="s">
        <v>1819</v>
      </c>
      <c r="F31" s="421">
        <v>239.82</v>
      </c>
      <c r="G31" s="410">
        <f>G27</f>
        <v>2.2793286921135986E-2</v>
      </c>
      <c r="H31" s="409">
        <f t="shared" si="6"/>
        <v>234.35371393057315</v>
      </c>
      <c r="I31" s="409">
        <f t="shared" ref="I31:I36" si="16">A31*H31</f>
        <v>234.35371393057315</v>
      </c>
      <c r="J31" s="204"/>
      <c r="M31" s="437"/>
      <c r="N31" s="437"/>
      <c r="O31" s="418">
        <f t="shared" ref="O31:O36" si="17">I31</f>
        <v>234.35371393057315</v>
      </c>
      <c r="P31" s="437"/>
      <c r="Q31" s="437"/>
      <c r="R31" s="418"/>
      <c r="S31" s="437"/>
    </row>
    <row r="32" spans="1:19">
      <c r="A32" s="407">
        <v>1</v>
      </c>
      <c r="B32" s="407" t="s">
        <v>1818</v>
      </c>
      <c r="C32" s="408" t="s">
        <v>1795</v>
      </c>
      <c r="D32" s="407"/>
      <c r="E32" s="408" t="s">
        <v>1820</v>
      </c>
      <c r="F32" s="421">
        <v>118.72</v>
      </c>
      <c r="G32" s="410">
        <f t="shared" ref="G32:G36" si="18">G31</f>
        <v>2.2793286921135986E-2</v>
      </c>
      <c r="H32" s="409">
        <f t="shared" si="6"/>
        <v>116.01398097672273</v>
      </c>
      <c r="I32" s="409">
        <f t="shared" si="16"/>
        <v>116.01398097672273</v>
      </c>
      <c r="J32" s="204"/>
      <c r="M32" s="437"/>
      <c r="N32" s="437"/>
      <c r="O32" s="418">
        <f t="shared" si="17"/>
        <v>116.01398097672273</v>
      </c>
      <c r="P32" s="437"/>
      <c r="Q32" s="437"/>
      <c r="R32" s="418"/>
      <c r="S32" s="437"/>
    </row>
    <row r="33" spans="1:19" ht="22.25">
      <c r="A33" s="407">
        <v>30</v>
      </c>
      <c r="B33" s="407" t="s">
        <v>1551</v>
      </c>
      <c r="C33" s="408" t="s">
        <v>1795</v>
      </c>
      <c r="D33" s="407"/>
      <c r="E33" s="408" t="s">
        <v>1821</v>
      </c>
      <c r="F33" s="421">
        <v>28.5</v>
      </c>
      <c r="G33" s="410">
        <f t="shared" si="18"/>
        <v>2.2793286921135986E-2</v>
      </c>
      <c r="H33" s="409">
        <f t="shared" si="6"/>
        <v>27.850391322747623</v>
      </c>
      <c r="I33" s="409">
        <f t="shared" si="16"/>
        <v>835.5117396824287</v>
      </c>
      <c r="J33" s="204"/>
      <c r="M33" s="437"/>
      <c r="N33" s="437"/>
      <c r="O33" s="418"/>
      <c r="P33" s="418"/>
      <c r="Q33" s="418"/>
      <c r="R33" s="418">
        <f t="shared" si="14"/>
        <v>835.5117396824287</v>
      </c>
      <c r="S33" s="437"/>
    </row>
    <row r="34" spans="1:19">
      <c r="A34" s="407">
        <v>32</v>
      </c>
      <c r="B34" s="407" t="s">
        <v>1551</v>
      </c>
      <c r="C34" s="408" t="s">
        <v>1795</v>
      </c>
      <c r="D34" s="407"/>
      <c r="E34" s="408" t="s">
        <v>1822</v>
      </c>
      <c r="F34" s="421">
        <v>2.03125</v>
      </c>
      <c r="G34" s="410">
        <f t="shared" si="18"/>
        <v>2.2793286921135986E-2</v>
      </c>
      <c r="H34" s="409">
        <f t="shared" si="6"/>
        <v>1.9849511359414425</v>
      </c>
      <c r="I34" s="409">
        <f t="shared" si="16"/>
        <v>63.518436350126159</v>
      </c>
      <c r="J34" s="204"/>
      <c r="M34" s="437"/>
      <c r="N34" s="437"/>
      <c r="O34" s="418"/>
      <c r="P34" s="418">
        <f t="shared" si="9"/>
        <v>63.518436350126159</v>
      </c>
      <c r="Q34" s="437"/>
      <c r="R34" s="418"/>
      <c r="S34" s="437"/>
    </row>
    <row r="35" spans="1:19">
      <c r="A35" s="407">
        <v>1</v>
      </c>
      <c r="B35" s="407" t="s">
        <v>505</v>
      </c>
      <c r="C35" s="408" t="s">
        <v>1795</v>
      </c>
      <c r="D35" s="407"/>
      <c r="E35" s="408" t="s">
        <v>1823</v>
      </c>
      <c r="F35" s="421">
        <v>160.69999999999999</v>
      </c>
      <c r="G35" s="410">
        <f t="shared" si="18"/>
        <v>2.2793286921135986E-2</v>
      </c>
      <c r="H35" s="409">
        <f t="shared" si="6"/>
        <v>157.03711879177342</v>
      </c>
      <c r="I35" s="409">
        <f t="shared" si="16"/>
        <v>157.03711879177342</v>
      </c>
      <c r="J35" s="204"/>
      <c r="M35" s="437"/>
      <c r="N35" s="437"/>
      <c r="O35" s="418">
        <f t="shared" si="17"/>
        <v>157.03711879177342</v>
      </c>
      <c r="P35" s="437"/>
      <c r="Q35" s="437"/>
      <c r="R35" s="418"/>
      <c r="S35" s="437"/>
    </row>
    <row r="36" spans="1:19">
      <c r="A36" s="407">
        <v>30</v>
      </c>
      <c r="B36" s="407" t="s">
        <v>505</v>
      </c>
      <c r="C36" s="408" t="s">
        <v>1795</v>
      </c>
      <c r="D36" s="407"/>
      <c r="E36" s="408" t="s">
        <v>1824</v>
      </c>
      <c r="F36" s="421">
        <v>8.6667000000000005</v>
      </c>
      <c r="G36" s="410">
        <f t="shared" si="18"/>
        <v>2.2793286921135986E-2</v>
      </c>
      <c r="H36" s="409">
        <f t="shared" si="6"/>
        <v>8.4691574202405917</v>
      </c>
      <c r="I36" s="409">
        <f t="shared" si="16"/>
        <v>254.07472260721775</v>
      </c>
      <c r="J36" s="204"/>
      <c r="M36" s="437"/>
      <c r="N36" s="437"/>
      <c r="O36" s="418">
        <f t="shared" si="17"/>
        <v>254.07472260721775</v>
      </c>
      <c r="P36" s="437"/>
      <c r="Q36" s="437"/>
      <c r="R36" s="418"/>
      <c r="S36" s="437"/>
    </row>
    <row r="37" spans="1:19">
      <c r="A37" s="407"/>
      <c r="B37" s="407"/>
      <c r="C37" s="408"/>
      <c r="D37" s="407"/>
      <c r="E37" s="408"/>
      <c r="F37" s="409" t="s">
        <v>1804</v>
      </c>
      <c r="G37" s="410"/>
      <c r="H37" s="409"/>
      <c r="I37" s="421">
        <f>SUM(I31:I36)</f>
        <v>1660.5097123388421</v>
      </c>
      <c r="J37" s="204"/>
      <c r="M37" s="437"/>
      <c r="N37" s="437"/>
      <c r="O37" s="418"/>
      <c r="P37" s="437"/>
      <c r="Q37" s="437"/>
      <c r="R37" s="418"/>
      <c r="S37" s="437"/>
    </row>
    <row r="38" spans="1:19">
      <c r="A38" s="407"/>
      <c r="B38" s="407"/>
      <c r="C38" s="408"/>
      <c r="D38" s="407"/>
      <c r="E38" s="420" t="s">
        <v>1825</v>
      </c>
      <c r="F38" s="409"/>
      <c r="G38" s="410"/>
      <c r="H38" s="409"/>
      <c r="I38" s="409"/>
      <c r="J38" s="204"/>
      <c r="M38" s="437"/>
      <c r="N38" s="437"/>
      <c r="O38" s="418"/>
      <c r="P38" s="437"/>
      <c r="Q38" s="437"/>
      <c r="R38" s="418"/>
      <c r="S38" s="437"/>
    </row>
    <row r="39" spans="1:19" ht="22.25">
      <c r="A39" s="407">
        <v>1</v>
      </c>
      <c r="B39" s="407" t="s">
        <v>1794</v>
      </c>
      <c r="C39" s="408" t="s">
        <v>1795</v>
      </c>
      <c r="D39" s="407"/>
      <c r="E39" s="408" t="s">
        <v>1826</v>
      </c>
      <c r="F39" s="421">
        <v>170</v>
      </c>
      <c r="G39" s="410">
        <f>G36</f>
        <v>2.2793286921135986E-2</v>
      </c>
      <c r="H39" s="409">
        <f t="shared" si="6"/>
        <v>166.12514122340687</v>
      </c>
      <c r="I39" s="409">
        <f>A39*H39</f>
        <v>166.12514122340687</v>
      </c>
      <c r="J39" s="204"/>
      <c r="M39" s="437"/>
      <c r="N39" s="437"/>
      <c r="O39" s="418"/>
      <c r="P39" s="418">
        <f t="shared" si="9"/>
        <v>166.12514122340687</v>
      </c>
      <c r="Q39" s="437"/>
      <c r="R39" s="418"/>
      <c r="S39" s="437"/>
    </row>
    <row r="40" spans="1:19">
      <c r="A40" s="407"/>
      <c r="B40" s="407"/>
      <c r="C40" s="408"/>
      <c r="D40" s="407"/>
      <c r="E40" s="408"/>
      <c r="F40" s="409" t="s">
        <v>1804</v>
      </c>
      <c r="G40" s="410"/>
      <c r="H40" s="409"/>
      <c r="I40" s="421">
        <f>I39</f>
        <v>166.12514122340687</v>
      </c>
      <c r="J40" s="204"/>
      <c r="M40" s="437"/>
      <c r="N40" s="437"/>
      <c r="O40" s="418"/>
      <c r="P40" s="437"/>
      <c r="Q40" s="437"/>
      <c r="R40" s="418"/>
      <c r="S40" s="437"/>
    </row>
    <row r="41" spans="1:19">
      <c r="A41" s="407"/>
      <c r="B41" s="407"/>
      <c r="C41" s="408"/>
      <c r="D41" s="407"/>
      <c r="E41" s="420" t="s">
        <v>1827</v>
      </c>
      <c r="F41" s="409"/>
      <c r="G41" s="410"/>
      <c r="H41" s="409"/>
      <c r="I41" s="409"/>
      <c r="J41" s="204"/>
      <c r="M41" s="437"/>
      <c r="N41" s="437"/>
      <c r="O41" s="418"/>
      <c r="P41" s="437"/>
      <c r="Q41" s="437"/>
      <c r="R41" s="418"/>
      <c r="S41" s="437"/>
    </row>
    <row r="42" spans="1:19">
      <c r="A42" s="407">
        <v>1</v>
      </c>
      <c r="B42" s="407" t="s">
        <v>1794</v>
      </c>
      <c r="C42" s="408" t="s">
        <v>1795</v>
      </c>
      <c r="D42" s="407"/>
      <c r="E42" s="408" t="s">
        <v>1828</v>
      </c>
      <c r="F42" s="421">
        <v>130</v>
      </c>
      <c r="G42" s="410">
        <f>G39</f>
        <v>2.2793286921135986E-2</v>
      </c>
      <c r="H42" s="409">
        <f t="shared" si="6"/>
        <v>127.03687270025232</v>
      </c>
      <c r="I42" s="409">
        <f t="shared" ref="I42:I44" si="19">A42*H42</f>
        <v>127.03687270025232</v>
      </c>
      <c r="J42" s="204"/>
      <c r="M42" s="418">
        <f t="shared" ref="M42:M44" si="20">I42</f>
        <v>127.03687270025232</v>
      </c>
      <c r="N42" s="437"/>
      <c r="O42" s="418"/>
      <c r="P42" s="437"/>
      <c r="Q42" s="437"/>
      <c r="R42" s="418"/>
      <c r="S42" s="437"/>
    </row>
    <row r="43" spans="1:19" ht="22.25">
      <c r="A43" s="407">
        <v>30</v>
      </c>
      <c r="B43" s="407" t="s">
        <v>517</v>
      </c>
      <c r="C43" s="408" t="s">
        <v>1795</v>
      </c>
      <c r="D43" s="407"/>
      <c r="E43" s="408" t="s">
        <v>1829</v>
      </c>
      <c r="F43" s="421">
        <v>18</v>
      </c>
      <c r="G43" s="410">
        <f t="shared" ref="G43:G44" si="21">G42</f>
        <v>2.2793286921135986E-2</v>
      </c>
      <c r="H43" s="409">
        <f t="shared" si="6"/>
        <v>17.589720835419552</v>
      </c>
      <c r="I43" s="409">
        <f t="shared" si="19"/>
        <v>527.69162506258658</v>
      </c>
      <c r="J43" s="204"/>
      <c r="M43" s="418">
        <f t="shared" si="20"/>
        <v>527.69162506258658</v>
      </c>
      <c r="N43" s="437"/>
      <c r="O43" s="418"/>
      <c r="P43" s="437"/>
      <c r="Q43" s="437"/>
      <c r="R43" s="418"/>
      <c r="S43" s="437"/>
    </row>
    <row r="44" spans="1:19">
      <c r="A44" s="407">
        <v>1</v>
      </c>
      <c r="B44" s="407" t="s">
        <v>505</v>
      </c>
      <c r="C44" s="408" t="s">
        <v>1795</v>
      </c>
      <c r="D44" s="407"/>
      <c r="E44" s="408" t="s">
        <v>1830</v>
      </c>
      <c r="F44" s="421">
        <v>392.54</v>
      </c>
      <c r="G44" s="410">
        <f t="shared" si="21"/>
        <v>2.2793286921135986E-2</v>
      </c>
      <c r="H44" s="409">
        <f t="shared" si="6"/>
        <v>383.59272315197728</v>
      </c>
      <c r="I44" s="409">
        <f t="shared" si="19"/>
        <v>383.59272315197728</v>
      </c>
      <c r="J44" s="204"/>
      <c r="M44" s="418">
        <f t="shared" si="20"/>
        <v>383.59272315197728</v>
      </c>
      <c r="N44" s="437"/>
      <c r="O44" s="418"/>
      <c r="P44" s="437"/>
      <c r="Q44" s="437"/>
      <c r="R44" s="418"/>
      <c r="S44" s="437"/>
    </row>
    <row r="45" spans="1:19">
      <c r="A45" s="407"/>
      <c r="B45" s="407"/>
      <c r="C45" s="408"/>
      <c r="D45" s="407"/>
      <c r="E45" s="408"/>
      <c r="F45" s="409" t="s">
        <v>1804</v>
      </c>
      <c r="G45" s="410"/>
      <c r="H45" s="409"/>
      <c r="I45" s="421">
        <f>SUM(I42:I44)</f>
        <v>1038.3212209148162</v>
      </c>
      <c r="J45" s="204"/>
      <c r="M45" s="437"/>
      <c r="N45" s="437"/>
      <c r="O45" s="418"/>
      <c r="P45" s="437"/>
      <c r="Q45" s="437"/>
      <c r="R45" s="418"/>
      <c r="S45" s="437"/>
    </row>
    <row r="46" spans="1:19">
      <c r="A46" s="407"/>
      <c r="B46" s="407"/>
      <c r="C46" s="408"/>
      <c r="D46" s="407"/>
      <c r="E46" s="420" t="s">
        <v>1816</v>
      </c>
      <c r="F46" s="409"/>
      <c r="G46" s="410"/>
      <c r="H46" s="409"/>
      <c r="I46" s="409"/>
      <c r="J46" s="204"/>
      <c r="M46" s="437"/>
      <c r="N46" s="437"/>
      <c r="O46" s="418"/>
      <c r="P46" s="437"/>
      <c r="Q46" s="437"/>
      <c r="R46" s="418"/>
      <c r="S46" s="437"/>
    </row>
    <row r="47" spans="1:19">
      <c r="A47" s="407">
        <v>1</v>
      </c>
      <c r="B47" s="407" t="s">
        <v>1794</v>
      </c>
      <c r="C47" s="408" t="s">
        <v>1795</v>
      </c>
      <c r="D47" s="407"/>
      <c r="E47" s="408" t="s">
        <v>1831</v>
      </c>
      <c r="F47" s="409"/>
      <c r="G47" s="410">
        <f>G44</f>
        <v>2.2793286921135986E-2</v>
      </c>
      <c r="H47" s="409">
        <f t="shared" si="6"/>
        <v>0</v>
      </c>
      <c r="I47" s="409">
        <f t="shared" ref="I47:I49" si="22">A47*H47</f>
        <v>0</v>
      </c>
      <c r="J47" s="204"/>
      <c r="M47" s="437"/>
      <c r="N47" s="437"/>
      <c r="O47" s="418"/>
      <c r="P47" s="437"/>
      <c r="Q47" s="437"/>
      <c r="R47" s="418"/>
      <c r="S47" s="437"/>
    </row>
    <row r="48" spans="1:19">
      <c r="A48" s="407">
        <v>1</v>
      </c>
      <c r="B48" s="407" t="s">
        <v>505</v>
      </c>
      <c r="C48" s="408" t="s">
        <v>1795</v>
      </c>
      <c r="D48" s="407"/>
      <c r="E48" s="408" t="s">
        <v>1832</v>
      </c>
      <c r="F48" s="409"/>
      <c r="G48" s="410">
        <f t="shared" ref="G48:G49" si="23">G47</f>
        <v>2.2793286921135986E-2</v>
      </c>
      <c r="H48" s="409">
        <f t="shared" si="6"/>
        <v>0</v>
      </c>
      <c r="I48" s="409">
        <f t="shared" si="22"/>
        <v>0</v>
      </c>
      <c r="J48" s="204"/>
      <c r="M48" s="437"/>
      <c r="N48" s="437"/>
      <c r="O48" s="418"/>
      <c r="P48" s="437"/>
      <c r="Q48" s="437"/>
      <c r="R48" s="418"/>
      <c r="S48" s="437"/>
    </row>
    <row r="49" spans="1:19" ht="22.25">
      <c r="A49" s="407">
        <v>1</v>
      </c>
      <c r="B49" s="407" t="s">
        <v>1794</v>
      </c>
      <c r="C49" s="408" t="s">
        <v>1795</v>
      </c>
      <c r="D49" s="407"/>
      <c r="E49" s="408" t="s">
        <v>1833</v>
      </c>
      <c r="F49" s="421">
        <v>130</v>
      </c>
      <c r="G49" s="410">
        <f t="shared" si="23"/>
        <v>2.2793286921135986E-2</v>
      </c>
      <c r="H49" s="409">
        <f t="shared" si="6"/>
        <v>127.03687270025232</v>
      </c>
      <c r="I49" s="409">
        <f t="shared" si="22"/>
        <v>127.03687270025232</v>
      </c>
      <c r="J49" s="204"/>
      <c r="M49" s="437"/>
      <c r="N49" s="437"/>
      <c r="O49" s="418"/>
      <c r="P49" s="418">
        <f t="shared" si="9"/>
        <v>127.03687270025232</v>
      </c>
      <c r="Q49" s="437"/>
      <c r="R49" s="418"/>
      <c r="S49" s="437"/>
    </row>
    <row r="50" spans="1:19">
      <c r="A50" s="407"/>
      <c r="B50" s="407"/>
      <c r="C50" s="408"/>
      <c r="D50" s="407"/>
      <c r="E50" s="408"/>
      <c r="F50" s="409" t="s">
        <v>1804</v>
      </c>
      <c r="G50" s="410"/>
      <c r="H50" s="409"/>
      <c r="I50" s="421">
        <f>SUM(I47:I49)</f>
        <v>127.03687270025232</v>
      </c>
      <c r="J50" s="204"/>
      <c r="M50" s="437"/>
      <c r="N50" s="437"/>
      <c r="O50" s="418"/>
      <c r="P50" s="437"/>
      <c r="Q50" s="437"/>
      <c r="R50" s="418"/>
      <c r="S50" s="437"/>
    </row>
    <row r="51" spans="1:19">
      <c r="A51" s="407"/>
      <c r="B51" s="407"/>
      <c r="C51" s="408"/>
      <c r="D51" s="407"/>
      <c r="E51" s="408"/>
      <c r="F51" s="409" t="s">
        <v>1834</v>
      </c>
      <c r="G51" s="410"/>
      <c r="H51" s="409"/>
      <c r="I51" s="421">
        <f>I15+I23+I29+I37+I40+I45+I50</f>
        <v>17012.189713576518</v>
      </c>
      <c r="J51" s="204"/>
      <c r="M51" s="437"/>
      <c r="N51" s="437"/>
      <c r="O51" s="418"/>
      <c r="P51" s="437"/>
      <c r="Q51" s="437"/>
      <c r="R51" s="418"/>
      <c r="S51" s="437"/>
    </row>
    <row r="52" spans="1:19">
      <c r="A52" s="407"/>
      <c r="B52" s="407"/>
      <c r="C52" s="408"/>
      <c r="D52" s="407"/>
      <c r="E52" s="407"/>
      <c r="F52" s="409"/>
      <c r="G52" s="410"/>
      <c r="H52" s="409"/>
      <c r="I52" s="409"/>
      <c r="J52" s="204"/>
      <c r="M52" s="418"/>
      <c r="N52" s="437"/>
      <c r="O52" s="437"/>
      <c r="P52" s="437"/>
      <c r="Q52" s="437"/>
      <c r="R52" s="437"/>
      <c r="S52" s="437"/>
    </row>
    <row r="53" spans="1:19">
      <c r="A53" s="407">
        <v>1</v>
      </c>
      <c r="B53" s="407" t="s">
        <v>517</v>
      </c>
      <c r="C53" s="408" t="s">
        <v>574</v>
      </c>
      <c r="D53" s="407" t="s">
        <v>1006</v>
      </c>
      <c r="E53" s="407" t="s">
        <v>1005</v>
      </c>
      <c r="F53" s="409">
        <v>365</v>
      </c>
      <c r="G53" s="410">
        <v>0.02</v>
      </c>
      <c r="H53" s="409">
        <f t="shared" si="6"/>
        <v>357.7</v>
      </c>
      <c r="I53" s="409">
        <f t="shared" ref="I53:I56" si="24">A53*H53</f>
        <v>357.7</v>
      </c>
      <c r="J53" s="204"/>
      <c r="M53" s="418"/>
      <c r="N53" s="437"/>
      <c r="O53" s="437"/>
      <c r="P53" s="437"/>
      <c r="Q53" s="437"/>
      <c r="R53" s="437"/>
      <c r="S53" s="418">
        <f t="shared" ref="S53:S56" si="25">I53</f>
        <v>357.7</v>
      </c>
    </row>
    <row r="54" spans="1:19">
      <c r="A54" s="407">
        <v>0</v>
      </c>
      <c r="B54" s="407" t="s">
        <v>517</v>
      </c>
      <c r="C54" s="408" t="s">
        <v>574</v>
      </c>
      <c r="D54" s="407"/>
      <c r="E54" s="407" t="s">
        <v>576</v>
      </c>
      <c r="F54" s="409"/>
      <c r="G54" s="410"/>
      <c r="H54" s="409">
        <f t="shared" si="6"/>
        <v>0</v>
      </c>
      <c r="I54" s="409">
        <f t="shared" si="24"/>
        <v>0</v>
      </c>
      <c r="J54" s="204"/>
      <c r="M54" s="418"/>
      <c r="N54" s="437"/>
      <c r="O54" s="437"/>
      <c r="P54" s="437"/>
      <c r="Q54" s="437"/>
      <c r="R54" s="437"/>
      <c r="S54" s="418">
        <f t="shared" si="25"/>
        <v>0</v>
      </c>
    </row>
    <row r="55" spans="1:19">
      <c r="A55" s="407">
        <v>1</v>
      </c>
      <c r="B55" s="407" t="s">
        <v>517</v>
      </c>
      <c r="C55" s="408" t="s">
        <v>574</v>
      </c>
      <c r="D55" s="407" t="s">
        <v>1835</v>
      </c>
      <c r="E55" s="407" t="s">
        <v>1836</v>
      </c>
      <c r="F55" s="409">
        <v>200</v>
      </c>
      <c r="G55" s="410">
        <v>0.02</v>
      </c>
      <c r="H55" s="409">
        <f t="shared" si="6"/>
        <v>196</v>
      </c>
      <c r="I55" s="409">
        <f t="shared" si="24"/>
        <v>196</v>
      </c>
      <c r="J55" s="204"/>
      <c r="M55" s="418"/>
      <c r="N55" s="437"/>
      <c r="O55" s="437"/>
      <c r="P55" s="437"/>
      <c r="Q55" s="437"/>
      <c r="R55" s="437"/>
      <c r="S55" s="418">
        <f t="shared" si="25"/>
        <v>196</v>
      </c>
    </row>
    <row r="56" spans="1:19">
      <c r="A56" s="407">
        <v>1</v>
      </c>
      <c r="B56" s="407" t="s">
        <v>517</v>
      </c>
      <c r="C56" s="408" t="s">
        <v>574</v>
      </c>
      <c r="D56" s="407"/>
      <c r="E56" s="407" t="s">
        <v>1837</v>
      </c>
      <c r="F56" s="409">
        <f>35/4</f>
        <v>8.75</v>
      </c>
      <c r="G56" s="410">
        <v>0.02</v>
      </c>
      <c r="H56" s="409">
        <f t="shared" si="6"/>
        <v>8.5749999999999993</v>
      </c>
      <c r="I56" s="409">
        <f t="shared" si="24"/>
        <v>8.5749999999999993</v>
      </c>
      <c r="J56" s="204"/>
      <c r="M56" s="418"/>
      <c r="N56" s="437"/>
      <c r="O56" s="437"/>
      <c r="P56" s="437"/>
      <c r="Q56" s="437"/>
      <c r="R56" s="437"/>
      <c r="S56" s="418">
        <f t="shared" si="25"/>
        <v>8.5749999999999993</v>
      </c>
    </row>
    <row r="57" spans="1:19" ht="12.45">
      <c r="A57" s="407"/>
      <c r="B57" s="407"/>
      <c r="C57" s="408"/>
      <c r="D57" s="407"/>
      <c r="E57" s="431"/>
      <c r="F57" s="409" t="s">
        <v>1804</v>
      </c>
      <c r="G57" s="410"/>
      <c r="H57" s="409"/>
      <c r="I57" s="421">
        <f>SUM(I53:I56)</f>
        <v>562.27500000000009</v>
      </c>
      <c r="J57" s="204"/>
      <c r="M57" s="418"/>
      <c r="N57" s="437"/>
      <c r="O57" s="437"/>
      <c r="P57" s="437"/>
      <c r="Q57" s="437"/>
      <c r="R57" s="437"/>
      <c r="S57" s="437"/>
    </row>
    <row r="58" spans="1:19">
      <c r="A58" s="407"/>
      <c r="B58" s="407"/>
      <c r="C58" s="408"/>
      <c r="D58" s="407"/>
      <c r="E58" s="407"/>
      <c r="F58" s="409"/>
      <c r="G58" s="410"/>
      <c r="H58" s="409"/>
      <c r="I58" s="409"/>
      <c r="J58" s="204"/>
      <c r="M58" s="437"/>
      <c r="N58" s="437"/>
      <c r="O58" s="437"/>
      <c r="P58" s="437"/>
      <c r="Q58" s="437"/>
      <c r="R58" s="437"/>
      <c r="S58" s="437"/>
    </row>
    <row r="59" spans="1:19">
      <c r="A59" s="407"/>
      <c r="B59" s="407"/>
      <c r="C59" s="408"/>
      <c r="D59" s="407"/>
      <c r="E59" s="432" t="s">
        <v>580</v>
      </c>
      <c r="F59" s="409"/>
      <c r="G59" s="410"/>
      <c r="H59" s="409"/>
      <c r="I59" s="421">
        <f>I51+I57</f>
        <v>17574.464713576519</v>
      </c>
      <c r="J59" s="204"/>
      <c r="M59" s="418">
        <f>SUM(M4:M57)</f>
        <v>8268.3971414855296</v>
      </c>
      <c r="N59" s="418">
        <f>SUM(N4:N57)</f>
        <v>1590.8925288923906</v>
      </c>
      <c r="O59" s="418">
        <f>SUM(O4:O57)</f>
        <v>1198.7795404090787</v>
      </c>
      <c r="P59" s="418">
        <f>SUM(P4:P57)</f>
        <v>4484.4016063189065</v>
      </c>
      <c r="Q59" s="418"/>
      <c r="R59" s="418">
        <f>SUM(R4:R57)</f>
        <v>1469.7188964706115</v>
      </c>
      <c r="S59" s="437"/>
    </row>
    <row r="60" spans="1:19">
      <c r="A60" s="407"/>
      <c r="B60" s="407"/>
      <c r="C60" s="408"/>
      <c r="D60" s="407"/>
      <c r="E60" s="413" t="s">
        <v>581</v>
      </c>
      <c r="F60" s="409"/>
      <c r="G60" s="410">
        <v>0</v>
      </c>
      <c r="H60" s="409"/>
      <c r="I60" s="421"/>
      <c r="J60" s="204"/>
      <c r="M60" s="418"/>
      <c r="N60" s="418"/>
      <c r="O60" s="418"/>
      <c r="P60" s="418"/>
      <c r="Q60" s="418"/>
      <c r="R60" s="418"/>
      <c r="S60" s="437"/>
    </row>
    <row r="61" spans="1:19" ht="15.75">
      <c r="E61" s="433" t="s">
        <v>582</v>
      </c>
      <c r="F61" s="418"/>
      <c r="G61" s="434"/>
      <c r="H61" s="418"/>
      <c r="I61" s="435">
        <f>I59*(1+$G$60)</f>
        <v>17574.464713576519</v>
      </c>
      <c r="J61" s="436"/>
      <c r="K61" s="437"/>
      <c r="L61" s="437"/>
      <c r="M61" s="165">
        <f>M59*(1+$G$60)</f>
        <v>8268.3971414855296</v>
      </c>
      <c r="N61" s="165">
        <f>N59*(1+$G$60)</f>
        <v>1590.8925288923906</v>
      </c>
      <c r="O61" s="165">
        <f>O59*(1+$G$60)</f>
        <v>1198.7795404090787</v>
      </c>
      <c r="P61" s="165">
        <f>P59</f>
        <v>4484.4016063189065</v>
      </c>
      <c r="Q61" s="418"/>
      <c r="R61" s="165">
        <f>R59*(1+$G$60)</f>
        <v>1469.7188964706115</v>
      </c>
      <c r="S61" s="165">
        <f>SUM(S4:S60)</f>
        <v>562.27500000000009</v>
      </c>
    </row>
    <row r="64" spans="1:19">
      <c r="E64" s="439" t="s">
        <v>585</v>
      </c>
    </row>
    <row r="65" spans="1:17">
      <c r="A65" s="445">
        <f t="shared" ref="A65:A79" si="26">P65/H65</f>
        <v>23.186450192143951</v>
      </c>
      <c r="B65" s="17" t="s">
        <v>619</v>
      </c>
      <c r="E65" s="17" t="s">
        <v>586</v>
      </c>
      <c r="F65" s="403">
        <f t="shared" ref="F65:F79" si="27">F$83</f>
        <v>55</v>
      </c>
      <c r="H65" s="403">
        <f t="shared" si="6"/>
        <v>55</v>
      </c>
      <c r="I65" s="403">
        <f t="shared" ref="I65:I85" si="28">A65*H65</f>
        <v>1275.2547605679174</v>
      </c>
      <c r="P65" s="403">
        <f>P5</f>
        <v>1275.2547605679174</v>
      </c>
    </row>
    <row r="66" spans="1:17">
      <c r="A66" s="445">
        <f t="shared" si="26"/>
        <v>34.539815458642032</v>
      </c>
      <c r="B66" s="17" t="s">
        <v>619</v>
      </c>
      <c r="E66" s="17" t="s">
        <v>589</v>
      </c>
      <c r="F66" s="403">
        <f t="shared" si="27"/>
        <v>55</v>
      </c>
      <c r="H66" s="403">
        <f t="shared" si="6"/>
        <v>55</v>
      </c>
      <c r="I66" s="403">
        <f t="shared" si="28"/>
        <v>1899.6898502253118</v>
      </c>
      <c r="P66" s="403">
        <f>P6+P11+P14</f>
        <v>1899.6898502253116</v>
      </c>
      <c r="Q66" s="17">
        <f>SUM(P65:P77)-N21-P59</f>
        <v>0</v>
      </c>
    </row>
    <row r="67" spans="1:17">
      <c r="A67" s="445">
        <f t="shared" si="26"/>
        <v>0</v>
      </c>
      <c r="B67" s="17" t="s">
        <v>619</v>
      </c>
      <c r="E67" s="17" t="s">
        <v>1426</v>
      </c>
      <c r="F67" s="403">
        <f t="shared" si="27"/>
        <v>55</v>
      </c>
      <c r="H67" s="403">
        <f t="shared" si="6"/>
        <v>55</v>
      </c>
      <c r="I67" s="403">
        <f t="shared" si="28"/>
        <v>0</v>
      </c>
      <c r="P67" s="403"/>
    </row>
    <row r="68" spans="1:17">
      <c r="A68" s="445">
        <f t="shared" si="26"/>
        <v>11.548806609113848</v>
      </c>
      <c r="B68" s="17" t="s">
        <v>619</v>
      </c>
      <c r="E68" s="17" t="s">
        <v>591</v>
      </c>
      <c r="F68" s="403">
        <f t="shared" si="27"/>
        <v>55</v>
      </c>
      <c r="H68" s="403">
        <f t="shared" si="6"/>
        <v>55</v>
      </c>
      <c r="I68" s="403">
        <f t="shared" si="28"/>
        <v>635.1843635012616</v>
      </c>
      <c r="P68" s="403">
        <f>P12</f>
        <v>635.1843635012616</v>
      </c>
    </row>
    <row r="69" spans="1:17">
      <c r="A69" s="445">
        <f t="shared" si="26"/>
        <v>0</v>
      </c>
      <c r="B69" s="17" t="s">
        <v>619</v>
      </c>
      <c r="E69" s="17" t="s">
        <v>1428</v>
      </c>
      <c r="F69" s="403">
        <f t="shared" si="27"/>
        <v>55</v>
      </c>
      <c r="H69" s="403">
        <f t="shared" si="6"/>
        <v>55</v>
      </c>
      <c r="I69" s="403">
        <f t="shared" si="28"/>
        <v>0</v>
      </c>
      <c r="P69" s="403"/>
    </row>
    <row r="70" spans="1:17">
      <c r="A70" s="445">
        <f t="shared" si="26"/>
        <v>0</v>
      </c>
      <c r="B70" s="17" t="s">
        <v>619</v>
      </c>
      <c r="E70" s="17" t="s">
        <v>1429</v>
      </c>
      <c r="F70" s="403">
        <f t="shared" si="27"/>
        <v>55</v>
      </c>
      <c r="H70" s="403">
        <f t="shared" si="6"/>
        <v>55</v>
      </c>
      <c r="I70" s="403">
        <f t="shared" si="28"/>
        <v>0</v>
      </c>
      <c r="P70" s="403"/>
    </row>
    <row r="71" spans="1:17">
      <c r="A71" s="445">
        <f t="shared" si="26"/>
        <v>5.7744033045569241</v>
      </c>
      <c r="B71" s="17" t="s">
        <v>619</v>
      </c>
      <c r="E71" s="17" t="s">
        <v>605</v>
      </c>
      <c r="F71" s="403">
        <f t="shared" si="27"/>
        <v>55</v>
      </c>
      <c r="H71" s="403">
        <f t="shared" si="6"/>
        <v>55</v>
      </c>
      <c r="I71" s="403">
        <f t="shared" si="28"/>
        <v>317.5921817506308</v>
      </c>
      <c r="P71" s="403">
        <f>P27</f>
        <v>317.5921817506308</v>
      </c>
    </row>
    <row r="72" spans="1:17">
      <c r="A72" s="445">
        <f t="shared" si="26"/>
        <v>2.3097613218227693</v>
      </c>
      <c r="B72" s="17" t="s">
        <v>619</v>
      </c>
      <c r="E72" s="17" t="s">
        <v>607</v>
      </c>
      <c r="F72" s="403">
        <f t="shared" si="27"/>
        <v>55</v>
      </c>
      <c r="H72" s="403">
        <f t="shared" si="6"/>
        <v>55</v>
      </c>
      <c r="I72" s="403">
        <f t="shared" si="28"/>
        <v>127.0368727002523</v>
      </c>
      <c r="P72" s="403">
        <f>N21</f>
        <v>127.03687270025232</v>
      </c>
    </row>
    <row r="73" spans="1:17">
      <c r="A73" s="445">
        <f t="shared" si="26"/>
        <v>3.0204571131528524</v>
      </c>
      <c r="B73" s="17" t="s">
        <v>619</v>
      </c>
      <c r="E73" s="17" t="s">
        <v>609</v>
      </c>
      <c r="F73" s="403">
        <f t="shared" si="27"/>
        <v>55</v>
      </c>
      <c r="H73" s="403">
        <f t="shared" si="6"/>
        <v>55</v>
      </c>
      <c r="I73" s="403">
        <f t="shared" si="28"/>
        <v>166.12514122340687</v>
      </c>
      <c r="P73" s="403">
        <f>P39</f>
        <v>166.12514122340687</v>
      </c>
    </row>
    <row r="74" spans="1:17">
      <c r="A74" s="445">
        <f t="shared" si="26"/>
        <v>0</v>
      </c>
      <c r="B74" s="17" t="s">
        <v>619</v>
      </c>
      <c r="E74" s="17" t="s">
        <v>610</v>
      </c>
      <c r="F74" s="403">
        <f t="shared" si="27"/>
        <v>55</v>
      </c>
      <c r="H74" s="403">
        <f t="shared" ref="H74:H96" si="29">F74*(1-G74)</f>
        <v>55</v>
      </c>
      <c r="I74" s="403">
        <f t="shared" si="28"/>
        <v>0</v>
      </c>
      <c r="P74" s="403"/>
    </row>
    <row r="75" spans="1:17">
      <c r="A75" s="445">
        <f t="shared" si="26"/>
        <v>2.3097613218227693</v>
      </c>
      <c r="B75" s="17" t="s">
        <v>619</v>
      </c>
      <c r="E75" s="17" t="s">
        <v>611</v>
      </c>
      <c r="F75" s="403">
        <f t="shared" si="27"/>
        <v>55</v>
      </c>
      <c r="H75" s="403">
        <f t="shared" si="29"/>
        <v>55</v>
      </c>
      <c r="I75" s="403">
        <f t="shared" si="28"/>
        <v>127.0368727002523</v>
      </c>
      <c r="P75" s="403">
        <f>P49</f>
        <v>127.03687270025232</v>
      </c>
    </row>
    <row r="76" spans="1:17">
      <c r="A76" s="445">
        <f t="shared" si="26"/>
        <v>0</v>
      </c>
      <c r="B76" s="17" t="s">
        <v>619</v>
      </c>
      <c r="E76" s="17" t="s">
        <v>1431</v>
      </c>
      <c r="F76" s="403">
        <f t="shared" si="27"/>
        <v>55</v>
      </c>
      <c r="H76" s="403">
        <f t="shared" si="29"/>
        <v>55</v>
      </c>
      <c r="I76" s="403">
        <f t="shared" si="28"/>
        <v>0</v>
      </c>
      <c r="P76" s="403"/>
    </row>
    <row r="77" spans="1:17">
      <c r="A77" s="445">
        <f t="shared" si="26"/>
        <v>1.1548806609113846</v>
      </c>
      <c r="B77" s="17" t="s">
        <v>619</v>
      </c>
      <c r="E77" s="17" t="s">
        <v>612</v>
      </c>
      <c r="F77" s="403">
        <f t="shared" si="27"/>
        <v>55</v>
      </c>
      <c r="H77" s="403">
        <f t="shared" si="29"/>
        <v>55</v>
      </c>
      <c r="I77" s="403">
        <f t="shared" si="28"/>
        <v>63.518436350126152</v>
      </c>
      <c r="P77" s="403">
        <f>P34</f>
        <v>63.518436350126159</v>
      </c>
    </row>
    <row r="78" spans="1:17">
      <c r="A78" s="445">
        <f t="shared" si="26"/>
        <v>0</v>
      </c>
      <c r="B78" s="17" t="s">
        <v>619</v>
      </c>
      <c r="E78" s="17" t="s">
        <v>614</v>
      </c>
      <c r="F78" s="403">
        <f t="shared" si="27"/>
        <v>55</v>
      </c>
      <c r="H78" s="403">
        <f t="shared" si="29"/>
        <v>55</v>
      </c>
      <c r="I78" s="403">
        <f t="shared" si="28"/>
        <v>0</v>
      </c>
      <c r="J78" s="17" t="s">
        <v>1838</v>
      </c>
    </row>
    <row r="79" spans="1:17">
      <c r="A79" s="445">
        <f t="shared" si="26"/>
        <v>0</v>
      </c>
      <c r="B79" s="17" t="s">
        <v>619</v>
      </c>
      <c r="E79" s="17" t="s">
        <v>616</v>
      </c>
      <c r="F79" s="403">
        <f t="shared" si="27"/>
        <v>55</v>
      </c>
      <c r="H79" s="403">
        <f t="shared" si="29"/>
        <v>55</v>
      </c>
      <c r="I79" s="403">
        <f t="shared" si="28"/>
        <v>0</v>
      </c>
    </row>
    <row r="81" spans="1:10">
      <c r="A81" s="17">
        <f>SUM(A65:A80)</f>
        <v>83.844335982166527</v>
      </c>
      <c r="B81" s="17" t="s">
        <v>619</v>
      </c>
      <c r="E81" s="17" t="s">
        <v>620</v>
      </c>
    </row>
    <row r="82" spans="1:10">
      <c r="A82" s="441">
        <v>3</v>
      </c>
      <c r="B82" s="17" t="s">
        <v>517</v>
      </c>
      <c r="E82" s="17" t="s">
        <v>621</v>
      </c>
    </row>
    <row r="83" spans="1:10">
      <c r="A83" s="17">
        <v>1</v>
      </c>
      <c r="B83" s="17" t="s">
        <v>517</v>
      </c>
      <c r="E83" s="17" t="s">
        <v>622</v>
      </c>
      <c r="F83" s="445">
        <v>55</v>
      </c>
      <c r="H83" s="403">
        <f t="shared" si="29"/>
        <v>55</v>
      </c>
      <c r="I83" s="403">
        <f t="shared" si="28"/>
        <v>55</v>
      </c>
      <c r="J83" s="17" t="s">
        <v>623</v>
      </c>
    </row>
    <row r="84" spans="1:10">
      <c r="A84" s="17">
        <f>ROUNDUP(A81/8/A82,0)</f>
        <v>4</v>
      </c>
      <c r="B84" s="17" t="s">
        <v>624</v>
      </c>
      <c r="E84" s="17" t="s">
        <v>625</v>
      </c>
      <c r="F84" s="403">
        <f>A82*8*F83</f>
        <v>1320</v>
      </c>
      <c r="H84" s="403">
        <f t="shared" si="29"/>
        <v>1320</v>
      </c>
      <c r="I84" s="403">
        <f t="shared" si="28"/>
        <v>5280</v>
      </c>
    </row>
    <row r="85" spans="1:10">
      <c r="A85" s="441">
        <v>1</v>
      </c>
      <c r="B85" s="17" t="s">
        <v>517</v>
      </c>
      <c r="E85" s="17" t="s">
        <v>626</v>
      </c>
      <c r="F85" s="913"/>
      <c r="H85" s="403">
        <f t="shared" si="29"/>
        <v>0</v>
      </c>
      <c r="I85" s="403">
        <f t="shared" si="28"/>
        <v>0</v>
      </c>
    </row>
    <row r="86" spans="1:10">
      <c r="A86" s="441"/>
      <c r="F86" s="913"/>
      <c r="H86" s="403"/>
      <c r="I86" s="403"/>
    </row>
    <row r="87" spans="1:10">
      <c r="A87" s="441"/>
      <c r="F87" s="913"/>
      <c r="H87" s="403"/>
      <c r="I87" s="403"/>
    </row>
    <row r="88" spans="1:10">
      <c r="E88" s="439" t="s">
        <v>628</v>
      </c>
      <c r="I88" s="443">
        <f>SUM(I84:I87)</f>
        <v>5280</v>
      </c>
    </row>
    <row r="91" spans="1:10">
      <c r="E91" s="449" t="s">
        <v>630</v>
      </c>
    </row>
    <row r="92" spans="1:10">
      <c r="A92" s="441">
        <v>1</v>
      </c>
      <c r="B92" s="17" t="s">
        <v>517</v>
      </c>
      <c r="E92" s="17" t="s">
        <v>1839</v>
      </c>
      <c r="F92" s="447">
        <v>1798.4</v>
      </c>
      <c r="G92" s="404">
        <v>0.4</v>
      </c>
      <c r="H92" s="403">
        <f t="shared" si="29"/>
        <v>1079.04</v>
      </c>
      <c r="I92" s="403">
        <f>A92*H92</f>
        <v>1079.04</v>
      </c>
    </row>
    <row r="93" spans="1:10">
      <c r="A93" s="441"/>
      <c r="B93" s="17" t="s">
        <v>517</v>
      </c>
      <c r="E93" s="204"/>
      <c r="F93" s="447"/>
      <c r="H93" s="403"/>
      <c r="I93" s="403"/>
    </row>
    <row r="94" spans="1:10" ht="22.25">
      <c r="A94" s="441">
        <v>1</v>
      </c>
      <c r="B94" s="17" t="s">
        <v>517</v>
      </c>
      <c r="E94" s="204" t="s">
        <v>1841</v>
      </c>
      <c r="F94" s="447">
        <v>40.68</v>
      </c>
      <c r="H94" s="403">
        <f t="shared" si="29"/>
        <v>40.68</v>
      </c>
      <c r="I94" s="403">
        <f t="shared" ref="I94:I96" si="30">A94*H94</f>
        <v>40.68</v>
      </c>
    </row>
    <row r="95" spans="1:10">
      <c r="A95" s="441"/>
      <c r="B95" s="17" t="s">
        <v>517</v>
      </c>
      <c r="E95" s="17" t="s">
        <v>1842</v>
      </c>
      <c r="F95" s="447"/>
      <c r="H95" s="403">
        <f t="shared" si="29"/>
        <v>0</v>
      </c>
      <c r="I95" s="403">
        <f t="shared" si="30"/>
        <v>0</v>
      </c>
    </row>
    <row r="96" spans="1:10">
      <c r="A96" s="441">
        <v>1</v>
      </c>
      <c r="B96" s="17" t="s">
        <v>517</v>
      </c>
      <c r="E96" s="17" t="s">
        <v>1843</v>
      </c>
      <c r="F96" s="447"/>
      <c r="H96" s="403">
        <f t="shared" si="29"/>
        <v>0</v>
      </c>
      <c r="I96" s="403">
        <f t="shared" si="30"/>
        <v>0</v>
      </c>
    </row>
    <row r="97" spans="1:17" ht="15.75">
      <c r="E97" s="439" t="s">
        <v>676</v>
      </c>
      <c r="F97" s="403"/>
      <c r="I97" s="443">
        <f>SUM(I92:I96)</f>
        <v>1119.72</v>
      </c>
      <c r="Q97" s="165">
        <f>I97</f>
        <v>1119.72</v>
      </c>
    </row>
    <row r="99" spans="1:17" ht="13.75" customHeight="1">
      <c r="A99" s="986" t="s">
        <v>100</v>
      </c>
      <c r="B99" s="986"/>
      <c r="C99" s="986"/>
      <c r="D99" s="986"/>
      <c r="E99" s="986"/>
    </row>
    <row r="106" spans="1:17" ht="15.05" customHeight="1">
      <c r="A106" s="1002" t="s">
        <v>90</v>
      </c>
      <c r="B106" s="1002"/>
      <c r="C106" s="1002"/>
      <c r="D106" s="1002"/>
      <c r="E106" s="1002"/>
    </row>
    <row r="108" spans="1:17" ht="22.25">
      <c r="A108" s="17">
        <v>1</v>
      </c>
      <c r="B108" s="17" t="s">
        <v>517</v>
      </c>
      <c r="C108" s="204" t="s">
        <v>1853</v>
      </c>
      <c r="E108" s="17" t="s">
        <v>1464</v>
      </c>
      <c r="F108" s="403">
        <f>1285.29</f>
        <v>1285.29</v>
      </c>
      <c r="H108" s="403">
        <f t="shared" ref="H108:H117" si="31">F108*(1-G108)</f>
        <v>1285.29</v>
      </c>
      <c r="I108" s="403">
        <f t="shared" ref="I108:I111" si="32">A108*H108</f>
        <v>1285.29</v>
      </c>
      <c r="J108" s="494" t="s">
        <v>1854</v>
      </c>
    </row>
    <row r="109" spans="1:17">
      <c r="A109" s="17">
        <v>0</v>
      </c>
      <c r="B109" s="17" t="s">
        <v>517</v>
      </c>
      <c r="E109" s="17" t="s">
        <v>707</v>
      </c>
      <c r="F109" s="403">
        <v>1500</v>
      </c>
      <c r="H109" s="403">
        <f t="shared" si="31"/>
        <v>1500</v>
      </c>
      <c r="I109" s="403">
        <f t="shared" si="32"/>
        <v>0</v>
      </c>
    </row>
    <row r="110" spans="1:17">
      <c r="A110" s="17">
        <v>0</v>
      </c>
      <c r="B110" s="17" t="s">
        <v>517</v>
      </c>
      <c r="E110" s="17" t="s">
        <v>1855</v>
      </c>
      <c r="F110" s="403"/>
      <c r="H110" s="403">
        <f t="shared" si="31"/>
        <v>0</v>
      </c>
      <c r="I110" s="403">
        <f t="shared" si="32"/>
        <v>0</v>
      </c>
    </row>
    <row r="111" spans="1:17">
      <c r="A111" s="17">
        <v>20</v>
      </c>
      <c r="B111" s="17" t="s">
        <v>517</v>
      </c>
      <c r="E111" s="17" t="s">
        <v>1856</v>
      </c>
      <c r="F111" s="17">
        <f>15*9</f>
        <v>135</v>
      </c>
      <c r="H111" s="403">
        <f t="shared" si="31"/>
        <v>135</v>
      </c>
      <c r="I111" s="403">
        <f t="shared" si="32"/>
        <v>2700</v>
      </c>
    </row>
    <row r="112" spans="1:17" ht="15.75">
      <c r="E112" s="439" t="s">
        <v>729</v>
      </c>
      <c r="I112" s="168">
        <f>SUM(I106:I111)</f>
        <v>3985.29</v>
      </c>
    </row>
    <row r="114" spans="1:9" ht="13.75" customHeight="1">
      <c r="A114" s="997" t="s">
        <v>68</v>
      </c>
      <c r="B114" s="997"/>
      <c r="C114" s="997"/>
      <c r="D114" s="997"/>
      <c r="E114" s="997"/>
    </row>
    <row r="115" spans="1:9">
      <c r="A115" s="17">
        <v>1</v>
      </c>
      <c r="B115" s="17" t="s">
        <v>517</v>
      </c>
      <c r="C115" s="204" t="s">
        <v>1795</v>
      </c>
      <c r="E115" s="17" t="s">
        <v>730</v>
      </c>
      <c r="F115" s="17">
        <v>305.5</v>
      </c>
      <c r="H115" s="403">
        <f t="shared" si="31"/>
        <v>305.5</v>
      </c>
      <c r="I115" s="403">
        <f t="shared" ref="I115:I117" si="33">A115*H115</f>
        <v>305.5</v>
      </c>
    </row>
    <row r="116" spans="1:9" ht="22.25">
      <c r="A116" s="17">
        <v>0</v>
      </c>
      <c r="B116" s="17" t="s">
        <v>517</v>
      </c>
      <c r="C116" s="204" t="s">
        <v>1857</v>
      </c>
      <c r="E116" s="204" t="s">
        <v>1858</v>
      </c>
      <c r="F116" s="17">
        <v>460</v>
      </c>
      <c r="H116" s="403">
        <f t="shared" si="31"/>
        <v>460</v>
      </c>
      <c r="I116" s="403">
        <f t="shared" si="33"/>
        <v>0</v>
      </c>
    </row>
    <row r="117" spans="1:9" ht="55.65">
      <c r="A117" s="17">
        <v>1</v>
      </c>
      <c r="B117" s="17" t="s">
        <v>517</v>
      </c>
      <c r="C117" s="204" t="s">
        <v>1859</v>
      </c>
      <c r="E117" s="204" t="s">
        <v>1860</v>
      </c>
      <c r="F117" s="17">
        <v>320</v>
      </c>
      <c r="H117" s="403">
        <f t="shared" si="31"/>
        <v>320</v>
      </c>
      <c r="I117" s="403">
        <f t="shared" si="33"/>
        <v>320</v>
      </c>
    </row>
    <row r="119" spans="1:9" ht="15.75">
      <c r="E119" s="439" t="s">
        <v>733</v>
      </c>
      <c r="I119" s="168">
        <f>SUM(I114:I118)</f>
        <v>625.5</v>
      </c>
    </row>
  </sheetData>
  <mergeCells count="6">
    <mergeCell ref="A114:E114"/>
    <mergeCell ref="B1:F1"/>
    <mergeCell ref="A2:G2"/>
    <mergeCell ref="J22:L22"/>
    <mergeCell ref="A99:E99"/>
    <mergeCell ref="A106:E10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7"/>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17"/>
    <col min="7" max="7" width="10.140625" style="404"/>
    <col min="8" max="9" width="10.140625" style="17"/>
    <col min="10" max="10" width="20.140625" style="17" customWidth="1"/>
    <col min="11" max="64" width="10.140625" style="17"/>
  </cols>
  <sheetData>
    <row r="1" spans="1:19" ht="15.05">
      <c r="B1" s="1058" t="s">
        <v>1875</v>
      </c>
      <c r="C1" s="1058"/>
      <c r="D1" s="1058"/>
      <c r="E1" s="1058"/>
      <c r="F1" s="1058"/>
      <c r="H1" s="405" t="s">
        <v>493</v>
      </c>
      <c r="I1" s="406">
        <v>310</v>
      </c>
      <c r="J1" s="17" t="s">
        <v>494</v>
      </c>
      <c r="K1" s="17" t="s">
        <v>495</v>
      </c>
      <c r="L1" s="58">
        <f>A4*I1</f>
        <v>31620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55.65">
      <c r="A4" s="423">
        <f>46+56</f>
        <v>102</v>
      </c>
      <c r="B4" s="423" t="s">
        <v>522</v>
      </c>
      <c r="C4" s="424" t="s">
        <v>1011</v>
      </c>
      <c r="D4" s="423" t="s">
        <v>1012</v>
      </c>
      <c r="E4" s="424" t="s">
        <v>1013</v>
      </c>
      <c r="F4" s="421">
        <v>105.7</v>
      </c>
      <c r="G4" s="410"/>
      <c r="H4" s="409">
        <f t="shared" ref="H4:H9" si="0">F4*(1-G4)</f>
        <v>105.7</v>
      </c>
      <c r="I4" s="409">
        <f t="shared" ref="I4:I9" si="1">A4*H4</f>
        <v>10781.4</v>
      </c>
      <c r="J4" s="204"/>
      <c r="K4" s="403"/>
      <c r="L4" s="404"/>
      <c r="M4" s="418">
        <f t="shared" ref="M4:M5" si="2">I4</f>
        <v>10781.4</v>
      </c>
      <c r="N4" s="437"/>
      <c r="O4" s="437"/>
      <c r="P4" s="437"/>
      <c r="Q4" s="437"/>
      <c r="R4" s="437"/>
      <c r="S4" s="437"/>
    </row>
    <row r="5" spans="1:19" ht="77.900000000000006">
      <c r="A5" s="423">
        <v>1</v>
      </c>
      <c r="B5" s="487" t="s">
        <v>522</v>
      </c>
      <c r="C5" s="492" t="s">
        <v>965</v>
      </c>
      <c r="D5" s="487" t="s">
        <v>556</v>
      </c>
      <c r="E5" s="424" t="s">
        <v>1033</v>
      </c>
      <c r="F5" s="425">
        <f>3497.77*A4/124</f>
        <v>2877.1979032258064</v>
      </c>
      <c r="G5" s="428"/>
      <c r="H5" s="430">
        <f t="shared" si="0"/>
        <v>2877.1979032258064</v>
      </c>
      <c r="I5" s="430">
        <f t="shared" si="1"/>
        <v>2877.1979032258064</v>
      </c>
      <c r="J5" s="722" t="s">
        <v>1876</v>
      </c>
      <c r="K5" s="728"/>
      <c r="L5" s="728"/>
      <c r="M5" s="418">
        <f t="shared" si="2"/>
        <v>2877.1979032258064</v>
      </c>
      <c r="N5" s="437"/>
      <c r="O5" s="437"/>
      <c r="P5" s="437"/>
      <c r="Q5" s="437"/>
      <c r="R5" s="437"/>
      <c r="S5" s="437"/>
    </row>
    <row r="6" spans="1:19" ht="55.65">
      <c r="A6" s="423">
        <v>2</v>
      </c>
      <c r="B6" s="423" t="s">
        <v>522</v>
      </c>
      <c r="C6" s="424" t="s">
        <v>987</v>
      </c>
      <c r="D6" s="423" t="s">
        <v>556</v>
      </c>
      <c r="E6" s="423" t="s">
        <v>1000</v>
      </c>
      <c r="F6" s="425">
        <v>1222.22</v>
      </c>
      <c r="G6" s="428"/>
      <c r="H6" s="430">
        <f t="shared" si="0"/>
        <v>1222.22</v>
      </c>
      <c r="I6" s="430">
        <f t="shared" si="1"/>
        <v>2444.44</v>
      </c>
      <c r="J6" s="719"/>
      <c r="K6" s="728"/>
      <c r="L6" s="728"/>
      <c r="M6" s="437"/>
      <c r="N6" s="437"/>
      <c r="O6" s="437"/>
      <c r="P6" s="437"/>
      <c r="Q6" s="437"/>
      <c r="R6" s="418">
        <f t="shared" ref="R6:R9" si="3">I6</f>
        <v>2444.44</v>
      </c>
      <c r="S6" s="437"/>
    </row>
    <row r="7" spans="1:19" ht="80.7" customHeight="1">
      <c r="A7" s="423">
        <v>2</v>
      </c>
      <c r="B7" s="423" t="s">
        <v>522</v>
      </c>
      <c r="C7" s="424" t="s">
        <v>987</v>
      </c>
      <c r="D7" s="423" t="s">
        <v>995</v>
      </c>
      <c r="E7" s="424" t="s">
        <v>996</v>
      </c>
      <c r="F7" s="425">
        <v>227.78</v>
      </c>
      <c r="G7" s="428"/>
      <c r="H7" s="430">
        <f t="shared" si="0"/>
        <v>227.78</v>
      </c>
      <c r="I7" s="430">
        <f t="shared" si="1"/>
        <v>455.56</v>
      </c>
      <c r="J7" s="719"/>
      <c r="K7" s="728"/>
      <c r="L7" s="728"/>
      <c r="M7" s="437"/>
      <c r="N7" s="437"/>
      <c r="O7" s="437"/>
      <c r="P7" s="437"/>
      <c r="Q7" s="437"/>
      <c r="R7" s="418">
        <f t="shared" si="3"/>
        <v>455.56</v>
      </c>
      <c r="S7" s="437"/>
    </row>
    <row r="8" spans="1:19" ht="55.65">
      <c r="A8" s="487">
        <v>0</v>
      </c>
      <c r="B8" s="487"/>
      <c r="C8" s="492" t="s">
        <v>987</v>
      </c>
      <c r="D8" s="487" t="s">
        <v>556</v>
      </c>
      <c r="E8" s="487" t="s">
        <v>997</v>
      </c>
      <c r="F8" s="430">
        <v>387.78</v>
      </c>
      <c r="G8" s="428"/>
      <c r="H8" s="430">
        <f t="shared" si="0"/>
        <v>387.78</v>
      </c>
      <c r="I8" s="430">
        <f t="shared" si="1"/>
        <v>0</v>
      </c>
      <c r="J8" s="719"/>
      <c r="K8" s="728"/>
      <c r="L8" s="728"/>
      <c r="M8" s="437"/>
      <c r="N8" s="437"/>
      <c r="O8" s="437"/>
      <c r="P8" s="437"/>
      <c r="Q8" s="437"/>
      <c r="R8" s="418">
        <f t="shared" si="3"/>
        <v>0</v>
      </c>
      <c r="S8" s="437"/>
    </row>
    <row r="9" spans="1:19" ht="200.3">
      <c r="A9" s="423">
        <v>0</v>
      </c>
      <c r="B9" s="487" t="s">
        <v>522</v>
      </c>
      <c r="C9" s="492" t="s">
        <v>987</v>
      </c>
      <c r="D9" s="487" t="s">
        <v>985</v>
      </c>
      <c r="E9" s="492" t="s">
        <v>1500</v>
      </c>
      <c r="F9" s="430">
        <v>493.33</v>
      </c>
      <c r="G9" s="428"/>
      <c r="H9" s="430">
        <f t="shared" si="0"/>
        <v>493.33</v>
      </c>
      <c r="I9" s="430">
        <f t="shared" si="1"/>
        <v>0</v>
      </c>
      <c r="J9" s="719"/>
      <c r="K9" s="728"/>
      <c r="L9" s="728"/>
      <c r="M9" s="437"/>
      <c r="N9" s="437"/>
      <c r="O9" s="437"/>
      <c r="P9" s="437"/>
      <c r="Q9" s="437"/>
      <c r="R9" s="418">
        <f t="shared" si="3"/>
        <v>0</v>
      </c>
      <c r="S9" s="437"/>
    </row>
    <row r="10" spans="1:19" ht="55.65">
      <c r="A10" s="487">
        <v>0</v>
      </c>
      <c r="B10" s="487" t="s">
        <v>522</v>
      </c>
      <c r="C10" s="492" t="s">
        <v>987</v>
      </c>
      <c r="D10" s="487" t="s">
        <v>992</v>
      </c>
      <c r="E10" s="492" t="s">
        <v>993</v>
      </c>
      <c r="F10" s="430">
        <v>274.44</v>
      </c>
      <c r="G10" s="428"/>
      <c r="H10" s="430">
        <f t="shared" ref="H10:H67" si="4">F10*(1-G10)</f>
        <v>274.44</v>
      </c>
      <c r="I10" s="430">
        <f t="shared" ref="I10:I27" si="5">A10*H10</f>
        <v>0</v>
      </c>
      <c r="J10" s="719"/>
      <c r="K10" s="728"/>
      <c r="L10" s="728"/>
      <c r="M10" s="437"/>
      <c r="N10" s="437"/>
      <c r="O10" s="437"/>
      <c r="P10" s="437"/>
      <c r="Q10" s="437"/>
      <c r="R10" s="418">
        <f>I10</f>
        <v>0</v>
      </c>
      <c r="S10" s="437"/>
    </row>
    <row r="11" spans="1:19" ht="55.65">
      <c r="A11" s="413">
        <v>127</v>
      </c>
      <c r="B11" s="413" t="s">
        <v>539</v>
      </c>
      <c r="C11" s="420" t="s">
        <v>987</v>
      </c>
      <c r="D11" s="413" t="s">
        <v>541</v>
      </c>
      <c r="E11" s="420" t="s">
        <v>542</v>
      </c>
      <c r="F11" s="421">
        <f t="shared" ref="F11:F12" si="6">328.33/500</f>
        <v>0.65666000000000002</v>
      </c>
      <c r="G11" s="428"/>
      <c r="H11" s="430">
        <f t="shared" si="4"/>
        <v>0.65666000000000002</v>
      </c>
      <c r="I11" s="430">
        <f t="shared" si="5"/>
        <v>83.395820000000001</v>
      </c>
      <c r="J11" s="719" t="s">
        <v>1877</v>
      </c>
      <c r="K11" s="728"/>
      <c r="L11" s="728"/>
      <c r="M11" s="437"/>
      <c r="N11" s="437"/>
      <c r="O11" s="437">
        <f t="shared" ref="O11:O23" si="7">I11</f>
        <v>83.395820000000001</v>
      </c>
      <c r="P11" s="437"/>
      <c r="Q11" s="437"/>
      <c r="R11" s="418"/>
      <c r="S11" s="437"/>
    </row>
    <row r="12" spans="1:19" ht="55.65">
      <c r="A12" s="413">
        <v>250</v>
      </c>
      <c r="B12" s="413" t="s">
        <v>539</v>
      </c>
      <c r="C12" s="420" t="s">
        <v>987</v>
      </c>
      <c r="D12" s="413" t="s">
        <v>543</v>
      </c>
      <c r="E12" s="420" t="s">
        <v>544</v>
      </c>
      <c r="F12" s="421">
        <f t="shared" si="6"/>
        <v>0.65666000000000002</v>
      </c>
      <c r="G12" s="428"/>
      <c r="H12" s="430">
        <f t="shared" si="4"/>
        <v>0.65666000000000002</v>
      </c>
      <c r="I12" s="430">
        <f t="shared" si="5"/>
        <v>164.16499999999999</v>
      </c>
      <c r="J12" s="719" t="s">
        <v>1877</v>
      </c>
      <c r="K12" s="728"/>
      <c r="L12" s="728"/>
      <c r="M12" s="437"/>
      <c r="N12" s="437"/>
      <c r="O12" s="437">
        <f t="shared" si="7"/>
        <v>164.16499999999999</v>
      </c>
      <c r="P12" s="437"/>
      <c r="Q12" s="437"/>
      <c r="R12" s="418"/>
      <c r="S12" s="437"/>
    </row>
    <row r="13" spans="1:19" ht="22.25">
      <c r="A13" s="423">
        <v>20</v>
      </c>
      <c r="B13" s="423" t="s">
        <v>522</v>
      </c>
      <c r="C13" s="424" t="s">
        <v>1074</v>
      </c>
      <c r="D13" s="423"/>
      <c r="E13" s="424" t="s">
        <v>1079</v>
      </c>
      <c r="F13" s="425">
        <v>1.3</v>
      </c>
      <c r="G13" s="428"/>
      <c r="H13" s="430">
        <f t="shared" si="4"/>
        <v>1.3</v>
      </c>
      <c r="I13" s="430">
        <f t="shared" si="5"/>
        <v>26</v>
      </c>
      <c r="J13" s="719"/>
      <c r="K13" s="728"/>
      <c r="L13" s="728"/>
      <c r="M13" s="437"/>
      <c r="N13" s="437"/>
      <c r="O13" s="437">
        <f t="shared" si="7"/>
        <v>26</v>
      </c>
      <c r="P13" s="437"/>
      <c r="Q13" s="437"/>
      <c r="R13" s="418"/>
      <c r="S13" s="437"/>
    </row>
    <row r="14" spans="1:19" ht="22.25">
      <c r="A14" s="423">
        <v>20</v>
      </c>
      <c r="B14" s="423" t="s">
        <v>522</v>
      </c>
      <c r="C14" s="424" t="s">
        <v>1074</v>
      </c>
      <c r="D14" s="423"/>
      <c r="E14" s="424" t="s">
        <v>1080</v>
      </c>
      <c r="F14" s="425">
        <v>0.98</v>
      </c>
      <c r="G14" s="428"/>
      <c r="H14" s="430">
        <f t="shared" si="4"/>
        <v>0.98</v>
      </c>
      <c r="I14" s="430">
        <f t="shared" si="5"/>
        <v>19.600000000000001</v>
      </c>
      <c r="J14" s="719"/>
      <c r="K14" s="728"/>
      <c r="L14" s="728"/>
      <c r="M14" s="437"/>
      <c r="N14" s="437"/>
      <c r="O14" s="437">
        <f t="shared" si="7"/>
        <v>19.600000000000001</v>
      </c>
      <c r="P14" s="437"/>
      <c r="Q14" s="437"/>
      <c r="R14" s="418"/>
      <c r="S14" s="437"/>
    </row>
    <row r="15" spans="1:19" ht="22.25">
      <c r="A15" s="423">
        <v>2</v>
      </c>
      <c r="B15" s="423" t="s">
        <v>522</v>
      </c>
      <c r="C15" s="424" t="s">
        <v>1115</v>
      </c>
      <c r="D15" s="423" t="s">
        <v>821</v>
      </c>
      <c r="E15" s="424" t="s">
        <v>1878</v>
      </c>
      <c r="F15" s="425">
        <f>2655/1.2</f>
        <v>2212.5</v>
      </c>
      <c r="G15" s="428"/>
      <c r="H15" s="430">
        <f t="shared" si="4"/>
        <v>2212.5</v>
      </c>
      <c r="I15" s="430">
        <f t="shared" si="5"/>
        <v>4425</v>
      </c>
      <c r="J15" s="719"/>
      <c r="K15" s="728"/>
      <c r="L15" s="728"/>
      <c r="M15" s="437"/>
      <c r="N15" s="437">
        <f t="shared" ref="N15:N17" si="8">I15</f>
        <v>4425</v>
      </c>
      <c r="O15" s="437"/>
      <c r="P15" s="437"/>
      <c r="Q15" s="437"/>
      <c r="R15" s="418"/>
      <c r="S15" s="437"/>
    </row>
    <row r="16" spans="1:19" ht="55.65">
      <c r="A16" s="487">
        <v>0</v>
      </c>
      <c r="B16" s="487" t="s">
        <v>522</v>
      </c>
      <c r="C16" s="492" t="s">
        <v>987</v>
      </c>
      <c r="D16" s="487" t="s">
        <v>988</v>
      </c>
      <c r="E16" s="492" t="s">
        <v>989</v>
      </c>
      <c r="F16" s="430">
        <v>1961.49</v>
      </c>
      <c r="G16" s="428"/>
      <c r="H16" s="430">
        <f t="shared" si="4"/>
        <v>1961.49</v>
      </c>
      <c r="I16" s="430">
        <f t="shared" si="5"/>
        <v>0</v>
      </c>
      <c r="J16" s="719"/>
      <c r="K16" s="728"/>
      <c r="L16" s="728"/>
      <c r="M16" s="437"/>
      <c r="N16" s="437">
        <f t="shared" si="8"/>
        <v>0</v>
      </c>
      <c r="O16" s="437"/>
      <c r="P16" s="437"/>
      <c r="Q16" s="437"/>
      <c r="R16" s="418"/>
      <c r="S16" s="437"/>
    </row>
    <row r="17" spans="1:19" ht="55.65">
      <c r="A17" s="487">
        <v>0</v>
      </c>
      <c r="B17" s="487" t="s">
        <v>522</v>
      </c>
      <c r="C17" s="492" t="s">
        <v>987</v>
      </c>
      <c r="D17" s="487" t="s">
        <v>990</v>
      </c>
      <c r="E17" s="492" t="s">
        <v>991</v>
      </c>
      <c r="F17" s="430">
        <v>33.43</v>
      </c>
      <c r="G17" s="428"/>
      <c r="H17" s="430">
        <f t="shared" si="4"/>
        <v>33.43</v>
      </c>
      <c r="I17" s="430">
        <f t="shared" si="5"/>
        <v>0</v>
      </c>
      <c r="J17" s="719"/>
      <c r="K17" s="728"/>
      <c r="L17" s="728"/>
      <c r="M17" s="437"/>
      <c r="N17" s="437">
        <f t="shared" si="8"/>
        <v>0</v>
      </c>
      <c r="O17" s="437"/>
      <c r="P17" s="437"/>
      <c r="Q17" s="437"/>
      <c r="R17" s="418"/>
      <c r="S17" s="437"/>
    </row>
    <row r="18" spans="1:19" ht="55.65">
      <c r="A18" s="487">
        <v>0</v>
      </c>
      <c r="B18" s="487" t="s">
        <v>522</v>
      </c>
      <c r="C18" s="492" t="s">
        <v>987</v>
      </c>
      <c r="D18" s="487" t="s">
        <v>761</v>
      </c>
      <c r="E18" s="492" t="s">
        <v>762</v>
      </c>
      <c r="F18" s="430">
        <v>2.5</v>
      </c>
      <c r="G18" s="428"/>
      <c r="H18" s="430">
        <f t="shared" si="4"/>
        <v>2.5</v>
      </c>
      <c r="I18" s="430">
        <f t="shared" si="5"/>
        <v>0</v>
      </c>
      <c r="J18" s="719"/>
      <c r="K18" s="728"/>
      <c r="L18" s="728"/>
      <c r="M18" s="437"/>
      <c r="N18" s="437"/>
      <c r="O18" s="437"/>
      <c r="P18" s="437"/>
      <c r="Q18" s="437"/>
      <c r="R18" s="418">
        <f t="shared" ref="R18:R19" si="9">I18</f>
        <v>0</v>
      </c>
      <c r="S18" s="437"/>
    </row>
    <row r="19" spans="1:19" ht="102.3" customHeight="1">
      <c r="A19" s="423">
        <v>2</v>
      </c>
      <c r="B19" s="423" t="s">
        <v>522</v>
      </c>
      <c r="C19" s="420" t="s">
        <v>1479</v>
      </c>
      <c r="D19" s="413"/>
      <c r="E19" s="420" t="s">
        <v>803</v>
      </c>
      <c r="F19" s="421">
        <v>564.44000000000005</v>
      </c>
      <c r="G19" s="428"/>
      <c r="H19" s="430">
        <f t="shared" si="4"/>
        <v>564.44000000000005</v>
      </c>
      <c r="I19" s="430">
        <f t="shared" si="5"/>
        <v>1128.8800000000001</v>
      </c>
      <c r="J19" s="1080"/>
      <c r="K19" s="1080"/>
      <c r="L19" s="1080"/>
      <c r="M19" s="437"/>
      <c r="N19" s="437"/>
      <c r="O19" s="437"/>
      <c r="P19" s="437"/>
      <c r="Q19" s="437"/>
      <c r="R19" s="418">
        <f t="shared" si="9"/>
        <v>1128.8800000000001</v>
      </c>
      <c r="S19" s="437"/>
    </row>
    <row r="20" spans="1:19" ht="22.25">
      <c r="A20" s="413">
        <v>1</v>
      </c>
      <c r="B20" s="413" t="s">
        <v>522</v>
      </c>
      <c r="C20" s="420"/>
      <c r="D20" s="413"/>
      <c r="E20" s="420" t="s">
        <v>695</v>
      </c>
      <c r="F20" s="421">
        <v>100</v>
      </c>
      <c r="G20" s="410"/>
      <c r="H20" s="409">
        <f t="shared" si="4"/>
        <v>100</v>
      </c>
      <c r="I20" s="409">
        <f t="shared" si="5"/>
        <v>100</v>
      </c>
      <c r="J20" s="204" t="s">
        <v>696</v>
      </c>
      <c r="M20" s="437"/>
      <c r="N20" s="437"/>
      <c r="O20" s="437">
        <f t="shared" si="7"/>
        <v>100</v>
      </c>
      <c r="P20" s="437"/>
      <c r="Q20" s="437"/>
      <c r="R20" s="418"/>
      <c r="S20" s="437"/>
    </row>
    <row r="21" spans="1:19" ht="55.65">
      <c r="A21" s="423">
        <v>1</v>
      </c>
      <c r="B21" s="423"/>
      <c r="C21" s="424" t="s">
        <v>1011</v>
      </c>
      <c r="D21" s="423" t="s">
        <v>769</v>
      </c>
      <c r="E21" s="423" t="s">
        <v>567</v>
      </c>
      <c r="F21" s="425">
        <v>343.75</v>
      </c>
      <c r="G21" s="428"/>
      <c r="H21" s="430">
        <f t="shared" si="4"/>
        <v>343.75</v>
      </c>
      <c r="I21" s="430">
        <f t="shared" si="5"/>
        <v>343.75</v>
      </c>
      <c r="J21" s="719"/>
      <c r="K21" s="728"/>
      <c r="L21" s="728"/>
      <c r="M21" s="437">
        <f>F21</f>
        <v>343.75</v>
      </c>
      <c r="N21" s="437"/>
      <c r="O21" s="437"/>
      <c r="P21" s="437"/>
      <c r="Q21" s="437"/>
      <c r="R21" s="418"/>
      <c r="S21" s="437"/>
    </row>
    <row r="22" spans="1:19" ht="22.25">
      <c r="A22" s="423">
        <v>44</v>
      </c>
      <c r="B22" s="413" t="s">
        <v>539</v>
      </c>
      <c r="C22" s="420" t="s">
        <v>1445</v>
      </c>
      <c r="D22" s="413"/>
      <c r="E22" s="413" t="s">
        <v>691</v>
      </c>
      <c r="F22" s="421">
        <f>7.58/1.2</f>
        <v>6.3166666666666673</v>
      </c>
      <c r="G22" s="428"/>
      <c r="H22" s="430">
        <f t="shared" si="4"/>
        <v>6.3166666666666673</v>
      </c>
      <c r="I22" s="430">
        <f t="shared" si="5"/>
        <v>277.93333333333334</v>
      </c>
      <c r="J22" s="719"/>
      <c r="K22" s="728"/>
      <c r="L22" s="728"/>
      <c r="M22" s="437"/>
      <c r="N22" s="437"/>
      <c r="O22" s="437">
        <f t="shared" si="7"/>
        <v>277.93333333333334</v>
      </c>
      <c r="P22" s="437"/>
      <c r="Q22" s="437"/>
      <c r="R22" s="418"/>
      <c r="S22" s="437"/>
    </row>
    <row r="23" spans="1:19" ht="22.25">
      <c r="A23" s="423">
        <v>70</v>
      </c>
      <c r="B23" s="413" t="s">
        <v>539</v>
      </c>
      <c r="C23" s="420" t="s">
        <v>1445</v>
      </c>
      <c r="D23" s="413"/>
      <c r="E23" s="413" t="s">
        <v>1103</v>
      </c>
      <c r="F23" s="421">
        <v>11.45</v>
      </c>
      <c r="G23" s="428"/>
      <c r="H23" s="430">
        <f t="shared" si="4"/>
        <v>11.45</v>
      </c>
      <c r="I23" s="430">
        <f t="shared" si="5"/>
        <v>801.5</v>
      </c>
      <c r="J23" s="719"/>
      <c r="K23" s="728"/>
      <c r="L23" s="728"/>
      <c r="M23" s="437"/>
      <c r="N23" s="437"/>
      <c r="O23" s="437">
        <f t="shared" si="7"/>
        <v>801.5</v>
      </c>
      <c r="P23" s="437"/>
      <c r="Q23" s="437"/>
      <c r="R23" s="418"/>
      <c r="S23" s="437"/>
    </row>
    <row r="24" spans="1:19">
      <c r="A24" s="487"/>
      <c r="B24" s="487"/>
      <c r="C24" s="492"/>
      <c r="D24" s="487"/>
      <c r="E24" s="487"/>
      <c r="F24" s="430"/>
      <c r="G24" s="428"/>
      <c r="H24" s="430"/>
      <c r="I24" s="430"/>
      <c r="J24" s="719"/>
      <c r="K24" s="728"/>
      <c r="L24" s="728"/>
      <c r="M24" s="437"/>
      <c r="N24" s="437"/>
      <c r="O24" s="437"/>
      <c r="P24" s="437"/>
      <c r="Q24" s="437"/>
      <c r="R24" s="418"/>
      <c r="S24" s="437"/>
    </row>
    <row r="25" spans="1:19" ht="44.55">
      <c r="A25" s="413">
        <v>1</v>
      </c>
      <c r="B25" s="413" t="s">
        <v>517</v>
      </c>
      <c r="C25" s="408" t="s">
        <v>569</v>
      </c>
      <c r="D25" s="407" t="s">
        <v>570</v>
      </c>
      <c r="E25" s="408" t="s">
        <v>571</v>
      </c>
      <c r="F25" s="409">
        <v>1040</v>
      </c>
      <c r="G25" s="429">
        <v>0.48</v>
      </c>
      <c r="H25" s="430">
        <f t="shared" si="4"/>
        <v>540.80000000000007</v>
      </c>
      <c r="I25" s="430">
        <f t="shared" si="5"/>
        <v>540.80000000000007</v>
      </c>
      <c r="J25" s="719"/>
      <c r="K25" s="728"/>
      <c r="L25" s="728"/>
      <c r="M25" s="437"/>
      <c r="N25" s="437"/>
      <c r="O25" s="437"/>
      <c r="P25" s="437"/>
      <c r="Q25" s="437"/>
      <c r="R25" s="418"/>
      <c r="S25" s="437">
        <f t="shared" ref="S25:S27" si="10">I25</f>
        <v>540.80000000000007</v>
      </c>
    </row>
    <row r="26" spans="1:19">
      <c r="A26" s="413">
        <v>5</v>
      </c>
      <c r="B26" s="413" t="s">
        <v>517</v>
      </c>
      <c r="C26" s="420" t="s">
        <v>574</v>
      </c>
      <c r="D26" s="413"/>
      <c r="E26" s="413" t="s">
        <v>1008</v>
      </c>
      <c r="F26" s="421">
        <v>75</v>
      </c>
      <c r="G26" s="428"/>
      <c r="H26" s="430">
        <f t="shared" si="4"/>
        <v>75</v>
      </c>
      <c r="I26" s="430">
        <f t="shared" si="5"/>
        <v>375</v>
      </c>
      <c r="J26" s="719"/>
      <c r="K26" s="728"/>
      <c r="L26" s="728"/>
      <c r="M26" s="437"/>
      <c r="N26" s="437"/>
      <c r="O26" s="437"/>
      <c r="P26" s="437"/>
      <c r="Q26" s="437"/>
      <c r="R26" s="418"/>
      <c r="S26" s="437">
        <f t="shared" si="10"/>
        <v>375</v>
      </c>
    </row>
    <row r="27" spans="1:19">
      <c r="A27" s="413">
        <v>1</v>
      </c>
      <c r="B27" s="413" t="s">
        <v>517</v>
      </c>
      <c r="C27" s="420" t="s">
        <v>574</v>
      </c>
      <c r="D27" s="413"/>
      <c r="E27" s="413" t="s">
        <v>567</v>
      </c>
      <c r="F27" s="421">
        <f>35/4</f>
        <v>8.75</v>
      </c>
      <c r="G27" s="428"/>
      <c r="H27" s="430">
        <f t="shared" si="4"/>
        <v>8.75</v>
      </c>
      <c r="I27" s="430">
        <f t="shared" si="5"/>
        <v>8.75</v>
      </c>
      <c r="J27" s="719"/>
      <c r="K27" s="728"/>
      <c r="L27" s="728"/>
      <c r="M27" s="437"/>
      <c r="N27" s="437"/>
      <c r="O27" s="437"/>
      <c r="P27" s="437"/>
      <c r="Q27" s="437"/>
      <c r="R27" s="418"/>
      <c r="S27" s="437">
        <f t="shared" si="10"/>
        <v>8.75</v>
      </c>
    </row>
    <row r="28" spans="1:19" ht="12.45">
      <c r="A28" s="487"/>
      <c r="B28" s="487"/>
      <c r="C28" s="492"/>
      <c r="D28" s="487"/>
      <c r="E28" s="744"/>
      <c r="F28" s="430"/>
      <c r="G28" s="428"/>
      <c r="H28" s="430"/>
      <c r="I28" s="430"/>
      <c r="J28" s="719"/>
      <c r="K28" s="728"/>
      <c r="L28" s="728"/>
      <c r="M28" s="437"/>
      <c r="N28" s="437"/>
      <c r="O28" s="437"/>
      <c r="P28" s="437"/>
      <c r="Q28" s="437"/>
      <c r="R28" s="418"/>
      <c r="S28" s="437"/>
    </row>
    <row r="29" spans="1:19" ht="12.45">
      <c r="A29" s="487"/>
      <c r="B29" s="487"/>
      <c r="C29" s="492"/>
      <c r="D29" s="487"/>
      <c r="E29" s="744"/>
      <c r="F29" s="430"/>
      <c r="G29" s="428"/>
      <c r="H29" s="430"/>
      <c r="I29" s="430"/>
      <c r="J29" s="719"/>
      <c r="K29" s="728"/>
      <c r="L29" s="728"/>
      <c r="M29" s="437"/>
      <c r="N29" s="437"/>
      <c r="O29" s="437"/>
      <c r="P29" s="437"/>
      <c r="Q29" s="437"/>
      <c r="R29" s="418"/>
      <c r="S29" s="437"/>
    </row>
    <row r="30" spans="1:19">
      <c r="A30" s="407"/>
      <c r="B30" s="407"/>
      <c r="C30" s="408"/>
      <c r="D30" s="407"/>
      <c r="E30" s="407"/>
      <c r="F30" s="409"/>
      <c r="G30" s="410"/>
      <c r="H30" s="409"/>
      <c r="I30" s="409"/>
      <c r="J30" s="204"/>
      <c r="M30" s="437"/>
      <c r="N30" s="437"/>
      <c r="O30" s="437"/>
      <c r="P30" s="437"/>
      <c r="Q30" s="437"/>
      <c r="R30" s="418"/>
      <c r="S30" s="437"/>
    </row>
    <row r="31" spans="1:19">
      <c r="A31" s="407"/>
      <c r="B31" s="407"/>
      <c r="C31" s="408"/>
      <c r="D31" s="407"/>
      <c r="E31" s="432" t="s">
        <v>580</v>
      </c>
      <c r="F31" s="409"/>
      <c r="G31" s="410"/>
      <c r="H31" s="409"/>
      <c r="I31" s="421">
        <f>SUM(I4:I29)</f>
        <v>24853.372056559143</v>
      </c>
      <c r="J31" s="204"/>
      <c r="M31" s="437">
        <f>SUM(M4:M29)</f>
        <v>14002.347903225806</v>
      </c>
      <c r="N31" s="437">
        <f>SUM(N4:N29)</f>
        <v>4425</v>
      </c>
      <c r="O31" s="437">
        <f>SUM(O4:O29)</f>
        <v>1472.5941533333335</v>
      </c>
      <c r="P31" s="437"/>
      <c r="Q31" s="437"/>
      <c r="R31" s="418">
        <f>SUM(R4:R29)</f>
        <v>4028.88</v>
      </c>
      <c r="S31" s="437"/>
    </row>
    <row r="32" spans="1:19">
      <c r="A32" s="407"/>
      <c r="B32" s="407"/>
      <c r="C32" s="408"/>
      <c r="D32" s="407"/>
      <c r="E32" s="413" t="s">
        <v>581</v>
      </c>
      <c r="F32" s="409"/>
      <c r="G32" s="410">
        <v>0.25</v>
      </c>
      <c r="H32" s="409"/>
      <c r="I32" s="421"/>
      <c r="J32" s="204"/>
      <c r="M32" s="437"/>
      <c r="N32" s="437"/>
      <c r="O32" s="437"/>
      <c r="P32" s="437"/>
      <c r="Q32" s="437"/>
      <c r="R32" s="418"/>
      <c r="S32" s="437"/>
    </row>
    <row r="33" spans="1:19" ht="15.75">
      <c r="E33" s="433" t="s">
        <v>582</v>
      </c>
      <c r="F33" s="418"/>
      <c r="G33" s="434"/>
      <c r="H33" s="418"/>
      <c r="I33" s="435">
        <f>I31*(1+$G$32)</f>
        <v>31066.715070698927</v>
      </c>
      <c r="J33" s="436"/>
      <c r="K33" s="437"/>
      <c r="L33" s="437"/>
      <c r="M33" s="165">
        <f>M31*(1+$G$32)</f>
        <v>17502.934879032258</v>
      </c>
      <c r="N33" s="165">
        <f>N31*(1+$G$32)</f>
        <v>5531.25</v>
      </c>
      <c r="O33" s="165">
        <f>O31*(1+$G$32)</f>
        <v>1840.7426916666668</v>
      </c>
      <c r="P33" s="418"/>
      <c r="Q33" s="418"/>
      <c r="R33" s="165">
        <f>R31*(1+$G$32)</f>
        <v>5036.1000000000004</v>
      </c>
      <c r="S33" s="165">
        <f>SUM(S4:S32)</f>
        <v>924.55000000000007</v>
      </c>
    </row>
    <row r="36" spans="1:19">
      <c r="E36" s="439" t="s">
        <v>585</v>
      </c>
    </row>
    <row r="37" spans="1:19">
      <c r="A37" s="441">
        <v>12</v>
      </c>
      <c r="B37" s="17" t="s">
        <v>619</v>
      </c>
      <c r="E37" s="17" t="s">
        <v>586</v>
      </c>
      <c r="F37" s="403">
        <f t="shared" ref="F37:F52" si="11">F$56</f>
        <v>55</v>
      </c>
      <c r="H37" s="403">
        <f t="shared" si="4"/>
        <v>55</v>
      </c>
      <c r="I37" s="403">
        <f t="shared" ref="I37:I60" si="12">A37*H37</f>
        <v>660</v>
      </c>
      <c r="J37" s="17" t="s">
        <v>1879</v>
      </c>
      <c r="P37" s="403"/>
    </row>
    <row r="38" spans="1:19">
      <c r="A38" s="441">
        <v>77</v>
      </c>
      <c r="B38" s="17" t="s">
        <v>619</v>
      </c>
      <c r="E38" s="17" t="s">
        <v>589</v>
      </c>
      <c r="F38" s="403">
        <f t="shared" si="11"/>
        <v>55</v>
      </c>
      <c r="H38" s="403">
        <f t="shared" si="4"/>
        <v>55</v>
      </c>
      <c r="I38" s="403">
        <f t="shared" si="12"/>
        <v>4235</v>
      </c>
      <c r="J38" s="17" t="s">
        <v>696</v>
      </c>
      <c r="P38" s="403"/>
    </row>
    <row r="39" spans="1:19">
      <c r="A39" s="441">
        <f>3.3*6/2</f>
        <v>9.8999999999999986</v>
      </c>
      <c r="B39" s="17" t="s">
        <v>619</v>
      </c>
      <c r="E39" s="17" t="s">
        <v>1426</v>
      </c>
      <c r="F39" s="403">
        <f t="shared" si="11"/>
        <v>55</v>
      </c>
      <c r="H39" s="403">
        <f t="shared" si="4"/>
        <v>55</v>
      </c>
      <c r="I39" s="403">
        <f t="shared" si="12"/>
        <v>544.49999999999989</v>
      </c>
      <c r="J39" s="17" t="s">
        <v>1450</v>
      </c>
      <c r="P39" s="403"/>
    </row>
    <row r="40" spans="1:19">
      <c r="A40" s="441">
        <f>7.75*A4/30</f>
        <v>26.35</v>
      </c>
      <c r="B40" s="17" t="s">
        <v>619</v>
      </c>
      <c r="E40" s="17" t="s">
        <v>591</v>
      </c>
      <c r="F40" s="403">
        <f t="shared" si="11"/>
        <v>55</v>
      </c>
      <c r="H40" s="403">
        <f t="shared" si="4"/>
        <v>55</v>
      </c>
      <c r="I40" s="403">
        <f t="shared" si="12"/>
        <v>1449.25</v>
      </c>
      <c r="J40" s="17" t="s">
        <v>1451</v>
      </c>
      <c r="P40" s="403"/>
    </row>
    <row r="41" spans="1:19">
      <c r="A41" s="441">
        <v>0</v>
      </c>
      <c r="B41" s="17" t="s">
        <v>619</v>
      </c>
      <c r="E41" s="17" t="s">
        <v>1428</v>
      </c>
      <c r="F41" s="403">
        <f t="shared" si="11"/>
        <v>55</v>
      </c>
      <c r="H41" s="403">
        <f t="shared" si="4"/>
        <v>55</v>
      </c>
      <c r="I41" s="403">
        <f t="shared" si="12"/>
        <v>0</v>
      </c>
      <c r="J41" s="17" t="s">
        <v>1452</v>
      </c>
      <c r="P41" s="403"/>
    </row>
    <row r="42" spans="1:19">
      <c r="A42" s="441">
        <v>0</v>
      </c>
      <c r="B42" s="17" t="s">
        <v>619</v>
      </c>
      <c r="E42" s="17" t="s">
        <v>1429</v>
      </c>
      <c r="F42" s="403">
        <f t="shared" si="11"/>
        <v>55</v>
      </c>
      <c r="H42" s="403">
        <f t="shared" si="4"/>
        <v>55</v>
      </c>
      <c r="I42" s="403">
        <f t="shared" si="12"/>
        <v>0</v>
      </c>
      <c r="J42" s="17" t="s">
        <v>1452</v>
      </c>
      <c r="P42" s="403"/>
    </row>
    <row r="43" spans="1:19">
      <c r="A43" s="441">
        <v>0</v>
      </c>
      <c r="B43" s="17" t="s">
        <v>619</v>
      </c>
      <c r="E43" s="17" t="s">
        <v>605</v>
      </c>
      <c r="F43" s="403">
        <f t="shared" si="11"/>
        <v>55</v>
      </c>
      <c r="H43" s="403">
        <f t="shared" si="4"/>
        <v>55</v>
      </c>
      <c r="I43" s="403">
        <f t="shared" si="12"/>
        <v>0</v>
      </c>
      <c r="J43" s="17" t="s">
        <v>1453</v>
      </c>
      <c r="P43" s="403"/>
    </row>
    <row r="44" spans="1:19">
      <c r="A44" s="441">
        <v>8</v>
      </c>
      <c r="B44" s="17" t="s">
        <v>619</v>
      </c>
      <c r="E44" s="17" t="s">
        <v>607</v>
      </c>
      <c r="F44" s="403">
        <f t="shared" si="11"/>
        <v>55</v>
      </c>
      <c r="H44" s="403">
        <f t="shared" si="4"/>
        <v>55</v>
      </c>
      <c r="I44" s="403">
        <f t="shared" si="12"/>
        <v>440</v>
      </c>
      <c r="P44" s="403"/>
    </row>
    <row r="45" spans="1:19">
      <c r="A45" s="441">
        <v>0</v>
      </c>
      <c r="B45" s="17" t="s">
        <v>619</v>
      </c>
      <c r="E45" s="17" t="s">
        <v>609</v>
      </c>
      <c r="F45" s="403">
        <f t="shared" si="11"/>
        <v>55</v>
      </c>
      <c r="H45" s="403">
        <f t="shared" si="4"/>
        <v>55</v>
      </c>
      <c r="I45" s="403">
        <f t="shared" si="12"/>
        <v>0</v>
      </c>
      <c r="J45" s="17" t="s">
        <v>1453</v>
      </c>
      <c r="P45" s="403"/>
    </row>
    <row r="46" spans="1:19">
      <c r="A46" s="441">
        <v>0</v>
      </c>
      <c r="B46" s="17" t="s">
        <v>619</v>
      </c>
      <c r="E46" s="17" t="s">
        <v>610</v>
      </c>
      <c r="F46" s="403">
        <f t="shared" si="11"/>
        <v>55</v>
      </c>
      <c r="H46" s="403">
        <f t="shared" si="4"/>
        <v>55</v>
      </c>
      <c r="I46" s="403">
        <f t="shared" si="12"/>
        <v>0</v>
      </c>
      <c r="J46" s="17" t="s">
        <v>1453</v>
      </c>
      <c r="P46" s="403"/>
    </row>
    <row r="47" spans="1:19">
      <c r="A47" s="441">
        <v>0</v>
      </c>
      <c r="B47" s="17" t="s">
        <v>619</v>
      </c>
      <c r="E47" s="17" t="s">
        <v>611</v>
      </c>
      <c r="F47" s="403">
        <f t="shared" si="11"/>
        <v>55</v>
      </c>
      <c r="H47" s="403">
        <f t="shared" si="4"/>
        <v>55</v>
      </c>
      <c r="I47" s="403">
        <f t="shared" si="12"/>
        <v>0</v>
      </c>
      <c r="J47" s="17" t="s">
        <v>1453</v>
      </c>
      <c r="P47" s="403"/>
    </row>
    <row r="48" spans="1:19">
      <c r="A48" s="441">
        <v>1.5</v>
      </c>
      <c r="B48" s="17" t="s">
        <v>619</v>
      </c>
      <c r="E48" s="17" t="s">
        <v>1431</v>
      </c>
      <c r="F48" s="403">
        <f t="shared" si="11"/>
        <v>55</v>
      </c>
      <c r="H48" s="403">
        <f t="shared" si="4"/>
        <v>55</v>
      </c>
      <c r="I48" s="403">
        <f t="shared" si="12"/>
        <v>82.5</v>
      </c>
      <c r="J48" s="17" t="s">
        <v>1880</v>
      </c>
      <c r="P48" s="403"/>
    </row>
    <row r="49" spans="1:16">
      <c r="A49" s="441">
        <v>6.5</v>
      </c>
      <c r="B49" s="17" t="s">
        <v>619</v>
      </c>
      <c r="E49" s="17" t="s">
        <v>612</v>
      </c>
      <c r="F49" s="403">
        <f t="shared" si="11"/>
        <v>55</v>
      </c>
      <c r="H49" s="403">
        <f t="shared" si="4"/>
        <v>55</v>
      </c>
      <c r="I49" s="403">
        <f t="shared" si="12"/>
        <v>357.5</v>
      </c>
      <c r="J49" s="17" t="s">
        <v>1881</v>
      </c>
      <c r="P49" s="403"/>
    </row>
    <row r="50" spans="1:16">
      <c r="A50" s="441">
        <v>6</v>
      </c>
      <c r="B50" s="17" t="s">
        <v>619</v>
      </c>
      <c r="E50" s="17" t="s">
        <v>614</v>
      </c>
      <c r="F50" s="403">
        <f t="shared" si="11"/>
        <v>55</v>
      </c>
      <c r="H50" s="403">
        <f t="shared" si="4"/>
        <v>55</v>
      </c>
      <c r="I50" s="403">
        <f t="shared" si="12"/>
        <v>330</v>
      </c>
    </row>
    <row r="51" spans="1:16">
      <c r="A51" s="441">
        <v>10</v>
      </c>
      <c r="B51" s="17" t="s">
        <v>619</v>
      </c>
      <c r="E51" s="17" t="s">
        <v>617</v>
      </c>
      <c r="F51" s="403">
        <f t="shared" si="11"/>
        <v>55</v>
      </c>
      <c r="H51" s="403">
        <f t="shared" si="4"/>
        <v>55</v>
      </c>
      <c r="I51" s="403">
        <f t="shared" si="12"/>
        <v>550</v>
      </c>
      <c r="J51" s="17" t="s">
        <v>1882</v>
      </c>
    </row>
    <row r="52" spans="1:16">
      <c r="A52" s="441">
        <v>4</v>
      </c>
      <c r="B52" s="17" t="s">
        <v>619</v>
      </c>
      <c r="E52" s="17" t="s">
        <v>616</v>
      </c>
      <c r="F52" s="403">
        <f t="shared" si="11"/>
        <v>55</v>
      </c>
      <c r="H52" s="403">
        <f t="shared" si="4"/>
        <v>55</v>
      </c>
      <c r="I52" s="403">
        <f t="shared" si="12"/>
        <v>220</v>
      </c>
    </row>
    <row r="54" spans="1:16">
      <c r="A54" s="17">
        <f>SUM(A37:A53)</f>
        <v>161.25</v>
      </c>
      <c r="B54" s="17" t="s">
        <v>619</v>
      </c>
      <c r="E54" s="17" t="s">
        <v>620</v>
      </c>
    </row>
    <row r="55" spans="1:16">
      <c r="A55" s="441">
        <v>3</v>
      </c>
      <c r="B55" s="17" t="s">
        <v>517</v>
      </c>
      <c r="E55" s="17" t="s">
        <v>621</v>
      </c>
    </row>
    <row r="56" spans="1:16">
      <c r="B56" s="17" t="s">
        <v>517</v>
      </c>
      <c r="E56" s="17" t="s">
        <v>622</v>
      </c>
      <c r="F56" s="445">
        <v>55</v>
      </c>
      <c r="H56" s="403">
        <f t="shared" si="4"/>
        <v>55</v>
      </c>
      <c r="I56" s="403">
        <f t="shared" si="12"/>
        <v>0</v>
      </c>
      <c r="J56" s="17" t="s">
        <v>623</v>
      </c>
    </row>
    <row r="57" spans="1:16">
      <c r="A57" s="17">
        <f>ROUNDUP(A54/8/A55,0)</f>
        <v>7</v>
      </c>
      <c r="B57" s="17" t="s">
        <v>624</v>
      </c>
      <c r="E57" s="17" t="s">
        <v>625</v>
      </c>
      <c r="F57" s="403">
        <f>A55*8*F56</f>
        <v>1320</v>
      </c>
      <c r="H57" s="403">
        <f t="shared" si="4"/>
        <v>1320</v>
      </c>
      <c r="I57" s="403">
        <f t="shared" si="12"/>
        <v>9240</v>
      </c>
    </row>
    <row r="58" spans="1:16">
      <c r="A58" s="441">
        <v>2</v>
      </c>
      <c r="B58" s="17" t="s">
        <v>1455</v>
      </c>
      <c r="E58" s="17" t="s">
        <v>1883</v>
      </c>
      <c r="F58" s="913">
        <f>2000</f>
        <v>2000</v>
      </c>
      <c r="H58" s="403">
        <f t="shared" si="4"/>
        <v>2000</v>
      </c>
      <c r="I58" s="403">
        <f t="shared" si="12"/>
        <v>4000</v>
      </c>
    </row>
    <row r="59" spans="1:16">
      <c r="A59" s="441">
        <v>1</v>
      </c>
      <c r="B59" s="17" t="s">
        <v>517</v>
      </c>
      <c r="E59" s="17" t="s">
        <v>1458</v>
      </c>
      <c r="F59" s="913">
        <v>500</v>
      </c>
      <c r="H59" s="403">
        <f t="shared" si="4"/>
        <v>500</v>
      </c>
      <c r="I59" s="403">
        <f t="shared" si="12"/>
        <v>500</v>
      </c>
    </row>
    <row r="60" spans="1:16">
      <c r="A60" s="441">
        <v>1</v>
      </c>
      <c r="B60" s="17" t="s">
        <v>517</v>
      </c>
      <c r="E60" s="17" t="s">
        <v>1459</v>
      </c>
      <c r="F60" s="913">
        <v>1000</v>
      </c>
      <c r="H60" s="403">
        <f t="shared" si="4"/>
        <v>1000</v>
      </c>
      <c r="I60" s="403">
        <f t="shared" si="12"/>
        <v>1000</v>
      </c>
    </row>
    <row r="61" spans="1:16" ht="15.75">
      <c r="E61" s="439" t="s">
        <v>628</v>
      </c>
      <c r="I61" s="443">
        <f>SUM(I57:I60)</f>
        <v>14740</v>
      </c>
      <c r="P61" s="165">
        <f>I61</f>
        <v>14740</v>
      </c>
    </row>
    <row r="64" spans="1:16">
      <c r="E64" s="449" t="s">
        <v>630</v>
      </c>
    </row>
    <row r="65" spans="1:17">
      <c r="A65" s="441">
        <v>1</v>
      </c>
      <c r="B65" s="17" t="s">
        <v>517</v>
      </c>
      <c r="E65" s="17" t="s">
        <v>668</v>
      </c>
      <c r="F65" s="445">
        <f>1796*0.6</f>
        <v>1077.5999999999999</v>
      </c>
      <c r="H65" s="403">
        <f t="shared" si="4"/>
        <v>1077.5999999999999</v>
      </c>
      <c r="I65" s="403">
        <f t="shared" ref="I65:I67" si="13">A65*H65</f>
        <v>1077.5999999999999</v>
      </c>
      <c r="J65" s="17" t="s">
        <v>1460</v>
      </c>
    </row>
    <row r="66" spans="1:17">
      <c r="A66" s="441">
        <v>0</v>
      </c>
      <c r="B66" s="17" t="s">
        <v>539</v>
      </c>
      <c r="E66" s="17" t="s">
        <v>1461</v>
      </c>
      <c r="F66" s="445">
        <v>80</v>
      </c>
      <c r="H66" s="403">
        <f t="shared" si="4"/>
        <v>80</v>
      </c>
      <c r="I66" s="403">
        <f t="shared" si="13"/>
        <v>0</v>
      </c>
    </row>
    <row r="67" spans="1:17">
      <c r="A67" s="441">
        <v>0</v>
      </c>
      <c r="B67" s="17" t="s">
        <v>517</v>
      </c>
      <c r="E67" s="17" t="s">
        <v>1463</v>
      </c>
      <c r="F67" s="445">
        <v>2493</v>
      </c>
      <c r="H67" s="403">
        <f t="shared" si="4"/>
        <v>2493</v>
      </c>
      <c r="I67" s="403">
        <f t="shared" si="13"/>
        <v>0</v>
      </c>
    </row>
    <row r="68" spans="1:17" ht="15.75">
      <c r="E68" s="439" t="s">
        <v>676</v>
      </c>
      <c r="F68" s="403"/>
      <c r="I68" s="443">
        <f>SUM(I65:I67)</f>
        <v>1077.5999999999999</v>
      </c>
      <c r="Q68" s="165">
        <f>I68</f>
        <v>1077.5999999999999</v>
      </c>
    </row>
    <row r="70" spans="1:17" ht="13.75" customHeight="1">
      <c r="A70" s="986" t="s">
        <v>100</v>
      </c>
      <c r="B70" s="986"/>
      <c r="C70" s="986"/>
      <c r="D70" s="986"/>
      <c r="E70" s="986"/>
    </row>
    <row r="76" spans="1:17" ht="15.05" customHeight="1">
      <c r="A76" s="1002" t="s">
        <v>90</v>
      </c>
      <c r="B76" s="1002"/>
      <c r="C76" s="1002"/>
      <c r="D76" s="1002"/>
      <c r="E76" s="1002"/>
    </row>
    <row r="78" spans="1:17" ht="13.75">
      <c r="B78" s="17" t="s">
        <v>517</v>
      </c>
      <c r="E78" s="17" t="s">
        <v>1464</v>
      </c>
      <c r="F78" s="403">
        <v>860</v>
      </c>
      <c r="H78" s="403">
        <f t="shared" ref="H78:H90" si="14">F78*(1-G78)</f>
        <v>860</v>
      </c>
      <c r="I78" s="403">
        <f t="shared" ref="I78:I82" si="15">A78*H78</f>
        <v>0</v>
      </c>
      <c r="J78" s="494" t="s">
        <v>1465</v>
      </c>
    </row>
    <row r="79" spans="1:17">
      <c r="A79" s="17">
        <v>1</v>
      </c>
      <c r="B79" s="17" t="s">
        <v>517</v>
      </c>
      <c r="E79" s="17" t="s">
        <v>707</v>
      </c>
      <c r="F79" s="403">
        <v>1500</v>
      </c>
      <c r="H79" s="403">
        <f t="shared" si="14"/>
        <v>1500</v>
      </c>
      <c r="I79" s="403">
        <f t="shared" si="15"/>
        <v>1500</v>
      </c>
    </row>
    <row r="80" spans="1:17" ht="55.65">
      <c r="A80" s="17">
        <v>1</v>
      </c>
      <c r="B80" s="17" t="s">
        <v>517</v>
      </c>
      <c r="C80" s="204" t="s">
        <v>708</v>
      </c>
      <c r="E80" s="204" t="s">
        <v>709</v>
      </c>
      <c r="F80" s="403">
        <v>460</v>
      </c>
      <c r="H80" s="403">
        <f t="shared" si="14"/>
        <v>460</v>
      </c>
      <c r="I80" s="403">
        <f t="shared" si="15"/>
        <v>460</v>
      </c>
    </row>
    <row r="81" spans="1:10" ht="55.65">
      <c r="A81" s="17">
        <v>0</v>
      </c>
      <c r="B81" s="17" t="s">
        <v>517</v>
      </c>
      <c r="C81" s="204" t="s">
        <v>711</v>
      </c>
      <c r="E81" s="204" t="s">
        <v>712</v>
      </c>
      <c r="F81" s="403">
        <v>320</v>
      </c>
      <c r="H81" s="403">
        <f t="shared" si="14"/>
        <v>320</v>
      </c>
      <c r="I81" s="403">
        <f t="shared" si="15"/>
        <v>0</v>
      </c>
    </row>
    <row r="82" spans="1:10" ht="55.65">
      <c r="A82" s="17">
        <v>1</v>
      </c>
      <c r="B82" s="17" t="s">
        <v>517</v>
      </c>
      <c r="C82" s="17" t="s">
        <v>713</v>
      </c>
      <c r="D82" s="17" t="s">
        <v>714</v>
      </c>
      <c r="E82" s="204" t="s">
        <v>715</v>
      </c>
      <c r="F82" s="403">
        <v>2725</v>
      </c>
      <c r="H82" s="403">
        <f t="shared" si="14"/>
        <v>2725</v>
      </c>
      <c r="I82" s="403">
        <f t="shared" si="15"/>
        <v>2725</v>
      </c>
    </row>
    <row r="83" spans="1:10">
      <c r="E83" s="204"/>
      <c r="H83" s="403"/>
      <c r="I83" s="403"/>
    </row>
    <row r="85" spans="1:10" ht="15.75">
      <c r="E85" s="439" t="s">
        <v>729</v>
      </c>
      <c r="I85" s="168">
        <f>SUM(I76:I84)</f>
        <v>4685</v>
      </c>
    </row>
    <row r="87" spans="1:10" ht="13.75" customHeight="1">
      <c r="A87" s="997" t="s">
        <v>68</v>
      </c>
      <c r="B87" s="997"/>
      <c r="C87" s="997"/>
      <c r="D87" s="997"/>
      <c r="E87" s="997"/>
    </row>
    <row r="88" spans="1:10">
      <c r="A88" s="17">
        <v>1</v>
      </c>
      <c r="B88" s="17" t="s">
        <v>517</v>
      </c>
      <c r="E88" s="17" t="s">
        <v>730</v>
      </c>
      <c r="F88" s="403">
        <v>277</v>
      </c>
      <c r="H88" s="403">
        <f t="shared" si="14"/>
        <v>277</v>
      </c>
      <c r="I88" s="403">
        <f t="shared" ref="I88:I90" si="16">A88*H88</f>
        <v>277</v>
      </c>
      <c r="J88" s="17" t="s">
        <v>1884</v>
      </c>
    </row>
    <row r="89" spans="1:10" ht="55.65">
      <c r="A89" s="17">
        <v>1</v>
      </c>
      <c r="B89" s="17" t="s">
        <v>517</v>
      </c>
      <c r="C89" s="204" t="s">
        <v>708</v>
      </c>
      <c r="E89" s="204" t="s">
        <v>731</v>
      </c>
      <c r="F89" s="403">
        <f>460/2</f>
        <v>230</v>
      </c>
      <c r="H89" s="403">
        <f t="shared" si="14"/>
        <v>230</v>
      </c>
      <c r="I89" s="403">
        <f t="shared" si="16"/>
        <v>230</v>
      </c>
    </row>
    <row r="90" spans="1:10" ht="55.65">
      <c r="A90" s="17">
        <v>0</v>
      </c>
      <c r="B90" s="17" t="s">
        <v>517</v>
      </c>
      <c r="C90" s="204" t="s">
        <v>711</v>
      </c>
      <c r="E90" s="204" t="s">
        <v>732</v>
      </c>
      <c r="F90" s="403">
        <f>320/2</f>
        <v>160</v>
      </c>
      <c r="H90" s="403">
        <f t="shared" si="14"/>
        <v>160</v>
      </c>
      <c r="I90" s="403">
        <f t="shared" si="16"/>
        <v>0</v>
      </c>
    </row>
    <row r="91" spans="1:10">
      <c r="F91" s="403"/>
    </row>
    <row r="92" spans="1:10" ht="15.75">
      <c r="E92" s="439" t="s">
        <v>733</v>
      </c>
      <c r="F92" s="403"/>
      <c r="I92" s="168">
        <f>SUM(I87:I91)</f>
        <v>507</v>
      </c>
    </row>
    <row r="93" spans="1:10">
      <c r="F93" s="403"/>
    </row>
    <row r="94" spans="1:10">
      <c r="F94" s="403"/>
    </row>
    <row r="95" spans="1:10">
      <c r="F95" s="403"/>
    </row>
    <row r="96" spans="1:10">
      <c r="F96" s="403"/>
    </row>
    <row r="97" spans="6:6">
      <c r="F97" s="403"/>
    </row>
  </sheetData>
  <mergeCells count="6">
    <mergeCell ref="A87:E87"/>
    <mergeCell ref="B1:F1"/>
    <mergeCell ref="A2:G2"/>
    <mergeCell ref="J19:L19"/>
    <mergeCell ref="A70:E70"/>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6"/>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2.140625" style="204" customWidth="1"/>
    <col min="4" max="4" width="17.85546875" style="17" customWidth="1"/>
    <col min="5" max="5" width="49.140625" style="17" customWidth="1"/>
    <col min="6" max="6" width="10.140625" style="17"/>
    <col min="7" max="7" width="10.140625" style="404"/>
    <col min="8" max="8" width="10.140625" style="17"/>
    <col min="9" max="9" width="11.7109375" style="17" customWidth="1"/>
    <col min="10" max="10" width="24.7109375" style="17" customWidth="1"/>
    <col min="11" max="64" width="10.140625" style="17"/>
  </cols>
  <sheetData>
    <row r="1" spans="1:19" ht="15.05">
      <c r="B1" s="1058" t="s">
        <v>198</v>
      </c>
      <c r="C1" s="1058"/>
      <c r="D1" s="1058"/>
      <c r="E1" s="1058"/>
      <c r="F1" s="1058"/>
      <c r="H1" s="405" t="s">
        <v>493</v>
      </c>
      <c r="I1" s="406">
        <v>340</v>
      </c>
      <c r="J1" s="17" t="s">
        <v>494</v>
      </c>
      <c r="K1" s="17" t="s">
        <v>495</v>
      </c>
      <c r="L1" s="58">
        <f>A4*I1</f>
        <v>35360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33.4">
      <c r="A4" s="423">
        <f>2*20+2*21+22</f>
        <v>104</v>
      </c>
      <c r="B4" s="423" t="s">
        <v>522</v>
      </c>
      <c r="C4" s="420" t="s">
        <v>534</v>
      </c>
      <c r="D4" s="413"/>
      <c r="E4" s="420" t="s">
        <v>1088</v>
      </c>
      <c r="F4" s="421">
        <v>89.91</v>
      </c>
      <c r="G4" s="410"/>
      <c r="H4" s="409">
        <f t="shared" ref="H4:H9" si="0">F4*(1-G4)</f>
        <v>89.91</v>
      </c>
      <c r="I4" s="409">
        <f t="shared" ref="I4:I9" si="1">A4*H4</f>
        <v>9350.64</v>
      </c>
      <c r="J4" s="204" t="s">
        <v>1885</v>
      </c>
      <c r="K4" s="403"/>
      <c r="L4" s="404"/>
      <c r="M4" s="418">
        <f t="shared" ref="M4:M5" si="2">I4</f>
        <v>9350.64</v>
      </c>
      <c r="N4" s="418"/>
      <c r="O4" s="418"/>
      <c r="P4" s="418"/>
      <c r="Q4" s="418"/>
      <c r="R4" s="418"/>
      <c r="S4" s="418"/>
    </row>
    <row r="5" spans="1:19" ht="44.55">
      <c r="A5" s="423">
        <v>1</v>
      </c>
      <c r="B5" s="487" t="s">
        <v>522</v>
      </c>
      <c r="C5" s="424" t="s">
        <v>1011</v>
      </c>
      <c r="D5" s="487" t="s">
        <v>556</v>
      </c>
      <c r="E5" s="424" t="s">
        <v>1014</v>
      </c>
      <c r="F5" s="425">
        <f>2623.01*A4/109</f>
        <v>2502.6884403669728</v>
      </c>
      <c r="G5" s="428"/>
      <c r="H5" s="430">
        <f t="shared" si="0"/>
        <v>2502.6884403669728</v>
      </c>
      <c r="I5" s="430">
        <f t="shared" si="1"/>
        <v>2502.6884403669728</v>
      </c>
      <c r="J5" s="722" t="s">
        <v>1886</v>
      </c>
      <c r="K5" s="728"/>
      <c r="L5" s="728"/>
      <c r="M5" s="418">
        <f t="shared" si="2"/>
        <v>2502.6884403669728</v>
      </c>
      <c r="N5" s="418"/>
      <c r="O5" s="418"/>
      <c r="P5" s="418"/>
      <c r="Q5" s="418"/>
      <c r="R5" s="418"/>
      <c r="S5" s="418"/>
    </row>
    <row r="6" spans="1:19" ht="55.65">
      <c r="A6" s="423">
        <v>1</v>
      </c>
      <c r="B6" s="423" t="s">
        <v>522</v>
      </c>
      <c r="C6" s="424" t="s">
        <v>1011</v>
      </c>
      <c r="D6" s="423" t="s">
        <v>1015</v>
      </c>
      <c r="E6" s="424" t="s">
        <v>1016</v>
      </c>
      <c r="F6" s="425">
        <f>466.67+250</f>
        <v>716.67000000000007</v>
      </c>
      <c r="G6" s="428"/>
      <c r="H6" s="430">
        <f t="shared" si="0"/>
        <v>716.67000000000007</v>
      </c>
      <c r="I6" s="430">
        <f t="shared" si="1"/>
        <v>716.67000000000007</v>
      </c>
      <c r="J6" s="722" t="s">
        <v>1017</v>
      </c>
      <c r="K6" s="728"/>
      <c r="L6" s="728"/>
      <c r="M6" s="418"/>
      <c r="N6" s="418"/>
      <c r="O6" s="418"/>
      <c r="P6" s="418"/>
      <c r="Q6" s="418"/>
      <c r="R6" s="418">
        <f t="shared" ref="R6:R9" si="3">I6</f>
        <v>716.67000000000007</v>
      </c>
      <c r="S6" s="418"/>
    </row>
    <row r="7" spans="1:19" ht="178.05">
      <c r="A7" s="423">
        <v>1</v>
      </c>
      <c r="B7" s="423" t="s">
        <v>522</v>
      </c>
      <c r="C7" s="424" t="s">
        <v>1011</v>
      </c>
      <c r="D7" s="413" t="s">
        <v>985</v>
      </c>
      <c r="E7" s="420" t="s">
        <v>1887</v>
      </c>
      <c r="F7" s="421">
        <v>570.79810559953899</v>
      </c>
      <c r="G7" s="428"/>
      <c r="H7" s="430">
        <f t="shared" si="0"/>
        <v>570.79810559953899</v>
      </c>
      <c r="I7" s="430">
        <f t="shared" si="1"/>
        <v>570.79810559953899</v>
      </c>
      <c r="J7" s="722" t="s">
        <v>1019</v>
      </c>
      <c r="K7" s="728"/>
      <c r="L7" s="728"/>
      <c r="M7" s="418"/>
      <c r="N7" s="418"/>
      <c r="O7" s="418"/>
      <c r="P7" s="418"/>
      <c r="Q7" s="418"/>
      <c r="R7" s="418">
        <f t="shared" si="3"/>
        <v>570.79810559953899</v>
      </c>
      <c r="S7" s="418"/>
    </row>
    <row r="8" spans="1:19">
      <c r="A8" s="487"/>
      <c r="B8" s="487"/>
      <c r="C8" s="424"/>
      <c r="D8" s="487"/>
      <c r="E8" s="492"/>
      <c r="F8" s="430"/>
      <c r="G8" s="428"/>
      <c r="H8" s="430">
        <f t="shared" si="0"/>
        <v>0</v>
      </c>
      <c r="I8" s="430">
        <f t="shared" si="1"/>
        <v>0</v>
      </c>
      <c r="J8" s="719"/>
      <c r="K8" s="728"/>
      <c r="L8" s="728"/>
      <c r="M8" s="418"/>
      <c r="N8" s="418"/>
      <c r="O8" s="418"/>
      <c r="P8" s="418"/>
      <c r="Q8" s="418"/>
      <c r="R8" s="418">
        <f t="shared" si="3"/>
        <v>0</v>
      </c>
      <c r="S8" s="418"/>
    </row>
    <row r="9" spans="1:19">
      <c r="A9" s="487"/>
      <c r="B9" s="487"/>
      <c r="C9" s="492"/>
      <c r="D9" s="487"/>
      <c r="E9" s="492"/>
      <c r="F9" s="430"/>
      <c r="G9" s="428"/>
      <c r="H9" s="430">
        <f t="shared" si="0"/>
        <v>0</v>
      </c>
      <c r="I9" s="430">
        <f t="shared" si="1"/>
        <v>0</v>
      </c>
      <c r="J9" s="719"/>
      <c r="K9" s="728"/>
      <c r="L9" s="728"/>
      <c r="M9" s="437"/>
      <c r="N9" s="437"/>
      <c r="O9" s="437"/>
      <c r="P9" s="437"/>
      <c r="Q9" s="437"/>
      <c r="R9" s="418">
        <f t="shared" si="3"/>
        <v>0</v>
      </c>
      <c r="S9" s="418"/>
    </row>
    <row r="10" spans="1:19">
      <c r="A10" s="487"/>
      <c r="B10" s="487"/>
      <c r="C10" s="492"/>
      <c r="D10" s="487"/>
      <c r="E10" s="492"/>
      <c r="F10" s="430"/>
      <c r="G10" s="428"/>
      <c r="H10" s="430">
        <f t="shared" ref="H10:H73" si="4">F10*(1-G10)</f>
        <v>0</v>
      </c>
      <c r="I10" s="430">
        <f t="shared" ref="I10:I28" si="5">A10*H10</f>
        <v>0</v>
      </c>
      <c r="J10" s="719"/>
      <c r="K10" s="728"/>
      <c r="L10" s="728"/>
      <c r="M10" s="437"/>
      <c r="N10" s="437"/>
      <c r="O10" s="437"/>
      <c r="P10" s="437"/>
      <c r="Q10" s="437"/>
      <c r="R10" s="418">
        <f>I10</f>
        <v>0</v>
      </c>
      <c r="S10" s="418"/>
    </row>
    <row r="11" spans="1:19" ht="44.55">
      <c r="A11" s="423">
        <v>230</v>
      </c>
      <c r="B11" s="423" t="s">
        <v>539</v>
      </c>
      <c r="C11" s="424" t="s">
        <v>987</v>
      </c>
      <c r="D11" s="423" t="s">
        <v>541</v>
      </c>
      <c r="E11" s="424" t="s">
        <v>542</v>
      </c>
      <c r="F11" s="425">
        <f t="shared" ref="F11:F12" si="6">328.33/500</f>
        <v>0.65666000000000002</v>
      </c>
      <c r="G11" s="428"/>
      <c r="H11" s="430">
        <f t="shared" si="4"/>
        <v>0.65666000000000002</v>
      </c>
      <c r="I11" s="430">
        <f t="shared" si="5"/>
        <v>151.0318</v>
      </c>
      <c r="J11" s="719"/>
      <c r="K11" s="728"/>
      <c r="L11" s="728"/>
      <c r="M11" s="437"/>
      <c r="N11" s="437"/>
      <c r="O11" s="418">
        <f t="shared" ref="O11:O24" si="7">I11</f>
        <v>151.0318</v>
      </c>
      <c r="P11" s="418"/>
      <c r="Q11" s="418"/>
      <c r="R11" s="437"/>
      <c r="S11" s="418"/>
    </row>
    <row r="12" spans="1:19" ht="44.55">
      <c r="A12" s="423">
        <v>140</v>
      </c>
      <c r="B12" s="423" t="s">
        <v>539</v>
      </c>
      <c r="C12" s="424" t="s">
        <v>987</v>
      </c>
      <c r="D12" s="423" t="s">
        <v>543</v>
      </c>
      <c r="E12" s="424" t="s">
        <v>544</v>
      </c>
      <c r="F12" s="425">
        <f t="shared" si="6"/>
        <v>0.65666000000000002</v>
      </c>
      <c r="G12" s="428"/>
      <c r="H12" s="430">
        <f t="shared" si="4"/>
        <v>0.65666000000000002</v>
      </c>
      <c r="I12" s="430">
        <f t="shared" si="5"/>
        <v>91.932400000000001</v>
      </c>
      <c r="J12" s="719"/>
      <c r="K12" s="728"/>
      <c r="L12" s="728"/>
      <c r="M12" s="437"/>
      <c r="N12" s="437"/>
      <c r="O12" s="418">
        <f t="shared" si="7"/>
        <v>91.932400000000001</v>
      </c>
      <c r="P12" s="418"/>
      <c r="Q12" s="418"/>
      <c r="R12" s="437"/>
      <c r="S12" s="418"/>
    </row>
    <row r="13" spans="1:19" ht="22.25">
      <c r="A13" s="423">
        <f t="shared" ref="A13:A14" si="8">52</f>
        <v>52</v>
      </c>
      <c r="B13" s="423" t="s">
        <v>522</v>
      </c>
      <c r="C13" s="424" t="s">
        <v>1074</v>
      </c>
      <c r="D13" s="423"/>
      <c r="E13" s="424" t="s">
        <v>1079</v>
      </c>
      <c r="F13" s="425">
        <v>1.3</v>
      </c>
      <c r="G13" s="428"/>
      <c r="H13" s="430">
        <f t="shared" si="4"/>
        <v>1.3</v>
      </c>
      <c r="I13" s="430">
        <f t="shared" si="5"/>
        <v>67.600000000000009</v>
      </c>
      <c r="J13" s="719"/>
      <c r="K13" s="728"/>
      <c r="L13" s="728"/>
      <c r="M13" s="437"/>
      <c r="N13" s="437"/>
      <c r="O13" s="418">
        <f t="shared" si="7"/>
        <v>67.600000000000009</v>
      </c>
      <c r="P13" s="437"/>
      <c r="Q13" s="437"/>
      <c r="R13" s="418"/>
      <c r="S13" s="418"/>
    </row>
    <row r="14" spans="1:19" ht="22.25">
      <c r="A14" s="423">
        <f t="shared" si="8"/>
        <v>52</v>
      </c>
      <c r="B14" s="423" t="s">
        <v>522</v>
      </c>
      <c r="C14" s="424" t="s">
        <v>1074</v>
      </c>
      <c r="D14" s="423"/>
      <c r="E14" s="424" t="s">
        <v>1080</v>
      </c>
      <c r="F14" s="425">
        <v>0.98</v>
      </c>
      <c r="G14" s="428"/>
      <c r="H14" s="430">
        <f t="shared" si="4"/>
        <v>0.98</v>
      </c>
      <c r="I14" s="430">
        <f t="shared" si="5"/>
        <v>50.96</v>
      </c>
      <c r="J14" s="719"/>
      <c r="K14" s="728"/>
      <c r="L14" s="728"/>
      <c r="M14" s="437"/>
      <c r="N14" s="437"/>
      <c r="O14" s="418">
        <f t="shared" si="7"/>
        <v>50.96</v>
      </c>
      <c r="P14" s="437"/>
      <c r="Q14" s="437"/>
      <c r="R14" s="418"/>
      <c r="S14" s="418"/>
    </row>
    <row r="15" spans="1:19" ht="44.55">
      <c r="A15" s="423">
        <v>1</v>
      </c>
      <c r="B15" s="423" t="s">
        <v>522</v>
      </c>
      <c r="C15" s="420" t="s">
        <v>540</v>
      </c>
      <c r="D15" s="413" t="s">
        <v>821</v>
      </c>
      <c r="E15" s="420" t="s">
        <v>822</v>
      </c>
      <c r="F15" s="421">
        <v>1810</v>
      </c>
      <c r="G15" s="428"/>
      <c r="H15" s="430">
        <f t="shared" si="4"/>
        <v>1810</v>
      </c>
      <c r="I15" s="430">
        <f t="shared" si="5"/>
        <v>1810</v>
      </c>
      <c r="J15" s="719"/>
      <c r="K15" s="728"/>
      <c r="L15" s="728"/>
      <c r="M15" s="437"/>
      <c r="N15" s="418">
        <f t="shared" ref="N15:N17" si="9">I15</f>
        <v>1810</v>
      </c>
      <c r="O15" s="437"/>
      <c r="P15" s="437"/>
      <c r="Q15" s="437"/>
      <c r="R15" s="437"/>
      <c r="S15" s="418"/>
    </row>
    <row r="16" spans="1:19" ht="22.25">
      <c r="A16" s="423">
        <v>1</v>
      </c>
      <c r="B16" s="423" t="s">
        <v>522</v>
      </c>
      <c r="C16" s="424" t="s">
        <v>967</v>
      </c>
      <c r="D16" s="423" t="s">
        <v>556</v>
      </c>
      <c r="E16" s="424" t="s">
        <v>968</v>
      </c>
      <c r="F16" s="425">
        <v>905.34</v>
      </c>
      <c r="G16" s="428"/>
      <c r="H16" s="430">
        <f t="shared" si="4"/>
        <v>905.34</v>
      </c>
      <c r="I16" s="430">
        <f t="shared" si="5"/>
        <v>905.34</v>
      </c>
      <c r="J16" s="719"/>
      <c r="K16" s="728"/>
      <c r="L16" s="728"/>
      <c r="M16" s="437"/>
      <c r="N16" s="418">
        <f t="shared" si="9"/>
        <v>905.34</v>
      </c>
      <c r="O16" s="437"/>
      <c r="P16" s="437"/>
      <c r="Q16" s="437"/>
      <c r="R16" s="437"/>
      <c r="S16" s="418"/>
    </row>
    <row r="17" spans="1:19">
      <c r="A17" s="423"/>
      <c r="B17" s="423"/>
      <c r="C17" s="424"/>
      <c r="D17" s="487"/>
      <c r="E17" s="424"/>
      <c r="F17" s="425"/>
      <c r="G17" s="428"/>
      <c r="H17" s="430">
        <f t="shared" si="4"/>
        <v>0</v>
      </c>
      <c r="I17" s="430">
        <f t="shared" si="5"/>
        <v>0</v>
      </c>
      <c r="J17" s="719"/>
      <c r="K17" s="728"/>
      <c r="L17" s="728"/>
      <c r="M17" s="437"/>
      <c r="N17" s="418">
        <f t="shared" si="9"/>
        <v>0</v>
      </c>
      <c r="O17" s="437"/>
      <c r="P17" s="437"/>
      <c r="Q17" s="437"/>
      <c r="R17" s="437"/>
      <c r="S17" s="418"/>
    </row>
    <row r="18" spans="1:19" ht="44.55">
      <c r="A18" s="423">
        <v>10</v>
      </c>
      <c r="B18" s="423" t="s">
        <v>522</v>
      </c>
      <c r="C18" s="424" t="s">
        <v>1011</v>
      </c>
      <c r="D18" s="423" t="s">
        <v>761</v>
      </c>
      <c r="E18" s="424" t="s">
        <v>762</v>
      </c>
      <c r="F18" s="425">
        <v>2.5</v>
      </c>
      <c r="G18" s="428"/>
      <c r="H18" s="430">
        <f t="shared" si="4"/>
        <v>2.5</v>
      </c>
      <c r="I18" s="430">
        <f t="shared" si="5"/>
        <v>25</v>
      </c>
      <c r="J18" s="719" t="s">
        <v>1020</v>
      </c>
      <c r="K18" s="728"/>
      <c r="L18" s="728"/>
      <c r="M18" s="437"/>
      <c r="N18" s="437"/>
      <c r="O18" s="437"/>
      <c r="P18" s="437"/>
      <c r="Q18" s="437"/>
      <c r="R18" s="418">
        <f t="shared" ref="R18:R19" si="10">I18</f>
        <v>25</v>
      </c>
      <c r="S18" s="418"/>
    </row>
    <row r="19" spans="1:19" ht="46.15" customHeight="1">
      <c r="A19" s="423">
        <v>2</v>
      </c>
      <c r="B19" s="423" t="s">
        <v>522</v>
      </c>
      <c r="C19" s="420" t="s">
        <v>987</v>
      </c>
      <c r="D19" s="413" t="s">
        <v>992</v>
      </c>
      <c r="E19" s="420" t="s">
        <v>993</v>
      </c>
      <c r="F19" s="421">
        <v>274.44</v>
      </c>
      <c r="G19" s="428"/>
      <c r="H19" s="430">
        <f t="shared" si="4"/>
        <v>274.44</v>
      </c>
      <c r="I19" s="430">
        <f t="shared" si="5"/>
        <v>548.88</v>
      </c>
      <c r="J19" s="1080" t="s">
        <v>1444</v>
      </c>
      <c r="K19" s="1080"/>
      <c r="L19" s="1080"/>
      <c r="M19" s="437"/>
      <c r="N19" s="437"/>
      <c r="O19" s="437"/>
      <c r="P19" s="437"/>
      <c r="Q19" s="437"/>
      <c r="R19" s="418">
        <f t="shared" si="10"/>
        <v>548.88</v>
      </c>
      <c r="S19" s="418"/>
    </row>
    <row r="20" spans="1:19" ht="22.25">
      <c r="A20" s="407">
        <v>1</v>
      </c>
      <c r="B20" s="407" t="s">
        <v>522</v>
      </c>
      <c r="C20" s="420" t="s">
        <v>531</v>
      </c>
      <c r="D20" s="407"/>
      <c r="E20" s="408" t="s">
        <v>695</v>
      </c>
      <c r="F20" s="409">
        <v>100</v>
      </c>
      <c r="G20" s="410"/>
      <c r="H20" s="409">
        <f t="shared" si="4"/>
        <v>100</v>
      </c>
      <c r="I20" s="409">
        <f t="shared" si="5"/>
        <v>100</v>
      </c>
      <c r="J20" s="204"/>
      <c r="M20" s="437"/>
      <c r="N20" s="437"/>
      <c r="O20" s="418">
        <f t="shared" si="7"/>
        <v>100</v>
      </c>
      <c r="P20" s="437"/>
      <c r="Q20" s="437"/>
      <c r="R20" s="418"/>
      <c r="S20" s="418"/>
    </row>
    <row r="21" spans="1:19" ht="44.55">
      <c r="A21" s="413">
        <v>1</v>
      </c>
      <c r="B21" s="413"/>
      <c r="C21" s="420" t="s">
        <v>1011</v>
      </c>
      <c r="D21" s="413" t="s">
        <v>769</v>
      </c>
      <c r="E21" s="413" t="s">
        <v>567</v>
      </c>
      <c r="F21" s="421">
        <v>343.75</v>
      </c>
      <c r="G21" s="428"/>
      <c r="H21" s="430">
        <f t="shared" si="4"/>
        <v>343.75</v>
      </c>
      <c r="I21" s="430">
        <f t="shared" si="5"/>
        <v>343.75</v>
      </c>
      <c r="J21" s="719"/>
      <c r="K21" s="728"/>
      <c r="L21" s="728"/>
      <c r="M21" s="418">
        <f>F21</f>
        <v>343.75</v>
      </c>
      <c r="N21" s="437"/>
      <c r="O21" s="437"/>
      <c r="P21" s="437"/>
      <c r="Q21" s="437"/>
      <c r="R21" s="437"/>
      <c r="S21" s="418"/>
    </row>
    <row r="22" spans="1:19" ht="22.25">
      <c r="A22" s="413">
        <v>6</v>
      </c>
      <c r="B22" s="413" t="s">
        <v>539</v>
      </c>
      <c r="C22" s="420" t="s">
        <v>1445</v>
      </c>
      <c r="D22" s="413"/>
      <c r="E22" s="413" t="s">
        <v>691</v>
      </c>
      <c r="F22" s="421">
        <f>7.58/1.2</f>
        <v>6.3166666666666673</v>
      </c>
      <c r="G22" s="410"/>
      <c r="H22" s="409">
        <f t="shared" si="4"/>
        <v>6.3166666666666673</v>
      </c>
      <c r="I22" s="409">
        <f t="shared" si="5"/>
        <v>37.900000000000006</v>
      </c>
      <c r="J22" s="204" t="s">
        <v>1446</v>
      </c>
      <c r="K22" s="728"/>
      <c r="L22" s="728"/>
      <c r="M22" s="418"/>
      <c r="N22" s="437"/>
      <c r="O22" s="418">
        <f t="shared" si="7"/>
        <v>37.900000000000006</v>
      </c>
      <c r="P22" s="437"/>
      <c r="Q22" s="437"/>
      <c r="R22" s="437"/>
      <c r="S22" s="418"/>
    </row>
    <row r="23" spans="1:19" ht="22.25">
      <c r="A23" s="423">
        <v>0</v>
      </c>
      <c r="B23" s="413" t="s">
        <v>539</v>
      </c>
      <c r="C23" s="420" t="s">
        <v>1445</v>
      </c>
      <c r="D23" s="413"/>
      <c r="E23" s="413" t="s">
        <v>835</v>
      </c>
      <c r="F23" s="421">
        <f>863/135</f>
        <v>6.3925925925925924</v>
      </c>
      <c r="G23" s="428"/>
      <c r="H23" s="430">
        <f t="shared" si="4"/>
        <v>6.3925925925925924</v>
      </c>
      <c r="I23" s="430">
        <f t="shared" si="5"/>
        <v>0</v>
      </c>
      <c r="J23" s="204"/>
      <c r="K23" s="728"/>
      <c r="L23" s="728"/>
      <c r="M23" s="418"/>
      <c r="N23" s="437"/>
      <c r="O23" s="418">
        <f t="shared" si="7"/>
        <v>0</v>
      </c>
      <c r="P23" s="437"/>
      <c r="Q23" s="437"/>
      <c r="R23" s="437"/>
      <c r="S23" s="418"/>
    </row>
    <row r="24" spans="1:19" ht="66.8">
      <c r="A24" s="423">
        <v>42</v>
      </c>
      <c r="B24" s="413" t="s">
        <v>539</v>
      </c>
      <c r="C24" s="420" t="s">
        <v>1445</v>
      </c>
      <c r="D24" s="413"/>
      <c r="E24" s="413" t="s">
        <v>1052</v>
      </c>
      <c r="F24" s="421">
        <f>1569/125</f>
        <v>12.552</v>
      </c>
      <c r="G24" s="428"/>
      <c r="H24" s="430">
        <f t="shared" si="4"/>
        <v>12.552</v>
      </c>
      <c r="I24" s="430">
        <f t="shared" si="5"/>
        <v>527.18399999999997</v>
      </c>
      <c r="J24" s="204" t="s">
        <v>1447</v>
      </c>
      <c r="K24" s="728"/>
      <c r="L24" s="728"/>
      <c r="M24" s="418"/>
      <c r="N24" s="437"/>
      <c r="O24" s="418">
        <f t="shared" si="7"/>
        <v>527.18399999999997</v>
      </c>
      <c r="P24" s="437"/>
      <c r="Q24" s="437"/>
      <c r="R24" s="437"/>
      <c r="S24" s="418"/>
    </row>
    <row r="25" spans="1:19" ht="33.4">
      <c r="A25" s="423">
        <v>1</v>
      </c>
      <c r="B25" s="423" t="s">
        <v>517</v>
      </c>
      <c r="C25" s="408" t="s">
        <v>569</v>
      </c>
      <c r="D25" s="407" t="s">
        <v>570</v>
      </c>
      <c r="E25" s="408" t="s">
        <v>571</v>
      </c>
      <c r="F25" s="409">
        <v>1040</v>
      </c>
      <c r="G25" s="429">
        <v>0.48</v>
      </c>
      <c r="H25" s="430">
        <f t="shared" si="4"/>
        <v>540.80000000000007</v>
      </c>
      <c r="I25" s="430">
        <f t="shared" si="5"/>
        <v>540.80000000000007</v>
      </c>
      <c r="J25" s="719" t="s">
        <v>1888</v>
      </c>
      <c r="K25" s="728"/>
      <c r="L25" s="728"/>
      <c r="M25" s="418"/>
      <c r="N25" s="437"/>
      <c r="O25" s="437"/>
      <c r="P25" s="437"/>
      <c r="Q25" s="437"/>
      <c r="R25" s="437"/>
      <c r="S25" s="418">
        <f t="shared" ref="S25:S28" si="11">I25</f>
        <v>540.80000000000007</v>
      </c>
    </row>
    <row r="26" spans="1:19">
      <c r="A26" s="423">
        <v>0</v>
      </c>
      <c r="B26" s="423" t="s">
        <v>517</v>
      </c>
      <c r="C26" s="424" t="s">
        <v>574</v>
      </c>
      <c r="D26" s="423" t="s">
        <v>575</v>
      </c>
      <c r="E26" s="423" t="s">
        <v>576</v>
      </c>
      <c r="F26" s="425">
        <v>36.700000000000003</v>
      </c>
      <c r="G26" s="428"/>
      <c r="H26" s="430">
        <f t="shared" si="4"/>
        <v>36.700000000000003</v>
      </c>
      <c r="I26" s="430">
        <f t="shared" si="5"/>
        <v>0</v>
      </c>
      <c r="J26" s="719"/>
      <c r="K26" s="728"/>
      <c r="L26" s="728"/>
      <c r="M26" s="418"/>
      <c r="N26" s="437"/>
      <c r="O26" s="437"/>
      <c r="P26" s="437"/>
      <c r="Q26" s="437"/>
      <c r="R26" s="437"/>
      <c r="S26" s="418">
        <f t="shared" si="11"/>
        <v>0</v>
      </c>
    </row>
    <row r="27" spans="1:19">
      <c r="A27" s="423">
        <v>5</v>
      </c>
      <c r="B27" s="423" t="s">
        <v>517</v>
      </c>
      <c r="C27" s="424" t="s">
        <v>574</v>
      </c>
      <c r="D27" s="423" t="s">
        <v>577</v>
      </c>
      <c r="E27" s="423" t="s">
        <v>578</v>
      </c>
      <c r="F27" s="425">
        <v>75</v>
      </c>
      <c r="G27" s="428"/>
      <c r="H27" s="430">
        <f t="shared" si="4"/>
        <v>75</v>
      </c>
      <c r="I27" s="430">
        <f t="shared" si="5"/>
        <v>375</v>
      </c>
      <c r="J27" s="719"/>
      <c r="K27" s="728"/>
      <c r="L27" s="728"/>
      <c r="M27" s="418"/>
      <c r="N27" s="437"/>
      <c r="O27" s="437"/>
      <c r="P27" s="437"/>
      <c r="Q27" s="437"/>
      <c r="R27" s="437"/>
      <c r="S27" s="418">
        <f t="shared" si="11"/>
        <v>375</v>
      </c>
    </row>
    <row r="28" spans="1:19">
      <c r="A28" s="423">
        <v>1</v>
      </c>
      <c r="B28" s="423" t="s">
        <v>517</v>
      </c>
      <c r="C28" s="424" t="s">
        <v>574</v>
      </c>
      <c r="D28" s="423"/>
      <c r="E28" s="423" t="s">
        <v>579</v>
      </c>
      <c r="F28" s="425">
        <f>35/4</f>
        <v>8.75</v>
      </c>
      <c r="G28" s="428"/>
      <c r="H28" s="430">
        <f t="shared" si="4"/>
        <v>8.75</v>
      </c>
      <c r="I28" s="430">
        <f t="shared" si="5"/>
        <v>8.75</v>
      </c>
      <c r="J28" s="719"/>
      <c r="K28" s="728"/>
      <c r="L28" s="728"/>
      <c r="M28" s="418"/>
      <c r="N28" s="437"/>
      <c r="O28" s="437"/>
      <c r="P28" s="437"/>
      <c r="Q28" s="437"/>
      <c r="R28" s="437"/>
      <c r="S28" s="418">
        <f t="shared" si="11"/>
        <v>8.75</v>
      </c>
    </row>
    <row r="29" spans="1:19" ht="12.45">
      <c r="A29" s="487"/>
      <c r="B29" s="487"/>
      <c r="C29" s="492"/>
      <c r="D29" s="487"/>
      <c r="E29" s="744"/>
      <c r="F29" s="430"/>
      <c r="G29" s="428"/>
      <c r="H29" s="430"/>
      <c r="I29" s="430"/>
      <c r="J29" s="719"/>
      <c r="K29" s="728"/>
      <c r="L29" s="728"/>
      <c r="M29" s="418"/>
      <c r="N29" s="437"/>
      <c r="O29" s="437"/>
      <c r="P29" s="437"/>
      <c r="Q29" s="437"/>
      <c r="R29" s="437"/>
      <c r="S29" s="418"/>
    </row>
    <row r="30" spans="1:19" ht="12.45">
      <c r="A30" s="487"/>
      <c r="B30" s="487"/>
      <c r="C30" s="492"/>
      <c r="D30" s="487"/>
      <c r="E30" s="744"/>
      <c r="F30" s="430"/>
      <c r="G30" s="428"/>
      <c r="H30" s="430"/>
      <c r="I30" s="430"/>
      <c r="J30" s="719"/>
      <c r="K30" s="728"/>
      <c r="L30" s="728"/>
      <c r="M30" s="418"/>
      <c r="N30" s="437"/>
      <c r="O30" s="437"/>
      <c r="P30" s="437"/>
      <c r="Q30" s="437"/>
      <c r="R30" s="437"/>
      <c r="S30" s="418"/>
    </row>
    <row r="31" spans="1:19">
      <c r="A31" s="407"/>
      <c r="B31" s="407"/>
      <c r="C31" s="408"/>
      <c r="D31" s="407"/>
      <c r="E31" s="407"/>
      <c r="F31" s="409"/>
      <c r="G31" s="410"/>
      <c r="H31" s="409"/>
      <c r="I31" s="409"/>
      <c r="J31" s="204"/>
      <c r="M31" s="437"/>
      <c r="N31" s="437"/>
      <c r="O31" s="437"/>
      <c r="P31" s="437"/>
      <c r="Q31" s="437"/>
      <c r="R31" s="437"/>
      <c r="S31" s="418"/>
    </row>
    <row r="32" spans="1:19">
      <c r="A32" s="407"/>
      <c r="B32" s="407"/>
      <c r="C32" s="408"/>
      <c r="D32" s="407"/>
      <c r="E32" s="432" t="s">
        <v>580</v>
      </c>
      <c r="F32" s="409"/>
      <c r="G32" s="410"/>
      <c r="H32" s="409"/>
      <c r="I32" s="421">
        <f>SUM(I4:I30)</f>
        <v>18724.924745966513</v>
      </c>
      <c r="J32" s="204"/>
      <c r="M32" s="418">
        <f>SUM(M4:M30)</f>
        <v>12197.078440366971</v>
      </c>
      <c r="N32" s="418">
        <f>SUM(N4:N30)</f>
        <v>2715.34</v>
      </c>
      <c r="O32" s="418">
        <f>SUM(O4:O30)</f>
        <v>1026.6082000000001</v>
      </c>
      <c r="P32" s="418"/>
      <c r="Q32" s="418"/>
      <c r="R32" s="418">
        <f>SUM(R4:R30)</f>
        <v>1861.3481055995389</v>
      </c>
      <c r="S32" s="418"/>
    </row>
    <row r="33" spans="1:19">
      <c r="A33" s="407"/>
      <c r="B33" s="407"/>
      <c r="C33" s="408"/>
      <c r="D33" s="407"/>
      <c r="E33" s="413" t="s">
        <v>581</v>
      </c>
      <c r="F33" s="409"/>
      <c r="G33" s="410">
        <v>0.25</v>
      </c>
      <c r="H33" s="409"/>
      <c r="I33" s="421"/>
      <c r="J33" s="204"/>
      <c r="M33" s="418"/>
      <c r="N33" s="418"/>
      <c r="O33" s="418"/>
      <c r="P33" s="418"/>
      <c r="Q33" s="418"/>
      <c r="R33" s="418"/>
      <c r="S33" s="418"/>
    </row>
    <row r="34" spans="1:19" ht="15.75">
      <c r="E34" s="433" t="s">
        <v>582</v>
      </c>
      <c r="F34" s="418"/>
      <c r="G34" s="434"/>
      <c r="H34" s="418"/>
      <c r="I34" s="435">
        <f>I32*(1+$G$33)</f>
        <v>23406.155932458139</v>
      </c>
      <c r="J34" s="436"/>
      <c r="K34" s="437"/>
      <c r="L34" s="437"/>
      <c r="M34" s="165">
        <f>M32*(1+$G$33)</f>
        <v>15246.348050458713</v>
      </c>
      <c r="N34" s="165">
        <f>N32*(1+$G$33)</f>
        <v>3394.1750000000002</v>
      </c>
      <c r="O34" s="165">
        <f>O32*(1+$G$33)</f>
        <v>1283.2602500000003</v>
      </c>
      <c r="P34" s="418"/>
      <c r="Q34" s="418"/>
      <c r="R34" s="165">
        <f>R32*(1+$G$33)</f>
        <v>2326.6851319994239</v>
      </c>
      <c r="S34" s="165">
        <f>SUM(S4:S33)</f>
        <v>924.55000000000007</v>
      </c>
    </row>
    <row r="37" spans="1:19">
      <c r="E37" s="439" t="s">
        <v>585</v>
      </c>
    </row>
    <row r="38" spans="1:19">
      <c r="A38" s="441">
        <f>3*3.5</f>
        <v>10.5</v>
      </c>
      <c r="B38" s="17" t="s">
        <v>619</v>
      </c>
      <c r="E38" s="17" t="s">
        <v>586</v>
      </c>
      <c r="F38" s="403">
        <f t="shared" ref="F38:F52" si="12">F$56</f>
        <v>55</v>
      </c>
      <c r="H38" s="403">
        <f t="shared" si="4"/>
        <v>55</v>
      </c>
      <c r="I38" s="403">
        <f t="shared" ref="I38:I60" si="13">A38*H38</f>
        <v>577.5</v>
      </c>
      <c r="J38" s="17" t="s">
        <v>1889</v>
      </c>
    </row>
    <row r="39" spans="1:19">
      <c r="A39" s="441">
        <v>73</v>
      </c>
      <c r="B39" s="17" t="s">
        <v>619</v>
      </c>
      <c r="E39" s="17" t="s">
        <v>589</v>
      </c>
      <c r="F39" s="403">
        <f t="shared" si="12"/>
        <v>55</v>
      </c>
      <c r="H39" s="403">
        <f t="shared" si="4"/>
        <v>55</v>
      </c>
      <c r="I39" s="403">
        <f t="shared" si="13"/>
        <v>4015</v>
      </c>
    </row>
    <row r="40" spans="1:19">
      <c r="A40" s="441">
        <f>3.3*7/2</f>
        <v>11.549999999999999</v>
      </c>
      <c r="B40" s="17" t="s">
        <v>619</v>
      </c>
      <c r="E40" s="17" t="s">
        <v>1426</v>
      </c>
      <c r="F40" s="403">
        <f t="shared" si="12"/>
        <v>55</v>
      </c>
      <c r="H40" s="403">
        <f t="shared" si="4"/>
        <v>55</v>
      </c>
      <c r="I40" s="403">
        <f t="shared" si="13"/>
        <v>635.24999999999989</v>
      </c>
      <c r="J40" s="17" t="s">
        <v>1450</v>
      </c>
    </row>
    <row r="41" spans="1:19">
      <c r="A41" s="441">
        <f>7.75*116/30</f>
        <v>29.966666666666665</v>
      </c>
      <c r="B41" s="17" t="s">
        <v>619</v>
      </c>
      <c r="E41" s="17" t="s">
        <v>591</v>
      </c>
      <c r="F41" s="403">
        <f t="shared" si="12"/>
        <v>55</v>
      </c>
      <c r="H41" s="403">
        <f t="shared" si="4"/>
        <v>55</v>
      </c>
      <c r="I41" s="403">
        <f t="shared" si="13"/>
        <v>1648.1666666666665</v>
      </c>
      <c r="J41" s="17" t="s">
        <v>1451</v>
      </c>
    </row>
    <row r="42" spans="1:19">
      <c r="A42" s="441">
        <v>0</v>
      </c>
      <c r="B42" s="17" t="s">
        <v>619</v>
      </c>
      <c r="E42" s="17" t="s">
        <v>1428</v>
      </c>
      <c r="F42" s="403">
        <f t="shared" si="12"/>
        <v>55</v>
      </c>
      <c r="H42" s="403">
        <f t="shared" si="4"/>
        <v>55</v>
      </c>
      <c r="I42" s="403">
        <f t="shared" si="13"/>
        <v>0</v>
      </c>
      <c r="J42" s="17" t="s">
        <v>1452</v>
      </c>
    </row>
    <row r="43" spans="1:19">
      <c r="A43" s="441">
        <v>0</v>
      </c>
      <c r="B43" s="17" t="s">
        <v>619</v>
      </c>
      <c r="E43" s="17" t="s">
        <v>1429</v>
      </c>
      <c r="F43" s="403">
        <f t="shared" si="12"/>
        <v>55</v>
      </c>
      <c r="H43" s="403">
        <f t="shared" si="4"/>
        <v>55</v>
      </c>
      <c r="I43" s="403">
        <f t="shared" si="13"/>
        <v>0</v>
      </c>
      <c r="J43" s="17" t="s">
        <v>1452</v>
      </c>
    </row>
    <row r="44" spans="1:19">
      <c r="A44" s="441">
        <v>0</v>
      </c>
      <c r="B44" s="17" t="s">
        <v>619</v>
      </c>
      <c r="E44" s="17" t="s">
        <v>605</v>
      </c>
      <c r="F44" s="403">
        <f t="shared" si="12"/>
        <v>55</v>
      </c>
      <c r="H44" s="403">
        <f t="shared" si="4"/>
        <v>55</v>
      </c>
      <c r="I44" s="403">
        <f t="shared" si="13"/>
        <v>0</v>
      </c>
      <c r="J44" s="17" t="s">
        <v>1453</v>
      </c>
    </row>
    <row r="45" spans="1:19">
      <c r="A45" s="441">
        <v>12</v>
      </c>
      <c r="B45" s="17" t="s">
        <v>619</v>
      </c>
      <c r="E45" s="17" t="s">
        <v>607</v>
      </c>
      <c r="F45" s="403">
        <f t="shared" si="12"/>
        <v>55</v>
      </c>
      <c r="H45" s="403">
        <f t="shared" si="4"/>
        <v>55</v>
      </c>
      <c r="I45" s="403">
        <f t="shared" si="13"/>
        <v>660</v>
      </c>
    </row>
    <row r="46" spans="1:19">
      <c r="A46" s="441">
        <v>0</v>
      </c>
      <c r="B46" s="17" t="s">
        <v>619</v>
      </c>
      <c r="E46" s="17" t="s">
        <v>609</v>
      </c>
      <c r="F46" s="403">
        <f t="shared" si="12"/>
        <v>55</v>
      </c>
      <c r="H46" s="403">
        <f t="shared" si="4"/>
        <v>55</v>
      </c>
      <c r="I46" s="403">
        <f t="shared" si="13"/>
        <v>0</v>
      </c>
      <c r="J46" s="17" t="s">
        <v>1453</v>
      </c>
    </row>
    <row r="47" spans="1:19">
      <c r="A47" s="441">
        <v>0</v>
      </c>
      <c r="B47" s="17" t="s">
        <v>619</v>
      </c>
      <c r="E47" s="17" t="s">
        <v>610</v>
      </c>
      <c r="F47" s="403">
        <f t="shared" si="12"/>
        <v>55</v>
      </c>
      <c r="H47" s="403">
        <f t="shared" si="4"/>
        <v>55</v>
      </c>
      <c r="I47" s="403">
        <f t="shared" si="13"/>
        <v>0</v>
      </c>
      <c r="J47" s="17" t="s">
        <v>1453</v>
      </c>
    </row>
    <row r="48" spans="1:19">
      <c r="A48" s="441">
        <v>0</v>
      </c>
      <c r="B48" s="17" t="s">
        <v>619</v>
      </c>
      <c r="E48" s="17" t="s">
        <v>611</v>
      </c>
      <c r="F48" s="403">
        <f t="shared" si="12"/>
        <v>55</v>
      </c>
      <c r="H48" s="403">
        <f t="shared" si="4"/>
        <v>55</v>
      </c>
      <c r="I48" s="403">
        <f t="shared" si="13"/>
        <v>0</v>
      </c>
      <c r="J48" s="17" t="s">
        <v>1453</v>
      </c>
    </row>
    <row r="49" spans="1:16">
      <c r="A49" s="441">
        <v>1</v>
      </c>
      <c r="B49" s="17" t="s">
        <v>619</v>
      </c>
      <c r="E49" s="17" t="s">
        <v>1431</v>
      </c>
      <c r="F49" s="403">
        <f t="shared" si="12"/>
        <v>55</v>
      </c>
      <c r="H49" s="403">
        <f t="shared" si="4"/>
        <v>55</v>
      </c>
      <c r="I49" s="403">
        <f t="shared" si="13"/>
        <v>55</v>
      </c>
    </row>
    <row r="50" spans="1:16">
      <c r="A50" s="441">
        <v>5</v>
      </c>
      <c r="B50" s="17" t="s">
        <v>619</v>
      </c>
      <c r="E50" s="17" t="s">
        <v>612</v>
      </c>
      <c r="F50" s="403">
        <f t="shared" si="12"/>
        <v>55</v>
      </c>
      <c r="H50" s="403">
        <f t="shared" si="4"/>
        <v>55</v>
      </c>
      <c r="I50" s="403">
        <f t="shared" si="13"/>
        <v>275</v>
      </c>
      <c r="J50" s="17" t="s">
        <v>1454</v>
      </c>
    </row>
    <row r="51" spans="1:16">
      <c r="A51" s="441">
        <f>3*1.5</f>
        <v>4.5</v>
      </c>
      <c r="B51" s="17" t="s">
        <v>619</v>
      </c>
      <c r="E51" s="17" t="s">
        <v>614</v>
      </c>
      <c r="F51" s="403">
        <f t="shared" si="12"/>
        <v>55</v>
      </c>
      <c r="H51" s="403">
        <f t="shared" si="4"/>
        <v>55</v>
      </c>
      <c r="I51" s="403">
        <f t="shared" si="13"/>
        <v>247.5</v>
      </c>
    </row>
    <row r="52" spans="1:16">
      <c r="A52" s="441">
        <v>4</v>
      </c>
      <c r="B52" s="17" t="s">
        <v>619</v>
      </c>
      <c r="E52" s="17" t="s">
        <v>616</v>
      </c>
      <c r="F52" s="403">
        <f t="shared" si="12"/>
        <v>55</v>
      </c>
      <c r="H52" s="403">
        <f t="shared" si="4"/>
        <v>55</v>
      </c>
      <c r="I52" s="403">
        <f t="shared" si="13"/>
        <v>220</v>
      </c>
    </row>
    <row r="54" spans="1:16">
      <c r="A54" s="17">
        <f>SUM(A38:A53)</f>
        <v>151.51666666666665</v>
      </c>
      <c r="B54" s="17" t="s">
        <v>619</v>
      </c>
      <c r="E54" s="17" t="s">
        <v>620</v>
      </c>
    </row>
    <row r="55" spans="1:16">
      <c r="A55" s="441">
        <v>3</v>
      </c>
      <c r="B55" s="17" t="s">
        <v>517</v>
      </c>
      <c r="E55" s="17" t="s">
        <v>621</v>
      </c>
    </row>
    <row r="56" spans="1:16">
      <c r="A56" s="17">
        <v>1</v>
      </c>
      <c r="B56" s="17" t="s">
        <v>517</v>
      </c>
      <c r="E56" s="17" t="s">
        <v>622</v>
      </c>
      <c r="F56" s="445">
        <v>55</v>
      </c>
      <c r="H56" s="403">
        <f t="shared" si="4"/>
        <v>55</v>
      </c>
      <c r="I56" s="403">
        <f t="shared" si="13"/>
        <v>55</v>
      </c>
      <c r="J56" s="17" t="s">
        <v>623</v>
      </c>
    </row>
    <row r="57" spans="1:16">
      <c r="A57" s="17">
        <f>ROUNDUP(A54/8/A55,0)</f>
        <v>7</v>
      </c>
      <c r="B57" s="17" t="s">
        <v>624</v>
      </c>
      <c r="E57" s="17" t="s">
        <v>625</v>
      </c>
      <c r="F57" s="403">
        <f>A55*8*F56</f>
        <v>1320</v>
      </c>
      <c r="H57" s="403">
        <f t="shared" si="4"/>
        <v>1320</v>
      </c>
      <c r="I57" s="403">
        <f t="shared" si="13"/>
        <v>9240</v>
      </c>
    </row>
    <row r="58" spans="1:16">
      <c r="A58" s="441">
        <v>3</v>
      </c>
      <c r="B58" s="17" t="s">
        <v>1455</v>
      </c>
      <c r="E58" s="17" t="s">
        <v>1456</v>
      </c>
      <c r="F58" s="913">
        <v>1000</v>
      </c>
      <c r="H58" s="403">
        <f t="shared" si="4"/>
        <v>1000</v>
      </c>
      <c r="I58" s="403">
        <f t="shared" si="13"/>
        <v>3000</v>
      </c>
      <c r="J58" s="17" t="s">
        <v>1457</v>
      </c>
    </row>
    <row r="59" spans="1:16">
      <c r="A59" s="441">
        <v>0</v>
      </c>
      <c r="B59" s="17" t="s">
        <v>517</v>
      </c>
      <c r="E59" s="17" t="s">
        <v>1458</v>
      </c>
      <c r="F59" s="913">
        <v>500</v>
      </c>
      <c r="H59" s="403">
        <f t="shared" si="4"/>
        <v>500</v>
      </c>
      <c r="I59" s="403">
        <f t="shared" si="13"/>
        <v>0</v>
      </c>
    </row>
    <row r="60" spans="1:16">
      <c r="A60" s="441">
        <v>1</v>
      </c>
      <c r="B60" s="17" t="s">
        <v>517</v>
      </c>
      <c r="E60" s="17" t="s">
        <v>1459</v>
      </c>
      <c r="F60" s="913">
        <v>1000</v>
      </c>
      <c r="H60" s="403">
        <f t="shared" si="4"/>
        <v>1000</v>
      </c>
      <c r="I60" s="403">
        <f t="shared" si="13"/>
        <v>1000</v>
      </c>
      <c r="J60" s="17" t="s">
        <v>1890</v>
      </c>
    </row>
    <row r="61" spans="1:16" ht="15.75">
      <c r="E61" s="439" t="s">
        <v>628</v>
      </c>
      <c r="I61" s="443">
        <f>SUM(I57:I60)</f>
        <v>13240</v>
      </c>
      <c r="P61" s="165">
        <f>I61</f>
        <v>13240</v>
      </c>
    </row>
    <row r="64" spans="1:16">
      <c r="E64" s="449" t="s">
        <v>630</v>
      </c>
    </row>
    <row r="65" spans="1:11">
      <c r="E65" s="449" t="s">
        <v>1891</v>
      </c>
    </row>
    <row r="66" spans="1:11" ht="55.65">
      <c r="A66" s="441">
        <v>1</v>
      </c>
      <c r="B66" s="17" t="s">
        <v>517</v>
      </c>
      <c r="C66" s="204" t="s">
        <v>698</v>
      </c>
      <c r="D66" s="17" t="s">
        <v>636</v>
      </c>
      <c r="E66" s="17" t="s">
        <v>637</v>
      </c>
      <c r="F66" s="445">
        <v>1809</v>
      </c>
      <c r="G66" s="404">
        <v>0.4</v>
      </c>
      <c r="H66" s="403">
        <f t="shared" si="4"/>
        <v>1085.3999999999999</v>
      </c>
      <c r="I66" s="403">
        <f t="shared" ref="I66:I81" si="14">A66*H66</f>
        <v>1085.3999999999999</v>
      </c>
      <c r="J66" s="17" t="s">
        <v>638</v>
      </c>
      <c r="K66" s="17" t="s">
        <v>1892</v>
      </c>
    </row>
    <row r="67" spans="1:11">
      <c r="A67" s="441"/>
      <c r="B67" s="17" t="s">
        <v>517</v>
      </c>
      <c r="C67" s="204" t="s">
        <v>538</v>
      </c>
      <c r="D67" s="17" t="s">
        <v>640</v>
      </c>
      <c r="E67" s="17" t="s">
        <v>1893</v>
      </c>
      <c r="F67" s="445">
        <v>1949</v>
      </c>
      <c r="G67" s="404">
        <v>0.4</v>
      </c>
      <c r="H67" s="403">
        <f t="shared" si="4"/>
        <v>1169.3999999999999</v>
      </c>
      <c r="I67" s="403">
        <f t="shared" si="14"/>
        <v>0</v>
      </c>
      <c r="J67" s="17" t="s">
        <v>638</v>
      </c>
      <c r="K67" s="17" t="s">
        <v>1894</v>
      </c>
    </row>
    <row r="68" spans="1:11">
      <c r="A68" s="441">
        <v>0</v>
      </c>
      <c r="B68" s="17" t="s">
        <v>517</v>
      </c>
      <c r="C68" s="204" t="s">
        <v>538</v>
      </c>
      <c r="D68" s="17" t="s">
        <v>640</v>
      </c>
      <c r="E68" s="17" t="s">
        <v>1895</v>
      </c>
      <c r="F68" s="445">
        <v>1949</v>
      </c>
      <c r="G68" s="404">
        <v>0.4</v>
      </c>
      <c r="H68" s="403">
        <f t="shared" si="4"/>
        <v>1169.3999999999999</v>
      </c>
      <c r="I68" s="403">
        <f t="shared" si="14"/>
        <v>0</v>
      </c>
      <c r="J68" s="17" t="s">
        <v>638</v>
      </c>
      <c r="K68" s="17" t="s">
        <v>1894</v>
      </c>
    </row>
    <row r="69" spans="1:11">
      <c r="A69" s="441">
        <v>0</v>
      </c>
      <c r="B69" s="17" t="s">
        <v>517</v>
      </c>
      <c r="C69" s="204" t="s">
        <v>538</v>
      </c>
      <c r="D69" s="17" t="s">
        <v>640</v>
      </c>
      <c r="E69" s="17" t="s">
        <v>1896</v>
      </c>
      <c r="F69" s="445">
        <v>2447</v>
      </c>
      <c r="G69" s="404">
        <v>0.4</v>
      </c>
      <c r="H69" s="403">
        <f t="shared" si="4"/>
        <v>1468.2</v>
      </c>
      <c r="I69" s="403">
        <f t="shared" si="14"/>
        <v>0</v>
      </c>
      <c r="J69" s="17" t="s">
        <v>638</v>
      </c>
      <c r="K69" s="17" t="s">
        <v>1894</v>
      </c>
    </row>
    <row r="70" spans="1:11">
      <c r="A70" s="441">
        <v>0</v>
      </c>
      <c r="B70" s="17" t="s">
        <v>517</v>
      </c>
      <c r="C70" s="204" t="s">
        <v>538</v>
      </c>
      <c r="D70" s="17" t="s">
        <v>640</v>
      </c>
      <c r="E70" s="17" t="s">
        <v>1897</v>
      </c>
      <c r="F70" s="445">
        <v>4395</v>
      </c>
      <c r="G70" s="404">
        <v>0.4</v>
      </c>
      <c r="H70" s="403">
        <f t="shared" si="4"/>
        <v>2637</v>
      </c>
      <c r="I70" s="403">
        <f t="shared" si="14"/>
        <v>0</v>
      </c>
      <c r="J70" s="17" t="s">
        <v>638</v>
      </c>
      <c r="K70" s="17" t="s">
        <v>1894</v>
      </c>
    </row>
    <row r="71" spans="1:11">
      <c r="A71" s="441">
        <v>0</v>
      </c>
      <c r="B71" s="17" t="s">
        <v>517</v>
      </c>
      <c r="C71" s="204" t="s">
        <v>538</v>
      </c>
      <c r="D71" s="17" t="s">
        <v>640</v>
      </c>
      <c r="E71" s="17" t="s">
        <v>1898</v>
      </c>
      <c r="F71" s="445">
        <v>21206</v>
      </c>
      <c r="G71" s="404">
        <v>0.4</v>
      </c>
      <c r="H71" s="403">
        <f t="shared" si="4"/>
        <v>12723.6</v>
      </c>
      <c r="I71" s="403">
        <f t="shared" si="14"/>
        <v>0</v>
      </c>
      <c r="J71" s="17" t="s">
        <v>638</v>
      </c>
      <c r="K71" s="17" t="s">
        <v>1894</v>
      </c>
    </row>
    <row r="72" spans="1:11">
      <c r="A72" s="441">
        <v>6</v>
      </c>
      <c r="B72" s="17" t="s">
        <v>539</v>
      </c>
      <c r="C72" s="204" t="s">
        <v>538</v>
      </c>
      <c r="D72" s="17" t="s">
        <v>643</v>
      </c>
      <c r="E72" s="17" t="s">
        <v>1899</v>
      </c>
      <c r="F72" s="445">
        <v>80</v>
      </c>
      <c r="G72" s="404">
        <v>0.4</v>
      </c>
      <c r="H72" s="403">
        <f t="shared" si="4"/>
        <v>48</v>
      </c>
      <c r="I72" s="403">
        <f t="shared" si="14"/>
        <v>288</v>
      </c>
      <c r="J72" s="17" t="s">
        <v>638</v>
      </c>
      <c r="K72" s="17" t="s">
        <v>1894</v>
      </c>
    </row>
    <row r="73" spans="1:11">
      <c r="A73" s="441">
        <v>0</v>
      </c>
      <c r="B73" s="17" t="s">
        <v>539</v>
      </c>
      <c r="C73" s="204" t="s">
        <v>538</v>
      </c>
      <c r="D73" s="17" t="s">
        <v>643</v>
      </c>
      <c r="E73" s="17" t="s">
        <v>1900</v>
      </c>
      <c r="F73" s="445">
        <v>108</v>
      </c>
      <c r="G73" s="404">
        <v>0.4</v>
      </c>
      <c r="H73" s="403">
        <f t="shared" si="4"/>
        <v>64.8</v>
      </c>
      <c r="I73" s="403">
        <f t="shared" si="14"/>
        <v>0</v>
      </c>
      <c r="J73" s="17" t="s">
        <v>638</v>
      </c>
      <c r="K73" s="17" t="s">
        <v>1894</v>
      </c>
    </row>
    <row r="74" spans="1:11">
      <c r="A74" s="204"/>
      <c r="F74" s="445"/>
      <c r="H74" s="403"/>
      <c r="I74" s="403"/>
    </row>
    <row r="75" spans="1:11">
      <c r="A75" s="204"/>
      <c r="E75" s="449" t="s">
        <v>1901</v>
      </c>
      <c r="F75" s="445"/>
      <c r="H75" s="403"/>
      <c r="I75" s="403"/>
    </row>
    <row r="76" spans="1:11">
      <c r="A76" s="441">
        <v>0</v>
      </c>
      <c r="B76" s="17" t="s">
        <v>517</v>
      </c>
      <c r="C76" s="204" t="s">
        <v>1902</v>
      </c>
      <c r="D76" s="17" t="s">
        <v>636</v>
      </c>
      <c r="E76" s="17" t="s">
        <v>1903</v>
      </c>
      <c r="F76" s="445">
        <v>2507</v>
      </c>
      <c r="G76" s="404">
        <v>0.4</v>
      </c>
      <c r="H76" s="403">
        <f t="shared" ref="H76:H99" si="15">F76*(1-G76)</f>
        <v>1504.2</v>
      </c>
      <c r="I76" s="403">
        <f t="shared" si="14"/>
        <v>0</v>
      </c>
      <c r="J76" s="17" t="s">
        <v>638</v>
      </c>
      <c r="K76" s="17" t="s">
        <v>1904</v>
      </c>
    </row>
    <row r="77" spans="1:11">
      <c r="A77" s="441">
        <v>0</v>
      </c>
      <c r="B77" s="17" t="s">
        <v>517</v>
      </c>
      <c r="C77" s="204" t="s">
        <v>1902</v>
      </c>
      <c r="D77" s="17" t="s">
        <v>636</v>
      </c>
      <c r="E77" s="17" t="s">
        <v>1905</v>
      </c>
      <c r="F77" s="445">
        <v>2913</v>
      </c>
      <c r="G77" s="404">
        <v>0.4</v>
      </c>
      <c r="H77" s="403">
        <f t="shared" si="15"/>
        <v>1747.8</v>
      </c>
      <c r="I77" s="403">
        <f t="shared" si="14"/>
        <v>0</v>
      </c>
      <c r="J77" s="17" t="s">
        <v>638</v>
      </c>
      <c r="K77" s="17" t="s">
        <v>1904</v>
      </c>
    </row>
    <row r="78" spans="1:11">
      <c r="A78" s="441">
        <v>0</v>
      </c>
      <c r="B78" s="17" t="s">
        <v>539</v>
      </c>
      <c r="C78" s="204" t="s">
        <v>1902</v>
      </c>
      <c r="D78" s="17" t="s">
        <v>670</v>
      </c>
      <c r="E78" s="17" t="s">
        <v>1906</v>
      </c>
      <c r="F78" s="445">
        <v>107</v>
      </c>
      <c r="G78" s="404">
        <v>0.4</v>
      </c>
      <c r="H78" s="403">
        <f t="shared" si="15"/>
        <v>64.2</v>
      </c>
      <c r="I78" s="403">
        <f t="shared" si="14"/>
        <v>0</v>
      </c>
      <c r="J78" s="17" t="s">
        <v>638</v>
      </c>
      <c r="K78" s="17" t="s">
        <v>1904</v>
      </c>
    </row>
    <row r="79" spans="1:11">
      <c r="A79" s="441">
        <v>0</v>
      </c>
      <c r="B79" s="17" t="s">
        <v>539</v>
      </c>
      <c r="C79" s="204" t="s">
        <v>1902</v>
      </c>
      <c r="D79" s="17" t="s">
        <v>670</v>
      </c>
      <c r="E79" s="17" t="s">
        <v>1907</v>
      </c>
      <c r="F79" s="445">
        <v>108</v>
      </c>
      <c r="G79" s="404">
        <v>0.4</v>
      </c>
      <c r="H79" s="403">
        <f t="shared" si="15"/>
        <v>64.8</v>
      </c>
      <c r="I79" s="403">
        <f t="shared" si="14"/>
        <v>0</v>
      </c>
      <c r="J79" s="17" t="s">
        <v>638</v>
      </c>
      <c r="K79" s="17" t="s">
        <v>1904</v>
      </c>
    </row>
    <row r="80" spans="1:11">
      <c r="A80" s="441">
        <v>0</v>
      </c>
      <c r="B80" s="17" t="s">
        <v>517</v>
      </c>
      <c r="C80" s="204" t="s">
        <v>1902</v>
      </c>
      <c r="D80" s="17" t="s">
        <v>640</v>
      </c>
      <c r="E80" s="17" t="s">
        <v>1908</v>
      </c>
      <c r="F80" s="445">
        <v>1965</v>
      </c>
      <c r="G80" s="404">
        <v>0.4</v>
      </c>
      <c r="H80" s="403">
        <f t="shared" si="15"/>
        <v>1179</v>
      </c>
      <c r="I80" s="403">
        <f t="shared" si="14"/>
        <v>0</v>
      </c>
      <c r="J80" s="17" t="s">
        <v>638</v>
      </c>
      <c r="K80" s="17" t="s">
        <v>1904</v>
      </c>
    </row>
    <row r="81" spans="1:17">
      <c r="A81" s="441">
        <v>0</v>
      </c>
      <c r="B81" s="17" t="s">
        <v>539</v>
      </c>
      <c r="C81" s="204" t="s">
        <v>1902</v>
      </c>
      <c r="D81" s="17" t="s">
        <v>643</v>
      </c>
      <c r="E81" s="17" t="s">
        <v>1909</v>
      </c>
      <c r="F81" s="445">
        <v>95</v>
      </c>
      <c r="G81" s="404">
        <v>0.4</v>
      </c>
      <c r="H81" s="403">
        <f t="shared" si="15"/>
        <v>57</v>
      </c>
      <c r="I81" s="403">
        <f t="shared" si="14"/>
        <v>0</v>
      </c>
      <c r="J81" s="17" t="s">
        <v>638</v>
      </c>
      <c r="K81" s="17" t="s">
        <v>1904</v>
      </c>
    </row>
    <row r="82" spans="1:17">
      <c r="A82" s="204"/>
      <c r="F82" s="204"/>
      <c r="H82" s="403"/>
      <c r="I82" s="403"/>
    </row>
    <row r="83" spans="1:17" ht="15.75">
      <c r="E83" s="439" t="s">
        <v>676</v>
      </c>
      <c r="F83" s="403"/>
      <c r="I83" s="443">
        <f>SUM(I66:I82)</f>
        <v>1373.3999999999999</v>
      </c>
      <c r="Q83" s="165">
        <f>I83</f>
        <v>1373.3999999999999</v>
      </c>
    </row>
    <row r="85" spans="1:17" ht="13.75" customHeight="1">
      <c r="A85" s="986" t="s">
        <v>100</v>
      </c>
      <c r="B85" s="986"/>
      <c r="C85" s="986"/>
      <c r="D85" s="986"/>
      <c r="E85" s="986"/>
    </row>
    <row r="91" spans="1:17" ht="15.05" customHeight="1">
      <c r="A91" s="1002" t="s">
        <v>90</v>
      </c>
      <c r="B91" s="1002"/>
      <c r="C91" s="1002"/>
      <c r="D91" s="1002"/>
      <c r="E91" s="1002"/>
    </row>
    <row r="92" spans="1:17">
      <c r="F92" s="403"/>
    </row>
    <row r="93" spans="1:17" ht="13.75">
      <c r="A93" s="17">
        <v>1</v>
      </c>
      <c r="B93" s="17" t="s">
        <v>517</v>
      </c>
      <c r="E93" s="17" t="s">
        <v>1464</v>
      </c>
      <c r="F93" s="403">
        <v>860</v>
      </c>
      <c r="H93" s="403">
        <f t="shared" si="15"/>
        <v>860</v>
      </c>
      <c r="I93" s="403">
        <f t="shared" ref="I93:I99" si="16">A93*H93</f>
        <v>860</v>
      </c>
      <c r="J93" s="494" t="s">
        <v>1465</v>
      </c>
    </row>
    <row r="94" spans="1:17">
      <c r="A94" s="17">
        <v>1</v>
      </c>
      <c r="B94" s="17" t="s">
        <v>517</v>
      </c>
      <c r="E94" s="17" t="s">
        <v>1910</v>
      </c>
      <c r="F94" s="403">
        <v>44</v>
      </c>
      <c r="H94" s="403">
        <f t="shared" si="15"/>
        <v>44</v>
      </c>
      <c r="I94" s="403">
        <f t="shared" si="16"/>
        <v>44</v>
      </c>
      <c r="J94" s="17" t="s">
        <v>1911</v>
      </c>
    </row>
    <row r="95" spans="1:17">
      <c r="A95" s="17">
        <v>1</v>
      </c>
      <c r="B95" s="17" t="s">
        <v>517</v>
      </c>
      <c r="E95" s="17" t="s">
        <v>707</v>
      </c>
      <c r="F95" s="403">
        <v>1500</v>
      </c>
      <c r="H95" s="403">
        <f t="shared" si="15"/>
        <v>1500</v>
      </c>
      <c r="I95" s="403">
        <f t="shared" si="16"/>
        <v>1500</v>
      </c>
      <c r="J95" s="17" t="s">
        <v>1466</v>
      </c>
    </row>
    <row r="96" spans="1:17" ht="44.55">
      <c r="A96" s="17">
        <v>0</v>
      </c>
      <c r="B96" s="17" t="s">
        <v>517</v>
      </c>
      <c r="C96" s="204" t="s">
        <v>708</v>
      </c>
      <c r="E96" s="204" t="s">
        <v>709</v>
      </c>
      <c r="F96" s="403">
        <v>460</v>
      </c>
      <c r="H96" s="403">
        <f t="shared" si="15"/>
        <v>460</v>
      </c>
      <c r="I96" s="403">
        <f t="shared" si="16"/>
        <v>0</v>
      </c>
    </row>
    <row r="97" spans="1:10" ht="44.55">
      <c r="A97" s="17">
        <v>1</v>
      </c>
      <c r="B97" s="17" t="s">
        <v>517</v>
      </c>
      <c r="C97" s="204" t="s">
        <v>711</v>
      </c>
      <c r="E97" s="204" t="s">
        <v>712</v>
      </c>
      <c r="F97" s="403">
        <v>320</v>
      </c>
      <c r="H97" s="403">
        <f t="shared" si="15"/>
        <v>320</v>
      </c>
      <c r="I97" s="403">
        <f t="shared" si="16"/>
        <v>320</v>
      </c>
    </row>
    <row r="98" spans="1:10" ht="33.4">
      <c r="A98" s="17">
        <v>1</v>
      </c>
      <c r="B98" s="17" t="s">
        <v>517</v>
      </c>
      <c r="C98" s="204" t="s">
        <v>1467</v>
      </c>
      <c r="E98" s="204" t="s">
        <v>1468</v>
      </c>
      <c r="F98" s="403">
        <v>249</v>
      </c>
      <c r="H98" s="403">
        <f t="shared" si="15"/>
        <v>249</v>
      </c>
      <c r="I98" s="403">
        <f t="shared" si="16"/>
        <v>249</v>
      </c>
    </row>
    <row r="99" spans="1:10" ht="55.65">
      <c r="A99" s="17">
        <v>0</v>
      </c>
      <c r="B99" s="17" t="s">
        <v>517</v>
      </c>
      <c r="C99" s="17" t="s">
        <v>713</v>
      </c>
      <c r="D99" s="17" t="s">
        <v>714</v>
      </c>
      <c r="E99" s="204" t="s">
        <v>715</v>
      </c>
      <c r="F99" s="403">
        <v>2725</v>
      </c>
      <c r="H99" s="403">
        <f t="shared" si="15"/>
        <v>2725</v>
      </c>
      <c r="I99" s="403">
        <f t="shared" si="16"/>
        <v>0</v>
      </c>
    </row>
    <row r="101" spans="1:10" ht="15.75">
      <c r="E101" s="439" t="s">
        <v>729</v>
      </c>
      <c r="I101" s="168">
        <f>SUM(I91:I100)</f>
        <v>2973</v>
      </c>
    </row>
    <row r="103" spans="1:10" ht="13.75" customHeight="1">
      <c r="A103" s="997" t="s">
        <v>68</v>
      </c>
      <c r="B103" s="997"/>
      <c r="C103" s="997"/>
      <c r="D103" s="997"/>
      <c r="E103" s="997"/>
    </row>
    <row r="104" spans="1:10">
      <c r="A104" s="17">
        <v>0</v>
      </c>
      <c r="B104" s="17" t="s">
        <v>517</v>
      </c>
      <c r="E104" s="17" t="s">
        <v>1469</v>
      </c>
      <c r="F104" s="403">
        <v>187.5</v>
      </c>
      <c r="H104" s="403">
        <f t="shared" ref="H104:H108" si="17">F104*(1-G104)</f>
        <v>187.5</v>
      </c>
      <c r="I104" s="403">
        <f t="shared" ref="I104:I108" si="18">A104*H104</f>
        <v>0</v>
      </c>
      <c r="J104" s="17" t="s">
        <v>1470</v>
      </c>
    </row>
    <row r="105" spans="1:10">
      <c r="A105" s="17">
        <v>1</v>
      </c>
      <c r="B105" s="17" t="s">
        <v>517</v>
      </c>
      <c r="E105" s="17" t="s">
        <v>1471</v>
      </c>
      <c r="F105" s="403">
        <v>500</v>
      </c>
      <c r="H105" s="403">
        <f t="shared" si="17"/>
        <v>500</v>
      </c>
      <c r="I105" s="403">
        <f t="shared" si="18"/>
        <v>500</v>
      </c>
      <c r="J105" s="17" t="s">
        <v>696</v>
      </c>
    </row>
    <row r="106" spans="1:10">
      <c r="A106" s="17">
        <v>0</v>
      </c>
      <c r="B106" s="17" t="s">
        <v>517</v>
      </c>
      <c r="E106" s="17" t="s">
        <v>1472</v>
      </c>
      <c r="F106" s="403">
        <v>500</v>
      </c>
      <c r="H106" s="403">
        <f t="shared" si="17"/>
        <v>500</v>
      </c>
      <c r="I106" s="403">
        <f t="shared" si="18"/>
        <v>0</v>
      </c>
      <c r="J106" s="17" t="s">
        <v>696</v>
      </c>
    </row>
    <row r="107" spans="1:10" ht="44.55">
      <c r="A107" s="17">
        <v>0</v>
      </c>
      <c r="B107" s="17" t="s">
        <v>517</v>
      </c>
      <c r="C107" s="204" t="s">
        <v>708</v>
      </c>
      <c r="E107" s="204" t="s">
        <v>731</v>
      </c>
      <c r="F107" s="403">
        <f>460/2</f>
        <v>230</v>
      </c>
      <c r="H107" s="403">
        <f t="shared" si="17"/>
        <v>230</v>
      </c>
      <c r="I107" s="403">
        <f t="shared" si="18"/>
        <v>0</v>
      </c>
    </row>
    <row r="108" spans="1:10" ht="44.55">
      <c r="A108" s="17">
        <v>1</v>
      </c>
      <c r="B108" s="17" t="s">
        <v>517</v>
      </c>
      <c r="C108" s="204" t="s">
        <v>711</v>
      </c>
      <c r="E108" s="204" t="s">
        <v>732</v>
      </c>
      <c r="F108" s="403">
        <f>320/2</f>
        <v>160</v>
      </c>
      <c r="H108" s="403">
        <f t="shared" si="17"/>
        <v>160</v>
      </c>
      <c r="I108" s="403">
        <f t="shared" si="18"/>
        <v>160</v>
      </c>
    </row>
    <row r="109" spans="1:10">
      <c r="F109" s="403"/>
    </row>
    <row r="110" spans="1:10" ht="15.75">
      <c r="E110" s="439" t="s">
        <v>733</v>
      </c>
      <c r="F110" s="403"/>
      <c r="I110" s="168">
        <f>SUM(I103:I109)</f>
        <v>660</v>
      </c>
    </row>
    <row r="111" spans="1:10">
      <c r="F111" s="403"/>
    </row>
    <row r="112" spans="1:10">
      <c r="F112" s="403"/>
    </row>
    <row r="113" spans="6:6">
      <c r="F113" s="403"/>
    </row>
    <row r="114" spans="6:6">
      <c r="F114" s="403"/>
    </row>
    <row r="115" spans="6:6">
      <c r="F115" s="403"/>
    </row>
    <row r="116" spans="6:6">
      <c r="F116" s="403"/>
    </row>
  </sheetData>
  <mergeCells count="6">
    <mergeCell ref="A103:E103"/>
    <mergeCell ref="B1:F1"/>
    <mergeCell ref="A2:G2"/>
    <mergeCell ref="J19:L19"/>
    <mergeCell ref="A85:E85"/>
    <mergeCell ref="A91:E91"/>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7"/>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2.140625" style="204" customWidth="1"/>
    <col min="4" max="4" width="17.85546875" style="17" customWidth="1"/>
    <col min="5" max="5" width="39" style="17" customWidth="1"/>
    <col min="6" max="6" width="10.140625" style="403"/>
    <col min="7" max="7" width="10.140625" style="404"/>
    <col min="8" max="8" width="10.140625" style="17"/>
    <col min="9" max="9" width="12.140625" style="17" customWidth="1"/>
    <col min="10" max="10" width="24.7109375" style="17" customWidth="1"/>
    <col min="11" max="64" width="10.140625" style="17"/>
  </cols>
  <sheetData>
    <row r="1" spans="1:19" ht="15.05">
      <c r="B1" s="1058" t="s">
        <v>198</v>
      </c>
      <c r="C1" s="1058"/>
      <c r="D1" s="1058"/>
      <c r="E1" s="1058"/>
      <c r="F1" s="1058"/>
      <c r="H1" s="405" t="s">
        <v>493</v>
      </c>
      <c r="I1" s="406">
        <v>375</v>
      </c>
      <c r="J1" s="17" t="s">
        <v>494</v>
      </c>
      <c r="K1" s="17" t="s">
        <v>495</v>
      </c>
      <c r="L1" s="58">
        <f>A4*I1</f>
        <v>36000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33.4">
      <c r="A4" s="423">
        <v>96</v>
      </c>
      <c r="B4" s="423" t="s">
        <v>522</v>
      </c>
      <c r="C4" s="420" t="s">
        <v>1325</v>
      </c>
      <c r="D4" s="413"/>
      <c r="E4" s="420" t="s">
        <v>1326</v>
      </c>
      <c r="F4" s="421">
        <v>110</v>
      </c>
      <c r="G4" s="410"/>
      <c r="H4" s="409">
        <f t="shared" ref="H4:H9" si="0">F4*(1-G4)</f>
        <v>110</v>
      </c>
      <c r="I4" s="409">
        <f t="shared" ref="I4:I9" si="1">A4*H4</f>
        <v>10560</v>
      </c>
      <c r="J4" s="204" t="s">
        <v>1885</v>
      </c>
      <c r="K4" s="403"/>
      <c r="L4" s="404"/>
      <c r="M4" s="418">
        <f t="shared" ref="M4:M5" si="2">I4</f>
        <v>10560</v>
      </c>
      <c r="N4" s="418"/>
      <c r="O4" s="418"/>
      <c r="P4" s="418"/>
      <c r="Q4" s="418"/>
      <c r="R4" s="418"/>
      <c r="S4" s="418"/>
    </row>
    <row r="5" spans="1:19" ht="33.4">
      <c r="A5" s="423">
        <v>1</v>
      </c>
      <c r="B5" s="487" t="s">
        <v>522</v>
      </c>
      <c r="C5" s="424" t="s">
        <v>1912</v>
      </c>
      <c r="D5" s="487" t="s">
        <v>556</v>
      </c>
      <c r="E5" s="424" t="s">
        <v>1014</v>
      </c>
      <c r="F5" s="425">
        <f>2623.01*A4/109</f>
        <v>2310.1739449541287</v>
      </c>
      <c r="G5" s="428"/>
      <c r="H5" s="430">
        <f t="shared" si="0"/>
        <v>2310.1739449541287</v>
      </c>
      <c r="I5" s="430">
        <f t="shared" si="1"/>
        <v>2310.1739449541287</v>
      </c>
      <c r="J5" s="722" t="s">
        <v>1886</v>
      </c>
      <c r="K5" s="728"/>
      <c r="L5" s="728"/>
      <c r="M5" s="418">
        <f t="shared" si="2"/>
        <v>2310.1739449541287</v>
      </c>
      <c r="N5" s="418"/>
      <c r="O5" s="418"/>
      <c r="P5" s="418"/>
      <c r="Q5" s="418"/>
      <c r="R5" s="418"/>
      <c r="S5" s="418"/>
    </row>
    <row r="6" spans="1:19" ht="66.8">
      <c r="A6" s="423">
        <v>1</v>
      </c>
      <c r="B6" s="423" t="s">
        <v>522</v>
      </c>
      <c r="C6" s="424" t="s">
        <v>1011</v>
      </c>
      <c r="D6" s="423" t="s">
        <v>1015</v>
      </c>
      <c r="E6" s="424" t="s">
        <v>1016</v>
      </c>
      <c r="F6" s="425">
        <f>466.67+250</f>
        <v>716.67000000000007</v>
      </c>
      <c r="G6" s="428"/>
      <c r="H6" s="430">
        <f t="shared" si="0"/>
        <v>716.67000000000007</v>
      </c>
      <c r="I6" s="430">
        <f t="shared" si="1"/>
        <v>716.67000000000007</v>
      </c>
      <c r="J6" s="722" t="s">
        <v>1017</v>
      </c>
      <c r="K6" s="728"/>
      <c r="L6" s="728"/>
      <c r="M6" s="418"/>
      <c r="N6" s="418"/>
      <c r="O6" s="418"/>
      <c r="P6" s="418"/>
      <c r="Q6" s="418"/>
      <c r="R6" s="418">
        <f t="shared" ref="R6:R9" si="3">I6</f>
        <v>716.67000000000007</v>
      </c>
      <c r="S6" s="418"/>
    </row>
    <row r="7" spans="1:19" ht="211.45">
      <c r="A7" s="423">
        <v>1</v>
      </c>
      <c r="B7" s="423" t="s">
        <v>505</v>
      </c>
      <c r="C7" s="424" t="s">
        <v>1011</v>
      </c>
      <c r="D7" s="413" t="s">
        <v>985</v>
      </c>
      <c r="E7" s="420" t="s">
        <v>1887</v>
      </c>
      <c r="F7" s="421">
        <v>570.79810559953899</v>
      </c>
      <c r="G7" s="428"/>
      <c r="H7" s="430">
        <f t="shared" si="0"/>
        <v>570.79810559953899</v>
      </c>
      <c r="I7" s="430">
        <f t="shared" si="1"/>
        <v>570.79810559953899</v>
      </c>
      <c r="J7" s="722" t="s">
        <v>1019</v>
      </c>
      <c r="K7" s="728"/>
      <c r="L7" s="728"/>
      <c r="M7" s="418"/>
      <c r="N7" s="418"/>
      <c r="O7" s="418"/>
      <c r="P7" s="418"/>
      <c r="Q7" s="418"/>
      <c r="R7" s="418">
        <f t="shared" si="3"/>
        <v>570.79810559953899</v>
      </c>
      <c r="S7" s="418"/>
    </row>
    <row r="8" spans="1:19">
      <c r="A8" s="487"/>
      <c r="B8" s="487"/>
      <c r="C8" s="424"/>
      <c r="D8" s="487"/>
      <c r="E8" s="492"/>
      <c r="F8" s="430"/>
      <c r="G8" s="428"/>
      <c r="H8" s="430">
        <f t="shared" si="0"/>
        <v>0</v>
      </c>
      <c r="I8" s="430">
        <f t="shared" si="1"/>
        <v>0</v>
      </c>
      <c r="J8" s="719"/>
      <c r="K8" s="728"/>
      <c r="L8" s="728"/>
      <c r="M8" s="418"/>
      <c r="N8" s="418"/>
      <c r="O8" s="418"/>
      <c r="P8" s="418"/>
      <c r="Q8" s="418"/>
      <c r="R8" s="418">
        <f t="shared" si="3"/>
        <v>0</v>
      </c>
      <c r="S8" s="418"/>
    </row>
    <row r="9" spans="1:19" ht="22.25">
      <c r="A9" s="413">
        <v>1</v>
      </c>
      <c r="B9" s="413" t="s">
        <v>530</v>
      </c>
      <c r="C9" s="420" t="s">
        <v>531</v>
      </c>
      <c r="D9" s="413"/>
      <c r="E9" s="420" t="s">
        <v>532</v>
      </c>
      <c r="F9" s="421">
        <v>500</v>
      </c>
      <c r="G9" s="422"/>
      <c r="H9" s="409">
        <f t="shared" si="0"/>
        <v>500</v>
      </c>
      <c r="I9" s="409">
        <f t="shared" si="1"/>
        <v>500</v>
      </c>
      <c r="J9" s="204"/>
      <c r="M9" s="437"/>
      <c r="N9" s="437"/>
      <c r="O9" s="437"/>
      <c r="P9" s="437"/>
      <c r="Q9" s="437"/>
      <c r="R9" s="418">
        <f t="shared" si="3"/>
        <v>500</v>
      </c>
      <c r="S9" s="437"/>
    </row>
    <row r="10" spans="1:19">
      <c r="A10" s="487"/>
      <c r="B10" s="487"/>
      <c r="C10" s="492"/>
      <c r="D10" s="487"/>
      <c r="E10" s="492"/>
      <c r="F10" s="430"/>
      <c r="G10" s="428"/>
      <c r="H10" s="430">
        <f t="shared" ref="H10:H69" si="4">F10*(1-G10)</f>
        <v>0</v>
      </c>
      <c r="I10" s="430">
        <f t="shared" ref="I10:I29" si="5">A10*H10</f>
        <v>0</v>
      </c>
      <c r="J10" s="719"/>
      <c r="K10" s="728"/>
      <c r="L10" s="728"/>
      <c r="M10" s="437"/>
      <c r="N10" s="437"/>
      <c r="O10" s="437"/>
      <c r="P10" s="437"/>
      <c r="Q10" s="437"/>
      <c r="R10" s="418">
        <f>I10</f>
        <v>0</v>
      </c>
      <c r="S10" s="418"/>
    </row>
    <row r="11" spans="1:19" ht="44.55">
      <c r="A11" s="423">
        <v>230</v>
      </c>
      <c r="B11" s="423" t="s">
        <v>539</v>
      </c>
      <c r="C11" s="424" t="s">
        <v>987</v>
      </c>
      <c r="D11" s="423" t="s">
        <v>541</v>
      </c>
      <c r="E11" s="424" t="s">
        <v>542</v>
      </c>
      <c r="F11" s="425">
        <f t="shared" ref="F11:F12" si="6">328.33/500</f>
        <v>0.65666000000000002</v>
      </c>
      <c r="G11" s="428"/>
      <c r="H11" s="430">
        <f t="shared" si="4"/>
        <v>0.65666000000000002</v>
      </c>
      <c r="I11" s="430">
        <f t="shared" si="5"/>
        <v>151.0318</v>
      </c>
      <c r="J11" s="719"/>
      <c r="K11" s="728"/>
      <c r="L11" s="728"/>
      <c r="M11" s="437"/>
      <c r="N11" s="437"/>
      <c r="O11" s="418">
        <f t="shared" ref="O11:O25" si="7">I11</f>
        <v>151.0318</v>
      </c>
      <c r="P11" s="418"/>
      <c r="Q11" s="418"/>
      <c r="R11" s="437"/>
      <c r="S11" s="418"/>
    </row>
    <row r="12" spans="1:19" ht="44.55">
      <c r="A12" s="423">
        <v>140</v>
      </c>
      <c r="B12" s="423" t="s">
        <v>539</v>
      </c>
      <c r="C12" s="424" t="s">
        <v>987</v>
      </c>
      <c r="D12" s="423" t="s">
        <v>543</v>
      </c>
      <c r="E12" s="424" t="s">
        <v>544</v>
      </c>
      <c r="F12" s="425">
        <f t="shared" si="6"/>
        <v>0.65666000000000002</v>
      </c>
      <c r="G12" s="428"/>
      <c r="H12" s="430">
        <f t="shared" si="4"/>
        <v>0.65666000000000002</v>
      </c>
      <c r="I12" s="430">
        <f t="shared" si="5"/>
        <v>91.932400000000001</v>
      </c>
      <c r="J12" s="719"/>
      <c r="K12" s="728"/>
      <c r="L12" s="728"/>
      <c r="M12" s="437"/>
      <c r="N12" s="437"/>
      <c r="O12" s="418">
        <f t="shared" si="7"/>
        <v>91.932400000000001</v>
      </c>
      <c r="P12" s="418"/>
      <c r="Q12" s="418"/>
      <c r="R12" s="437"/>
      <c r="S12" s="418"/>
    </row>
    <row r="13" spans="1:19" ht="22.25">
      <c r="A13" s="423">
        <v>24</v>
      </c>
      <c r="B13" s="423" t="s">
        <v>522</v>
      </c>
      <c r="C13" s="424" t="s">
        <v>1074</v>
      </c>
      <c r="D13" s="423"/>
      <c r="E13" s="424" t="s">
        <v>1079</v>
      </c>
      <c r="F13" s="425">
        <v>1.3</v>
      </c>
      <c r="G13" s="428"/>
      <c r="H13" s="430">
        <f t="shared" si="4"/>
        <v>1.3</v>
      </c>
      <c r="I13" s="430">
        <f t="shared" si="5"/>
        <v>31.200000000000003</v>
      </c>
      <c r="J13" s="719"/>
      <c r="K13" s="728"/>
      <c r="L13" s="728"/>
      <c r="M13" s="437"/>
      <c r="N13" s="437"/>
      <c r="O13" s="418">
        <f t="shared" si="7"/>
        <v>31.200000000000003</v>
      </c>
      <c r="P13" s="437"/>
      <c r="Q13" s="437"/>
      <c r="R13" s="418"/>
      <c r="S13" s="418"/>
    </row>
    <row r="14" spans="1:19" ht="22.25">
      <c r="A14" s="423">
        <f>A13</f>
        <v>24</v>
      </c>
      <c r="B14" s="423" t="s">
        <v>522</v>
      </c>
      <c r="C14" s="424" t="s">
        <v>1074</v>
      </c>
      <c r="D14" s="423"/>
      <c r="E14" s="424" t="s">
        <v>1080</v>
      </c>
      <c r="F14" s="425">
        <v>0.98</v>
      </c>
      <c r="G14" s="428"/>
      <c r="H14" s="430">
        <f t="shared" si="4"/>
        <v>0.98</v>
      </c>
      <c r="I14" s="430">
        <f t="shared" si="5"/>
        <v>23.52</v>
      </c>
      <c r="J14" s="719"/>
      <c r="K14" s="728"/>
      <c r="L14" s="728"/>
      <c r="M14" s="437"/>
      <c r="N14" s="437"/>
      <c r="O14" s="418">
        <f t="shared" si="7"/>
        <v>23.52</v>
      </c>
      <c r="P14" s="437"/>
      <c r="Q14" s="437"/>
      <c r="R14" s="418"/>
      <c r="S14" s="418"/>
    </row>
    <row r="15" spans="1:19" ht="22.25">
      <c r="A15" s="413">
        <v>0</v>
      </c>
      <c r="B15" s="413" t="s">
        <v>517</v>
      </c>
      <c r="C15" s="420" t="s">
        <v>540</v>
      </c>
      <c r="D15" s="413" t="s">
        <v>556</v>
      </c>
      <c r="E15" s="420" t="s">
        <v>557</v>
      </c>
      <c r="F15" s="421">
        <v>6.58</v>
      </c>
      <c r="G15" s="428"/>
      <c r="H15" s="430">
        <f t="shared" si="4"/>
        <v>6.58</v>
      </c>
      <c r="I15" s="430">
        <f t="shared" si="5"/>
        <v>0</v>
      </c>
      <c r="J15" s="719"/>
      <c r="K15" s="728"/>
      <c r="L15" s="728"/>
      <c r="M15" s="437"/>
      <c r="N15" s="437"/>
      <c r="O15" s="418">
        <f t="shared" si="7"/>
        <v>0</v>
      </c>
      <c r="P15" s="437"/>
      <c r="Q15" s="437"/>
      <c r="R15" s="418"/>
      <c r="S15" s="418"/>
    </row>
    <row r="16" spans="1:19" ht="22.25">
      <c r="A16" s="413">
        <v>1</v>
      </c>
      <c r="B16" s="413" t="s">
        <v>517</v>
      </c>
      <c r="C16" s="420" t="s">
        <v>1325</v>
      </c>
      <c r="D16" s="413"/>
      <c r="E16" s="420" t="s">
        <v>1913</v>
      </c>
      <c r="F16" s="421">
        <v>1995</v>
      </c>
      <c r="G16" s="428"/>
      <c r="H16" s="430">
        <f t="shared" si="4"/>
        <v>1995</v>
      </c>
      <c r="I16" s="430">
        <f t="shared" si="5"/>
        <v>1995</v>
      </c>
      <c r="J16" s="719"/>
      <c r="K16" s="728"/>
      <c r="L16" s="728"/>
      <c r="M16" s="437"/>
      <c r="N16" s="418">
        <f t="shared" ref="N16:N18" si="8">I16</f>
        <v>1995</v>
      </c>
      <c r="O16" s="437"/>
      <c r="P16" s="437"/>
      <c r="Q16" s="437"/>
      <c r="R16" s="437"/>
      <c r="S16" s="418"/>
    </row>
    <row r="17" spans="1:19">
      <c r="A17" s="423">
        <v>1</v>
      </c>
      <c r="B17" s="423" t="s">
        <v>522</v>
      </c>
      <c r="C17" s="424"/>
      <c r="D17" s="423"/>
      <c r="E17" s="424"/>
      <c r="F17" s="425"/>
      <c r="G17" s="428"/>
      <c r="H17" s="430">
        <f t="shared" si="4"/>
        <v>0</v>
      </c>
      <c r="I17" s="430">
        <f t="shared" si="5"/>
        <v>0</v>
      </c>
      <c r="J17" s="719"/>
      <c r="K17" s="728"/>
      <c r="L17" s="728"/>
      <c r="M17" s="437"/>
      <c r="N17" s="418">
        <f t="shared" si="8"/>
        <v>0</v>
      </c>
      <c r="O17" s="437"/>
      <c r="P17" s="437"/>
      <c r="Q17" s="437"/>
      <c r="R17" s="437"/>
      <c r="S17" s="418"/>
    </row>
    <row r="18" spans="1:19">
      <c r="A18" s="423"/>
      <c r="B18" s="423"/>
      <c r="C18" s="424"/>
      <c r="D18" s="487"/>
      <c r="E18" s="424"/>
      <c r="F18" s="425"/>
      <c r="G18" s="428"/>
      <c r="H18" s="430">
        <f t="shared" si="4"/>
        <v>0</v>
      </c>
      <c r="I18" s="430">
        <f t="shared" si="5"/>
        <v>0</v>
      </c>
      <c r="J18" s="719"/>
      <c r="K18" s="728"/>
      <c r="L18" s="728"/>
      <c r="M18" s="437"/>
      <c r="N18" s="418">
        <f t="shared" si="8"/>
        <v>0</v>
      </c>
      <c r="O18" s="437"/>
      <c r="P18" s="437"/>
      <c r="Q18" s="437"/>
      <c r="R18" s="437"/>
      <c r="S18" s="418"/>
    </row>
    <row r="19" spans="1:19" ht="44.55">
      <c r="A19" s="423">
        <v>8</v>
      </c>
      <c r="B19" s="423" t="s">
        <v>522</v>
      </c>
      <c r="C19" s="424" t="s">
        <v>1011</v>
      </c>
      <c r="D19" s="423" t="s">
        <v>761</v>
      </c>
      <c r="E19" s="424" t="s">
        <v>762</v>
      </c>
      <c r="F19" s="425">
        <v>2.5</v>
      </c>
      <c r="G19" s="428"/>
      <c r="H19" s="430">
        <f t="shared" si="4"/>
        <v>2.5</v>
      </c>
      <c r="I19" s="430">
        <f t="shared" si="5"/>
        <v>20</v>
      </c>
      <c r="J19" s="719" t="s">
        <v>1020</v>
      </c>
      <c r="K19" s="728"/>
      <c r="L19" s="728"/>
      <c r="M19" s="437"/>
      <c r="N19" s="437"/>
      <c r="O19" s="437"/>
      <c r="P19" s="437"/>
      <c r="Q19" s="437"/>
      <c r="R19" s="418">
        <f t="shared" ref="R19:R20" si="9">I19</f>
        <v>20</v>
      </c>
      <c r="S19" s="418"/>
    </row>
    <row r="20" spans="1:19" ht="69.25" customHeight="1">
      <c r="A20" s="423">
        <v>1</v>
      </c>
      <c r="B20" s="423" t="s">
        <v>522</v>
      </c>
      <c r="C20" s="420" t="s">
        <v>987</v>
      </c>
      <c r="D20" s="413" t="s">
        <v>992</v>
      </c>
      <c r="E20" s="420" t="s">
        <v>993</v>
      </c>
      <c r="F20" s="421">
        <v>274.44</v>
      </c>
      <c r="G20" s="428"/>
      <c r="H20" s="430">
        <f t="shared" si="4"/>
        <v>274.44</v>
      </c>
      <c r="I20" s="430">
        <f t="shared" si="5"/>
        <v>274.44</v>
      </c>
      <c r="J20" s="1080" t="s">
        <v>1914</v>
      </c>
      <c r="K20" s="1080"/>
      <c r="L20" s="1080"/>
      <c r="M20" s="437"/>
      <c r="N20" s="437"/>
      <c r="O20" s="437"/>
      <c r="P20" s="437"/>
      <c r="Q20" s="437"/>
      <c r="R20" s="418">
        <f t="shared" si="9"/>
        <v>274.44</v>
      </c>
      <c r="S20" s="418"/>
    </row>
    <row r="21" spans="1:19" ht="22.25">
      <c r="A21" s="407">
        <v>1</v>
      </c>
      <c r="B21" s="407" t="s">
        <v>522</v>
      </c>
      <c r="C21" s="420" t="s">
        <v>531</v>
      </c>
      <c r="D21" s="407"/>
      <c r="E21" s="408" t="s">
        <v>695</v>
      </c>
      <c r="F21" s="409">
        <v>100</v>
      </c>
      <c r="G21" s="410"/>
      <c r="H21" s="409">
        <f t="shared" si="4"/>
        <v>100</v>
      </c>
      <c r="I21" s="409">
        <f t="shared" si="5"/>
        <v>100</v>
      </c>
      <c r="J21" s="204"/>
      <c r="M21" s="437"/>
      <c r="N21" s="437"/>
      <c r="O21" s="418">
        <f t="shared" si="7"/>
        <v>100</v>
      </c>
      <c r="P21" s="437"/>
      <c r="Q21" s="437"/>
      <c r="R21" s="418"/>
      <c r="S21" s="418"/>
    </row>
    <row r="22" spans="1:19" ht="44.55">
      <c r="A22" s="413">
        <v>1</v>
      </c>
      <c r="B22" s="413"/>
      <c r="C22" s="420" t="s">
        <v>1011</v>
      </c>
      <c r="D22" s="413" t="s">
        <v>769</v>
      </c>
      <c r="E22" s="413" t="s">
        <v>567</v>
      </c>
      <c r="F22" s="421">
        <v>343.75</v>
      </c>
      <c r="G22" s="428"/>
      <c r="H22" s="430">
        <f t="shared" si="4"/>
        <v>343.75</v>
      </c>
      <c r="I22" s="430">
        <f t="shared" si="5"/>
        <v>343.75</v>
      </c>
      <c r="J22" s="719"/>
      <c r="K22" s="728"/>
      <c r="L22" s="728"/>
      <c r="M22" s="418">
        <f>F22</f>
        <v>343.75</v>
      </c>
      <c r="N22" s="437"/>
      <c r="O22" s="437"/>
      <c r="P22" s="437"/>
      <c r="Q22" s="437"/>
      <c r="R22" s="437"/>
      <c r="S22" s="418"/>
    </row>
    <row r="23" spans="1:19" ht="33.4">
      <c r="A23" s="413">
        <v>6</v>
      </c>
      <c r="B23" s="413" t="s">
        <v>539</v>
      </c>
      <c r="C23" s="420" t="s">
        <v>552</v>
      </c>
      <c r="D23" s="413"/>
      <c r="E23" s="413" t="s">
        <v>1305</v>
      </c>
      <c r="F23" s="421">
        <v>8.19</v>
      </c>
      <c r="G23" s="410"/>
      <c r="H23" s="409">
        <f t="shared" si="4"/>
        <v>8.19</v>
      </c>
      <c r="I23" s="409">
        <f t="shared" si="5"/>
        <v>49.14</v>
      </c>
      <c r="J23" s="204" t="s">
        <v>1446</v>
      </c>
      <c r="K23" s="728"/>
      <c r="L23" s="728"/>
      <c r="M23" s="418"/>
      <c r="N23" s="437"/>
      <c r="O23" s="418">
        <f t="shared" si="7"/>
        <v>49.14</v>
      </c>
      <c r="P23" s="437"/>
      <c r="Q23" s="437"/>
      <c r="R23" s="437"/>
      <c r="S23" s="418"/>
    </row>
    <row r="24" spans="1:19" ht="33.4">
      <c r="A24" s="423">
        <v>0</v>
      </c>
      <c r="B24" s="413" t="s">
        <v>539</v>
      </c>
      <c r="C24" s="420" t="s">
        <v>552</v>
      </c>
      <c r="D24" s="413"/>
      <c r="E24" s="413" t="s">
        <v>835</v>
      </c>
      <c r="F24" s="421">
        <v>12.53</v>
      </c>
      <c r="G24" s="428"/>
      <c r="H24" s="430">
        <f t="shared" si="4"/>
        <v>12.53</v>
      </c>
      <c r="I24" s="430">
        <f t="shared" si="5"/>
        <v>0</v>
      </c>
      <c r="J24" s="204"/>
      <c r="K24" s="728"/>
      <c r="L24" s="728"/>
      <c r="M24" s="418"/>
      <c r="N24" s="437"/>
      <c r="O24" s="418">
        <f t="shared" si="7"/>
        <v>0</v>
      </c>
      <c r="P24" s="437"/>
      <c r="Q24" s="437"/>
      <c r="R24" s="437"/>
      <c r="S24" s="418"/>
    </row>
    <row r="25" spans="1:19" ht="66.8">
      <c r="A25" s="423">
        <v>0</v>
      </c>
      <c r="B25" s="413" t="s">
        <v>539</v>
      </c>
      <c r="C25" s="420" t="s">
        <v>552</v>
      </c>
      <c r="D25" s="413"/>
      <c r="E25" s="413" t="s">
        <v>1052</v>
      </c>
      <c r="F25" s="421">
        <v>24.91</v>
      </c>
      <c r="G25" s="428"/>
      <c r="H25" s="430">
        <f t="shared" si="4"/>
        <v>24.91</v>
      </c>
      <c r="I25" s="430">
        <f t="shared" si="5"/>
        <v>0</v>
      </c>
      <c r="J25" s="204" t="s">
        <v>1447</v>
      </c>
      <c r="K25" s="728"/>
      <c r="L25" s="728"/>
      <c r="M25" s="418"/>
      <c r="N25" s="437"/>
      <c r="O25" s="418">
        <f t="shared" si="7"/>
        <v>0</v>
      </c>
      <c r="P25" s="437"/>
      <c r="Q25" s="437"/>
      <c r="R25" s="437"/>
      <c r="S25" s="418"/>
    </row>
    <row r="26" spans="1:19" ht="33.4">
      <c r="A26" s="423">
        <v>1</v>
      </c>
      <c r="B26" s="423" t="s">
        <v>517</v>
      </c>
      <c r="C26" s="408" t="s">
        <v>569</v>
      </c>
      <c r="D26" s="407" t="s">
        <v>570</v>
      </c>
      <c r="E26" s="408" t="s">
        <v>571</v>
      </c>
      <c r="F26" s="409">
        <v>1040</v>
      </c>
      <c r="G26" s="429">
        <v>0.48</v>
      </c>
      <c r="H26" s="430">
        <f t="shared" si="4"/>
        <v>540.80000000000007</v>
      </c>
      <c r="I26" s="430">
        <f t="shared" si="5"/>
        <v>540.80000000000007</v>
      </c>
      <c r="J26" s="719" t="s">
        <v>1888</v>
      </c>
      <c r="K26" s="728"/>
      <c r="L26" s="728"/>
      <c r="M26" s="418"/>
      <c r="N26" s="437"/>
      <c r="O26" s="437"/>
      <c r="P26" s="437"/>
      <c r="Q26" s="437"/>
      <c r="R26" s="437"/>
      <c r="S26" s="418">
        <f t="shared" ref="S26:S29" si="10">I26</f>
        <v>540.80000000000007</v>
      </c>
    </row>
    <row r="27" spans="1:19">
      <c r="A27" s="423">
        <v>0</v>
      </c>
      <c r="B27" s="423" t="s">
        <v>517</v>
      </c>
      <c r="C27" s="424" t="s">
        <v>574</v>
      </c>
      <c r="D27" s="423" t="s">
        <v>575</v>
      </c>
      <c r="E27" s="423" t="s">
        <v>576</v>
      </c>
      <c r="F27" s="425">
        <v>36.700000000000003</v>
      </c>
      <c r="G27" s="428"/>
      <c r="H27" s="430">
        <f t="shared" si="4"/>
        <v>36.700000000000003</v>
      </c>
      <c r="I27" s="430">
        <f t="shared" si="5"/>
        <v>0</v>
      </c>
      <c r="J27" s="719"/>
      <c r="K27" s="728"/>
      <c r="L27" s="728"/>
      <c r="M27" s="418"/>
      <c r="N27" s="437"/>
      <c r="O27" s="437"/>
      <c r="P27" s="437"/>
      <c r="Q27" s="437"/>
      <c r="R27" s="437"/>
      <c r="S27" s="418">
        <f t="shared" si="10"/>
        <v>0</v>
      </c>
    </row>
    <row r="28" spans="1:19">
      <c r="A28" s="423">
        <v>5</v>
      </c>
      <c r="B28" s="423" t="s">
        <v>517</v>
      </c>
      <c r="C28" s="424" t="s">
        <v>574</v>
      </c>
      <c r="D28" s="423" t="s">
        <v>577</v>
      </c>
      <c r="E28" s="423" t="s">
        <v>578</v>
      </c>
      <c r="F28" s="425">
        <v>75</v>
      </c>
      <c r="G28" s="428"/>
      <c r="H28" s="430">
        <f t="shared" si="4"/>
        <v>75</v>
      </c>
      <c r="I28" s="430">
        <f t="shared" si="5"/>
        <v>375</v>
      </c>
      <c r="J28" s="719"/>
      <c r="K28" s="728"/>
      <c r="L28" s="728"/>
      <c r="M28" s="418"/>
      <c r="N28" s="437"/>
      <c r="O28" s="437"/>
      <c r="P28" s="437"/>
      <c r="Q28" s="437"/>
      <c r="R28" s="437"/>
      <c r="S28" s="418">
        <f t="shared" si="10"/>
        <v>375</v>
      </c>
    </row>
    <row r="29" spans="1:19">
      <c r="A29" s="423">
        <v>1</v>
      </c>
      <c r="B29" s="423" t="s">
        <v>517</v>
      </c>
      <c r="C29" s="424" t="s">
        <v>574</v>
      </c>
      <c r="D29" s="423"/>
      <c r="E29" s="423" t="s">
        <v>579</v>
      </c>
      <c r="F29" s="425">
        <f>35/4</f>
        <v>8.75</v>
      </c>
      <c r="G29" s="428"/>
      <c r="H29" s="430">
        <f t="shared" si="4"/>
        <v>8.75</v>
      </c>
      <c r="I29" s="430">
        <f t="shared" si="5"/>
        <v>8.75</v>
      </c>
      <c r="J29" s="719"/>
      <c r="K29" s="728"/>
      <c r="L29" s="728"/>
      <c r="M29" s="418"/>
      <c r="N29" s="437"/>
      <c r="O29" s="437"/>
      <c r="P29" s="437"/>
      <c r="Q29" s="437"/>
      <c r="R29" s="437"/>
      <c r="S29" s="418">
        <f t="shared" si="10"/>
        <v>8.75</v>
      </c>
    </row>
    <row r="30" spans="1:19" ht="12.45">
      <c r="A30" s="487"/>
      <c r="B30" s="487"/>
      <c r="C30" s="492"/>
      <c r="D30" s="487"/>
      <c r="E30" s="744"/>
      <c r="F30" s="430"/>
      <c r="G30" s="428"/>
      <c r="H30" s="430"/>
      <c r="I30" s="430"/>
      <c r="J30" s="719"/>
      <c r="K30" s="728"/>
      <c r="L30" s="728"/>
      <c r="M30" s="418"/>
      <c r="N30" s="437"/>
      <c r="O30" s="437"/>
      <c r="P30" s="437"/>
      <c r="Q30" s="437"/>
      <c r="R30" s="437"/>
      <c r="S30" s="418"/>
    </row>
    <row r="31" spans="1:19" ht="12.45">
      <c r="A31" s="487"/>
      <c r="B31" s="487"/>
      <c r="C31" s="492"/>
      <c r="D31" s="487"/>
      <c r="E31" s="744"/>
      <c r="F31" s="430"/>
      <c r="G31" s="428"/>
      <c r="H31" s="430"/>
      <c r="I31" s="430"/>
      <c r="J31" s="719"/>
      <c r="K31" s="728"/>
      <c r="L31" s="728"/>
      <c r="M31" s="418"/>
      <c r="N31" s="437"/>
      <c r="O31" s="437"/>
      <c r="P31" s="437"/>
      <c r="Q31" s="437"/>
      <c r="R31" s="437"/>
      <c r="S31" s="418"/>
    </row>
    <row r="32" spans="1:19">
      <c r="A32" s="407"/>
      <c r="B32" s="407"/>
      <c r="C32" s="408"/>
      <c r="D32" s="407"/>
      <c r="E32" s="407"/>
      <c r="F32" s="409"/>
      <c r="G32" s="410"/>
      <c r="H32" s="409"/>
      <c r="I32" s="409"/>
      <c r="J32" s="204"/>
      <c r="M32" s="437"/>
      <c r="N32" s="437"/>
      <c r="O32" s="437"/>
      <c r="P32" s="437"/>
      <c r="Q32" s="437"/>
      <c r="R32" s="437"/>
      <c r="S32" s="418"/>
    </row>
    <row r="33" spans="1:19">
      <c r="A33" s="407"/>
      <c r="B33" s="407"/>
      <c r="C33" s="408"/>
      <c r="D33" s="407"/>
      <c r="E33" s="432" t="s">
        <v>580</v>
      </c>
      <c r="F33" s="409"/>
      <c r="G33" s="410"/>
      <c r="H33" s="409"/>
      <c r="I33" s="421">
        <f>SUM(I4:I31)</f>
        <v>18662.206250553667</v>
      </c>
      <c r="J33" s="204"/>
      <c r="M33" s="418">
        <f>SUM(M4:M31)</f>
        <v>13213.923944954129</v>
      </c>
      <c r="N33" s="418">
        <f>SUM(N4:N31)</f>
        <v>1995</v>
      </c>
      <c r="O33" s="418">
        <f>SUM(O4:O31)</f>
        <v>446.82419999999996</v>
      </c>
      <c r="P33" s="418"/>
      <c r="Q33" s="418"/>
      <c r="R33" s="418">
        <f>SUM(R4:R31)</f>
        <v>2081.9081055995389</v>
      </c>
      <c r="S33" s="418"/>
    </row>
    <row r="34" spans="1:19">
      <c r="A34" s="407"/>
      <c r="B34" s="407"/>
      <c r="C34" s="408"/>
      <c r="D34" s="407"/>
      <c r="E34" s="413" t="s">
        <v>581</v>
      </c>
      <c r="F34" s="409"/>
      <c r="G34" s="410">
        <v>0.25</v>
      </c>
      <c r="H34" s="409"/>
      <c r="I34" s="421"/>
      <c r="J34" s="204"/>
      <c r="M34" s="418"/>
      <c r="N34" s="418"/>
      <c r="O34" s="418"/>
      <c r="P34" s="418"/>
      <c r="Q34" s="418"/>
      <c r="R34" s="418"/>
      <c r="S34" s="418"/>
    </row>
    <row r="35" spans="1:19" ht="15.75">
      <c r="E35" s="433" t="s">
        <v>582</v>
      </c>
      <c r="F35" s="418"/>
      <c r="G35" s="434"/>
      <c r="H35" s="418"/>
      <c r="I35" s="435">
        <f>I33*(1+$G$34)</f>
        <v>23327.757813192082</v>
      </c>
      <c r="J35" s="436"/>
      <c r="K35" s="437"/>
      <c r="L35" s="437"/>
      <c r="M35" s="165">
        <f>M33*(1+$G$34)</f>
        <v>16517.404931192661</v>
      </c>
      <c r="N35" s="165">
        <f>N33*(1+$G$34)</f>
        <v>2493.75</v>
      </c>
      <c r="O35" s="165">
        <f>O33*(1+$G$34)</f>
        <v>558.53024999999991</v>
      </c>
      <c r="P35" s="165">
        <f>P62</f>
        <v>10920</v>
      </c>
      <c r="Q35" s="165">
        <f>Q70</f>
        <v>1127.53</v>
      </c>
      <c r="R35" s="165">
        <f>R33*(1+$G$34)</f>
        <v>2602.3851319994237</v>
      </c>
      <c r="S35" s="165">
        <f>SUM(S4:S34)</f>
        <v>924.55000000000007</v>
      </c>
    </row>
    <row r="36" spans="1:19">
      <c r="F36" s="17"/>
    </row>
    <row r="37" spans="1:19">
      <c r="F37" s="17"/>
    </row>
    <row r="38" spans="1:19">
      <c r="E38" s="439" t="s">
        <v>585</v>
      </c>
      <c r="F38" s="17"/>
    </row>
    <row r="39" spans="1:19">
      <c r="A39" s="441">
        <f>3*3.5</f>
        <v>10.5</v>
      </c>
      <c r="B39" s="17" t="s">
        <v>619</v>
      </c>
      <c r="E39" s="17" t="s">
        <v>586</v>
      </c>
      <c r="F39" s="403">
        <f t="shared" ref="F39:F53" si="11">F$57</f>
        <v>55</v>
      </c>
      <c r="H39" s="403">
        <f t="shared" si="4"/>
        <v>55</v>
      </c>
      <c r="I39" s="443">
        <f t="shared" ref="I39:I61" si="12">A39*H39</f>
        <v>577.5</v>
      </c>
      <c r="J39" s="17" t="s">
        <v>1889</v>
      </c>
    </row>
    <row r="40" spans="1:19">
      <c r="A40" s="441">
        <v>73</v>
      </c>
      <c r="B40" s="17" t="s">
        <v>619</v>
      </c>
      <c r="E40" s="17" t="s">
        <v>589</v>
      </c>
      <c r="F40" s="403">
        <f t="shared" si="11"/>
        <v>55</v>
      </c>
      <c r="H40" s="403">
        <f t="shared" si="4"/>
        <v>55</v>
      </c>
      <c r="I40" s="443">
        <f t="shared" si="12"/>
        <v>4015</v>
      </c>
    </row>
    <row r="41" spans="1:19">
      <c r="A41" s="441">
        <f>3.3*7/2</f>
        <v>11.549999999999999</v>
      </c>
      <c r="B41" s="17" t="s">
        <v>619</v>
      </c>
      <c r="E41" s="17" t="s">
        <v>1426</v>
      </c>
      <c r="F41" s="403">
        <f t="shared" si="11"/>
        <v>55</v>
      </c>
      <c r="H41" s="403">
        <f t="shared" si="4"/>
        <v>55</v>
      </c>
      <c r="I41" s="443">
        <f t="shared" si="12"/>
        <v>635.24999999999989</v>
      </c>
      <c r="J41" s="17" t="s">
        <v>1450</v>
      </c>
    </row>
    <row r="42" spans="1:19">
      <c r="A42" s="441">
        <f>7.75*A4/30</f>
        <v>24.8</v>
      </c>
      <c r="B42" s="17" t="s">
        <v>619</v>
      </c>
      <c r="E42" s="17" t="s">
        <v>591</v>
      </c>
      <c r="F42" s="403">
        <f t="shared" si="11"/>
        <v>55</v>
      </c>
      <c r="H42" s="403">
        <f t="shared" si="4"/>
        <v>55</v>
      </c>
      <c r="I42" s="443">
        <f t="shared" si="12"/>
        <v>1364</v>
      </c>
      <c r="J42" s="17" t="s">
        <v>1451</v>
      </c>
    </row>
    <row r="43" spans="1:19">
      <c r="A43" s="441">
        <v>0</v>
      </c>
      <c r="B43" s="17" t="s">
        <v>619</v>
      </c>
      <c r="E43" s="17" t="s">
        <v>1428</v>
      </c>
      <c r="F43" s="403">
        <f t="shared" si="11"/>
        <v>55</v>
      </c>
      <c r="H43" s="403">
        <f t="shared" si="4"/>
        <v>55</v>
      </c>
      <c r="I43" s="403">
        <f t="shared" si="12"/>
        <v>0</v>
      </c>
      <c r="J43" s="17" t="s">
        <v>1452</v>
      </c>
    </row>
    <row r="44" spans="1:19">
      <c r="A44" s="441">
        <v>0</v>
      </c>
      <c r="B44" s="17" t="s">
        <v>619</v>
      </c>
      <c r="E44" s="17" t="s">
        <v>1429</v>
      </c>
      <c r="F44" s="403">
        <f t="shared" si="11"/>
        <v>55</v>
      </c>
      <c r="H44" s="403">
        <f t="shared" si="4"/>
        <v>55</v>
      </c>
      <c r="I44" s="403">
        <f t="shared" si="12"/>
        <v>0</v>
      </c>
      <c r="J44" s="17" t="s">
        <v>1452</v>
      </c>
    </row>
    <row r="45" spans="1:19">
      <c r="A45" s="441">
        <v>0</v>
      </c>
      <c r="B45" s="17" t="s">
        <v>619</v>
      </c>
      <c r="E45" s="17" t="s">
        <v>605</v>
      </c>
      <c r="F45" s="403">
        <f t="shared" si="11"/>
        <v>55</v>
      </c>
      <c r="H45" s="403">
        <f t="shared" si="4"/>
        <v>55</v>
      </c>
      <c r="I45" s="443">
        <f t="shared" si="12"/>
        <v>0</v>
      </c>
      <c r="J45" s="17" t="s">
        <v>1453</v>
      </c>
    </row>
    <row r="46" spans="1:19">
      <c r="A46" s="441">
        <v>12</v>
      </c>
      <c r="B46" s="17" t="s">
        <v>619</v>
      </c>
      <c r="E46" s="17" t="s">
        <v>607</v>
      </c>
      <c r="F46" s="403">
        <f t="shared" si="11"/>
        <v>55</v>
      </c>
      <c r="H46" s="403">
        <f t="shared" si="4"/>
        <v>55</v>
      </c>
      <c r="I46" s="443">
        <f t="shared" si="12"/>
        <v>660</v>
      </c>
    </row>
    <row r="47" spans="1:19">
      <c r="A47" s="441">
        <v>0</v>
      </c>
      <c r="B47" s="17" t="s">
        <v>619</v>
      </c>
      <c r="E47" s="17" t="s">
        <v>609</v>
      </c>
      <c r="F47" s="403">
        <f t="shared" si="11"/>
        <v>55</v>
      </c>
      <c r="H47" s="403">
        <f t="shared" si="4"/>
        <v>55</v>
      </c>
      <c r="I47" s="403">
        <f t="shared" si="12"/>
        <v>0</v>
      </c>
      <c r="J47" s="17" t="s">
        <v>1453</v>
      </c>
    </row>
    <row r="48" spans="1:19">
      <c r="A48" s="441">
        <v>0</v>
      </c>
      <c r="B48" s="17" t="s">
        <v>619</v>
      </c>
      <c r="E48" s="17" t="s">
        <v>610</v>
      </c>
      <c r="F48" s="403">
        <f t="shared" si="11"/>
        <v>55</v>
      </c>
      <c r="H48" s="403">
        <f t="shared" si="4"/>
        <v>55</v>
      </c>
      <c r="I48" s="403">
        <f t="shared" si="12"/>
        <v>0</v>
      </c>
      <c r="J48" s="17" t="s">
        <v>1453</v>
      </c>
    </row>
    <row r="49" spans="1:16">
      <c r="A49" s="441">
        <v>0</v>
      </c>
      <c r="B49" s="17" t="s">
        <v>619</v>
      </c>
      <c r="E49" s="17" t="s">
        <v>611</v>
      </c>
      <c r="F49" s="403">
        <f t="shared" si="11"/>
        <v>55</v>
      </c>
      <c r="H49" s="403">
        <f t="shared" si="4"/>
        <v>55</v>
      </c>
      <c r="I49" s="403">
        <f t="shared" si="12"/>
        <v>0</v>
      </c>
      <c r="J49" s="17" t="s">
        <v>1453</v>
      </c>
    </row>
    <row r="50" spans="1:16">
      <c r="A50" s="441">
        <v>1</v>
      </c>
      <c r="B50" s="17" t="s">
        <v>619</v>
      </c>
      <c r="E50" s="17" t="s">
        <v>1431</v>
      </c>
      <c r="F50" s="403">
        <f t="shared" si="11"/>
        <v>55</v>
      </c>
      <c r="H50" s="403">
        <f t="shared" si="4"/>
        <v>55</v>
      </c>
      <c r="I50" s="443">
        <f t="shared" si="12"/>
        <v>55</v>
      </c>
    </row>
    <row r="51" spans="1:16">
      <c r="A51" s="441">
        <v>2</v>
      </c>
      <c r="B51" s="17" t="s">
        <v>619</v>
      </c>
      <c r="E51" s="17" t="s">
        <v>612</v>
      </c>
      <c r="F51" s="403">
        <f t="shared" si="11"/>
        <v>55</v>
      </c>
      <c r="H51" s="403">
        <f t="shared" si="4"/>
        <v>55</v>
      </c>
      <c r="I51" s="443">
        <f t="shared" si="12"/>
        <v>110</v>
      </c>
    </row>
    <row r="52" spans="1:16">
      <c r="A52" s="441">
        <f>3*1.5</f>
        <v>4.5</v>
      </c>
      <c r="B52" s="17" t="s">
        <v>619</v>
      </c>
      <c r="E52" s="17" t="s">
        <v>614</v>
      </c>
      <c r="F52" s="403">
        <f t="shared" si="11"/>
        <v>55</v>
      </c>
      <c r="H52" s="403">
        <f t="shared" si="4"/>
        <v>55</v>
      </c>
      <c r="I52" s="443">
        <f t="shared" si="12"/>
        <v>247.5</v>
      </c>
    </row>
    <row r="53" spans="1:16">
      <c r="A53" s="441">
        <v>4</v>
      </c>
      <c r="B53" s="17" t="s">
        <v>619</v>
      </c>
      <c r="E53" s="17" t="s">
        <v>616</v>
      </c>
      <c r="F53" s="403">
        <f t="shared" si="11"/>
        <v>55</v>
      </c>
      <c r="H53" s="403">
        <f t="shared" si="4"/>
        <v>55</v>
      </c>
      <c r="I53" s="443">
        <f t="shared" si="12"/>
        <v>220</v>
      </c>
    </row>
    <row r="54" spans="1:16">
      <c r="F54" s="17"/>
    </row>
    <row r="55" spans="1:16">
      <c r="A55" s="17">
        <f>SUM(A39:A54)</f>
        <v>143.35</v>
      </c>
      <c r="B55" s="17" t="s">
        <v>619</v>
      </c>
      <c r="E55" s="17" t="s">
        <v>620</v>
      </c>
      <c r="F55" s="17"/>
    </row>
    <row r="56" spans="1:16">
      <c r="A56" s="441">
        <v>3</v>
      </c>
      <c r="B56" s="17" t="s">
        <v>517</v>
      </c>
      <c r="E56" s="17" t="s">
        <v>621</v>
      </c>
      <c r="F56" s="17"/>
    </row>
    <row r="57" spans="1:16">
      <c r="A57" s="17">
        <v>1</v>
      </c>
      <c r="B57" s="17" t="s">
        <v>517</v>
      </c>
      <c r="E57" s="17" t="s">
        <v>622</v>
      </c>
      <c r="F57" s="445">
        <v>55</v>
      </c>
      <c r="H57" s="403">
        <f t="shared" si="4"/>
        <v>55</v>
      </c>
      <c r="I57" s="403">
        <f t="shared" si="12"/>
        <v>55</v>
      </c>
      <c r="J57" s="17" t="s">
        <v>623</v>
      </c>
    </row>
    <row r="58" spans="1:16">
      <c r="A58" s="17">
        <f>ROUNDUP(A55/8/A56,0)</f>
        <v>6</v>
      </c>
      <c r="B58" s="17" t="s">
        <v>624</v>
      </c>
      <c r="E58" s="17" t="s">
        <v>625</v>
      </c>
      <c r="F58" s="403">
        <f>A56*8*F57</f>
        <v>1320</v>
      </c>
      <c r="H58" s="403">
        <f t="shared" si="4"/>
        <v>1320</v>
      </c>
      <c r="I58" s="403">
        <f t="shared" si="12"/>
        <v>7920</v>
      </c>
    </row>
    <row r="59" spans="1:16">
      <c r="A59" s="441">
        <v>3</v>
      </c>
      <c r="B59" s="17" t="s">
        <v>1455</v>
      </c>
      <c r="E59" s="17" t="s">
        <v>1456</v>
      </c>
      <c r="F59" s="913">
        <v>1000</v>
      </c>
      <c r="H59" s="403">
        <f t="shared" si="4"/>
        <v>1000</v>
      </c>
      <c r="I59" s="403">
        <f t="shared" si="12"/>
        <v>3000</v>
      </c>
      <c r="J59" s="17" t="s">
        <v>1457</v>
      </c>
    </row>
    <row r="60" spans="1:16">
      <c r="A60" s="441">
        <v>0</v>
      </c>
      <c r="B60" s="17" t="s">
        <v>517</v>
      </c>
      <c r="E60" s="17" t="s">
        <v>1458</v>
      </c>
      <c r="F60" s="913">
        <v>500</v>
      </c>
      <c r="H60" s="403">
        <f t="shared" si="4"/>
        <v>500</v>
      </c>
      <c r="I60" s="403">
        <f t="shared" si="12"/>
        <v>0</v>
      </c>
    </row>
    <row r="61" spans="1:16">
      <c r="A61" s="441">
        <v>0</v>
      </c>
      <c r="B61" s="17" t="s">
        <v>517</v>
      </c>
      <c r="E61" s="17" t="s">
        <v>1459</v>
      </c>
      <c r="F61" s="913">
        <v>1000</v>
      </c>
      <c r="H61" s="403">
        <f t="shared" si="4"/>
        <v>1000</v>
      </c>
      <c r="I61" s="403">
        <f t="shared" si="12"/>
        <v>0</v>
      </c>
      <c r="J61" s="17" t="s">
        <v>1890</v>
      </c>
    </row>
    <row r="62" spans="1:16" ht="15.75">
      <c r="E62" s="439" t="s">
        <v>628</v>
      </c>
      <c r="F62" s="17"/>
      <c r="I62" s="443">
        <f>SUM(I58:I61)</f>
        <v>10920</v>
      </c>
      <c r="P62" s="165">
        <f>I62</f>
        <v>10920</v>
      </c>
    </row>
    <row r="63" spans="1:16">
      <c r="F63" s="17"/>
    </row>
    <row r="64" spans="1:16">
      <c r="F64" s="17"/>
    </row>
    <row r="65" spans="1:19">
      <c r="E65" s="449" t="s">
        <v>630</v>
      </c>
    </row>
    <row r="66" spans="1:19" ht="55.65">
      <c r="A66" s="441">
        <v>1</v>
      </c>
      <c r="B66" s="17" t="s">
        <v>517</v>
      </c>
      <c r="C66" s="204" t="s">
        <v>698</v>
      </c>
      <c r="D66" s="17" t="s">
        <v>636</v>
      </c>
      <c r="E66" s="17" t="s">
        <v>637</v>
      </c>
      <c r="F66" s="445">
        <v>1809</v>
      </c>
      <c r="G66" s="404">
        <v>0.4</v>
      </c>
      <c r="H66" s="403">
        <f t="shared" si="4"/>
        <v>1085.3999999999999</v>
      </c>
      <c r="I66" s="403">
        <f t="shared" ref="I66:I69" si="13">A66*H66</f>
        <v>1085.3999999999999</v>
      </c>
      <c r="J66" s="17" t="s">
        <v>638</v>
      </c>
      <c r="K66" s="17" t="s">
        <v>1892</v>
      </c>
    </row>
    <row r="67" spans="1:19">
      <c r="A67" s="441">
        <v>1</v>
      </c>
      <c r="B67" s="17" t="s">
        <v>517</v>
      </c>
      <c r="E67" s="17" t="s">
        <v>1915</v>
      </c>
      <c r="F67" s="445">
        <v>42.13</v>
      </c>
      <c r="H67" s="403">
        <f t="shared" si="4"/>
        <v>42.13</v>
      </c>
      <c r="I67" s="403">
        <f t="shared" si="13"/>
        <v>42.13</v>
      </c>
    </row>
    <row r="68" spans="1:19">
      <c r="A68" s="441">
        <v>0</v>
      </c>
      <c r="B68" s="17" t="s">
        <v>539</v>
      </c>
      <c r="C68" s="204" t="s">
        <v>538</v>
      </c>
      <c r="D68" s="17" t="s">
        <v>643</v>
      </c>
      <c r="E68" s="17" t="s">
        <v>1899</v>
      </c>
      <c r="F68" s="445">
        <v>80</v>
      </c>
      <c r="G68" s="404">
        <v>0.4</v>
      </c>
      <c r="H68" s="403">
        <f t="shared" si="4"/>
        <v>48</v>
      </c>
      <c r="I68" s="403">
        <f t="shared" si="13"/>
        <v>0</v>
      </c>
      <c r="J68" s="17" t="s">
        <v>638</v>
      </c>
      <c r="K68" s="17" t="s">
        <v>1894</v>
      </c>
      <c r="M68" s="403" t="s">
        <v>1916</v>
      </c>
      <c r="N68" s="403"/>
      <c r="O68" s="403"/>
      <c r="P68" s="403"/>
      <c r="Q68" s="403"/>
      <c r="R68" s="403"/>
      <c r="S68" s="403"/>
    </row>
    <row r="69" spans="1:19">
      <c r="A69" s="441">
        <v>0</v>
      </c>
      <c r="B69" s="17" t="s">
        <v>517</v>
      </c>
      <c r="E69" s="17" t="s">
        <v>1463</v>
      </c>
      <c r="F69" s="445">
        <v>2493</v>
      </c>
      <c r="H69" s="403">
        <f t="shared" si="4"/>
        <v>2493</v>
      </c>
      <c r="I69" s="403">
        <f t="shared" si="13"/>
        <v>0</v>
      </c>
      <c r="J69" s="17" t="s">
        <v>1462</v>
      </c>
    </row>
    <row r="70" spans="1:19" ht="15.75">
      <c r="E70" s="439" t="s">
        <v>676</v>
      </c>
      <c r="I70" s="443">
        <f>SUM(I66:I69)</f>
        <v>1127.53</v>
      </c>
      <c r="Q70" s="165">
        <f>I70</f>
        <v>1127.53</v>
      </c>
    </row>
    <row r="72" spans="1:19" ht="13.75" customHeight="1">
      <c r="A72" s="986" t="s">
        <v>100</v>
      </c>
      <c r="B72" s="986"/>
      <c r="C72" s="986"/>
      <c r="D72" s="986"/>
      <c r="E72" s="986"/>
    </row>
    <row r="74" spans="1:19" ht="22.25">
      <c r="E74" s="446" t="s">
        <v>1917</v>
      </c>
      <c r="H74" s="403"/>
      <c r="I74" s="403"/>
    </row>
    <row r="75" spans="1:19" ht="22.25">
      <c r="A75" s="17">
        <v>1</v>
      </c>
      <c r="B75" s="17" t="s">
        <v>505</v>
      </c>
      <c r="C75" s="17" t="s">
        <v>1918</v>
      </c>
      <c r="E75" s="204" t="s">
        <v>1919</v>
      </c>
      <c r="F75" s="403">
        <v>1580</v>
      </c>
      <c r="H75" s="403">
        <f t="shared" ref="H75:H89" si="14">F75*(1-G75)</f>
        <v>1580</v>
      </c>
      <c r="I75" s="403">
        <f t="shared" ref="I75:I76" si="15">A75*H75</f>
        <v>1580</v>
      </c>
    </row>
    <row r="76" spans="1:19" ht="22.25">
      <c r="A76" s="17">
        <v>1</v>
      </c>
      <c r="C76" s="17"/>
      <c r="E76" s="204" t="s">
        <v>1920</v>
      </c>
      <c r="F76" s="403">
        <v>8000</v>
      </c>
      <c r="H76" s="403">
        <f t="shared" si="14"/>
        <v>8000</v>
      </c>
      <c r="I76" s="403">
        <f t="shared" si="15"/>
        <v>8000</v>
      </c>
      <c r="M76" s="17" t="s">
        <v>1921</v>
      </c>
    </row>
    <row r="78" spans="1:19" ht="15.75">
      <c r="E78" s="439" t="s">
        <v>1852</v>
      </c>
      <c r="I78" s="168">
        <f>SUM(I74:I77)</f>
        <v>9580</v>
      </c>
    </row>
    <row r="81" spans="1:10" ht="15.05" customHeight="1">
      <c r="A81" s="1002" t="s">
        <v>90</v>
      </c>
      <c r="B81" s="1002"/>
      <c r="C81" s="1002"/>
      <c r="D81" s="1002"/>
      <c r="E81" s="1002"/>
    </row>
    <row r="83" spans="1:10" ht="13.75">
      <c r="A83" s="17">
        <v>1</v>
      </c>
      <c r="B83" s="17" t="s">
        <v>517</v>
      </c>
      <c r="E83" s="17" t="s">
        <v>1464</v>
      </c>
      <c r="F83" s="403">
        <v>860</v>
      </c>
      <c r="H83" s="403">
        <f t="shared" si="14"/>
        <v>860</v>
      </c>
      <c r="I83" s="403">
        <f t="shared" ref="I83:I89" si="16">A83*H83</f>
        <v>860</v>
      </c>
      <c r="J83" s="494" t="s">
        <v>1465</v>
      </c>
    </row>
    <row r="84" spans="1:10">
      <c r="A84" s="17">
        <v>0</v>
      </c>
      <c r="B84" s="17" t="s">
        <v>517</v>
      </c>
      <c r="E84" s="17" t="s">
        <v>707</v>
      </c>
      <c r="F84" s="403">
        <v>1500</v>
      </c>
      <c r="H84" s="403">
        <f t="shared" si="14"/>
        <v>1500</v>
      </c>
      <c r="I84" s="403">
        <f t="shared" si="16"/>
        <v>0</v>
      </c>
      <c r="J84" s="17" t="s">
        <v>1922</v>
      </c>
    </row>
    <row r="85" spans="1:10">
      <c r="A85" s="17">
        <v>1</v>
      </c>
      <c r="B85" s="17" t="s">
        <v>517</v>
      </c>
      <c r="E85" s="17" t="s">
        <v>706</v>
      </c>
      <c r="F85" s="403">
        <v>40</v>
      </c>
      <c r="H85" s="403">
        <f t="shared" si="14"/>
        <v>40</v>
      </c>
      <c r="I85" s="403">
        <f t="shared" si="16"/>
        <v>40</v>
      </c>
    </row>
    <row r="86" spans="1:10" ht="44.55">
      <c r="A86" s="17">
        <v>0</v>
      </c>
      <c r="B86" s="17" t="s">
        <v>517</v>
      </c>
      <c r="C86" s="204" t="s">
        <v>708</v>
      </c>
      <c r="E86" s="204" t="s">
        <v>709</v>
      </c>
      <c r="F86" s="403">
        <v>460</v>
      </c>
      <c r="H86" s="403">
        <f t="shared" si="14"/>
        <v>460</v>
      </c>
      <c r="I86" s="403">
        <f t="shared" si="16"/>
        <v>0</v>
      </c>
    </row>
    <row r="87" spans="1:10" ht="44.55">
      <c r="A87" s="17">
        <v>1</v>
      </c>
      <c r="B87" s="17" t="s">
        <v>517</v>
      </c>
      <c r="C87" s="204" t="s">
        <v>711</v>
      </c>
      <c r="E87" s="204" t="s">
        <v>712</v>
      </c>
      <c r="F87" s="403">
        <v>320</v>
      </c>
      <c r="H87" s="403">
        <f t="shared" si="14"/>
        <v>320</v>
      </c>
      <c r="I87" s="403">
        <f t="shared" si="16"/>
        <v>320</v>
      </c>
    </row>
    <row r="88" spans="1:10" ht="33.4">
      <c r="A88" s="17">
        <v>1</v>
      </c>
      <c r="B88" s="17" t="s">
        <v>517</v>
      </c>
      <c r="C88" s="204" t="s">
        <v>1467</v>
      </c>
      <c r="E88" s="204" t="s">
        <v>1468</v>
      </c>
      <c r="F88" s="403">
        <v>249</v>
      </c>
      <c r="H88" s="403">
        <f t="shared" si="14"/>
        <v>249</v>
      </c>
      <c r="I88" s="403">
        <f t="shared" si="16"/>
        <v>249</v>
      </c>
    </row>
    <row r="89" spans="1:10" ht="55.65">
      <c r="A89" s="17">
        <v>0</v>
      </c>
      <c r="B89" s="17" t="s">
        <v>517</v>
      </c>
      <c r="C89" s="17" t="s">
        <v>713</v>
      </c>
      <c r="D89" s="17" t="s">
        <v>714</v>
      </c>
      <c r="E89" s="204" t="s">
        <v>715</v>
      </c>
      <c r="F89" s="403">
        <v>2725</v>
      </c>
      <c r="H89" s="403">
        <f t="shared" si="14"/>
        <v>2725</v>
      </c>
      <c r="I89" s="403">
        <f t="shared" si="16"/>
        <v>0</v>
      </c>
    </row>
    <row r="90" spans="1:10">
      <c r="C90" s="17"/>
      <c r="E90" s="204"/>
      <c r="H90" s="403"/>
      <c r="I90" s="403"/>
    </row>
    <row r="91" spans="1:10" ht="15.75">
      <c r="C91" s="17"/>
      <c r="E91" s="439" t="s">
        <v>729</v>
      </c>
      <c r="H91" s="403"/>
      <c r="I91" s="168">
        <f>SUM(I81:I90)</f>
        <v>1469</v>
      </c>
    </row>
    <row r="92" spans="1:10">
      <c r="C92" s="17"/>
      <c r="E92" s="204"/>
      <c r="H92" s="403"/>
      <c r="I92" s="403"/>
    </row>
    <row r="93" spans="1:10">
      <c r="C93" s="17"/>
      <c r="E93" s="204"/>
      <c r="H93" s="403"/>
      <c r="I93" s="403"/>
    </row>
    <row r="100" spans="1:10" ht="13.75" customHeight="1">
      <c r="A100" s="997" t="s">
        <v>68</v>
      </c>
      <c r="B100" s="997"/>
      <c r="C100" s="997"/>
      <c r="D100" s="997"/>
      <c r="E100" s="997"/>
    </row>
    <row r="101" spans="1:10">
      <c r="A101" s="17">
        <v>0</v>
      </c>
      <c r="B101" s="17" t="s">
        <v>517</v>
      </c>
      <c r="E101" s="17" t="s">
        <v>1469</v>
      </c>
      <c r="F101" s="403">
        <v>187.5</v>
      </c>
      <c r="H101" s="403">
        <f t="shared" ref="H101:H106" si="17">F101*(1-G101)</f>
        <v>187.5</v>
      </c>
      <c r="I101" s="403">
        <f t="shared" ref="I101:I106" si="18">A101*H101</f>
        <v>0</v>
      </c>
      <c r="J101" s="17" t="s">
        <v>1470</v>
      </c>
    </row>
    <row r="102" spans="1:10">
      <c r="A102" s="17">
        <v>1</v>
      </c>
      <c r="B102" s="17" t="s">
        <v>517</v>
      </c>
      <c r="E102" s="17" t="s">
        <v>1471</v>
      </c>
      <c r="F102" s="403">
        <v>500</v>
      </c>
      <c r="H102" s="403">
        <f t="shared" si="17"/>
        <v>500</v>
      </c>
      <c r="I102" s="403">
        <f t="shared" si="18"/>
        <v>500</v>
      </c>
      <c r="J102" s="17" t="s">
        <v>696</v>
      </c>
    </row>
    <row r="103" spans="1:10">
      <c r="A103" s="17">
        <v>0</v>
      </c>
      <c r="B103" s="17" t="s">
        <v>517</v>
      </c>
      <c r="E103" s="17" t="s">
        <v>1472</v>
      </c>
      <c r="F103" s="403">
        <v>500</v>
      </c>
      <c r="H103" s="403">
        <f t="shared" si="17"/>
        <v>500</v>
      </c>
      <c r="I103" s="403">
        <f t="shared" si="18"/>
        <v>0</v>
      </c>
      <c r="J103" s="17" t="s">
        <v>696</v>
      </c>
    </row>
    <row r="104" spans="1:10" ht="44.55">
      <c r="A104" s="17">
        <v>0</v>
      </c>
      <c r="B104" s="17" t="s">
        <v>517</v>
      </c>
      <c r="C104" s="204" t="s">
        <v>708</v>
      </c>
      <c r="E104" s="204" t="s">
        <v>731</v>
      </c>
      <c r="F104" s="403">
        <f>460/2</f>
        <v>230</v>
      </c>
      <c r="H104" s="403">
        <f t="shared" si="17"/>
        <v>230</v>
      </c>
      <c r="I104" s="403">
        <f t="shared" si="18"/>
        <v>0</v>
      </c>
    </row>
    <row r="105" spans="1:10" ht="44.55">
      <c r="A105" s="17">
        <v>0</v>
      </c>
      <c r="B105" s="17" t="s">
        <v>517</v>
      </c>
      <c r="C105" s="204" t="s">
        <v>711</v>
      </c>
      <c r="E105" s="204" t="s">
        <v>732</v>
      </c>
      <c r="F105" s="403">
        <f>320/2</f>
        <v>160</v>
      </c>
      <c r="H105" s="403">
        <f t="shared" si="17"/>
        <v>160</v>
      </c>
      <c r="I105" s="403">
        <f t="shared" si="18"/>
        <v>0</v>
      </c>
    </row>
    <row r="106" spans="1:10">
      <c r="A106" s="17">
        <v>1</v>
      </c>
      <c r="B106" s="17" t="s">
        <v>517</v>
      </c>
      <c r="C106" s="204" t="s">
        <v>531</v>
      </c>
      <c r="E106" s="17" t="s">
        <v>1473</v>
      </c>
      <c r="F106" s="403">
        <f>84/1.2</f>
        <v>70</v>
      </c>
      <c r="H106" s="403">
        <f t="shared" si="17"/>
        <v>70</v>
      </c>
      <c r="I106" s="403">
        <f t="shared" si="18"/>
        <v>70</v>
      </c>
    </row>
    <row r="107" spans="1:10" ht="15.75">
      <c r="E107" s="439" t="s">
        <v>733</v>
      </c>
      <c r="I107" s="168">
        <f>SUM(I100:I106)</f>
        <v>570</v>
      </c>
    </row>
  </sheetData>
  <mergeCells count="6">
    <mergeCell ref="A100:E100"/>
    <mergeCell ref="B1:F1"/>
    <mergeCell ref="A2:G2"/>
    <mergeCell ref="J20:L20"/>
    <mergeCell ref="A72:E72"/>
    <mergeCell ref="A81:E81"/>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28"/>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26.42578125" style="17" customWidth="1"/>
    <col min="11" max="11" width="14.140625" style="17" customWidth="1"/>
    <col min="12" max="12" width="8" style="17" customWidth="1"/>
    <col min="13" max="64" width="10.140625" style="17"/>
  </cols>
  <sheetData>
    <row r="1" spans="1:19" ht="15.75">
      <c r="B1" s="1053" t="s">
        <v>216</v>
      </c>
      <c r="C1" s="1053"/>
      <c r="D1" s="1053"/>
      <c r="E1" s="1053"/>
      <c r="F1" s="1053"/>
      <c r="H1" s="405" t="s">
        <v>493</v>
      </c>
      <c r="I1" s="406">
        <v>360</v>
      </c>
      <c r="J1" s="17" t="s">
        <v>494</v>
      </c>
      <c r="K1" s="17" t="s">
        <v>495</v>
      </c>
      <c r="L1" s="58">
        <f>A4*I1</f>
        <v>79560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33.4">
      <c r="A4" s="413">
        <v>221</v>
      </c>
      <c r="B4" s="413" t="s">
        <v>505</v>
      </c>
      <c r="C4" s="420" t="s">
        <v>540</v>
      </c>
      <c r="D4" s="413" t="s">
        <v>556</v>
      </c>
      <c r="E4" s="420" t="s">
        <v>1214</v>
      </c>
      <c r="F4" s="421">
        <v>98.59</v>
      </c>
      <c r="G4" s="410"/>
      <c r="H4" s="409">
        <f t="shared" ref="H4:H8" si="0">F4*(1-G4)</f>
        <v>98.59</v>
      </c>
      <c r="I4" s="409">
        <f t="shared" ref="I4:I8" si="1">A4*H4</f>
        <v>21788.39</v>
      </c>
      <c r="J4" s="204"/>
      <c r="K4" s="403"/>
      <c r="L4" s="404"/>
      <c r="M4" s="418">
        <f t="shared" ref="M4:M5" si="2">I4</f>
        <v>21788.39</v>
      </c>
      <c r="N4" s="437"/>
      <c r="O4" s="437"/>
      <c r="P4" s="437"/>
      <c r="Q4" s="437"/>
      <c r="R4" s="437"/>
      <c r="S4" s="437"/>
    </row>
    <row r="5" spans="1:19" ht="22.25">
      <c r="A5" s="413">
        <f>A4</f>
        <v>221</v>
      </c>
      <c r="B5" s="413" t="s">
        <v>505</v>
      </c>
      <c r="C5" s="413" t="s">
        <v>540</v>
      </c>
      <c r="D5" s="413" t="s">
        <v>556</v>
      </c>
      <c r="E5" s="420" t="s">
        <v>739</v>
      </c>
      <c r="F5" s="421">
        <f>2431/A5</f>
        <v>11</v>
      </c>
      <c r="G5" s="422"/>
      <c r="H5" s="409">
        <f t="shared" si="0"/>
        <v>11</v>
      </c>
      <c r="I5" s="409">
        <f t="shared" si="1"/>
        <v>2431</v>
      </c>
      <c r="J5" s="446" t="s">
        <v>1923</v>
      </c>
      <c r="M5" s="418">
        <f t="shared" si="2"/>
        <v>2431</v>
      </c>
      <c r="N5" s="437"/>
      <c r="O5" s="437"/>
      <c r="P5" s="437"/>
      <c r="Q5" s="437"/>
      <c r="R5" s="437"/>
      <c r="S5" s="437"/>
    </row>
    <row r="6" spans="1:19">
      <c r="A6" s="413">
        <v>1</v>
      </c>
      <c r="B6" s="423" t="s">
        <v>522</v>
      </c>
      <c r="C6" s="413" t="s">
        <v>987</v>
      </c>
      <c r="D6" s="413" t="s">
        <v>556</v>
      </c>
      <c r="E6" s="413" t="s">
        <v>1000</v>
      </c>
      <c r="F6" s="421">
        <v>1222.22</v>
      </c>
      <c r="G6" s="410"/>
      <c r="H6" s="409">
        <f t="shared" si="0"/>
        <v>1222.22</v>
      </c>
      <c r="I6" s="409">
        <f t="shared" si="1"/>
        <v>1222.22</v>
      </c>
      <c r="J6" s="204"/>
      <c r="M6" s="437"/>
      <c r="N6" s="437"/>
      <c r="O6" s="437"/>
      <c r="P6" s="437"/>
      <c r="Q6" s="437"/>
      <c r="R6" s="418">
        <f t="shared" ref="R6:R9" si="3">I6</f>
        <v>1222.22</v>
      </c>
      <c r="S6" s="437"/>
    </row>
    <row r="7" spans="1:19" ht="80.7" customHeight="1">
      <c r="A7" s="413">
        <v>2</v>
      </c>
      <c r="B7" s="413" t="s">
        <v>505</v>
      </c>
      <c r="C7" s="413" t="s">
        <v>540</v>
      </c>
      <c r="D7" s="413" t="s">
        <v>1217</v>
      </c>
      <c r="E7" s="420" t="s">
        <v>1924</v>
      </c>
      <c r="F7" s="421">
        <v>316.67</v>
      </c>
      <c r="G7" s="410"/>
      <c r="H7" s="409">
        <f t="shared" si="0"/>
        <v>316.67</v>
      </c>
      <c r="I7" s="409">
        <f t="shared" si="1"/>
        <v>633.34</v>
      </c>
      <c r="J7" s="446" t="s">
        <v>1925</v>
      </c>
      <c r="M7" s="437"/>
      <c r="N7" s="437"/>
      <c r="O7" s="437"/>
      <c r="P7" s="437"/>
      <c r="Q7" s="437"/>
      <c r="R7" s="418">
        <f t="shared" si="3"/>
        <v>633.34</v>
      </c>
      <c r="S7" s="437"/>
    </row>
    <row r="8" spans="1:19">
      <c r="A8" s="413">
        <v>1</v>
      </c>
      <c r="B8" s="413" t="s">
        <v>505</v>
      </c>
      <c r="C8" s="413" t="s">
        <v>751</v>
      </c>
      <c r="D8" s="413"/>
      <c r="E8" s="420" t="s">
        <v>753</v>
      </c>
      <c r="F8" s="421">
        <v>277.77999999999997</v>
      </c>
      <c r="G8" s="410"/>
      <c r="H8" s="409">
        <f t="shared" si="0"/>
        <v>277.77999999999997</v>
      </c>
      <c r="I8" s="409">
        <f t="shared" si="1"/>
        <v>277.77999999999997</v>
      </c>
      <c r="J8" s="446" t="s">
        <v>1926</v>
      </c>
      <c r="M8" s="437"/>
      <c r="N8" s="437"/>
      <c r="O8" s="437"/>
      <c r="P8" s="437"/>
      <c r="Q8" s="437"/>
      <c r="R8" s="418">
        <f t="shared" si="3"/>
        <v>277.77999999999997</v>
      </c>
      <c r="S8" s="437"/>
    </row>
    <row r="9" spans="1:19">
      <c r="A9" s="407">
        <v>0</v>
      </c>
      <c r="B9" s="407"/>
      <c r="C9" s="408"/>
      <c r="D9" s="407"/>
      <c r="E9" s="408"/>
      <c r="F9" s="409"/>
      <c r="G9" s="410"/>
      <c r="H9" s="409"/>
      <c r="I9" s="409"/>
      <c r="J9" s="204"/>
      <c r="M9" s="437"/>
      <c r="N9" s="437"/>
      <c r="O9" s="437"/>
      <c r="P9" s="437"/>
      <c r="Q9" s="437"/>
      <c r="R9" s="418">
        <f t="shared" si="3"/>
        <v>0</v>
      </c>
      <c r="S9" s="437"/>
    </row>
    <row r="10" spans="1:19">
      <c r="A10" s="407"/>
      <c r="B10" s="407"/>
      <c r="C10" s="408"/>
      <c r="D10" s="407"/>
      <c r="E10" s="408"/>
      <c r="F10" s="409"/>
      <c r="G10" s="410"/>
      <c r="H10" s="409">
        <f t="shared" ref="H10:H72" si="4">F10*(1-G10)</f>
        <v>0</v>
      </c>
      <c r="I10" s="409">
        <f t="shared" ref="I10:I28" si="5">A10*H10</f>
        <v>0</v>
      </c>
      <c r="J10" s="204"/>
      <c r="M10" s="437"/>
      <c r="N10" s="437"/>
      <c r="O10" s="437"/>
      <c r="P10" s="437"/>
      <c r="Q10" s="437"/>
      <c r="R10" s="418">
        <f>I10</f>
        <v>0</v>
      </c>
      <c r="S10" s="437"/>
    </row>
    <row r="11" spans="1:19" ht="33.4">
      <c r="A11" s="413">
        <f>7*(20+10)</f>
        <v>210</v>
      </c>
      <c r="B11" s="413" t="s">
        <v>522</v>
      </c>
      <c r="C11" s="413" t="s">
        <v>540</v>
      </c>
      <c r="D11" s="413" t="s">
        <v>541</v>
      </c>
      <c r="E11" s="420" t="s">
        <v>542</v>
      </c>
      <c r="F11" s="421">
        <f t="shared" ref="F11:F12" si="6">2*278.24/A11</f>
        <v>2.6499047619047622</v>
      </c>
      <c r="G11" s="410"/>
      <c r="H11" s="409">
        <f t="shared" si="4"/>
        <v>2.6499047619047622</v>
      </c>
      <c r="I11" s="409">
        <f t="shared" si="5"/>
        <v>556.48</v>
      </c>
      <c r="J11" s="204"/>
      <c r="M11" s="437"/>
      <c r="N11" s="437"/>
      <c r="O11" s="418">
        <f t="shared" ref="O11:O21" si="7">I11</f>
        <v>556.48</v>
      </c>
      <c r="P11" s="418"/>
      <c r="Q11" s="418"/>
      <c r="R11" s="437"/>
      <c r="S11" s="437"/>
    </row>
    <row r="12" spans="1:19" ht="44.55">
      <c r="A12" s="413">
        <f>A11+4*22+4*20+3*16+3*20</f>
        <v>486</v>
      </c>
      <c r="B12" s="413" t="s">
        <v>522</v>
      </c>
      <c r="C12" s="413" t="s">
        <v>540</v>
      </c>
      <c r="D12" s="413" t="s">
        <v>543</v>
      </c>
      <c r="E12" s="420" t="s">
        <v>544</v>
      </c>
      <c r="F12" s="421">
        <f t="shared" si="6"/>
        <v>1.1450205761316872</v>
      </c>
      <c r="G12" s="410"/>
      <c r="H12" s="409">
        <f t="shared" si="4"/>
        <v>1.1450205761316872</v>
      </c>
      <c r="I12" s="409">
        <f t="shared" si="5"/>
        <v>556.48</v>
      </c>
      <c r="J12" s="204"/>
      <c r="M12" s="437"/>
      <c r="N12" s="437"/>
      <c r="O12" s="418">
        <f t="shared" si="7"/>
        <v>556.48</v>
      </c>
      <c r="P12" s="418"/>
      <c r="Q12" s="418"/>
      <c r="R12" s="437"/>
      <c r="S12" s="437"/>
    </row>
    <row r="13" spans="1:19" ht="33.4">
      <c r="A13" s="413">
        <v>28</v>
      </c>
      <c r="B13" s="413" t="s">
        <v>517</v>
      </c>
      <c r="C13" s="413" t="s">
        <v>540</v>
      </c>
      <c r="D13" s="413" t="s">
        <v>797</v>
      </c>
      <c r="E13" s="420" t="s">
        <v>798</v>
      </c>
      <c r="F13" s="421">
        <v>0.88</v>
      </c>
      <c r="G13" s="410"/>
      <c r="H13" s="409">
        <f t="shared" si="4"/>
        <v>0.88</v>
      </c>
      <c r="I13" s="409">
        <f t="shared" si="5"/>
        <v>24.64</v>
      </c>
      <c r="J13" s="204"/>
      <c r="M13" s="437"/>
      <c r="N13" s="437"/>
      <c r="O13" s="418">
        <f t="shared" si="7"/>
        <v>24.64</v>
      </c>
      <c r="P13" s="437"/>
      <c r="Q13" s="437"/>
      <c r="R13" s="418"/>
      <c r="S13" s="437"/>
    </row>
    <row r="14" spans="1:19" ht="33.4">
      <c r="A14" s="413">
        <f>A13</f>
        <v>28</v>
      </c>
      <c r="B14" s="413" t="s">
        <v>517</v>
      </c>
      <c r="C14" s="413" t="s">
        <v>540</v>
      </c>
      <c r="D14" s="413" t="s">
        <v>800</v>
      </c>
      <c r="E14" s="420" t="s">
        <v>801</v>
      </c>
      <c r="F14" s="421">
        <v>0.67</v>
      </c>
      <c r="G14" s="410"/>
      <c r="H14" s="409">
        <f t="shared" si="4"/>
        <v>0.67</v>
      </c>
      <c r="I14" s="409">
        <f t="shared" si="5"/>
        <v>18.760000000000002</v>
      </c>
      <c r="J14" s="204"/>
      <c r="M14" s="437"/>
      <c r="N14" s="437"/>
      <c r="O14" s="418">
        <f t="shared" si="7"/>
        <v>18.760000000000002</v>
      </c>
      <c r="P14" s="437"/>
      <c r="Q14" s="437"/>
      <c r="R14" s="418"/>
      <c r="S14" s="437"/>
    </row>
    <row r="15" spans="1:19" ht="44.55">
      <c r="A15" s="413">
        <v>2</v>
      </c>
      <c r="B15" s="413" t="s">
        <v>517</v>
      </c>
      <c r="C15" s="413" t="s">
        <v>540</v>
      </c>
      <c r="D15" s="413" t="s">
        <v>821</v>
      </c>
      <c r="E15" s="420" t="s">
        <v>822</v>
      </c>
      <c r="F15" s="421">
        <v>1810</v>
      </c>
      <c r="G15" s="410"/>
      <c r="H15" s="409">
        <f t="shared" si="4"/>
        <v>1810</v>
      </c>
      <c r="I15" s="409">
        <f t="shared" si="5"/>
        <v>3620</v>
      </c>
      <c r="J15" s="446" t="s">
        <v>1927</v>
      </c>
      <c r="M15" s="437"/>
      <c r="N15" s="418">
        <f t="shared" ref="N15:N17" si="8">I15</f>
        <v>3620</v>
      </c>
      <c r="O15" s="437"/>
      <c r="P15" s="437"/>
      <c r="Q15" s="437"/>
      <c r="R15" s="437"/>
      <c r="S15" s="437"/>
    </row>
    <row r="16" spans="1:19" ht="22.25">
      <c r="A16" s="413">
        <v>1</v>
      </c>
      <c r="B16" s="407" t="s">
        <v>522</v>
      </c>
      <c r="C16" s="413" t="s">
        <v>751</v>
      </c>
      <c r="D16" s="413"/>
      <c r="E16" s="420" t="s">
        <v>1209</v>
      </c>
      <c r="F16" s="421">
        <v>1688.73</v>
      </c>
      <c r="G16" s="410"/>
      <c r="H16" s="409">
        <f t="shared" si="4"/>
        <v>1688.73</v>
      </c>
      <c r="I16" s="409">
        <f t="shared" si="5"/>
        <v>1688.73</v>
      </c>
      <c r="J16" s="446" t="s">
        <v>1928</v>
      </c>
      <c r="M16" s="437"/>
      <c r="N16" s="418">
        <f t="shared" si="8"/>
        <v>1688.73</v>
      </c>
      <c r="O16" s="437"/>
      <c r="P16" s="437"/>
      <c r="Q16" s="437"/>
      <c r="R16" s="437"/>
      <c r="S16" s="437"/>
    </row>
    <row r="17" spans="1:19" ht="55.65">
      <c r="A17" s="413">
        <v>1</v>
      </c>
      <c r="B17" s="413" t="s">
        <v>522</v>
      </c>
      <c r="C17" s="420" t="s">
        <v>987</v>
      </c>
      <c r="D17" s="413" t="s">
        <v>990</v>
      </c>
      <c r="E17" s="420" t="s">
        <v>991</v>
      </c>
      <c r="F17" s="421">
        <v>33.43</v>
      </c>
      <c r="G17" s="410"/>
      <c r="H17" s="409">
        <f t="shared" si="4"/>
        <v>33.43</v>
      </c>
      <c r="I17" s="409">
        <f t="shared" si="5"/>
        <v>33.43</v>
      </c>
      <c r="J17" s="204"/>
      <c r="M17" s="437"/>
      <c r="N17" s="418">
        <f t="shared" si="8"/>
        <v>33.43</v>
      </c>
      <c r="O17" s="437"/>
      <c r="P17" s="437"/>
      <c r="Q17" s="437"/>
      <c r="R17" s="437"/>
      <c r="S17" s="437"/>
    </row>
    <row r="18" spans="1:19" ht="55.65">
      <c r="A18" s="413">
        <f>2*4*2</f>
        <v>16</v>
      </c>
      <c r="B18" s="413" t="s">
        <v>522</v>
      </c>
      <c r="C18" s="420" t="s">
        <v>987</v>
      </c>
      <c r="D18" s="413" t="s">
        <v>761</v>
      </c>
      <c r="E18" s="420" t="s">
        <v>762</v>
      </c>
      <c r="F18" s="421">
        <v>2.5</v>
      </c>
      <c r="G18" s="410"/>
      <c r="H18" s="409">
        <f t="shared" si="4"/>
        <v>2.5</v>
      </c>
      <c r="I18" s="409">
        <f t="shared" si="5"/>
        <v>40</v>
      </c>
      <c r="J18" s="204"/>
      <c r="M18" s="437"/>
      <c r="N18" s="437"/>
      <c r="O18" s="437"/>
      <c r="P18" s="437"/>
      <c r="Q18" s="437"/>
      <c r="R18" s="418">
        <f t="shared" ref="R18:R20" si="9">I18</f>
        <v>40</v>
      </c>
      <c r="S18" s="437"/>
    </row>
    <row r="19" spans="1:19" ht="102.3" customHeight="1">
      <c r="A19" s="413">
        <v>1</v>
      </c>
      <c r="B19" s="413" t="s">
        <v>522</v>
      </c>
      <c r="C19" s="420" t="s">
        <v>1479</v>
      </c>
      <c r="D19" s="413"/>
      <c r="E19" s="420" t="s">
        <v>803</v>
      </c>
      <c r="F19" s="421">
        <v>564.44000000000005</v>
      </c>
      <c r="G19" s="410"/>
      <c r="H19" s="409">
        <f t="shared" si="4"/>
        <v>564.44000000000005</v>
      </c>
      <c r="I19" s="409">
        <f t="shared" si="5"/>
        <v>564.44000000000005</v>
      </c>
      <c r="J19" s="1054"/>
      <c r="K19" s="1054"/>
      <c r="L19" s="1054"/>
      <c r="M19" s="437"/>
      <c r="N19" s="437"/>
      <c r="O19" s="437"/>
      <c r="P19" s="437"/>
      <c r="Q19" s="437"/>
      <c r="R19" s="418">
        <f t="shared" si="9"/>
        <v>564.44000000000005</v>
      </c>
      <c r="S19" s="437"/>
    </row>
    <row r="20" spans="1:19" ht="55.65">
      <c r="A20" s="413">
        <v>0</v>
      </c>
      <c r="B20" s="413" t="s">
        <v>522</v>
      </c>
      <c r="C20" s="420" t="s">
        <v>987</v>
      </c>
      <c r="D20" s="413" t="s">
        <v>998</v>
      </c>
      <c r="E20" s="420" t="s">
        <v>999</v>
      </c>
      <c r="F20" s="421">
        <v>116.67</v>
      </c>
      <c r="G20" s="410"/>
      <c r="H20" s="409">
        <f t="shared" si="4"/>
        <v>116.67</v>
      </c>
      <c r="I20" s="409">
        <f t="shared" si="5"/>
        <v>0</v>
      </c>
      <c r="J20" s="204"/>
      <c r="M20" s="437"/>
      <c r="N20" s="437"/>
      <c r="O20" s="437"/>
      <c r="P20" s="437"/>
      <c r="Q20" s="437"/>
      <c r="R20" s="418">
        <f t="shared" si="9"/>
        <v>0</v>
      </c>
      <c r="S20" s="437"/>
    </row>
    <row r="21" spans="1:19" ht="22.25">
      <c r="A21" s="413">
        <v>1</v>
      </c>
      <c r="B21" s="413" t="s">
        <v>522</v>
      </c>
      <c r="C21" s="420"/>
      <c r="D21" s="413"/>
      <c r="E21" s="420" t="s">
        <v>695</v>
      </c>
      <c r="F21" s="421">
        <v>100</v>
      </c>
      <c r="G21" s="410"/>
      <c r="H21" s="409">
        <f t="shared" si="4"/>
        <v>100</v>
      </c>
      <c r="I21" s="409">
        <f t="shared" si="5"/>
        <v>100</v>
      </c>
      <c r="J21" s="204" t="s">
        <v>696</v>
      </c>
      <c r="M21" s="437"/>
      <c r="N21" s="437"/>
      <c r="O21" s="418">
        <f t="shared" si="7"/>
        <v>100</v>
      </c>
      <c r="P21" s="437"/>
      <c r="Q21" s="437"/>
      <c r="R21" s="418"/>
      <c r="S21" s="437"/>
    </row>
    <row r="22" spans="1:19" ht="55.65">
      <c r="A22" s="413">
        <v>1</v>
      </c>
      <c r="B22" s="413"/>
      <c r="C22" s="420" t="s">
        <v>987</v>
      </c>
      <c r="D22" s="413" t="s">
        <v>769</v>
      </c>
      <c r="E22" s="413" t="s">
        <v>567</v>
      </c>
      <c r="F22" s="421">
        <v>750</v>
      </c>
      <c r="G22" s="410"/>
      <c r="H22" s="409">
        <f t="shared" si="4"/>
        <v>750</v>
      </c>
      <c r="I22" s="409">
        <f t="shared" si="5"/>
        <v>750</v>
      </c>
      <c r="J22" s="204"/>
      <c r="M22" s="418">
        <f>F22</f>
        <v>750</v>
      </c>
      <c r="N22" s="437"/>
      <c r="O22" s="437"/>
      <c r="P22" s="437"/>
      <c r="Q22" s="437"/>
      <c r="R22" s="437"/>
      <c r="S22" s="437"/>
    </row>
    <row r="23" spans="1:19">
      <c r="A23" s="407"/>
      <c r="B23" s="407"/>
      <c r="C23" s="408"/>
      <c r="D23" s="407"/>
      <c r="E23" s="407"/>
      <c r="F23" s="409"/>
      <c r="G23" s="410"/>
      <c r="H23" s="409"/>
      <c r="I23" s="409"/>
      <c r="J23" s="204"/>
      <c r="M23" s="418"/>
      <c r="N23" s="437"/>
      <c r="O23" s="437"/>
      <c r="P23" s="437"/>
      <c r="Q23" s="437"/>
      <c r="R23" s="437"/>
      <c r="S23" s="437"/>
    </row>
    <row r="24" spans="1:19">
      <c r="A24" s="407"/>
      <c r="B24" s="407"/>
      <c r="C24" s="408"/>
      <c r="D24" s="407"/>
      <c r="E24" s="407"/>
      <c r="F24" s="409"/>
      <c r="G24" s="410"/>
      <c r="H24" s="409"/>
      <c r="I24" s="409"/>
      <c r="J24" s="204"/>
      <c r="M24" s="418"/>
      <c r="N24" s="437"/>
      <c r="O24" s="437"/>
      <c r="P24" s="437"/>
      <c r="Q24" s="437"/>
      <c r="R24" s="437"/>
      <c r="S24" s="437"/>
    </row>
    <row r="25" spans="1:19" ht="55.65">
      <c r="A25" s="413">
        <v>1</v>
      </c>
      <c r="B25" s="413" t="s">
        <v>517</v>
      </c>
      <c r="C25" s="424" t="s">
        <v>569</v>
      </c>
      <c r="D25" s="423" t="s">
        <v>572</v>
      </c>
      <c r="E25" s="424" t="s">
        <v>573</v>
      </c>
      <c r="F25" s="425">
        <v>1190</v>
      </c>
      <c r="G25" s="429">
        <v>0.48</v>
      </c>
      <c r="H25" s="430">
        <f t="shared" si="4"/>
        <v>618.80000000000007</v>
      </c>
      <c r="I25" s="409">
        <f t="shared" si="5"/>
        <v>618.80000000000007</v>
      </c>
      <c r="J25" s="204" t="s">
        <v>1888</v>
      </c>
      <c r="M25" s="418"/>
      <c r="N25" s="437"/>
      <c r="O25" s="437"/>
      <c r="P25" s="437"/>
      <c r="Q25" s="437"/>
      <c r="R25" s="437"/>
      <c r="S25" s="418">
        <f t="shared" ref="S25:S28" si="10">I25</f>
        <v>618.80000000000007</v>
      </c>
    </row>
    <row r="26" spans="1:19">
      <c r="A26" s="413">
        <v>3</v>
      </c>
      <c r="B26" s="413" t="s">
        <v>517</v>
      </c>
      <c r="C26" s="420" t="s">
        <v>574</v>
      </c>
      <c r="D26" s="413" t="s">
        <v>575</v>
      </c>
      <c r="E26" s="413" t="s">
        <v>576</v>
      </c>
      <c r="F26" s="421">
        <v>36.700000000000003</v>
      </c>
      <c r="G26" s="410"/>
      <c r="H26" s="409">
        <f t="shared" si="4"/>
        <v>36.700000000000003</v>
      </c>
      <c r="I26" s="409">
        <f t="shared" si="5"/>
        <v>110.10000000000001</v>
      </c>
      <c r="J26" s="204"/>
      <c r="M26" s="418"/>
      <c r="N26" s="437"/>
      <c r="O26" s="437"/>
      <c r="P26" s="437"/>
      <c r="Q26" s="437"/>
      <c r="R26" s="437"/>
      <c r="S26" s="418">
        <f t="shared" si="10"/>
        <v>110.10000000000001</v>
      </c>
    </row>
    <row r="27" spans="1:19">
      <c r="A27" s="413">
        <v>5</v>
      </c>
      <c r="B27" s="413" t="s">
        <v>517</v>
      </c>
      <c r="C27" s="420" t="s">
        <v>574</v>
      </c>
      <c r="D27" s="413" t="s">
        <v>577</v>
      </c>
      <c r="E27" s="413" t="s">
        <v>578</v>
      </c>
      <c r="F27" s="421">
        <v>75</v>
      </c>
      <c r="G27" s="410"/>
      <c r="H27" s="409">
        <f t="shared" si="4"/>
        <v>75</v>
      </c>
      <c r="I27" s="409">
        <f t="shared" si="5"/>
        <v>375</v>
      </c>
      <c r="J27" s="204"/>
      <c r="M27" s="418"/>
      <c r="N27" s="437"/>
      <c r="O27" s="437"/>
      <c r="P27" s="437"/>
      <c r="Q27" s="437"/>
      <c r="R27" s="437"/>
      <c r="S27" s="418">
        <f t="shared" si="10"/>
        <v>375</v>
      </c>
    </row>
    <row r="28" spans="1:19">
      <c r="A28" s="413">
        <v>1</v>
      </c>
      <c r="B28" s="413" t="s">
        <v>517</v>
      </c>
      <c r="C28" s="420" t="s">
        <v>574</v>
      </c>
      <c r="D28" s="413"/>
      <c r="E28" s="413" t="s">
        <v>579</v>
      </c>
      <c r="F28" s="421">
        <f>35/4</f>
        <v>8.75</v>
      </c>
      <c r="G28" s="410"/>
      <c r="H28" s="409">
        <f t="shared" si="4"/>
        <v>8.75</v>
      </c>
      <c r="I28" s="409">
        <f t="shared" si="5"/>
        <v>8.75</v>
      </c>
      <c r="J28" s="204"/>
      <c r="M28" s="418"/>
      <c r="N28" s="437"/>
      <c r="O28" s="437"/>
      <c r="P28" s="437"/>
      <c r="Q28" s="437"/>
      <c r="R28" s="437"/>
      <c r="S28" s="418">
        <f t="shared" si="10"/>
        <v>8.75</v>
      </c>
    </row>
    <row r="29" spans="1:19" ht="12.45">
      <c r="A29" s="407"/>
      <c r="B29" s="407"/>
      <c r="C29" s="408"/>
      <c r="D29" s="407"/>
      <c r="E29" s="431"/>
      <c r="F29" s="409"/>
      <c r="G29" s="410"/>
      <c r="H29" s="409"/>
      <c r="I29" s="409"/>
      <c r="J29" s="204"/>
      <c r="M29" s="418"/>
      <c r="N29" s="437"/>
      <c r="O29" s="437"/>
      <c r="P29" s="437"/>
      <c r="Q29" s="437"/>
      <c r="R29" s="437"/>
      <c r="S29" s="418"/>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432" t="s">
        <v>580</v>
      </c>
      <c r="F31" s="409"/>
      <c r="G31" s="410"/>
      <c r="H31" s="409"/>
      <c r="I31" s="421">
        <f>SUM(I4:I29)</f>
        <v>35418.340000000004</v>
      </c>
      <c r="J31" s="204"/>
      <c r="M31" s="418">
        <f>SUM(M4:M29)</f>
        <v>24969.39</v>
      </c>
      <c r="N31" s="418">
        <f>SUM(N4:N29)</f>
        <v>5342.16</v>
      </c>
      <c r="O31" s="418">
        <f>SUM(O4:O29)</f>
        <v>1256.3600000000001</v>
      </c>
      <c r="P31" s="418"/>
      <c r="Q31" s="418"/>
      <c r="R31" s="418">
        <f>SUM(R4:R29)</f>
        <v>2737.78</v>
      </c>
      <c r="S31" s="418">
        <f>SUM(S4:S29)</f>
        <v>1112.6500000000001</v>
      </c>
    </row>
    <row r="32" spans="1:19">
      <c r="A32" s="407"/>
      <c r="B32" s="407"/>
      <c r="C32" s="408"/>
      <c r="D32" s="407"/>
      <c r="E32" s="413" t="s">
        <v>581</v>
      </c>
      <c r="F32" s="409"/>
      <c r="G32" s="410">
        <v>0.25</v>
      </c>
      <c r="H32" s="409"/>
      <c r="I32" s="421"/>
      <c r="J32" s="204"/>
      <c r="M32" s="418"/>
      <c r="N32" s="418"/>
      <c r="O32" s="418"/>
      <c r="P32" s="418"/>
      <c r="Q32" s="418"/>
      <c r="R32" s="418"/>
      <c r="S32" s="437"/>
    </row>
    <row r="33" spans="1:19" ht="15.75">
      <c r="E33" s="433" t="s">
        <v>582</v>
      </c>
      <c r="F33" s="418"/>
      <c r="G33" s="434"/>
      <c r="H33" s="418"/>
      <c r="I33" s="435">
        <f>I31*(1+$G$32)</f>
        <v>44272.925000000003</v>
      </c>
      <c r="J33" s="436"/>
      <c r="K33" s="437"/>
      <c r="L33" s="437"/>
      <c r="M33" s="165">
        <f>M31*(1+$G$32)</f>
        <v>31211.737499999999</v>
      </c>
      <c r="N33" s="165">
        <f>N31*(1+$G$32)</f>
        <v>6677.7</v>
      </c>
      <c r="O33" s="165">
        <f>O31*(1+$G$32)</f>
        <v>1570.4500000000003</v>
      </c>
      <c r="P33" s="438">
        <f>P60</f>
        <v>9240</v>
      </c>
      <c r="Q33" s="438">
        <f>Q91</f>
        <v>32927.621433066059</v>
      </c>
      <c r="R33" s="165">
        <f>R31*(1+$G$32)</f>
        <v>3422.2250000000004</v>
      </c>
      <c r="S33" s="165">
        <f>S31*(1+$G$32)</f>
        <v>1390.8125</v>
      </c>
    </row>
    <row r="36" spans="1:19">
      <c r="E36" s="439" t="s">
        <v>585</v>
      </c>
    </row>
    <row r="37" spans="1:19">
      <c r="A37" s="441">
        <v>8</v>
      </c>
      <c r="B37" s="17" t="s">
        <v>619</v>
      </c>
      <c r="E37" s="17" t="s">
        <v>586</v>
      </c>
      <c r="F37" s="403">
        <f t="shared" ref="F37:F51" si="11">F$55</f>
        <v>55</v>
      </c>
      <c r="H37" s="403">
        <f t="shared" si="4"/>
        <v>55</v>
      </c>
      <c r="I37" s="403">
        <f t="shared" ref="I37:I57" si="12">A37*H37</f>
        <v>440</v>
      </c>
    </row>
    <row r="38" spans="1:19">
      <c r="A38" s="441">
        <f>8*I1*A4/1000/36*2</f>
        <v>35.36</v>
      </c>
      <c r="B38" s="17" t="s">
        <v>619</v>
      </c>
      <c r="E38" s="17" t="s">
        <v>589</v>
      </c>
      <c r="F38" s="403">
        <f t="shared" si="11"/>
        <v>55</v>
      </c>
      <c r="H38" s="403">
        <f t="shared" si="4"/>
        <v>55</v>
      </c>
      <c r="I38" s="403">
        <f t="shared" si="12"/>
        <v>1944.8</v>
      </c>
      <c r="J38" s="17" t="s">
        <v>1929</v>
      </c>
    </row>
    <row r="39" spans="1:19">
      <c r="A39" s="441">
        <v>4</v>
      </c>
      <c r="B39" s="17" t="s">
        <v>619</v>
      </c>
      <c r="E39" s="17" t="s">
        <v>1426</v>
      </c>
      <c r="F39" s="403">
        <f t="shared" si="11"/>
        <v>55</v>
      </c>
      <c r="H39" s="403">
        <f t="shared" si="4"/>
        <v>55</v>
      </c>
      <c r="I39" s="403">
        <f t="shared" si="12"/>
        <v>220</v>
      </c>
    </row>
    <row r="40" spans="1:19">
      <c r="A40" s="441">
        <f>16/36*81*2</f>
        <v>72</v>
      </c>
      <c r="B40" s="17" t="s">
        <v>619</v>
      </c>
      <c r="E40" s="17" t="s">
        <v>591</v>
      </c>
      <c r="F40" s="403">
        <f t="shared" si="11"/>
        <v>55</v>
      </c>
      <c r="H40" s="403">
        <f t="shared" si="4"/>
        <v>55</v>
      </c>
      <c r="I40" s="403">
        <f t="shared" si="12"/>
        <v>3960</v>
      </c>
      <c r="J40" s="17" t="s">
        <v>1929</v>
      </c>
    </row>
    <row r="41" spans="1:19">
      <c r="A41" s="441">
        <v>4</v>
      </c>
      <c r="B41" s="17" t="s">
        <v>619</v>
      </c>
      <c r="E41" s="17" t="s">
        <v>1428</v>
      </c>
      <c r="F41" s="403">
        <f t="shared" si="11"/>
        <v>55</v>
      </c>
      <c r="H41" s="403">
        <f t="shared" si="4"/>
        <v>55</v>
      </c>
      <c r="I41" s="403">
        <f t="shared" si="12"/>
        <v>220</v>
      </c>
    </row>
    <row r="42" spans="1:19">
      <c r="A42" s="441">
        <v>4</v>
      </c>
      <c r="B42" s="17" t="s">
        <v>619</v>
      </c>
      <c r="E42" s="17" t="s">
        <v>1429</v>
      </c>
      <c r="F42" s="403">
        <f t="shared" si="11"/>
        <v>55</v>
      </c>
      <c r="H42" s="403">
        <f t="shared" si="4"/>
        <v>55</v>
      </c>
      <c r="I42" s="403">
        <f t="shared" si="12"/>
        <v>220</v>
      </c>
    </row>
    <row r="43" spans="1:19">
      <c r="A43" s="441">
        <v>4</v>
      </c>
      <c r="B43" s="17" t="s">
        <v>619</v>
      </c>
      <c r="E43" s="17" t="s">
        <v>605</v>
      </c>
      <c r="F43" s="403">
        <f t="shared" si="11"/>
        <v>55</v>
      </c>
      <c r="H43" s="403">
        <f t="shared" si="4"/>
        <v>55</v>
      </c>
      <c r="I43" s="403">
        <f t="shared" si="12"/>
        <v>220</v>
      </c>
    </row>
    <row r="44" spans="1:19">
      <c r="A44" s="441">
        <v>6</v>
      </c>
      <c r="B44" s="17" t="s">
        <v>619</v>
      </c>
      <c r="E44" s="17" t="s">
        <v>607</v>
      </c>
      <c r="F44" s="403">
        <f t="shared" si="11"/>
        <v>55</v>
      </c>
      <c r="H44" s="403">
        <f t="shared" si="4"/>
        <v>55</v>
      </c>
      <c r="I44" s="403">
        <f t="shared" si="12"/>
        <v>330</v>
      </c>
    </row>
    <row r="45" spans="1:19">
      <c r="A45" s="441">
        <v>0.5</v>
      </c>
      <c r="B45" s="17" t="s">
        <v>619</v>
      </c>
      <c r="E45" s="17" t="s">
        <v>609</v>
      </c>
      <c r="F45" s="403">
        <f t="shared" si="11"/>
        <v>55</v>
      </c>
      <c r="H45" s="403">
        <f t="shared" si="4"/>
        <v>55</v>
      </c>
      <c r="I45" s="403">
        <f t="shared" si="12"/>
        <v>27.5</v>
      </c>
    </row>
    <row r="46" spans="1:19">
      <c r="A46" s="441">
        <v>8</v>
      </c>
      <c r="B46" s="17" t="s">
        <v>619</v>
      </c>
      <c r="E46" s="17" t="s">
        <v>610</v>
      </c>
      <c r="F46" s="403">
        <f t="shared" si="11"/>
        <v>55</v>
      </c>
      <c r="H46" s="403">
        <f t="shared" si="4"/>
        <v>55</v>
      </c>
      <c r="I46" s="403">
        <f t="shared" si="12"/>
        <v>440</v>
      </c>
    </row>
    <row r="47" spans="1:19">
      <c r="A47" s="441">
        <v>0.5</v>
      </c>
      <c r="B47" s="17" t="s">
        <v>619</v>
      </c>
      <c r="E47" s="17" t="s">
        <v>611</v>
      </c>
      <c r="F47" s="403">
        <f t="shared" si="11"/>
        <v>55</v>
      </c>
      <c r="H47" s="403">
        <f t="shared" si="4"/>
        <v>55</v>
      </c>
      <c r="I47" s="403">
        <f t="shared" si="12"/>
        <v>27.5</v>
      </c>
    </row>
    <row r="48" spans="1:19">
      <c r="A48" s="441">
        <v>1</v>
      </c>
      <c r="B48" s="17" t="s">
        <v>619</v>
      </c>
      <c r="E48" s="17" t="s">
        <v>1431</v>
      </c>
      <c r="F48" s="403">
        <f t="shared" si="11"/>
        <v>55</v>
      </c>
      <c r="H48" s="403">
        <f t="shared" si="4"/>
        <v>55</v>
      </c>
      <c r="I48" s="403">
        <f t="shared" si="12"/>
        <v>55</v>
      </c>
    </row>
    <row r="49" spans="1:16">
      <c r="A49" s="441">
        <v>3</v>
      </c>
      <c r="B49" s="17" t="s">
        <v>619</v>
      </c>
      <c r="E49" s="17" t="s">
        <v>612</v>
      </c>
      <c r="F49" s="403">
        <f t="shared" si="11"/>
        <v>55</v>
      </c>
      <c r="H49" s="403">
        <f t="shared" si="4"/>
        <v>55</v>
      </c>
      <c r="I49" s="403">
        <f t="shared" si="12"/>
        <v>165</v>
      </c>
    </row>
    <row r="50" spans="1:16">
      <c r="A50" s="441">
        <v>8</v>
      </c>
      <c r="B50" s="17" t="s">
        <v>619</v>
      </c>
      <c r="E50" s="17" t="s">
        <v>614</v>
      </c>
      <c r="F50" s="403">
        <f t="shared" si="11"/>
        <v>55</v>
      </c>
      <c r="H50" s="403">
        <f t="shared" si="4"/>
        <v>55</v>
      </c>
      <c r="I50" s="403">
        <f t="shared" si="12"/>
        <v>440</v>
      </c>
    </row>
    <row r="51" spans="1:16">
      <c r="A51" s="441">
        <v>4</v>
      </c>
      <c r="B51" s="17" t="s">
        <v>619</v>
      </c>
      <c r="E51" s="17" t="s">
        <v>616</v>
      </c>
      <c r="F51" s="403">
        <f t="shared" si="11"/>
        <v>55</v>
      </c>
      <c r="H51" s="403">
        <f t="shared" si="4"/>
        <v>55</v>
      </c>
      <c r="I51" s="403">
        <f t="shared" si="12"/>
        <v>220</v>
      </c>
    </row>
    <row r="53" spans="1:16">
      <c r="A53" s="17">
        <f>SUM(A37:A52)</f>
        <v>162.36000000000001</v>
      </c>
      <c r="B53" s="17" t="s">
        <v>619</v>
      </c>
      <c r="E53" s="17" t="s">
        <v>620</v>
      </c>
    </row>
    <row r="54" spans="1:16">
      <c r="A54" s="441">
        <v>3</v>
      </c>
      <c r="B54" s="17" t="s">
        <v>517</v>
      </c>
      <c r="E54" s="17" t="s">
        <v>621</v>
      </c>
    </row>
    <row r="55" spans="1:16">
      <c r="A55" s="17">
        <v>1</v>
      </c>
      <c r="B55" s="17" t="s">
        <v>517</v>
      </c>
      <c r="E55" s="17" t="s">
        <v>622</v>
      </c>
      <c r="F55" s="445">
        <v>55</v>
      </c>
      <c r="H55" s="403">
        <f t="shared" si="4"/>
        <v>55</v>
      </c>
      <c r="I55" s="403">
        <f t="shared" si="12"/>
        <v>55</v>
      </c>
      <c r="J55" s="17" t="s">
        <v>623</v>
      </c>
    </row>
    <row r="56" spans="1:16">
      <c r="A56" s="17">
        <f>ROUNDUP(A53/8/A54,0)</f>
        <v>7</v>
      </c>
      <c r="B56" s="17" t="s">
        <v>624</v>
      </c>
      <c r="E56" s="17" t="s">
        <v>625</v>
      </c>
      <c r="F56" s="403">
        <f>A54*8*F55</f>
        <v>1320</v>
      </c>
      <c r="H56" s="403">
        <f t="shared" si="4"/>
        <v>1320</v>
      </c>
      <c r="I56" s="403">
        <f t="shared" si="12"/>
        <v>9240</v>
      </c>
    </row>
    <row r="57" spans="1:16">
      <c r="A57" s="441">
        <v>1</v>
      </c>
      <c r="B57" s="17" t="s">
        <v>517</v>
      </c>
      <c r="E57" s="17" t="s">
        <v>626</v>
      </c>
      <c r="F57" s="447"/>
      <c r="H57" s="403">
        <f t="shared" si="4"/>
        <v>0</v>
      </c>
      <c r="I57" s="403">
        <f t="shared" si="12"/>
        <v>0</v>
      </c>
    </row>
    <row r="58" spans="1:16">
      <c r="A58" s="441"/>
      <c r="F58" s="447"/>
      <c r="H58" s="403"/>
      <c r="I58" s="403"/>
    </row>
    <row r="59" spans="1:16">
      <c r="A59" s="441"/>
      <c r="F59" s="447"/>
      <c r="H59" s="403"/>
      <c r="I59" s="403"/>
    </row>
    <row r="60" spans="1:16" ht="15.75">
      <c r="E60" s="439" t="s">
        <v>628</v>
      </c>
      <c r="I60" s="443">
        <f>SUM(I56:I59)</f>
        <v>9240</v>
      </c>
      <c r="P60" s="165">
        <f>I60</f>
        <v>9240</v>
      </c>
    </row>
    <row r="63" spans="1:16">
      <c r="E63" s="449" t="s">
        <v>630</v>
      </c>
    </row>
    <row r="64" spans="1:16">
      <c r="E64" s="449" t="s">
        <v>635</v>
      </c>
    </row>
    <row r="65" spans="1:11" ht="66.8">
      <c r="A65" s="915">
        <v>0</v>
      </c>
      <c r="B65" s="17" t="s">
        <v>517</v>
      </c>
      <c r="C65" s="204" t="s">
        <v>698</v>
      </c>
      <c r="D65" s="17" t="s">
        <v>636</v>
      </c>
      <c r="E65" s="17" t="s">
        <v>637</v>
      </c>
      <c r="F65" s="445">
        <v>1809</v>
      </c>
      <c r="G65" s="404">
        <v>0.4</v>
      </c>
      <c r="H65" s="403">
        <f t="shared" si="4"/>
        <v>1085.3999999999999</v>
      </c>
      <c r="I65" s="403">
        <f t="shared" ref="I65:I89" si="13">A65*H65</f>
        <v>0</v>
      </c>
      <c r="J65" s="17" t="s">
        <v>638</v>
      </c>
      <c r="K65" s="17" t="s">
        <v>1892</v>
      </c>
    </row>
    <row r="66" spans="1:11">
      <c r="A66" s="915">
        <v>0</v>
      </c>
      <c r="B66" s="17" t="s">
        <v>517</v>
      </c>
      <c r="C66" s="204" t="s">
        <v>538</v>
      </c>
      <c r="D66" s="17" t="s">
        <v>640</v>
      </c>
      <c r="E66" s="17" t="s">
        <v>1893</v>
      </c>
      <c r="F66" s="445">
        <v>1949</v>
      </c>
      <c r="G66" s="404">
        <v>0.4</v>
      </c>
      <c r="H66" s="403">
        <f t="shared" si="4"/>
        <v>1169.3999999999999</v>
      </c>
      <c r="I66" s="403">
        <f t="shared" si="13"/>
        <v>0</v>
      </c>
      <c r="J66" s="17" t="s">
        <v>638</v>
      </c>
      <c r="K66" s="17" t="s">
        <v>1894</v>
      </c>
    </row>
    <row r="67" spans="1:11">
      <c r="A67" s="441">
        <v>0</v>
      </c>
      <c r="B67" s="17" t="s">
        <v>517</v>
      </c>
      <c r="C67" s="204" t="s">
        <v>538</v>
      </c>
      <c r="D67" s="17" t="s">
        <v>640</v>
      </c>
      <c r="E67" s="17" t="s">
        <v>1895</v>
      </c>
      <c r="F67" s="445">
        <v>1949</v>
      </c>
      <c r="G67" s="404">
        <v>0.4</v>
      </c>
      <c r="H67" s="403">
        <f t="shared" si="4"/>
        <v>1169.3999999999999</v>
      </c>
      <c r="I67" s="403">
        <f t="shared" si="13"/>
        <v>0</v>
      </c>
      <c r="J67" s="17" t="s">
        <v>638</v>
      </c>
      <c r="K67" s="17" t="s">
        <v>1894</v>
      </c>
    </row>
    <row r="68" spans="1:11">
      <c r="A68" s="915">
        <v>0</v>
      </c>
      <c r="B68" s="17" t="s">
        <v>517</v>
      </c>
      <c r="C68" s="204" t="s">
        <v>538</v>
      </c>
      <c r="D68" s="17" t="s">
        <v>640</v>
      </c>
      <c r="E68" s="17" t="s">
        <v>1896</v>
      </c>
      <c r="F68" s="445">
        <v>2447</v>
      </c>
      <c r="G68" s="404">
        <v>0.4</v>
      </c>
      <c r="H68" s="403">
        <f t="shared" si="4"/>
        <v>1468.2</v>
      </c>
      <c r="I68" s="403">
        <f t="shared" si="13"/>
        <v>0</v>
      </c>
      <c r="J68" s="17" t="s">
        <v>638</v>
      </c>
      <c r="K68" s="17" t="s">
        <v>1894</v>
      </c>
    </row>
    <row r="69" spans="1:11">
      <c r="A69" s="441">
        <v>0</v>
      </c>
      <c r="B69" s="17" t="s">
        <v>517</v>
      </c>
      <c r="C69" s="204" t="s">
        <v>538</v>
      </c>
      <c r="D69" s="17" t="s">
        <v>640</v>
      </c>
      <c r="E69" s="17" t="s">
        <v>1897</v>
      </c>
      <c r="F69" s="445">
        <v>4395</v>
      </c>
      <c r="G69" s="404">
        <v>0.4</v>
      </c>
      <c r="H69" s="403">
        <f t="shared" si="4"/>
        <v>2637</v>
      </c>
      <c r="I69" s="403">
        <f t="shared" si="13"/>
        <v>0</v>
      </c>
      <c r="J69" s="17" t="s">
        <v>638</v>
      </c>
      <c r="K69" s="17" t="s">
        <v>1894</v>
      </c>
    </row>
    <row r="70" spans="1:11">
      <c r="A70" s="441">
        <v>0</v>
      </c>
      <c r="B70" s="17" t="s">
        <v>517</v>
      </c>
      <c r="C70" s="204" t="s">
        <v>538</v>
      </c>
      <c r="D70" s="17" t="s">
        <v>640</v>
      </c>
      <c r="E70" s="17" t="s">
        <v>1898</v>
      </c>
      <c r="F70" s="445">
        <v>21206</v>
      </c>
      <c r="G70" s="404">
        <v>0.4</v>
      </c>
      <c r="H70" s="403">
        <f t="shared" si="4"/>
        <v>12723.6</v>
      </c>
      <c r="I70" s="403">
        <f t="shared" si="13"/>
        <v>0</v>
      </c>
      <c r="J70" s="17" t="s">
        <v>638</v>
      </c>
      <c r="K70" s="17" t="s">
        <v>1894</v>
      </c>
    </row>
    <row r="71" spans="1:11">
      <c r="A71" s="915">
        <v>0</v>
      </c>
      <c r="B71" s="17" t="s">
        <v>539</v>
      </c>
      <c r="C71" s="204" t="s">
        <v>538</v>
      </c>
      <c r="D71" s="17" t="s">
        <v>643</v>
      </c>
      <c r="E71" s="17" t="s">
        <v>1899</v>
      </c>
      <c r="F71" s="445">
        <v>80</v>
      </c>
      <c r="G71" s="404">
        <v>0.4</v>
      </c>
      <c r="H71" s="403">
        <f t="shared" si="4"/>
        <v>48</v>
      </c>
      <c r="I71" s="403">
        <f t="shared" si="13"/>
        <v>0</v>
      </c>
      <c r="J71" s="17" t="s">
        <v>638</v>
      </c>
      <c r="K71" s="17" t="s">
        <v>1894</v>
      </c>
    </row>
    <row r="72" spans="1:11">
      <c r="A72" s="441">
        <v>0</v>
      </c>
      <c r="B72" s="17" t="s">
        <v>539</v>
      </c>
      <c r="C72" s="204" t="s">
        <v>538</v>
      </c>
      <c r="D72" s="17" t="s">
        <v>643</v>
      </c>
      <c r="E72" s="17" t="s">
        <v>1900</v>
      </c>
      <c r="F72" s="445">
        <v>108</v>
      </c>
      <c r="G72" s="404">
        <v>0.4</v>
      </c>
      <c r="H72" s="403">
        <f t="shared" si="4"/>
        <v>64.8</v>
      </c>
      <c r="I72" s="403">
        <f t="shared" si="13"/>
        <v>0</v>
      </c>
      <c r="J72" s="17" t="s">
        <v>638</v>
      </c>
      <c r="K72" s="17" t="s">
        <v>1894</v>
      </c>
    </row>
    <row r="73" spans="1:11">
      <c r="A73" s="204"/>
      <c r="F73" s="17"/>
      <c r="H73" s="403"/>
      <c r="I73" s="403"/>
    </row>
    <row r="74" spans="1:11">
      <c r="A74" s="204"/>
      <c r="E74" s="449" t="s">
        <v>1901</v>
      </c>
      <c r="F74" s="17"/>
      <c r="H74" s="403"/>
      <c r="I74" s="403"/>
    </row>
    <row r="75" spans="1:11" ht="22.25">
      <c r="A75" s="441">
        <v>0</v>
      </c>
      <c r="B75" s="17" t="s">
        <v>517</v>
      </c>
      <c r="C75" s="204" t="s">
        <v>1902</v>
      </c>
      <c r="D75" s="17" t="s">
        <v>636</v>
      </c>
      <c r="E75" s="204" t="s">
        <v>1903</v>
      </c>
      <c r="F75" s="445">
        <v>2507</v>
      </c>
      <c r="G75" s="404">
        <v>0.4</v>
      </c>
      <c r="H75" s="403">
        <f t="shared" ref="H75:H89" si="14">F75*(1-G75)</f>
        <v>1504.2</v>
      </c>
      <c r="I75" s="403">
        <f t="shared" si="13"/>
        <v>0</v>
      </c>
      <c r="J75" s="17" t="s">
        <v>638</v>
      </c>
      <c r="K75" s="17" t="s">
        <v>1904</v>
      </c>
    </row>
    <row r="76" spans="1:11" ht="22.25">
      <c r="A76" s="441">
        <v>0</v>
      </c>
      <c r="B76" s="17" t="s">
        <v>517</v>
      </c>
      <c r="C76" s="204" t="s">
        <v>1902</v>
      </c>
      <c r="D76" s="17" t="s">
        <v>636</v>
      </c>
      <c r="E76" s="204" t="s">
        <v>1930</v>
      </c>
      <c r="F76" s="445">
        <v>2913</v>
      </c>
      <c r="G76" s="404">
        <v>0.4</v>
      </c>
      <c r="H76" s="403">
        <f t="shared" si="14"/>
        <v>1747.8</v>
      </c>
      <c r="I76" s="403">
        <f t="shared" si="13"/>
        <v>0</v>
      </c>
      <c r="J76" s="17" t="s">
        <v>638</v>
      </c>
      <c r="K76" s="17" t="s">
        <v>1904</v>
      </c>
    </row>
    <row r="77" spans="1:11" ht="22.25">
      <c r="A77" s="441">
        <v>0</v>
      </c>
      <c r="B77" s="17" t="s">
        <v>539</v>
      </c>
      <c r="C77" s="204" t="s">
        <v>1902</v>
      </c>
      <c r="D77" s="17" t="s">
        <v>670</v>
      </c>
      <c r="E77" s="204" t="s">
        <v>1931</v>
      </c>
      <c r="F77" s="445">
        <v>107</v>
      </c>
      <c r="G77" s="404">
        <v>0.4</v>
      </c>
      <c r="H77" s="403">
        <f t="shared" si="14"/>
        <v>64.2</v>
      </c>
      <c r="I77" s="403">
        <f t="shared" si="13"/>
        <v>0</v>
      </c>
      <c r="J77" s="17" t="s">
        <v>638</v>
      </c>
      <c r="K77" s="17" t="s">
        <v>1904</v>
      </c>
    </row>
    <row r="78" spans="1:11" ht="22.25">
      <c r="A78" s="441">
        <v>0</v>
      </c>
      <c r="B78" s="17" t="s">
        <v>539</v>
      </c>
      <c r="C78" s="204" t="s">
        <v>1902</v>
      </c>
      <c r="D78" s="17" t="s">
        <v>670</v>
      </c>
      <c r="E78" s="204" t="s">
        <v>1932</v>
      </c>
      <c r="F78" s="445">
        <v>108</v>
      </c>
      <c r="G78" s="404">
        <v>0.4</v>
      </c>
      <c r="H78" s="403">
        <f t="shared" si="14"/>
        <v>64.8</v>
      </c>
      <c r="I78" s="403">
        <f t="shared" si="13"/>
        <v>0</v>
      </c>
      <c r="J78" s="17" t="s">
        <v>638</v>
      </c>
      <c r="K78" s="17" t="s">
        <v>1904</v>
      </c>
    </row>
    <row r="79" spans="1:11" ht="22.25">
      <c r="A79" s="441">
        <v>0</v>
      </c>
      <c r="B79" s="17" t="s">
        <v>517</v>
      </c>
      <c r="C79" s="204" t="s">
        <v>1902</v>
      </c>
      <c r="D79" s="17" t="s">
        <v>640</v>
      </c>
      <c r="E79" s="204" t="s">
        <v>1933</v>
      </c>
      <c r="F79" s="445">
        <v>1965</v>
      </c>
      <c r="G79" s="404">
        <v>0.4</v>
      </c>
      <c r="H79" s="403">
        <f t="shared" si="14"/>
        <v>1179</v>
      </c>
      <c r="I79" s="403">
        <f t="shared" si="13"/>
        <v>0</v>
      </c>
      <c r="J79" s="17" t="s">
        <v>638</v>
      </c>
      <c r="K79" s="17" t="s">
        <v>1904</v>
      </c>
    </row>
    <row r="80" spans="1:11" ht="22.25">
      <c r="A80" s="441">
        <v>0</v>
      </c>
      <c r="B80" s="17" t="s">
        <v>539</v>
      </c>
      <c r="C80" s="204" t="s">
        <v>1902</v>
      </c>
      <c r="D80" s="17" t="s">
        <v>643</v>
      </c>
      <c r="E80" s="204" t="s">
        <v>1934</v>
      </c>
      <c r="F80" s="445">
        <v>95</v>
      </c>
      <c r="G80" s="404">
        <v>0.4</v>
      </c>
      <c r="H80" s="403">
        <f t="shared" si="14"/>
        <v>57</v>
      </c>
      <c r="I80" s="403">
        <f t="shared" si="13"/>
        <v>0</v>
      </c>
      <c r="J80" s="17" t="s">
        <v>638</v>
      </c>
      <c r="K80" s="17" t="s">
        <v>1904</v>
      </c>
    </row>
    <row r="81" spans="1:17">
      <c r="A81" s="204"/>
      <c r="F81" s="485"/>
      <c r="H81" s="403"/>
      <c r="I81" s="403"/>
    </row>
    <row r="82" spans="1:17">
      <c r="A82" s="204"/>
      <c r="E82" s="439" t="s">
        <v>1935</v>
      </c>
      <c r="F82" s="485"/>
      <c r="H82" s="403"/>
      <c r="I82" s="403"/>
    </row>
    <row r="83" spans="1:17" ht="12.45">
      <c r="A83" s="915">
        <v>1</v>
      </c>
      <c r="B83" s="17" t="s">
        <v>517</v>
      </c>
      <c r="C83" s="204" t="s">
        <v>1902</v>
      </c>
      <c r="D83" s="494" t="s">
        <v>1936</v>
      </c>
      <c r="E83" s="17" t="s">
        <v>1937</v>
      </c>
      <c r="F83" s="445">
        <f>1610.95/0.6</f>
        <v>2684.916666666667</v>
      </c>
      <c r="G83" s="404">
        <v>0.4</v>
      </c>
      <c r="H83" s="443">
        <f t="shared" si="14"/>
        <v>1610.95</v>
      </c>
      <c r="I83" s="443">
        <f t="shared" si="13"/>
        <v>1610.95</v>
      </c>
      <c r="J83" s="17" t="s">
        <v>1938</v>
      </c>
    </row>
    <row r="84" spans="1:17" ht="55.65">
      <c r="A84" s="915">
        <v>15</v>
      </c>
      <c r="B84" s="17" t="s">
        <v>539</v>
      </c>
      <c r="C84" s="204" t="s">
        <v>1902</v>
      </c>
      <c r="D84" s="494" t="s">
        <v>1939</v>
      </c>
      <c r="E84" s="204" t="s">
        <v>1940</v>
      </c>
      <c r="F84" s="445">
        <v>846.22031249999998</v>
      </c>
      <c r="G84" s="404">
        <v>0.4</v>
      </c>
      <c r="H84" s="403">
        <f t="shared" si="14"/>
        <v>507.73218749999995</v>
      </c>
      <c r="I84" s="443">
        <f t="shared" si="13"/>
        <v>7615.9828124999995</v>
      </c>
      <c r="J84" s="204" t="s">
        <v>1941</v>
      </c>
      <c r="K84" s="17" t="s">
        <v>1942</v>
      </c>
    </row>
    <row r="85" spans="1:17" ht="22.25">
      <c r="A85" s="915">
        <f>165/20*20</f>
        <v>165</v>
      </c>
      <c r="B85" s="17" t="s">
        <v>539</v>
      </c>
      <c r="C85" s="204" t="s">
        <v>1902</v>
      </c>
      <c r="D85" s="494" t="s">
        <v>1943</v>
      </c>
      <c r="E85" s="204" t="s">
        <v>1944</v>
      </c>
      <c r="F85" s="445">
        <v>150</v>
      </c>
      <c r="G85" s="404">
        <v>0.4</v>
      </c>
      <c r="H85" s="403">
        <f t="shared" si="14"/>
        <v>90</v>
      </c>
      <c r="I85" s="403">
        <f t="shared" si="13"/>
        <v>14850</v>
      </c>
      <c r="J85" s="17" t="s">
        <v>696</v>
      </c>
      <c r="K85" s="17" t="s">
        <v>1945</v>
      </c>
    </row>
    <row r="86" spans="1:17" ht="33.4">
      <c r="A86" s="915">
        <v>1</v>
      </c>
      <c r="B86" s="17" t="s">
        <v>517</v>
      </c>
      <c r="C86" s="204" t="s">
        <v>1902</v>
      </c>
      <c r="D86" s="494" t="s">
        <v>1946</v>
      </c>
      <c r="E86" s="204" t="s">
        <v>1947</v>
      </c>
      <c r="F86" s="445">
        <f>5844.58/0.6*(160/100)^0.8</f>
        <v>14187.244172962894</v>
      </c>
      <c r="G86" s="404">
        <v>0.4</v>
      </c>
      <c r="H86" s="443">
        <f t="shared" si="14"/>
        <v>8512.3465037777351</v>
      </c>
      <c r="I86" s="443">
        <f t="shared" si="13"/>
        <v>8512.3465037777351</v>
      </c>
      <c r="J86" s="204" t="s">
        <v>1948</v>
      </c>
      <c r="K86" s="204" t="s">
        <v>1949</v>
      </c>
    </row>
    <row r="87" spans="1:17" ht="44.55">
      <c r="A87" s="915">
        <v>9</v>
      </c>
      <c r="B87" s="17" t="s">
        <v>539</v>
      </c>
      <c r="C87" s="204" t="s">
        <v>1902</v>
      </c>
      <c r="D87" s="494" t="s">
        <v>1950</v>
      </c>
      <c r="E87" s="204" t="s">
        <v>1951</v>
      </c>
      <c r="F87" s="445">
        <v>32.7596512570965</v>
      </c>
      <c r="G87" s="404">
        <v>0.4</v>
      </c>
      <c r="H87" s="403">
        <f t="shared" si="14"/>
        <v>19.6557907542579</v>
      </c>
      <c r="I87" s="443">
        <f t="shared" si="13"/>
        <v>176.90211678832111</v>
      </c>
      <c r="J87" s="204" t="s">
        <v>1952</v>
      </c>
    </row>
    <row r="88" spans="1:17">
      <c r="A88" s="204"/>
      <c r="E88" s="204"/>
      <c r="F88" s="17"/>
      <c r="H88" s="403"/>
      <c r="I88" s="403"/>
    </row>
    <row r="89" spans="1:17" ht="33.4">
      <c r="A89" s="204">
        <v>1</v>
      </c>
      <c r="B89" s="17" t="s">
        <v>517</v>
      </c>
      <c r="C89" s="204" t="s">
        <v>674</v>
      </c>
      <c r="E89" s="204" t="s">
        <v>675</v>
      </c>
      <c r="F89" s="445">
        <v>161.44</v>
      </c>
      <c r="G89" s="404">
        <v>0</v>
      </c>
      <c r="H89" s="403">
        <f t="shared" si="14"/>
        <v>161.44</v>
      </c>
      <c r="I89" s="403">
        <f t="shared" si="13"/>
        <v>161.44</v>
      </c>
    </row>
    <row r="90" spans="1:17">
      <c r="A90" s="204"/>
      <c r="E90" s="204"/>
      <c r="F90" s="485"/>
      <c r="H90" s="403"/>
      <c r="I90" s="403"/>
    </row>
    <row r="91" spans="1:17" ht="15.75">
      <c r="E91" s="916" t="s">
        <v>676</v>
      </c>
      <c r="I91" s="443">
        <f>SUM(I65:I89)</f>
        <v>32927.621433066059</v>
      </c>
      <c r="Q91" s="165">
        <f>I91</f>
        <v>32927.621433066059</v>
      </c>
    </row>
    <row r="93" spans="1:17" ht="13.75" customHeight="1">
      <c r="A93" s="986" t="s">
        <v>100</v>
      </c>
      <c r="B93" s="986"/>
      <c r="C93" s="986"/>
      <c r="D93" s="986"/>
      <c r="E93" s="986"/>
    </row>
    <row r="100" spans="1:10" ht="15.05" customHeight="1">
      <c r="A100" s="1002" t="s">
        <v>90</v>
      </c>
      <c r="B100" s="1002"/>
      <c r="C100" s="1002"/>
      <c r="D100" s="1002"/>
      <c r="E100" s="1002"/>
    </row>
    <row r="102" spans="1:10" ht="13.75">
      <c r="A102" s="17">
        <v>0</v>
      </c>
      <c r="B102" s="17" t="s">
        <v>517</v>
      </c>
      <c r="E102" s="17" t="s">
        <v>1464</v>
      </c>
      <c r="F102" s="403">
        <v>860</v>
      </c>
      <c r="H102" s="403">
        <f t="shared" ref="H102:H115" si="15">F102*(1-G102)</f>
        <v>860</v>
      </c>
      <c r="I102" s="403">
        <f t="shared" ref="I102:I106" si="16">A102*H102</f>
        <v>0</v>
      </c>
      <c r="J102" s="494" t="s">
        <v>1465</v>
      </c>
    </row>
    <row r="103" spans="1:10">
      <c r="A103" s="17">
        <v>1</v>
      </c>
      <c r="B103" s="17" t="s">
        <v>517</v>
      </c>
      <c r="E103" s="17" t="s">
        <v>707</v>
      </c>
      <c r="F103" s="403">
        <v>1500</v>
      </c>
      <c r="H103" s="403">
        <f t="shared" si="15"/>
        <v>1500</v>
      </c>
      <c r="I103" s="403">
        <f t="shared" si="16"/>
        <v>1500</v>
      </c>
      <c r="J103" s="17" t="s">
        <v>1483</v>
      </c>
    </row>
    <row r="104" spans="1:10" ht="55.65">
      <c r="A104" s="17">
        <v>1</v>
      </c>
      <c r="B104" s="17" t="s">
        <v>517</v>
      </c>
      <c r="C104" s="204" t="s">
        <v>708</v>
      </c>
      <c r="E104" s="204" t="s">
        <v>709</v>
      </c>
      <c r="F104" s="403">
        <v>460</v>
      </c>
      <c r="H104" s="403">
        <f t="shared" si="15"/>
        <v>460</v>
      </c>
      <c r="I104" s="403">
        <f t="shared" si="16"/>
        <v>460</v>
      </c>
    </row>
    <row r="105" spans="1:10" ht="55.65">
      <c r="A105" s="17">
        <v>0</v>
      </c>
      <c r="B105" s="17" t="s">
        <v>517</v>
      </c>
      <c r="C105" s="204" t="s">
        <v>711</v>
      </c>
      <c r="E105" s="204" t="s">
        <v>712</v>
      </c>
      <c r="F105" s="403">
        <v>320</v>
      </c>
      <c r="H105" s="403">
        <f t="shared" si="15"/>
        <v>320</v>
      </c>
      <c r="I105" s="403">
        <f t="shared" si="16"/>
        <v>0</v>
      </c>
    </row>
    <row r="106" spans="1:10" ht="55.65">
      <c r="A106" s="17">
        <v>0</v>
      </c>
      <c r="B106" s="17" t="s">
        <v>517</v>
      </c>
      <c r="C106" s="17" t="s">
        <v>713</v>
      </c>
      <c r="D106" s="17" t="s">
        <v>714</v>
      </c>
      <c r="E106" s="204" t="s">
        <v>715</v>
      </c>
      <c r="F106" s="403">
        <v>2725</v>
      </c>
      <c r="H106" s="403">
        <f t="shared" si="15"/>
        <v>2725</v>
      </c>
      <c r="I106" s="403">
        <f t="shared" si="16"/>
        <v>0</v>
      </c>
    </row>
    <row r="108" spans="1:10" ht="15.75">
      <c r="E108" s="439" t="s">
        <v>729</v>
      </c>
      <c r="I108" s="168">
        <f>SUM(I100:I107)</f>
        <v>1960</v>
      </c>
    </row>
    <row r="110" spans="1:10" ht="13.75" customHeight="1">
      <c r="A110" s="997" t="s">
        <v>68</v>
      </c>
      <c r="B110" s="997"/>
      <c r="C110" s="997"/>
      <c r="D110" s="997"/>
      <c r="E110" s="997"/>
    </row>
    <row r="111" spans="1:10">
      <c r="A111" s="17">
        <v>0</v>
      </c>
      <c r="B111" s="17" t="s">
        <v>517</v>
      </c>
      <c r="E111" s="17" t="s">
        <v>1469</v>
      </c>
      <c r="F111" s="403">
        <v>187.5</v>
      </c>
      <c r="H111" s="403">
        <f t="shared" si="15"/>
        <v>187.5</v>
      </c>
      <c r="I111" s="403">
        <f t="shared" ref="I111:I115" si="17">A111*H111</f>
        <v>0</v>
      </c>
      <c r="J111" s="17" t="s">
        <v>1470</v>
      </c>
    </row>
    <row r="112" spans="1:10">
      <c r="A112" s="17">
        <v>1</v>
      </c>
      <c r="B112" s="17" t="s">
        <v>517</v>
      </c>
      <c r="E112" s="17" t="s">
        <v>1471</v>
      </c>
      <c r="F112" s="403">
        <v>500</v>
      </c>
      <c r="H112" s="403">
        <f t="shared" si="15"/>
        <v>500</v>
      </c>
      <c r="I112" s="403">
        <f t="shared" si="17"/>
        <v>500</v>
      </c>
      <c r="J112" s="17" t="s">
        <v>696</v>
      </c>
    </row>
    <row r="113" spans="1:10">
      <c r="A113" s="17">
        <v>0</v>
      </c>
      <c r="B113" s="17" t="s">
        <v>517</v>
      </c>
      <c r="E113" s="17" t="s">
        <v>1472</v>
      </c>
      <c r="F113" s="403">
        <v>500</v>
      </c>
      <c r="H113" s="403">
        <f t="shared" si="15"/>
        <v>500</v>
      </c>
      <c r="I113" s="403">
        <f t="shared" si="17"/>
        <v>0</v>
      </c>
      <c r="J113" s="17" t="s">
        <v>696</v>
      </c>
    </row>
    <row r="114" spans="1:10" ht="55.65">
      <c r="A114" s="17">
        <v>1</v>
      </c>
      <c r="B114" s="17" t="s">
        <v>517</v>
      </c>
      <c r="C114" s="204" t="s">
        <v>708</v>
      </c>
      <c r="E114" s="204" t="s">
        <v>731</v>
      </c>
      <c r="F114" s="403">
        <f>460/2</f>
        <v>230</v>
      </c>
      <c r="H114" s="403">
        <f t="shared" si="15"/>
        <v>230</v>
      </c>
      <c r="I114" s="403">
        <f t="shared" si="17"/>
        <v>230</v>
      </c>
    </row>
    <row r="115" spans="1:10" ht="55.65">
      <c r="A115" s="17">
        <v>0</v>
      </c>
      <c r="B115" s="17" t="s">
        <v>517</v>
      </c>
      <c r="C115" s="204" t="s">
        <v>711</v>
      </c>
      <c r="E115" s="204" t="s">
        <v>732</v>
      </c>
      <c r="F115" s="403">
        <f>320/2</f>
        <v>160</v>
      </c>
      <c r="H115" s="403">
        <f t="shared" si="15"/>
        <v>160</v>
      </c>
      <c r="I115" s="403">
        <f t="shared" si="17"/>
        <v>0</v>
      </c>
    </row>
    <row r="117" spans="1:10" ht="15.75">
      <c r="E117" s="439" t="s">
        <v>733</v>
      </c>
      <c r="I117" s="168">
        <f>SUM(I110:I116)</f>
        <v>730</v>
      </c>
    </row>
    <row r="118" spans="1:10">
      <c r="E118" s="439"/>
    </row>
    <row r="119" spans="1:10">
      <c r="A119" s="17" t="s">
        <v>1953</v>
      </c>
    </row>
    <row r="120" spans="1:10">
      <c r="A120" s="17" t="s">
        <v>1954</v>
      </c>
      <c r="E120" s="403" t="s">
        <v>230</v>
      </c>
      <c r="F120" s="17">
        <v>4</v>
      </c>
      <c r="G120" s="17">
        <v>3</v>
      </c>
    </row>
    <row r="121" spans="1:10">
      <c r="A121" s="17" t="s">
        <v>1955</v>
      </c>
      <c r="E121" s="403" t="s">
        <v>539</v>
      </c>
      <c r="F121" s="17">
        <f>22*1.7</f>
        <v>37.4</v>
      </c>
      <c r="G121" s="17">
        <f>15*1.7</f>
        <v>25.5</v>
      </c>
    </row>
    <row r="122" spans="1:10">
      <c r="A122" s="17" t="s">
        <v>1956</v>
      </c>
      <c r="E122" s="403" t="s">
        <v>539</v>
      </c>
      <c r="F122" s="17">
        <f>F120/2</f>
        <v>2</v>
      </c>
      <c r="G122" s="17">
        <f>G120/2</f>
        <v>1.5</v>
      </c>
    </row>
    <row r="123" spans="1:10">
      <c r="A123" s="17" t="s">
        <v>1957</v>
      </c>
      <c r="E123" s="403" t="s">
        <v>539</v>
      </c>
      <c r="F123" s="17">
        <v>15</v>
      </c>
      <c r="G123" s="17">
        <v>15</v>
      </c>
    </row>
    <row r="124" spans="1:10">
      <c r="A124" s="17" t="s">
        <v>1958</v>
      </c>
      <c r="E124" s="403" t="s">
        <v>539</v>
      </c>
      <c r="F124" s="17">
        <f>F121+F122+F123</f>
        <v>54.4</v>
      </c>
      <c r="G124" s="17">
        <f>G121+G122+G123</f>
        <v>42</v>
      </c>
    </row>
    <row r="125" spans="1:10">
      <c r="A125" s="17" t="s">
        <v>1959</v>
      </c>
      <c r="E125" s="403" t="s">
        <v>539</v>
      </c>
      <c r="F125" s="17">
        <f>F122+F123</f>
        <v>17</v>
      </c>
      <c r="G125" s="17">
        <f>G122+G123</f>
        <v>16.5</v>
      </c>
    </row>
    <row r="126" spans="1:10">
      <c r="A126" s="17" t="s">
        <v>1960</v>
      </c>
      <c r="E126" s="403" t="s">
        <v>539</v>
      </c>
      <c r="F126" s="17">
        <f>F120*F124</f>
        <v>217.6</v>
      </c>
      <c r="G126" s="17">
        <f>G120*G124</f>
        <v>126</v>
      </c>
      <c r="H126" s="17">
        <f t="shared" ref="H126:H127" si="18">F126+G126</f>
        <v>343.6</v>
      </c>
    </row>
    <row r="127" spans="1:10">
      <c r="A127" s="17" t="s">
        <v>1961</v>
      </c>
      <c r="E127" s="403" t="s">
        <v>539</v>
      </c>
      <c r="F127" s="17">
        <f>F120*F125</f>
        <v>68</v>
      </c>
      <c r="G127" s="17">
        <f>G120*G125</f>
        <v>49.5</v>
      </c>
      <c r="H127" s="17">
        <f t="shared" si="18"/>
        <v>117.5</v>
      </c>
    </row>
    <row r="128" spans="1:10">
      <c r="A128" s="17" t="s">
        <v>1962</v>
      </c>
      <c r="E128" s="403" t="s">
        <v>539</v>
      </c>
      <c r="F128" s="17">
        <f>F126+F127</f>
        <v>285.60000000000002</v>
      </c>
      <c r="G128" s="17">
        <f>G126+G127</f>
        <v>175.5</v>
      </c>
    </row>
  </sheetData>
  <mergeCells count="6">
    <mergeCell ref="A110:E110"/>
    <mergeCell ref="B1:F1"/>
    <mergeCell ref="A2:G2"/>
    <mergeCell ref="J19:L19"/>
    <mergeCell ref="A93:E93"/>
    <mergeCell ref="A100:E100"/>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64" width="10.140625" style="17"/>
  </cols>
  <sheetData>
    <row r="1" spans="1:19" ht="15.75">
      <c r="B1" s="1053" t="s">
        <v>1474</v>
      </c>
      <c r="C1" s="1053"/>
      <c r="D1" s="1053"/>
      <c r="E1" s="1053"/>
      <c r="F1" s="1053"/>
      <c r="H1" s="405" t="s">
        <v>493</v>
      </c>
      <c r="I1" s="406">
        <v>340</v>
      </c>
      <c r="J1" s="17" t="s">
        <v>494</v>
      </c>
      <c r="K1" s="17" t="s">
        <v>495</v>
      </c>
      <c r="L1" s="58">
        <f>A4*I1</f>
        <v>31280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c r="A4" s="413">
        <v>92</v>
      </c>
      <c r="B4" s="413" t="s">
        <v>505</v>
      </c>
      <c r="C4" s="413" t="s">
        <v>534</v>
      </c>
      <c r="D4" s="413"/>
      <c r="E4" s="420" t="s">
        <v>1088</v>
      </c>
      <c r="F4" s="421">
        <v>89.91</v>
      </c>
      <c r="G4" s="410"/>
      <c r="H4" s="409">
        <f t="shared" ref="H4:H9" si="0">F4*(1-G4)</f>
        <v>89.91</v>
      </c>
      <c r="I4" s="409">
        <f t="shared" ref="I4:I9" si="1">A4*H4</f>
        <v>8271.7199999999993</v>
      </c>
      <c r="J4" s="417">
        <f>F4/I1</f>
        <v>0.26444117647058824</v>
      </c>
      <c r="K4" s="403"/>
      <c r="L4" s="404"/>
      <c r="M4" s="437">
        <f t="shared" ref="M4:M5" si="2">I4</f>
        <v>8271.7199999999993</v>
      </c>
      <c r="N4" s="437"/>
      <c r="O4" s="437"/>
      <c r="P4" s="437"/>
      <c r="Q4" s="437"/>
      <c r="R4" s="418"/>
      <c r="S4" s="437"/>
    </row>
    <row r="5" spans="1:19" ht="22.25">
      <c r="A5" s="407">
        <f>A4</f>
        <v>92</v>
      </c>
      <c r="B5" s="407"/>
      <c r="C5" s="420" t="s">
        <v>534</v>
      </c>
      <c r="D5" s="413"/>
      <c r="E5" s="420" t="s">
        <v>1087</v>
      </c>
      <c r="F5" s="421">
        <v>49.911590909090897</v>
      </c>
      <c r="G5" s="410"/>
      <c r="H5" s="409">
        <f t="shared" si="0"/>
        <v>49.911590909090897</v>
      </c>
      <c r="I5" s="409">
        <f t="shared" si="1"/>
        <v>4591.8663636363626</v>
      </c>
      <c r="J5" s="204"/>
      <c r="M5" s="418">
        <f t="shared" si="2"/>
        <v>4591.8663636363626</v>
      </c>
      <c r="N5" s="437"/>
      <c r="O5" s="437"/>
      <c r="P5" s="437"/>
      <c r="Q5" s="437"/>
      <c r="R5" s="418"/>
      <c r="S5" s="437"/>
    </row>
    <row r="6" spans="1:19" ht="44.55">
      <c r="A6" s="413">
        <v>1</v>
      </c>
      <c r="B6" s="413" t="s">
        <v>522</v>
      </c>
      <c r="C6" s="420" t="s">
        <v>1074</v>
      </c>
      <c r="D6" s="413"/>
      <c r="E6" s="420" t="s">
        <v>1077</v>
      </c>
      <c r="F6" s="421">
        <v>440</v>
      </c>
      <c r="G6" s="422"/>
      <c r="H6" s="421">
        <f t="shared" si="0"/>
        <v>440</v>
      </c>
      <c r="I6" s="421">
        <f t="shared" si="1"/>
        <v>440</v>
      </c>
      <c r="J6" s="204" t="s">
        <v>1963</v>
      </c>
      <c r="M6" s="437"/>
      <c r="N6" s="437"/>
      <c r="O6" s="437"/>
      <c r="P6" s="437"/>
      <c r="Q6" s="437"/>
      <c r="R6" s="418">
        <f t="shared" ref="R6:R8" si="3">I6</f>
        <v>440</v>
      </c>
      <c r="S6" s="437"/>
    </row>
    <row r="7" spans="1:19" ht="22.25">
      <c r="A7" s="413">
        <v>1</v>
      </c>
      <c r="B7" s="413" t="s">
        <v>505</v>
      </c>
      <c r="C7" s="420" t="s">
        <v>534</v>
      </c>
      <c r="D7" s="413"/>
      <c r="E7" s="420" t="s">
        <v>1423</v>
      </c>
      <c r="F7" s="421">
        <v>275.56</v>
      </c>
      <c r="G7" s="422"/>
      <c r="H7" s="421">
        <f t="shared" si="0"/>
        <v>275.56</v>
      </c>
      <c r="I7" s="409">
        <f t="shared" si="1"/>
        <v>275.56</v>
      </c>
      <c r="J7" s="204"/>
      <c r="M7" s="437"/>
      <c r="N7" s="437"/>
      <c r="O7" s="437"/>
      <c r="P7" s="437"/>
      <c r="Q7" s="437"/>
      <c r="R7" s="418">
        <f t="shared" si="3"/>
        <v>275.56</v>
      </c>
      <c r="S7" s="437"/>
    </row>
    <row r="8" spans="1:19" ht="22.25">
      <c r="A8" s="407">
        <v>1</v>
      </c>
      <c r="B8" s="407" t="s">
        <v>530</v>
      </c>
      <c r="C8" s="408" t="s">
        <v>531</v>
      </c>
      <c r="D8" s="407"/>
      <c r="E8" s="407" t="s">
        <v>532</v>
      </c>
      <c r="F8" s="409">
        <v>500</v>
      </c>
      <c r="G8" s="410"/>
      <c r="H8" s="409">
        <f t="shared" si="0"/>
        <v>500</v>
      </c>
      <c r="I8" s="409">
        <f t="shared" si="1"/>
        <v>500</v>
      </c>
      <c r="J8" s="204"/>
      <c r="M8" s="437"/>
      <c r="N8" s="437"/>
      <c r="O8" s="437"/>
      <c r="P8" s="437"/>
      <c r="Q8" s="437"/>
      <c r="R8" s="418">
        <f t="shared" si="3"/>
        <v>500</v>
      </c>
      <c r="S8" s="437"/>
    </row>
    <row r="9" spans="1:19" ht="44.55">
      <c r="A9" s="413">
        <f>A4/2</f>
        <v>46</v>
      </c>
      <c r="B9" s="413" t="s">
        <v>505</v>
      </c>
      <c r="C9" s="420" t="s">
        <v>534</v>
      </c>
      <c r="D9" s="413"/>
      <c r="E9" s="420" t="s">
        <v>535</v>
      </c>
      <c r="F9" s="421">
        <v>3.71</v>
      </c>
      <c r="G9" s="410"/>
      <c r="H9" s="409">
        <f t="shared" si="0"/>
        <v>3.71</v>
      </c>
      <c r="I9" s="409">
        <f t="shared" si="1"/>
        <v>170.66</v>
      </c>
      <c r="J9" s="204" t="s">
        <v>1477</v>
      </c>
      <c r="M9" s="437"/>
      <c r="N9" s="437"/>
      <c r="O9" s="418">
        <f>I9</f>
        <v>170.66</v>
      </c>
      <c r="P9" s="437"/>
      <c r="Q9" s="437"/>
      <c r="R9" s="418"/>
      <c r="S9" s="437"/>
    </row>
    <row r="10" spans="1:19" ht="22.25">
      <c r="A10" s="413">
        <f>A9</f>
        <v>46</v>
      </c>
      <c r="B10" s="413" t="s">
        <v>505</v>
      </c>
      <c r="C10" s="420" t="s">
        <v>534</v>
      </c>
      <c r="D10" s="413"/>
      <c r="E10" s="420" t="s">
        <v>537</v>
      </c>
      <c r="F10" s="421">
        <v>3.81</v>
      </c>
      <c r="G10" s="410"/>
      <c r="H10" s="409">
        <f t="shared" ref="H10:H73" si="4">F10*(1-G10)</f>
        <v>3.81</v>
      </c>
      <c r="I10" s="409">
        <f t="shared" ref="I10:I28" si="5">A10*H10</f>
        <v>175.26</v>
      </c>
      <c r="J10" s="204" t="s">
        <v>538</v>
      </c>
      <c r="M10" s="437"/>
      <c r="N10" s="437"/>
      <c r="O10" s="418">
        <f t="shared" ref="O10:O23" si="6">I10</f>
        <v>175.26</v>
      </c>
      <c r="P10" s="437"/>
      <c r="Q10" s="437"/>
      <c r="R10" s="418"/>
      <c r="S10" s="437"/>
    </row>
    <row r="11" spans="1:19" ht="55.65">
      <c r="A11" s="413">
        <f>4*(4+8+6)</f>
        <v>72</v>
      </c>
      <c r="B11" s="413" t="s">
        <v>539</v>
      </c>
      <c r="C11" s="420" t="s">
        <v>987</v>
      </c>
      <c r="D11" s="413" t="s">
        <v>541</v>
      </c>
      <c r="E11" s="420" t="s">
        <v>542</v>
      </c>
      <c r="F11" s="421">
        <f t="shared" ref="F11:F12" si="7">328.33/500</f>
        <v>0.65666000000000002</v>
      </c>
      <c r="G11" s="422"/>
      <c r="H11" s="421">
        <f t="shared" si="4"/>
        <v>0.65666000000000002</v>
      </c>
      <c r="I11" s="421">
        <f t="shared" si="5"/>
        <v>47.279520000000005</v>
      </c>
      <c r="J11" s="204"/>
      <c r="M11" s="437"/>
      <c r="N11" s="437"/>
      <c r="O11" s="418">
        <f t="shared" si="6"/>
        <v>47.279520000000005</v>
      </c>
      <c r="P11" s="418"/>
      <c r="Q11" s="418"/>
      <c r="R11" s="437"/>
      <c r="S11" s="437"/>
    </row>
    <row r="12" spans="1:19" ht="55.65">
      <c r="A12" s="413">
        <f>4*(A11+25)</f>
        <v>388</v>
      </c>
      <c r="B12" s="413" t="s">
        <v>539</v>
      </c>
      <c r="C12" s="420" t="s">
        <v>987</v>
      </c>
      <c r="D12" s="413" t="s">
        <v>543</v>
      </c>
      <c r="E12" s="420" t="s">
        <v>544</v>
      </c>
      <c r="F12" s="421">
        <f t="shared" si="7"/>
        <v>0.65666000000000002</v>
      </c>
      <c r="G12" s="422"/>
      <c r="H12" s="421">
        <f t="shared" si="4"/>
        <v>0.65666000000000002</v>
      </c>
      <c r="I12" s="421">
        <f t="shared" si="5"/>
        <v>254.78408000000002</v>
      </c>
      <c r="J12" s="204"/>
      <c r="M12" s="437"/>
      <c r="N12" s="437"/>
      <c r="O12" s="418">
        <f t="shared" si="6"/>
        <v>254.78408000000002</v>
      </c>
      <c r="P12" s="418"/>
      <c r="Q12" s="418"/>
      <c r="R12" s="437"/>
      <c r="S12" s="437"/>
    </row>
    <row r="13" spans="1:19" ht="22.25">
      <c r="A13" s="413">
        <f>3*2+3*2</f>
        <v>12</v>
      </c>
      <c r="B13" s="413" t="s">
        <v>522</v>
      </c>
      <c r="C13" s="420" t="s">
        <v>1074</v>
      </c>
      <c r="D13" s="413"/>
      <c r="E13" s="420" t="s">
        <v>1079</v>
      </c>
      <c r="F13" s="421">
        <v>1.3</v>
      </c>
      <c r="G13" s="422"/>
      <c r="H13" s="421">
        <f t="shared" si="4"/>
        <v>1.3</v>
      </c>
      <c r="I13" s="421">
        <f t="shared" si="5"/>
        <v>15.600000000000001</v>
      </c>
      <c r="J13" s="204"/>
      <c r="M13" s="437"/>
      <c r="N13" s="437"/>
      <c r="O13" s="418">
        <f t="shared" si="6"/>
        <v>15.600000000000001</v>
      </c>
      <c r="P13" s="437"/>
      <c r="Q13" s="437"/>
      <c r="R13" s="418"/>
      <c r="S13" s="437"/>
    </row>
    <row r="14" spans="1:19" ht="22.25">
      <c r="A14" s="413">
        <f>A13</f>
        <v>12</v>
      </c>
      <c r="B14" s="413" t="s">
        <v>522</v>
      </c>
      <c r="C14" s="420" t="s">
        <v>1074</v>
      </c>
      <c r="D14" s="413"/>
      <c r="E14" s="420" t="s">
        <v>1080</v>
      </c>
      <c r="F14" s="421">
        <v>0.98</v>
      </c>
      <c r="G14" s="422"/>
      <c r="H14" s="421">
        <f t="shared" si="4"/>
        <v>0.98</v>
      </c>
      <c r="I14" s="421">
        <f t="shared" si="5"/>
        <v>11.76</v>
      </c>
      <c r="J14" s="204"/>
      <c r="M14" s="437"/>
      <c r="N14" s="437"/>
      <c r="O14" s="418">
        <f t="shared" si="6"/>
        <v>11.76</v>
      </c>
      <c r="P14" s="437"/>
      <c r="Q14" s="437"/>
      <c r="R14" s="418"/>
      <c r="S14" s="437"/>
    </row>
    <row r="15" spans="1:19" ht="44.55">
      <c r="A15" s="413">
        <v>1</v>
      </c>
      <c r="B15" s="413" t="s">
        <v>505</v>
      </c>
      <c r="C15" s="424" t="s">
        <v>1074</v>
      </c>
      <c r="D15" s="423"/>
      <c r="E15" s="424" t="s">
        <v>1024</v>
      </c>
      <c r="F15" s="425">
        <v>1674</v>
      </c>
      <c r="G15" s="426"/>
      <c r="H15" s="425">
        <f t="shared" si="4"/>
        <v>1674</v>
      </c>
      <c r="I15" s="421">
        <f t="shared" si="5"/>
        <v>1674</v>
      </c>
      <c r="J15" s="204" t="s">
        <v>1964</v>
      </c>
      <c r="M15" s="437"/>
      <c r="N15" s="418">
        <f t="shared" ref="N15:N17" si="8">I15</f>
        <v>1674</v>
      </c>
      <c r="O15" s="437"/>
      <c r="P15" s="437"/>
      <c r="Q15" s="437"/>
      <c r="R15" s="437"/>
      <c r="S15" s="437"/>
    </row>
    <row r="16" spans="1:19" ht="22.25">
      <c r="A16" s="413">
        <f>A4/2</f>
        <v>46</v>
      </c>
      <c r="B16" s="413" t="s">
        <v>505</v>
      </c>
      <c r="C16" s="420" t="s">
        <v>534</v>
      </c>
      <c r="D16" s="413"/>
      <c r="E16" s="420" t="s">
        <v>1081</v>
      </c>
      <c r="F16" s="421">
        <v>43.2</v>
      </c>
      <c r="G16" s="410"/>
      <c r="H16" s="409">
        <f t="shared" si="4"/>
        <v>43.2</v>
      </c>
      <c r="I16" s="409">
        <f t="shared" si="5"/>
        <v>1987.2</v>
      </c>
      <c r="J16" s="204"/>
      <c r="M16" s="437"/>
      <c r="N16" s="418">
        <f t="shared" si="8"/>
        <v>1987.2</v>
      </c>
      <c r="O16" s="437"/>
      <c r="P16" s="437"/>
      <c r="Q16" s="437"/>
      <c r="R16" s="437"/>
      <c r="S16" s="437"/>
    </row>
    <row r="17" spans="1:19">
      <c r="A17" s="407"/>
      <c r="B17" s="407"/>
      <c r="C17" s="408"/>
      <c r="D17" s="407"/>
      <c r="E17" s="408"/>
      <c r="F17" s="409"/>
      <c r="G17" s="410"/>
      <c r="H17" s="409">
        <f t="shared" si="4"/>
        <v>0</v>
      </c>
      <c r="I17" s="409">
        <f t="shared" si="5"/>
        <v>0</v>
      </c>
      <c r="J17" s="204"/>
      <c r="M17" s="437"/>
      <c r="N17" s="418">
        <f t="shared" si="8"/>
        <v>0</v>
      </c>
      <c r="O17" s="437"/>
      <c r="P17" s="437"/>
      <c r="Q17" s="437"/>
      <c r="R17" s="437"/>
      <c r="S17" s="437"/>
    </row>
    <row r="18" spans="1:19" ht="55.65">
      <c r="A18" s="413">
        <v>6</v>
      </c>
      <c r="B18" s="413" t="s">
        <v>522</v>
      </c>
      <c r="C18" s="420" t="s">
        <v>987</v>
      </c>
      <c r="D18" s="413" t="s">
        <v>761</v>
      </c>
      <c r="E18" s="420" t="s">
        <v>762</v>
      </c>
      <c r="F18" s="421">
        <v>2.5</v>
      </c>
      <c r="G18" s="422"/>
      <c r="H18" s="421">
        <f t="shared" si="4"/>
        <v>2.5</v>
      </c>
      <c r="I18" s="421">
        <f t="shared" si="5"/>
        <v>15</v>
      </c>
      <c r="J18" s="204"/>
      <c r="M18" s="437"/>
      <c r="N18" s="437"/>
      <c r="O18" s="437"/>
      <c r="P18" s="437"/>
      <c r="Q18" s="437"/>
      <c r="R18" s="418">
        <f t="shared" ref="R18:R20" si="9">I18</f>
        <v>15</v>
      </c>
      <c r="S18" s="437"/>
    </row>
    <row r="19" spans="1:19" ht="33.4">
      <c r="A19" s="413">
        <v>1</v>
      </c>
      <c r="B19" s="413" t="s">
        <v>522</v>
      </c>
      <c r="C19" s="420" t="s">
        <v>1479</v>
      </c>
      <c r="D19" s="413"/>
      <c r="E19" s="420" t="s">
        <v>803</v>
      </c>
      <c r="F19" s="421">
        <v>564.44000000000005</v>
      </c>
      <c r="G19" s="422"/>
      <c r="H19" s="421">
        <f t="shared" si="4"/>
        <v>564.44000000000005</v>
      </c>
      <c r="I19" s="421">
        <f t="shared" si="5"/>
        <v>564.44000000000005</v>
      </c>
      <c r="J19" s="1054"/>
      <c r="K19" s="1054"/>
      <c r="L19" s="1054"/>
      <c r="M19" s="437"/>
      <c r="N19" s="437"/>
      <c r="O19" s="437"/>
      <c r="P19" s="437"/>
      <c r="Q19" s="437"/>
      <c r="R19" s="418">
        <f t="shared" si="9"/>
        <v>564.44000000000005</v>
      </c>
      <c r="S19" s="437"/>
    </row>
    <row r="20" spans="1:19">
      <c r="A20" s="407"/>
      <c r="B20" s="407"/>
      <c r="C20" s="408"/>
      <c r="D20" s="407"/>
      <c r="E20" s="408"/>
      <c r="F20" s="409"/>
      <c r="G20" s="410"/>
      <c r="H20" s="409">
        <f t="shared" si="4"/>
        <v>0</v>
      </c>
      <c r="I20" s="409">
        <f t="shared" si="5"/>
        <v>0</v>
      </c>
      <c r="J20" s="204"/>
      <c r="M20" s="437"/>
      <c r="N20" s="437"/>
      <c r="O20" s="437"/>
      <c r="P20" s="437"/>
      <c r="Q20" s="437"/>
      <c r="R20" s="418">
        <f t="shared" si="9"/>
        <v>0</v>
      </c>
      <c r="S20" s="437"/>
    </row>
    <row r="21" spans="1:19" ht="22.25">
      <c r="A21" s="413">
        <v>1</v>
      </c>
      <c r="B21" s="413" t="s">
        <v>522</v>
      </c>
      <c r="C21" s="420"/>
      <c r="D21" s="413"/>
      <c r="E21" s="420" t="s">
        <v>695</v>
      </c>
      <c r="F21" s="421">
        <v>100</v>
      </c>
      <c r="G21" s="410"/>
      <c r="H21" s="409">
        <f t="shared" si="4"/>
        <v>100</v>
      </c>
      <c r="I21" s="409">
        <f t="shared" si="5"/>
        <v>100</v>
      </c>
      <c r="J21" s="204" t="s">
        <v>696</v>
      </c>
      <c r="M21" s="437"/>
      <c r="N21" s="437"/>
      <c r="O21" s="418">
        <f t="shared" si="6"/>
        <v>100</v>
      </c>
      <c r="P21" s="437"/>
      <c r="Q21" s="437"/>
      <c r="R21" s="418"/>
      <c r="S21" s="437"/>
    </row>
    <row r="22" spans="1:19" ht="22.25">
      <c r="A22" s="413">
        <v>1</v>
      </c>
      <c r="B22" s="413" t="s">
        <v>505</v>
      </c>
      <c r="C22" s="420" t="s">
        <v>534</v>
      </c>
      <c r="D22" s="413"/>
      <c r="E22" s="420" t="s">
        <v>567</v>
      </c>
      <c r="F22" s="421">
        <v>375</v>
      </c>
      <c r="G22" s="410"/>
      <c r="H22" s="409">
        <f t="shared" si="4"/>
        <v>375</v>
      </c>
      <c r="I22" s="409">
        <f t="shared" si="5"/>
        <v>375</v>
      </c>
      <c r="J22" s="204"/>
      <c r="M22" s="418">
        <f>F22</f>
        <v>375</v>
      </c>
      <c r="N22" s="437"/>
      <c r="O22" s="437"/>
      <c r="P22" s="437"/>
      <c r="Q22" s="437"/>
      <c r="R22" s="437"/>
      <c r="S22" s="437"/>
    </row>
    <row r="23" spans="1:19">
      <c r="A23" s="413">
        <f>20+2+2+4</f>
        <v>28</v>
      </c>
      <c r="B23" s="413" t="s">
        <v>539</v>
      </c>
      <c r="C23" s="413" t="s">
        <v>690</v>
      </c>
      <c r="D23" s="413"/>
      <c r="E23" s="413" t="s">
        <v>835</v>
      </c>
      <c r="F23" s="421">
        <v>9.32</v>
      </c>
      <c r="G23" s="410"/>
      <c r="H23" s="409">
        <f t="shared" si="4"/>
        <v>9.32</v>
      </c>
      <c r="I23" s="409">
        <f t="shared" si="5"/>
        <v>260.96000000000004</v>
      </c>
      <c r="J23" s="204"/>
      <c r="M23" s="418"/>
      <c r="N23" s="437"/>
      <c r="O23" s="418">
        <f t="shared" si="6"/>
        <v>260.96000000000004</v>
      </c>
      <c r="P23" s="437"/>
      <c r="Q23" s="437"/>
      <c r="R23" s="437"/>
      <c r="S23" s="437"/>
    </row>
    <row r="24" spans="1:19" ht="44.55">
      <c r="A24" s="413">
        <v>1</v>
      </c>
      <c r="B24" s="413" t="s">
        <v>517</v>
      </c>
      <c r="C24" s="420" t="s">
        <v>569</v>
      </c>
      <c r="D24" s="413" t="s">
        <v>570</v>
      </c>
      <c r="E24" s="420" t="s">
        <v>571</v>
      </c>
      <c r="F24" s="421">
        <v>1040</v>
      </c>
      <c r="G24" s="429">
        <v>0.48</v>
      </c>
      <c r="H24" s="430">
        <f t="shared" si="4"/>
        <v>540.80000000000007</v>
      </c>
      <c r="I24" s="409">
        <f t="shared" si="5"/>
        <v>540.80000000000007</v>
      </c>
      <c r="J24" s="204"/>
      <c r="M24" s="418"/>
      <c r="N24" s="437"/>
      <c r="O24" s="437"/>
      <c r="P24" s="437"/>
      <c r="Q24" s="437"/>
      <c r="R24" s="437"/>
      <c r="S24" s="437">
        <f t="shared" ref="S24:S28" si="10">I24</f>
        <v>540.80000000000007</v>
      </c>
    </row>
    <row r="25" spans="1:19" ht="44.55">
      <c r="A25" s="407">
        <v>0</v>
      </c>
      <c r="B25" s="407" t="s">
        <v>517</v>
      </c>
      <c r="C25" s="492" t="s">
        <v>569</v>
      </c>
      <c r="D25" s="487" t="s">
        <v>572</v>
      </c>
      <c r="E25" s="492" t="s">
        <v>573</v>
      </c>
      <c r="F25" s="430">
        <v>1190</v>
      </c>
      <c r="G25" s="429">
        <v>0.48</v>
      </c>
      <c r="H25" s="430">
        <f t="shared" si="4"/>
        <v>618.80000000000007</v>
      </c>
      <c r="I25" s="409">
        <f t="shared" si="5"/>
        <v>0</v>
      </c>
      <c r="J25" s="204"/>
      <c r="M25" s="418"/>
      <c r="N25" s="437"/>
      <c r="O25" s="437"/>
      <c r="P25" s="437"/>
      <c r="Q25" s="437"/>
      <c r="R25" s="437"/>
      <c r="S25" s="437">
        <f t="shared" si="10"/>
        <v>0</v>
      </c>
    </row>
    <row r="26" spans="1:19">
      <c r="A26" s="407">
        <v>0</v>
      </c>
      <c r="B26" s="407" t="s">
        <v>517</v>
      </c>
      <c r="C26" s="408" t="s">
        <v>574</v>
      </c>
      <c r="D26" s="407" t="s">
        <v>575</v>
      </c>
      <c r="E26" s="407" t="s">
        <v>576</v>
      </c>
      <c r="F26" s="409">
        <v>36.700000000000003</v>
      </c>
      <c r="G26" s="410"/>
      <c r="H26" s="409">
        <f t="shared" si="4"/>
        <v>36.700000000000003</v>
      </c>
      <c r="I26" s="409">
        <f t="shared" si="5"/>
        <v>0</v>
      </c>
      <c r="J26" s="204"/>
      <c r="M26" s="418"/>
      <c r="N26" s="437"/>
      <c r="O26" s="437"/>
      <c r="P26" s="437"/>
      <c r="Q26" s="437"/>
      <c r="R26" s="437"/>
      <c r="S26" s="437">
        <f t="shared" si="10"/>
        <v>0</v>
      </c>
    </row>
    <row r="27" spans="1:19">
      <c r="A27" s="413">
        <v>5</v>
      </c>
      <c r="B27" s="413" t="s">
        <v>517</v>
      </c>
      <c r="C27" s="420" t="s">
        <v>574</v>
      </c>
      <c r="D27" s="413" t="s">
        <v>577</v>
      </c>
      <c r="E27" s="413" t="s">
        <v>578</v>
      </c>
      <c r="F27" s="421">
        <v>75</v>
      </c>
      <c r="G27" s="410"/>
      <c r="H27" s="409">
        <f t="shared" si="4"/>
        <v>75</v>
      </c>
      <c r="I27" s="409">
        <f t="shared" si="5"/>
        <v>375</v>
      </c>
      <c r="J27" s="204"/>
      <c r="M27" s="418"/>
      <c r="N27" s="437"/>
      <c r="O27" s="437"/>
      <c r="P27" s="437"/>
      <c r="Q27" s="437"/>
      <c r="R27" s="437"/>
      <c r="S27" s="437">
        <f t="shared" si="10"/>
        <v>375</v>
      </c>
    </row>
    <row r="28" spans="1:19">
      <c r="A28" s="413">
        <v>1</v>
      </c>
      <c r="B28" s="413" t="s">
        <v>517</v>
      </c>
      <c r="C28" s="420" t="s">
        <v>574</v>
      </c>
      <c r="D28" s="413"/>
      <c r="E28" s="413" t="s">
        <v>579</v>
      </c>
      <c r="F28" s="421">
        <f>35/4</f>
        <v>8.75</v>
      </c>
      <c r="G28" s="410"/>
      <c r="H28" s="409">
        <f t="shared" si="4"/>
        <v>8.75</v>
      </c>
      <c r="I28" s="409">
        <f t="shared" si="5"/>
        <v>8.75</v>
      </c>
      <c r="J28" s="204"/>
      <c r="M28" s="418"/>
      <c r="N28" s="437"/>
      <c r="O28" s="437"/>
      <c r="P28" s="437"/>
      <c r="Q28" s="437"/>
      <c r="R28" s="437"/>
      <c r="S28" s="437">
        <f t="shared" si="10"/>
        <v>8.75</v>
      </c>
    </row>
    <row r="29" spans="1:19" ht="12.45">
      <c r="A29" s="407"/>
      <c r="B29" s="407"/>
      <c r="C29" s="408"/>
      <c r="D29" s="407"/>
      <c r="E29" s="431"/>
      <c r="F29" s="409"/>
      <c r="G29" s="410"/>
      <c r="H29" s="409"/>
      <c r="I29" s="409"/>
      <c r="J29" s="204"/>
      <c r="M29" s="418"/>
      <c r="N29" s="437"/>
      <c r="O29" s="437"/>
      <c r="P29" s="437"/>
      <c r="Q29" s="437"/>
      <c r="R29" s="437"/>
      <c r="S29" s="437"/>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432" t="s">
        <v>580</v>
      </c>
      <c r="F31" s="409"/>
      <c r="G31" s="410"/>
      <c r="H31" s="409"/>
      <c r="I31" s="421">
        <f>SUM(I4:I29)</f>
        <v>20655.63996363636</v>
      </c>
      <c r="J31" s="204"/>
      <c r="M31" s="418">
        <f>SUM(M4:M29)</f>
        <v>13238.586363636361</v>
      </c>
      <c r="N31" s="418">
        <f>SUM(N4:N29)</f>
        <v>3661.2</v>
      </c>
      <c r="O31" s="418">
        <f>SUM(O4:O29)</f>
        <v>1036.3036000000002</v>
      </c>
      <c r="P31" s="418"/>
      <c r="Q31" s="418"/>
      <c r="R31" s="418">
        <f>SUM(R4:R29)</f>
        <v>1795</v>
      </c>
      <c r="S31" s="418">
        <f>SUM(S4:S29)</f>
        <v>924.55000000000007</v>
      </c>
    </row>
    <row r="32" spans="1:19">
      <c r="A32" s="407"/>
      <c r="B32" s="407"/>
      <c r="C32" s="408"/>
      <c r="D32" s="407"/>
      <c r="E32" s="413" t="s">
        <v>581</v>
      </c>
      <c r="F32" s="409"/>
      <c r="G32" s="410">
        <v>0.25</v>
      </c>
      <c r="H32" s="409"/>
      <c r="I32" s="421"/>
      <c r="J32" s="204"/>
      <c r="M32" s="418"/>
      <c r="N32" s="418"/>
      <c r="O32" s="418"/>
      <c r="P32" s="418"/>
      <c r="Q32" s="418"/>
      <c r="R32" s="418"/>
      <c r="S32" s="418"/>
    </row>
    <row r="33" spans="1:19" ht="15.75">
      <c r="E33" s="433" t="s">
        <v>582</v>
      </c>
      <c r="F33" s="418"/>
      <c r="G33" s="434"/>
      <c r="H33" s="418"/>
      <c r="I33" s="435">
        <f>I31*(1+$G$32)</f>
        <v>25819.549954545451</v>
      </c>
      <c r="J33" s="436"/>
      <c r="K33" s="437"/>
      <c r="L33" s="437"/>
      <c r="M33" s="165">
        <f>M31*(1+$G$32)</f>
        <v>16548.232954545452</v>
      </c>
      <c r="N33" s="165">
        <f>N31*(1+$G$32)</f>
        <v>4576.5</v>
      </c>
      <c r="O33" s="165">
        <f>O31*(1+$G$32)</f>
        <v>1295.3795000000002</v>
      </c>
      <c r="P33" s="165">
        <f>P61</f>
        <v>6600</v>
      </c>
      <c r="Q33" s="165">
        <f>Q83</f>
        <v>1085.3999999999999</v>
      </c>
      <c r="R33" s="165">
        <f>R31*(1+$G$32)</f>
        <v>2243.75</v>
      </c>
      <c r="S33" s="165">
        <f>S31*(1+$G$32)</f>
        <v>1155.6875</v>
      </c>
    </row>
    <row r="36" spans="1:19">
      <c r="E36" s="439" t="s">
        <v>585</v>
      </c>
    </row>
    <row r="37" spans="1:19">
      <c r="A37" s="441">
        <v>8</v>
      </c>
      <c r="B37" s="17" t="s">
        <v>619</v>
      </c>
      <c r="E37" s="17" t="s">
        <v>586</v>
      </c>
      <c r="F37" s="403">
        <f t="shared" ref="F37:F52" si="11">F$56</f>
        <v>55</v>
      </c>
      <c r="H37" s="403">
        <f t="shared" si="4"/>
        <v>55</v>
      </c>
      <c r="I37" s="403">
        <f t="shared" ref="I37:I58" si="12">A37*H37</f>
        <v>440</v>
      </c>
    </row>
    <row r="38" spans="1:19">
      <c r="A38" s="441">
        <f>A5/120*8*2</f>
        <v>12.266666666666667</v>
      </c>
      <c r="B38" s="17" t="s">
        <v>619</v>
      </c>
      <c r="E38" s="17" t="s">
        <v>589</v>
      </c>
      <c r="F38" s="403">
        <f t="shared" si="11"/>
        <v>55</v>
      </c>
      <c r="H38" s="403">
        <f t="shared" si="4"/>
        <v>55</v>
      </c>
      <c r="I38" s="403">
        <f t="shared" si="12"/>
        <v>674.66666666666674</v>
      </c>
      <c r="J38" s="17" t="s">
        <v>592</v>
      </c>
    </row>
    <row r="39" spans="1:19">
      <c r="A39" s="441">
        <v>4</v>
      </c>
      <c r="B39" s="17" t="s">
        <v>619</v>
      </c>
      <c r="E39" s="17" t="s">
        <v>1426</v>
      </c>
      <c r="F39" s="403">
        <f t="shared" si="11"/>
        <v>55</v>
      </c>
      <c r="H39" s="403">
        <f t="shared" si="4"/>
        <v>55</v>
      </c>
      <c r="I39" s="403">
        <f t="shared" si="12"/>
        <v>220</v>
      </c>
    </row>
    <row r="40" spans="1:19">
      <c r="A40" s="441">
        <f>A5/120*16*2+A5/2*0.16</f>
        <v>31.893333333333334</v>
      </c>
      <c r="B40" s="17" t="s">
        <v>619</v>
      </c>
      <c r="E40" s="17" t="s">
        <v>591</v>
      </c>
      <c r="F40" s="403">
        <f t="shared" si="11"/>
        <v>55</v>
      </c>
      <c r="H40" s="403">
        <f t="shared" si="4"/>
        <v>55</v>
      </c>
      <c r="I40" s="403">
        <f t="shared" si="12"/>
        <v>1754.1333333333334</v>
      </c>
      <c r="J40" s="17" t="s">
        <v>1965</v>
      </c>
    </row>
    <row r="41" spans="1:19">
      <c r="A41" s="441">
        <v>4</v>
      </c>
      <c r="B41" s="17" t="s">
        <v>619</v>
      </c>
      <c r="E41" s="17" t="s">
        <v>1428</v>
      </c>
      <c r="F41" s="403">
        <f t="shared" si="11"/>
        <v>55</v>
      </c>
      <c r="H41" s="403">
        <f t="shared" si="4"/>
        <v>55</v>
      </c>
      <c r="I41" s="403">
        <f t="shared" si="12"/>
        <v>220</v>
      </c>
    </row>
    <row r="42" spans="1:19">
      <c r="A42" s="441">
        <v>4</v>
      </c>
      <c r="B42" s="17" t="s">
        <v>619</v>
      </c>
      <c r="E42" s="17" t="s">
        <v>1429</v>
      </c>
      <c r="F42" s="403">
        <f t="shared" si="11"/>
        <v>55</v>
      </c>
      <c r="H42" s="403">
        <f t="shared" si="4"/>
        <v>55</v>
      </c>
      <c r="I42" s="403">
        <f t="shared" si="12"/>
        <v>220</v>
      </c>
    </row>
    <row r="43" spans="1:19">
      <c r="A43" s="441">
        <v>2</v>
      </c>
      <c r="B43" s="17" t="s">
        <v>619</v>
      </c>
      <c r="E43" s="17" t="s">
        <v>605</v>
      </c>
      <c r="F43" s="403">
        <f t="shared" si="11"/>
        <v>55</v>
      </c>
      <c r="H43" s="403">
        <f t="shared" si="4"/>
        <v>55</v>
      </c>
      <c r="I43" s="403">
        <f t="shared" si="12"/>
        <v>110</v>
      </c>
    </row>
    <row r="44" spans="1:19">
      <c r="A44" s="441">
        <v>2</v>
      </c>
      <c r="B44" s="17" t="s">
        <v>619</v>
      </c>
      <c r="E44" s="17" t="s">
        <v>607</v>
      </c>
      <c r="F44" s="403">
        <f t="shared" si="11"/>
        <v>55</v>
      </c>
      <c r="H44" s="403">
        <f t="shared" si="4"/>
        <v>55</v>
      </c>
      <c r="I44" s="403">
        <f t="shared" si="12"/>
        <v>110</v>
      </c>
    </row>
    <row r="45" spans="1:19">
      <c r="A45" s="441">
        <v>0.5</v>
      </c>
      <c r="B45" s="17" t="s">
        <v>619</v>
      </c>
      <c r="E45" s="17" t="s">
        <v>609</v>
      </c>
      <c r="F45" s="403">
        <f t="shared" si="11"/>
        <v>55</v>
      </c>
      <c r="H45" s="403">
        <f t="shared" si="4"/>
        <v>55</v>
      </c>
      <c r="I45" s="403">
        <f t="shared" si="12"/>
        <v>27.5</v>
      </c>
    </row>
    <row r="46" spans="1:19">
      <c r="A46" s="441">
        <v>8</v>
      </c>
      <c r="B46" s="17" t="s">
        <v>619</v>
      </c>
      <c r="E46" s="17" t="s">
        <v>610</v>
      </c>
      <c r="F46" s="403">
        <f t="shared" si="11"/>
        <v>55</v>
      </c>
      <c r="H46" s="403">
        <f t="shared" si="4"/>
        <v>55</v>
      </c>
      <c r="I46" s="403">
        <f t="shared" si="12"/>
        <v>440</v>
      </c>
    </row>
    <row r="47" spans="1:19">
      <c r="A47" s="441">
        <v>0.5</v>
      </c>
      <c r="B47" s="17" t="s">
        <v>619</v>
      </c>
      <c r="E47" s="17" t="s">
        <v>611</v>
      </c>
      <c r="F47" s="403">
        <f t="shared" si="11"/>
        <v>55</v>
      </c>
      <c r="H47" s="403">
        <f t="shared" si="4"/>
        <v>55</v>
      </c>
      <c r="I47" s="403">
        <f t="shared" si="12"/>
        <v>27.5</v>
      </c>
    </row>
    <row r="48" spans="1:19">
      <c r="A48" s="441">
        <v>1</v>
      </c>
      <c r="B48" s="17" t="s">
        <v>619</v>
      </c>
      <c r="E48" s="17" t="s">
        <v>1431</v>
      </c>
      <c r="F48" s="403">
        <f t="shared" si="11"/>
        <v>55</v>
      </c>
      <c r="H48" s="403">
        <f t="shared" si="4"/>
        <v>55</v>
      </c>
      <c r="I48" s="403">
        <f t="shared" si="12"/>
        <v>55</v>
      </c>
    </row>
    <row r="49" spans="1:16">
      <c r="A49" s="441">
        <f>3*2</f>
        <v>6</v>
      </c>
      <c r="B49" s="17" t="s">
        <v>619</v>
      </c>
      <c r="E49" s="17" t="s">
        <v>612</v>
      </c>
      <c r="F49" s="403">
        <f t="shared" si="11"/>
        <v>55</v>
      </c>
      <c r="H49" s="403">
        <f t="shared" si="4"/>
        <v>55</v>
      </c>
      <c r="I49" s="403">
        <f t="shared" si="12"/>
        <v>330</v>
      </c>
      <c r="J49" s="17" t="s">
        <v>613</v>
      </c>
    </row>
    <row r="50" spans="1:16">
      <c r="A50" s="441">
        <v>8</v>
      </c>
      <c r="B50" s="17" t="s">
        <v>619</v>
      </c>
      <c r="E50" s="17" t="s">
        <v>614</v>
      </c>
      <c r="F50" s="403">
        <f t="shared" si="11"/>
        <v>55</v>
      </c>
      <c r="H50" s="403">
        <f t="shared" si="4"/>
        <v>55</v>
      </c>
      <c r="I50" s="403">
        <f t="shared" si="12"/>
        <v>440</v>
      </c>
    </row>
    <row r="51" spans="1:16">
      <c r="A51" s="441">
        <v>4</v>
      </c>
      <c r="B51" s="17" t="s">
        <v>619</v>
      </c>
      <c r="E51" s="17" t="s">
        <v>615</v>
      </c>
      <c r="F51" s="403">
        <f t="shared" si="11"/>
        <v>55</v>
      </c>
      <c r="H51" s="403">
        <f t="shared" si="4"/>
        <v>55</v>
      </c>
      <c r="I51" s="403">
        <f t="shared" si="12"/>
        <v>220</v>
      </c>
    </row>
    <row r="52" spans="1:16">
      <c r="A52" s="441">
        <v>4</v>
      </c>
      <c r="B52" s="17" t="s">
        <v>619</v>
      </c>
      <c r="E52" s="17" t="s">
        <v>616</v>
      </c>
      <c r="F52" s="403">
        <f t="shared" si="11"/>
        <v>55</v>
      </c>
      <c r="H52" s="403">
        <f t="shared" si="4"/>
        <v>55</v>
      </c>
      <c r="I52" s="403">
        <f t="shared" si="12"/>
        <v>220</v>
      </c>
    </row>
    <row r="54" spans="1:16">
      <c r="A54" s="17">
        <f>SUM(A37:A53)</f>
        <v>100.16</v>
      </c>
      <c r="B54" s="17" t="s">
        <v>619</v>
      </c>
      <c r="E54" s="17" t="s">
        <v>620</v>
      </c>
    </row>
    <row r="55" spans="1:16">
      <c r="A55" s="441">
        <v>3</v>
      </c>
      <c r="B55" s="17" t="s">
        <v>517</v>
      </c>
      <c r="E55" s="17" t="s">
        <v>621</v>
      </c>
    </row>
    <row r="56" spans="1:16">
      <c r="A56" s="17">
        <v>1</v>
      </c>
      <c r="B56" s="17" t="s">
        <v>517</v>
      </c>
      <c r="E56" s="17" t="s">
        <v>622</v>
      </c>
      <c r="F56" s="445">
        <v>55</v>
      </c>
      <c r="H56" s="403">
        <f t="shared" si="4"/>
        <v>55</v>
      </c>
      <c r="I56" s="403">
        <f t="shared" si="12"/>
        <v>55</v>
      </c>
      <c r="J56" s="17" t="s">
        <v>623</v>
      </c>
    </row>
    <row r="57" spans="1:16">
      <c r="A57" s="17">
        <f>ROUNDUP(A54/8/A55,0)</f>
        <v>5</v>
      </c>
      <c r="B57" s="17" t="s">
        <v>624</v>
      </c>
      <c r="E57" s="17" t="s">
        <v>625</v>
      </c>
      <c r="F57" s="403">
        <f>A55*8*F56</f>
        <v>1320</v>
      </c>
      <c r="H57" s="403">
        <f t="shared" si="4"/>
        <v>1320</v>
      </c>
      <c r="I57" s="403">
        <f t="shared" si="12"/>
        <v>6600</v>
      </c>
    </row>
    <row r="58" spans="1:16">
      <c r="A58" s="441"/>
      <c r="B58" s="17" t="s">
        <v>517</v>
      </c>
      <c r="E58" s="17" t="s">
        <v>626</v>
      </c>
      <c r="F58" s="447"/>
      <c r="H58" s="403">
        <f t="shared" si="4"/>
        <v>0</v>
      </c>
      <c r="I58" s="403">
        <f t="shared" si="12"/>
        <v>0</v>
      </c>
    </row>
    <row r="59" spans="1:16">
      <c r="A59" s="441"/>
      <c r="F59" s="447"/>
      <c r="H59" s="403"/>
      <c r="I59" s="403"/>
    </row>
    <row r="60" spans="1:16">
      <c r="A60" s="441"/>
      <c r="F60" s="447"/>
      <c r="H60" s="403"/>
      <c r="I60" s="403"/>
    </row>
    <row r="61" spans="1:16" ht="15.75">
      <c r="E61" s="439" t="s">
        <v>628</v>
      </c>
      <c r="I61" s="443">
        <f>SUM(I57:I60)</f>
        <v>6600</v>
      </c>
      <c r="P61" s="165">
        <f>I61</f>
        <v>6600</v>
      </c>
    </row>
    <row r="64" spans="1:16">
      <c r="E64" s="449" t="s">
        <v>630</v>
      </c>
    </row>
    <row r="65" spans="1:11">
      <c r="E65" s="449" t="s">
        <v>1891</v>
      </c>
    </row>
    <row r="66" spans="1:11" ht="66.8">
      <c r="A66" s="441">
        <v>1</v>
      </c>
      <c r="B66" s="17" t="s">
        <v>517</v>
      </c>
      <c r="C66" s="204" t="s">
        <v>698</v>
      </c>
      <c r="D66" s="17" t="s">
        <v>636</v>
      </c>
      <c r="E66" s="17" t="s">
        <v>637</v>
      </c>
      <c r="F66" s="445">
        <v>1809</v>
      </c>
      <c r="G66" s="404">
        <v>0.4</v>
      </c>
      <c r="H66" s="403">
        <f t="shared" si="4"/>
        <v>1085.3999999999999</v>
      </c>
      <c r="I66" s="403">
        <f t="shared" ref="I66:I81" si="13">A66*H66</f>
        <v>1085.3999999999999</v>
      </c>
      <c r="J66" s="17" t="s">
        <v>638</v>
      </c>
      <c r="K66" s="17" t="s">
        <v>1892</v>
      </c>
    </row>
    <row r="67" spans="1:11">
      <c r="A67" s="441"/>
      <c r="B67" s="17" t="s">
        <v>517</v>
      </c>
      <c r="C67" s="204" t="s">
        <v>538</v>
      </c>
      <c r="D67" s="17" t="s">
        <v>640</v>
      </c>
      <c r="E67" s="17" t="s">
        <v>1893</v>
      </c>
      <c r="F67" s="445">
        <v>1949</v>
      </c>
      <c r="G67" s="404">
        <v>0.4</v>
      </c>
      <c r="H67" s="403">
        <f t="shared" si="4"/>
        <v>1169.3999999999999</v>
      </c>
      <c r="I67" s="403">
        <f t="shared" si="13"/>
        <v>0</v>
      </c>
      <c r="J67" s="17" t="s">
        <v>638</v>
      </c>
      <c r="K67" s="17" t="s">
        <v>1894</v>
      </c>
    </row>
    <row r="68" spans="1:11">
      <c r="A68" s="441">
        <v>0</v>
      </c>
      <c r="B68" s="17" t="s">
        <v>517</v>
      </c>
      <c r="C68" s="204" t="s">
        <v>538</v>
      </c>
      <c r="D68" s="17" t="s">
        <v>640</v>
      </c>
      <c r="E68" s="17" t="s">
        <v>1895</v>
      </c>
      <c r="F68" s="445">
        <v>1949</v>
      </c>
      <c r="G68" s="404">
        <v>0.4</v>
      </c>
      <c r="H68" s="403">
        <f t="shared" si="4"/>
        <v>1169.3999999999999</v>
      </c>
      <c r="I68" s="403">
        <f t="shared" si="13"/>
        <v>0</v>
      </c>
      <c r="J68" s="17" t="s">
        <v>638</v>
      </c>
      <c r="K68" s="17" t="s">
        <v>1894</v>
      </c>
    </row>
    <row r="69" spans="1:11">
      <c r="A69" s="441">
        <v>0</v>
      </c>
      <c r="B69" s="17" t="s">
        <v>517</v>
      </c>
      <c r="C69" s="204" t="s">
        <v>538</v>
      </c>
      <c r="D69" s="17" t="s">
        <v>640</v>
      </c>
      <c r="E69" s="17" t="s">
        <v>1896</v>
      </c>
      <c r="F69" s="445">
        <v>2447</v>
      </c>
      <c r="G69" s="404">
        <v>0.4</v>
      </c>
      <c r="H69" s="403">
        <f t="shared" si="4"/>
        <v>1468.2</v>
      </c>
      <c r="I69" s="403">
        <f t="shared" si="13"/>
        <v>0</v>
      </c>
      <c r="J69" s="17" t="s">
        <v>638</v>
      </c>
      <c r="K69" s="17" t="s">
        <v>1894</v>
      </c>
    </row>
    <row r="70" spans="1:11">
      <c r="A70" s="441">
        <v>0</v>
      </c>
      <c r="B70" s="17" t="s">
        <v>517</v>
      </c>
      <c r="C70" s="204" t="s">
        <v>538</v>
      </c>
      <c r="D70" s="17" t="s">
        <v>640</v>
      </c>
      <c r="E70" s="17" t="s">
        <v>1897</v>
      </c>
      <c r="F70" s="445">
        <v>4395</v>
      </c>
      <c r="G70" s="404">
        <v>0.4</v>
      </c>
      <c r="H70" s="403">
        <f t="shared" si="4"/>
        <v>2637</v>
      </c>
      <c r="I70" s="403">
        <f t="shared" si="13"/>
        <v>0</v>
      </c>
      <c r="J70" s="17" t="s">
        <v>638</v>
      </c>
      <c r="K70" s="17" t="s">
        <v>1894</v>
      </c>
    </row>
    <row r="71" spans="1:11">
      <c r="A71" s="441">
        <v>0</v>
      </c>
      <c r="B71" s="17" t="s">
        <v>517</v>
      </c>
      <c r="C71" s="204" t="s">
        <v>538</v>
      </c>
      <c r="D71" s="17" t="s">
        <v>640</v>
      </c>
      <c r="E71" s="17" t="s">
        <v>1898</v>
      </c>
      <c r="F71" s="445">
        <v>21206</v>
      </c>
      <c r="G71" s="404">
        <v>0.4</v>
      </c>
      <c r="H71" s="403">
        <f t="shared" si="4"/>
        <v>12723.6</v>
      </c>
      <c r="I71" s="403">
        <f t="shared" si="13"/>
        <v>0</v>
      </c>
      <c r="J71" s="17" t="s">
        <v>638</v>
      </c>
      <c r="K71" s="17" t="s">
        <v>1894</v>
      </c>
    </row>
    <row r="72" spans="1:11">
      <c r="A72" s="441">
        <v>0</v>
      </c>
      <c r="B72" s="17" t="s">
        <v>539</v>
      </c>
      <c r="C72" s="204" t="s">
        <v>538</v>
      </c>
      <c r="D72" s="17" t="s">
        <v>643</v>
      </c>
      <c r="E72" s="17" t="s">
        <v>1899</v>
      </c>
      <c r="F72" s="445">
        <v>80</v>
      </c>
      <c r="G72" s="404">
        <v>0.4</v>
      </c>
      <c r="H72" s="403">
        <f t="shared" si="4"/>
        <v>48</v>
      </c>
      <c r="I72" s="403">
        <f t="shared" si="13"/>
        <v>0</v>
      </c>
      <c r="J72" s="17" t="s">
        <v>638</v>
      </c>
      <c r="K72" s="17" t="s">
        <v>1894</v>
      </c>
    </row>
    <row r="73" spans="1:11">
      <c r="A73" s="441">
        <v>0</v>
      </c>
      <c r="B73" s="17" t="s">
        <v>539</v>
      </c>
      <c r="C73" s="204" t="s">
        <v>538</v>
      </c>
      <c r="D73" s="17" t="s">
        <v>643</v>
      </c>
      <c r="E73" s="17" t="s">
        <v>1900</v>
      </c>
      <c r="F73" s="445">
        <v>108</v>
      </c>
      <c r="G73" s="404">
        <v>0.4</v>
      </c>
      <c r="H73" s="403">
        <f t="shared" si="4"/>
        <v>64.8</v>
      </c>
      <c r="I73" s="403">
        <f t="shared" si="13"/>
        <v>0</v>
      </c>
      <c r="J73" s="17" t="s">
        <v>638</v>
      </c>
      <c r="K73" s="17" t="s">
        <v>1894</v>
      </c>
    </row>
    <row r="74" spans="1:11">
      <c r="A74" s="204"/>
      <c r="F74" s="445"/>
      <c r="H74" s="403"/>
      <c r="I74" s="403"/>
    </row>
    <row r="75" spans="1:11">
      <c r="A75" s="204"/>
      <c r="E75" s="449" t="s">
        <v>1901</v>
      </c>
      <c r="F75" s="445"/>
      <c r="H75" s="403"/>
      <c r="I75" s="403"/>
    </row>
    <row r="76" spans="1:11">
      <c r="A76" s="441">
        <v>0</v>
      </c>
      <c r="B76" s="17" t="s">
        <v>517</v>
      </c>
      <c r="C76" s="204" t="s">
        <v>1902</v>
      </c>
      <c r="D76" s="17" t="s">
        <v>636</v>
      </c>
      <c r="E76" s="17" t="s">
        <v>1903</v>
      </c>
      <c r="F76" s="445">
        <v>2507</v>
      </c>
      <c r="G76" s="404">
        <v>0.4</v>
      </c>
      <c r="H76" s="403">
        <f t="shared" ref="H76:H98" si="14">F76*(1-G76)</f>
        <v>1504.2</v>
      </c>
      <c r="I76" s="403">
        <f t="shared" si="13"/>
        <v>0</v>
      </c>
      <c r="J76" s="17" t="s">
        <v>638</v>
      </c>
      <c r="K76" s="17" t="s">
        <v>1904</v>
      </c>
    </row>
    <row r="77" spans="1:11">
      <c r="A77" s="441">
        <v>0</v>
      </c>
      <c r="B77" s="17" t="s">
        <v>517</v>
      </c>
      <c r="C77" s="204" t="s">
        <v>1902</v>
      </c>
      <c r="D77" s="17" t="s">
        <v>636</v>
      </c>
      <c r="E77" s="17" t="s">
        <v>1905</v>
      </c>
      <c r="F77" s="445">
        <v>2913</v>
      </c>
      <c r="G77" s="404">
        <v>0.4</v>
      </c>
      <c r="H77" s="403">
        <f t="shared" si="14"/>
        <v>1747.8</v>
      </c>
      <c r="I77" s="403">
        <f t="shared" si="13"/>
        <v>0</v>
      </c>
      <c r="J77" s="17" t="s">
        <v>638</v>
      </c>
      <c r="K77" s="17" t="s">
        <v>1904</v>
      </c>
    </row>
    <row r="78" spans="1:11">
      <c r="A78" s="441">
        <v>0</v>
      </c>
      <c r="B78" s="17" t="s">
        <v>539</v>
      </c>
      <c r="C78" s="204" t="s">
        <v>1902</v>
      </c>
      <c r="D78" s="17" t="s">
        <v>670</v>
      </c>
      <c r="E78" s="17" t="s">
        <v>1906</v>
      </c>
      <c r="F78" s="445">
        <v>107</v>
      </c>
      <c r="G78" s="404">
        <v>0.4</v>
      </c>
      <c r="H78" s="403">
        <f t="shared" si="14"/>
        <v>64.2</v>
      </c>
      <c r="I78" s="403">
        <f t="shared" si="13"/>
        <v>0</v>
      </c>
      <c r="J78" s="17" t="s">
        <v>638</v>
      </c>
      <c r="K78" s="17" t="s">
        <v>1904</v>
      </c>
    </row>
    <row r="79" spans="1:11">
      <c r="A79" s="441">
        <v>0</v>
      </c>
      <c r="B79" s="17" t="s">
        <v>539</v>
      </c>
      <c r="C79" s="204" t="s">
        <v>1902</v>
      </c>
      <c r="D79" s="17" t="s">
        <v>670</v>
      </c>
      <c r="E79" s="17" t="s">
        <v>1907</v>
      </c>
      <c r="F79" s="445">
        <v>108</v>
      </c>
      <c r="G79" s="404">
        <v>0.4</v>
      </c>
      <c r="H79" s="403">
        <f t="shared" si="14"/>
        <v>64.8</v>
      </c>
      <c r="I79" s="403">
        <f t="shared" si="13"/>
        <v>0</v>
      </c>
      <c r="J79" s="17" t="s">
        <v>638</v>
      </c>
      <c r="K79" s="17" t="s">
        <v>1904</v>
      </c>
    </row>
    <row r="80" spans="1:11">
      <c r="A80" s="441">
        <v>0</v>
      </c>
      <c r="B80" s="17" t="s">
        <v>517</v>
      </c>
      <c r="C80" s="204" t="s">
        <v>1902</v>
      </c>
      <c r="D80" s="17" t="s">
        <v>640</v>
      </c>
      <c r="E80" s="17" t="s">
        <v>1908</v>
      </c>
      <c r="F80" s="445">
        <v>1965</v>
      </c>
      <c r="G80" s="404">
        <v>0.4</v>
      </c>
      <c r="H80" s="403">
        <f t="shared" si="14"/>
        <v>1179</v>
      </c>
      <c r="I80" s="403">
        <f t="shared" si="13"/>
        <v>0</v>
      </c>
      <c r="J80" s="17" t="s">
        <v>638</v>
      </c>
      <c r="K80" s="17" t="s">
        <v>1904</v>
      </c>
    </row>
    <row r="81" spans="1:17">
      <c r="A81" s="441">
        <v>0</v>
      </c>
      <c r="B81" s="17" t="s">
        <v>539</v>
      </c>
      <c r="C81" s="204" t="s">
        <v>1902</v>
      </c>
      <c r="D81" s="17" t="s">
        <v>643</v>
      </c>
      <c r="E81" s="17" t="s">
        <v>1909</v>
      </c>
      <c r="F81" s="445">
        <v>95</v>
      </c>
      <c r="G81" s="404">
        <v>0.4</v>
      </c>
      <c r="H81" s="403">
        <f t="shared" si="14"/>
        <v>57</v>
      </c>
      <c r="I81" s="403">
        <f t="shared" si="13"/>
        <v>0</v>
      </c>
      <c r="J81" s="17" t="s">
        <v>638</v>
      </c>
      <c r="K81" s="17" t="s">
        <v>1904</v>
      </c>
    </row>
    <row r="82" spans="1:17">
      <c r="A82" s="204"/>
      <c r="F82" s="485"/>
      <c r="H82" s="403"/>
      <c r="I82" s="403"/>
    </row>
    <row r="83" spans="1:17" ht="15.75">
      <c r="E83" s="439" t="s">
        <v>676</v>
      </c>
      <c r="I83" s="168">
        <f>SUM(I66:I82)</f>
        <v>1085.3999999999999</v>
      </c>
      <c r="Q83" s="165">
        <f>I83</f>
        <v>1085.3999999999999</v>
      </c>
    </row>
    <row r="85" spans="1:17" ht="13.75" customHeight="1">
      <c r="A85" s="986" t="s">
        <v>100</v>
      </c>
      <c r="B85" s="986"/>
      <c r="C85" s="986"/>
      <c r="D85" s="986"/>
      <c r="E85" s="986"/>
    </row>
    <row r="87" spans="1:17" ht="22.25">
      <c r="A87" s="17">
        <v>1</v>
      </c>
      <c r="B87" s="17" t="s">
        <v>517</v>
      </c>
      <c r="C87" s="204" t="s">
        <v>531</v>
      </c>
      <c r="E87" s="17" t="s">
        <v>1481</v>
      </c>
      <c r="F87" s="403">
        <v>500</v>
      </c>
      <c r="H87" s="403">
        <f t="shared" si="14"/>
        <v>500</v>
      </c>
      <c r="I87" s="403">
        <f t="shared" ref="I87:I88" si="15">A87*H87</f>
        <v>500</v>
      </c>
      <c r="K87" s="403"/>
      <c r="L87" s="403"/>
    </row>
    <row r="88" spans="1:17" ht="22.25">
      <c r="A88" s="17">
        <v>1</v>
      </c>
      <c r="B88" s="17" t="s">
        <v>517</v>
      </c>
      <c r="C88" s="204" t="s">
        <v>531</v>
      </c>
      <c r="E88" s="17" t="s">
        <v>1482</v>
      </c>
      <c r="F88" s="403">
        <v>500</v>
      </c>
      <c r="H88" s="403">
        <f t="shared" si="14"/>
        <v>500</v>
      </c>
      <c r="I88" s="403">
        <f t="shared" si="15"/>
        <v>500</v>
      </c>
    </row>
    <row r="89" spans="1:17">
      <c r="H89" s="403"/>
      <c r="L89" s="443"/>
    </row>
    <row r="90" spans="1:17" ht="15.75">
      <c r="I90" s="168">
        <f>SUM(I85:I88)</f>
        <v>1000</v>
      </c>
    </row>
    <row r="92" spans="1:17" ht="15.05" customHeight="1">
      <c r="A92" s="1002" t="s">
        <v>90</v>
      </c>
      <c r="B92" s="1002"/>
      <c r="C92" s="1002"/>
      <c r="D92" s="1002"/>
      <c r="E92" s="1002"/>
    </row>
    <row r="94" spans="1:17" ht="13.75">
      <c r="A94" s="17">
        <v>0</v>
      </c>
      <c r="B94" s="17" t="s">
        <v>517</v>
      </c>
      <c r="E94" s="17" t="s">
        <v>1464</v>
      </c>
      <c r="F94" s="403">
        <v>860</v>
      </c>
      <c r="H94" s="403">
        <f t="shared" si="14"/>
        <v>860</v>
      </c>
      <c r="I94" s="403">
        <f t="shared" ref="I94:I98" si="16">A94*H94</f>
        <v>0</v>
      </c>
      <c r="J94" s="494" t="s">
        <v>1465</v>
      </c>
    </row>
    <row r="95" spans="1:17">
      <c r="A95" s="17">
        <v>1</v>
      </c>
      <c r="B95" s="17" t="s">
        <v>517</v>
      </c>
      <c r="E95" s="17" t="s">
        <v>707</v>
      </c>
      <c r="F95" s="403">
        <v>1500</v>
      </c>
      <c r="H95" s="403">
        <f t="shared" si="14"/>
        <v>1500</v>
      </c>
      <c r="I95" s="403">
        <f t="shared" si="16"/>
        <v>1500</v>
      </c>
      <c r="J95" s="17" t="s">
        <v>1483</v>
      </c>
    </row>
    <row r="96" spans="1:17" ht="55.65">
      <c r="A96" s="17">
        <v>0</v>
      </c>
      <c r="B96" s="17" t="s">
        <v>517</v>
      </c>
      <c r="C96" s="204" t="s">
        <v>708</v>
      </c>
      <c r="E96" s="204" t="s">
        <v>709</v>
      </c>
      <c r="F96" s="403">
        <v>460</v>
      </c>
      <c r="H96" s="403">
        <f t="shared" si="14"/>
        <v>460</v>
      </c>
      <c r="I96" s="403">
        <f t="shared" si="16"/>
        <v>0</v>
      </c>
      <c r="J96" s="17" t="s">
        <v>710</v>
      </c>
    </row>
    <row r="97" spans="1:10" ht="55.65">
      <c r="A97" s="17">
        <v>0</v>
      </c>
      <c r="B97" s="17" t="s">
        <v>517</v>
      </c>
      <c r="C97" s="204" t="s">
        <v>711</v>
      </c>
      <c r="E97" s="204" t="s">
        <v>712</v>
      </c>
      <c r="F97" s="403">
        <v>320</v>
      </c>
      <c r="H97" s="403">
        <f t="shared" si="14"/>
        <v>320</v>
      </c>
      <c r="I97" s="403">
        <f t="shared" si="16"/>
        <v>0</v>
      </c>
    </row>
    <row r="98" spans="1:10" ht="55.65">
      <c r="A98" s="17">
        <v>0</v>
      </c>
      <c r="B98" s="17" t="s">
        <v>517</v>
      </c>
      <c r="C98" s="17" t="s">
        <v>713</v>
      </c>
      <c r="D98" s="17" t="s">
        <v>714</v>
      </c>
      <c r="E98" s="204" t="s">
        <v>715</v>
      </c>
      <c r="F98" s="403">
        <v>2725</v>
      </c>
      <c r="H98" s="403">
        <f t="shared" si="14"/>
        <v>2725</v>
      </c>
      <c r="I98" s="403">
        <f t="shared" si="16"/>
        <v>0</v>
      </c>
    </row>
    <row r="100" spans="1:10" ht="15.75">
      <c r="E100" s="439" t="s">
        <v>729</v>
      </c>
      <c r="I100" s="168">
        <f>SUM(I92:I99)</f>
        <v>1500</v>
      </c>
    </row>
    <row r="102" spans="1:10" ht="13.75" customHeight="1">
      <c r="A102" s="997" t="s">
        <v>68</v>
      </c>
      <c r="B102" s="997"/>
      <c r="C102" s="997"/>
      <c r="D102" s="997"/>
      <c r="E102" s="997"/>
    </row>
    <row r="103" spans="1:10">
      <c r="A103" s="17">
        <v>0</v>
      </c>
      <c r="B103" s="17" t="s">
        <v>517</v>
      </c>
      <c r="E103" s="17" t="s">
        <v>1469</v>
      </c>
      <c r="F103" s="403">
        <v>187.5</v>
      </c>
      <c r="H103" s="403">
        <f t="shared" ref="H103:H107" si="17">F103*(1-G103)</f>
        <v>187.5</v>
      </c>
      <c r="I103" s="403">
        <f t="shared" ref="I103:I107" si="18">A103*H103</f>
        <v>0</v>
      </c>
      <c r="J103" s="17" t="s">
        <v>1470</v>
      </c>
    </row>
    <row r="104" spans="1:10">
      <c r="A104" s="17">
        <v>1</v>
      </c>
      <c r="B104" s="17" t="s">
        <v>517</v>
      </c>
      <c r="E104" s="17" t="s">
        <v>1471</v>
      </c>
      <c r="F104" s="403">
        <v>500</v>
      </c>
      <c r="H104" s="403">
        <f t="shared" si="17"/>
        <v>500</v>
      </c>
      <c r="I104" s="403">
        <f t="shared" si="18"/>
        <v>500</v>
      </c>
      <c r="J104" s="17" t="s">
        <v>696</v>
      </c>
    </row>
    <row r="105" spans="1:10">
      <c r="A105" s="17">
        <v>0</v>
      </c>
      <c r="B105" s="17" t="s">
        <v>517</v>
      </c>
      <c r="E105" s="17" t="s">
        <v>1472</v>
      </c>
      <c r="F105" s="403">
        <v>500</v>
      </c>
      <c r="H105" s="403">
        <f t="shared" si="17"/>
        <v>500</v>
      </c>
      <c r="I105" s="403">
        <f t="shared" si="18"/>
        <v>0</v>
      </c>
      <c r="J105" s="17" t="s">
        <v>696</v>
      </c>
    </row>
    <row r="106" spans="1:10" ht="55.65">
      <c r="A106" s="17">
        <v>1</v>
      </c>
      <c r="B106" s="17" t="s">
        <v>517</v>
      </c>
      <c r="C106" s="204" t="s">
        <v>708</v>
      </c>
      <c r="E106" s="204" t="s">
        <v>731</v>
      </c>
      <c r="F106" s="403">
        <f>460/2</f>
        <v>230</v>
      </c>
      <c r="H106" s="403">
        <f t="shared" si="17"/>
        <v>230</v>
      </c>
      <c r="I106" s="403">
        <f t="shared" si="18"/>
        <v>230</v>
      </c>
    </row>
    <row r="107" spans="1:10" ht="55.65">
      <c r="A107" s="17">
        <v>0</v>
      </c>
      <c r="B107" s="17" t="s">
        <v>517</v>
      </c>
      <c r="C107" s="204" t="s">
        <v>711</v>
      </c>
      <c r="E107" s="204" t="s">
        <v>732</v>
      </c>
      <c r="F107" s="403">
        <f>320/2</f>
        <v>160</v>
      </c>
      <c r="H107" s="403">
        <f t="shared" si="17"/>
        <v>160</v>
      </c>
      <c r="I107" s="403">
        <f t="shared" si="18"/>
        <v>0</v>
      </c>
    </row>
    <row r="109" spans="1:10" ht="15.75">
      <c r="E109" s="439" t="s">
        <v>733</v>
      </c>
      <c r="I109" s="168">
        <f>SUM(I102:I108)</f>
        <v>730</v>
      </c>
    </row>
    <row r="110" spans="1:10">
      <c r="E110" s="439"/>
    </row>
  </sheetData>
  <mergeCells count="6">
    <mergeCell ref="A102:E102"/>
    <mergeCell ref="B1:F1"/>
    <mergeCell ref="A2:G2"/>
    <mergeCell ref="J19:L19"/>
    <mergeCell ref="A85:E85"/>
    <mergeCell ref="A92:E92"/>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91"/>
  <sheetViews>
    <sheetView workbookViewId="0">
      <pane ySplit="3" topLeftCell="A67" activePane="bottomLeft" state="frozen"/>
      <selection activeCell="M42" sqref="M42"/>
      <selection pane="bottomLeft" activeCell="G88" sqref="G88"/>
    </sheetView>
  </sheetViews>
  <sheetFormatPr baseColWidth="10" defaultColWidth="10.140625" defaultRowHeight="11.15"/>
  <cols>
    <col min="1" max="1" width="6.140625" style="17" customWidth="1"/>
    <col min="2" max="2" width="6.710937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6.42578125" style="17" customWidth="1"/>
    <col min="11" max="11" width="18.140625" style="17" customWidth="1"/>
    <col min="12" max="12" width="12.140625" style="17" customWidth="1"/>
    <col min="13" max="19" width="10.140625" style="403"/>
    <col min="20" max="64" width="10.140625" style="17"/>
  </cols>
  <sheetData>
    <row r="1" spans="1:19" ht="15.75">
      <c r="B1" s="1053" t="s">
        <v>271</v>
      </c>
      <c r="C1" s="1053"/>
      <c r="D1" s="1053"/>
      <c r="E1" s="1053"/>
      <c r="F1" s="1053"/>
      <c r="H1" s="405" t="s">
        <v>493</v>
      </c>
      <c r="I1" s="406">
        <v>390</v>
      </c>
      <c r="J1" s="17" t="s">
        <v>494</v>
      </c>
      <c r="K1" s="17" t="s">
        <v>495</v>
      </c>
      <c r="L1" s="58">
        <f>A4*I1</f>
        <v>143520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44.55">
      <c r="A4" s="413">
        <v>368</v>
      </c>
      <c r="B4" s="414" t="s">
        <v>505</v>
      </c>
      <c r="C4" s="415" t="s">
        <v>506</v>
      </c>
      <c r="D4" s="414" t="s">
        <v>507</v>
      </c>
      <c r="E4" s="415" t="s">
        <v>508</v>
      </c>
      <c r="F4" s="416">
        <v>154.56</v>
      </c>
      <c r="G4" s="410"/>
      <c r="H4" s="409">
        <f t="shared" ref="H4:H10" si="0">F4*(1-G4)</f>
        <v>154.56</v>
      </c>
      <c r="I4" s="409">
        <f t="shared" ref="I4:I10" si="1">A4*H4</f>
        <v>56878.080000000002</v>
      </c>
      <c r="J4" s="417">
        <f>F4/$I$1</f>
        <v>0.39630769230769231</v>
      </c>
      <c r="K4" s="403" t="s">
        <v>509</v>
      </c>
      <c r="L4" s="404" t="s">
        <v>510</v>
      </c>
      <c r="M4" s="418">
        <f t="shared" ref="M4:M6" si="2">I4</f>
        <v>56878.080000000002</v>
      </c>
      <c r="N4" s="418"/>
      <c r="O4" s="418"/>
      <c r="P4" s="418"/>
      <c r="Q4" s="418"/>
      <c r="R4" s="418"/>
      <c r="S4" s="418"/>
    </row>
    <row r="5" spans="1:19" ht="22.25">
      <c r="A5" s="413">
        <f>A4</f>
        <v>368</v>
      </c>
      <c r="B5" s="414" t="s">
        <v>505</v>
      </c>
      <c r="C5" s="415" t="s">
        <v>506</v>
      </c>
      <c r="D5" s="414" t="s">
        <v>511</v>
      </c>
      <c r="E5" s="415" t="s">
        <v>512</v>
      </c>
      <c r="F5" s="416">
        <v>0.5</v>
      </c>
      <c r="G5" s="419"/>
      <c r="H5" s="416">
        <f t="shared" si="0"/>
        <v>0.5</v>
      </c>
      <c r="I5" s="409">
        <f t="shared" si="1"/>
        <v>184</v>
      </c>
      <c r="J5" s="417"/>
      <c r="K5" s="403"/>
      <c r="L5" s="404"/>
      <c r="M5" s="418">
        <f t="shared" si="2"/>
        <v>184</v>
      </c>
      <c r="N5" s="418"/>
      <c r="O5" s="418"/>
      <c r="P5" s="418"/>
      <c r="Q5" s="418"/>
      <c r="R5" s="418"/>
      <c r="S5" s="418"/>
    </row>
    <row r="6" spans="1:19" ht="55.65">
      <c r="A6" s="413">
        <f>A4</f>
        <v>368</v>
      </c>
      <c r="B6" s="413" t="s">
        <v>505</v>
      </c>
      <c r="C6" s="420" t="s">
        <v>513</v>
      </c>
      <c r="D6" s="413"/>
      <c r="E6" s="420" t="s">
        <v>514</v>
      </c>
      <c r="F6" s="421">
        <f>5332.9/A6</f>
        <v>14.49157608695652</v>
      </c>
      <c r="G6" s="410"/>
      <c r="H6" s="409">
        <f t="shared" si="0"/>
        <v>14.49157608695652</v>
      </c>
      <c r="I6" s="409">
        <f t="shared" si="1"/>
        <v>5332.9</v>
      </c>
      <c r="J6" s="417">
        <f>F6/$I$1</f>
        <v>3.7157887402452613E-2</v>
      </c>
      <c r="K6" s="204" t="s">
        <v>515</v>
      </c>
      <c r="L6" s="417" t="s">
        <v>516</v>
      </c>
      <c r="M6" s="418">
        <f t="shared" si="2"/>
        <v>5332.9</v>
      </c>
      <c r="N6" s="418"/>
      <c r="O6" s="418"/>
      <c r="P6" s="418"/>
      <c r="Q6" s="418"/>
      <c r="R6" s="418"/>
      <c r="S6" s="418"/>
    </row>
    <row r="7" spans="1:19" ht="33.4">
      <c r="A7" s="413">
        <v>1</v>
      </c>
      <c r="B7" s="413" t="s">
        <v>517</v>
      </c>
      <c r="C7" s="420" t="s">
        <v>518</v>
      </c>
      <c r="D7" s="413"/>
      <c r="E7" s="420" t="s">
        <v>519</v>
      </c>
      <c r="F7" s="421">
        <v>4369.5</v>
      </c>
      <c r="G7" s="410"/>
      <c r="H7" s="409">
        <f t="shared" si="0"/>
        <v>4369.5</v>
      </c>
      <c r="I7" s="409">
        <f t="shared" si="1"/>
        <v>4369.5</v>
      </c>
      <c r="J7" s="204"/>
      <c r="K7" s="417"/>
      <c r="M7" s="418"/>
      <c r="N7" s="418">
        <f t="shared" ref="N7:N10" si="3">I7</f>
        <v>4369.5</v>
      </c>
      <c r="O7" s="418"/>
      <c r="P7" s="418"/>
      <c r="Q7" s="418"/>
      <c r="R7" s="418"/>
      <c r="S7" s="418"/>
    </row>
    <row r="8" spans="1:19" ht="33.4">
      <c r="A8" s="413">
        <v>1</v>
      </c>
      <c r="B8" s="413" t="s">
        <v>505</v>
      </c>
      <c r="C8" s="420" t="s">
        <v>518</v>
      </c>
      <c r="D8" s="413"/>
      <c r="E8" s="420" t="s">
        <v>520</v>
      </c>
      <c r="F8" s="421">
        <v>3192.2</v>
      </c>
      <c r="G8" s="422"/>
      <c r="H8" s="409">
        <f t="shared" si="0"/>
        <v>3192.2</v>
      </c>
      <c r="I8" s="409">
        <f t="shared" si="1"/>
        <v>3192.2</v>
      </c>
      <c r="J8" s="204"/>
      <c r="M8" s="418"/>
      <c r="N8" s="418">
        <f t="shared" si="3"/>
        <v>3192.2</v>
      </c>
      <c r="O8" s="418"/>
      <c r="P8" s="418"/>
      <c r="Q8" s="418"/>
      <c r="R8" s="418"/>
      <c r="S8" s="418"/>
    </row>
    <row r="9" spans="1:19" ht="33.4">
      <c r="A9" s="413">
        <v>2</v>
      </c>
      <c r="B9" s="414" t="s">
        <v>505</v>
      </c>
      <c r="C9" s="420" t="s">
        <v>518</v>
      </c>
      <c r="D9" s="414"/>
      <c r="E9" s="415" t="s">
        <v>521</v>
      </c>
      <c r="F9" s="416">
        <v>237.3</v>
      </c>
      <c r="G9" s="419"/>
      <c r="H9" s="416">
        <f t="shared" si="0"/>
        <v>237.3</v>
      </c>
      <c r="I9" s="409">
        <f t="shared" si="1"/>
        <v>474.6</v>
      </c>
      <c r="J9" s="204"/>
      <c r="M9" s="418"/>
      <c r="N9" s="418">
        <f t="shared" si="3"/>
        <v>474.6</v>
      </c>
      <c r="O9" s="418"/>
      <c r="P9" s="418"/>
      <c r="Q9" s="418"/>
      <c r="R9" s="418"/>
      <c r="S9" s="418"/>
    </row>
    <row r="10" spans="1:19">
      <c r="A10" s="413">
        <v>1</v>
      </c>
      <c r="B10" s="413" t="s">
        <v>517</v>
      </c>
      <c r="C10" s="420"/>
      <c r="D10" s="413"/>
      <c r="E10" s="420"/>
      <c r="F10" s="421"/>
      <c r="G10" s="410"/>
      <c r="H10" s="409">
        <f t="shared" si="0"/>
        <v>0</v>
      </c>
      <c r="I10" s="409">
        <f t="shared" si="1"/>
        <v>0</v>
      </c>
      <c r="J10" s="204"/>
      <c r="M10" s="418"/>
      <c r="N10" s="418">
        <f t="shared" si="3"/>
        <v>0</v>
      </c>
      <c r="O10" s="418"/>
      <c r="P10" s="418"/>
      <c r="Q10" s="418"/>
      <c r="R10" s="418"/>
      <c r="S10" s="418"/>
    </row>
    <row r="11" spans="1:19">
      <c r="A11" s="413">
        <v>4</v>
      </c>
      <c r="B11" s="413" t="s">
        <v>517</v>
      </c>
      <c r="C11" s="420"/>
      <c r="D11" s="413"/>
      <c r="E11" s="420"/>
      <c r="F11" s="421"/>
      <c r="G11" s="410"/>
      <c r="H11" s="409">
        <f t="shared" ref="H11:H73" si="4">F11*(1-G11)</f>
        <v>0</v>
      </c>
      <c r="I11" s="409">
        <f t="shared" ref="I11:I38" si="5">A11*H11</f>
        <v>0</v>
      </c>
      <c r="J11" s="204"/>
      <c r="K11" s="17">
        <v>55401</v>
      </c>
      <c r="M11" s="418"/>
      <c r="N11" s="418">
        <f>I11</f>
        <v>0</v>
      </c>
      <c r="O11" s="418"/>
      <c r="P11" s="418"/>
      <c r="Q11" s="418"/>
      <c r="R11" s="418"/>
      <c r="S11" s="418"/>
    </row>
    <row r="12" spans="1:19" ht="66.8">
      <c r="A12" s="423">
        <v>1</v>
      </c>
      <c r="B12" s="423" t="s">
        <v>522</v>
      </c>
      <c r="C12" s="420" t="s">
        <v>518</v>
      </c>
      <c r="D12" s="413"/>
      <c r="E12" s="420" t="s">
        <v>523</v>
      </c>
      <c r="F12" s="421">
        <v>1115</v>
      </c>
      <c r="G12" s="410"/>
      <c r="H12" s="409">
        <f t="shared" si="4"/>
        <v>1115</v>
      </c>
      <c r="I12" s="409">
        <f t="shared" si="5"/>
        <v>1115</v>
      </c>
      <c r="J12" s="204"/>
      <c r="K12" s="403">
        <f>M4+M5-K11</f>
        <v>1661.0800000000017</v>
      </c>
      <c r="M12" s="418"/>
      <c r="N12" s="418"/>
      <c r="O12" s="418"/>
      <c r="P12" s="418"/>
      <c r="Q12" s="418"/>
      <c r="R12" s="418">
        <f t="shared" ref="R12:R29" si="6">I12</f>
        <v>1115</v>
      </c>
      <c r="S12" s="418"/>
    </row>
    <row r="13" spans="1:19" ht="44.55">
      <c r="A13" s="413">
        <v>1</v>
      </c>
      <c r="B13" s="413" t="s">
        <v>505</v>
      </c>
      <c r="C13" s="420" t="s">
        <v>518</v>
      </c>
      <c r="D13" s="423"/>
      <c r="E13" s="424" t="s">
        <v>524</v>
      </c>
      <c r="F13" s="425">
        <v>637.5</v>
      </c>
      <c r="G13" s="410"/>
      <c r="H13" s="409">
        <f t="shared" si="4"/>
        <v>637.5</v>
      </c>
      <c r="I13" s="409">
        <f t="shared" si="5"/>
        <v>637.5</v>
      </c>
      <c r="J13" s="204"/>
      <c r="M13" s="418"/>
      <c r="N13" s="418"/>
      <c r="O13" s="418"/>
      <c r="P13" s="418"/>
      <c r="Q13" s="418"/>
      <c r="R13" s="418">
        <f t="shared" si="6"/>
        <v>637.5</v>
      </c>
      <c r="S13" s="418"/>
    </row>
    <row r="14" spans="1:19" ht="44.55">
      <c r="A14" s="413">
        <v>1</v>
      </c>
      <c r="B14" s="413" t="s">
        <v>505</v>
      </c>
      <c r="C14" s="420" t="s">
        <v>518</v>
      </c>
      <c r="D14" s="413"/>
      <c r="E14" s="420" t="s">
        <v>525</v>
      </c>
      <c r="F14" s="421">
        <v>725</v>
      </c>
      <c r="G14" s="422"/>
      <c r="H14" s="421">
        <f t="shared" si="4"/>
        <v>725</v>
      </c>
      <c r="I14" s="409">
        <f t="shared" si="5"/>
        <v>725</v>
      </c>
      <c r="J14" s="204"/>
      <c r="K14" s="17" t="s">
        <v>526</v>
      </c>
      <c r="M14" s="418"/>
      <c r="N14" s="418"/>
      <c r="O14" s="418"/>
      <c r="P14" s="418"/>
      <c r="Q14" s="418"/>
      <c r="R14" s="418">
        <f t="shared" si="6"/>
        <v>725</v>
      </c>
      <c r="S14" s="418"/>
    </row>
    <row r="15" spans="1:19" ht="44.55">
      <c r="A15" s="413">
        <v>0</v>
      </c>
      <c r="B15" s="413"/>
      <c r="C15" s="420" t="s">
        <v>527</v>
      </c>
      <c r="D15" s="413"/>
      <c r="E15" s="420" t="s">
        <v>528</v>
      </c>
      <c r="F15" s="421">
        <v>117.78</v>
      </c>
      <c r="G15" s="422"/>
      <c r="H15" s="421">
        <f t="shared" si="4"/>
        <v>117.78</v>
      </c>
      <c r="I15" s="409">
        <f t="shared" si="5"/>
        <v>0</v>
      </c>
      <c r="J15" s="204"/>
      <c r="K15" s="17" t="s">
        <v>529</v>
      </c>
      <c r="M15" s="418"/>
      <c r="N15" s="418"/>
      <c r="O15" s="418"/>
      <c r="P15" s="418"/>
      <c r="Q15" s="418"/>
      <c r="R15" s="418">
        <f t="shared" si="6"/>
        <v>0</v>
      </c>
      <c r="S15" s="418"/>
    </row>
    <row r="16" spans="1:19" ht="22.25">
      <c r="A16" s="413">
        <v>1</v>
      </c>
      <c r="B16" s="413" t="s">
        <v>530</v>
      </c>
      <c r="C16" s="420" t="s">
        <v>531</v>
      </c>
      <c r="D16" s="413"/>
      <c r="E16" s="413" t="s">
        <v>532</v>
      </c>
      <c r="F16" s="421">
        <v>500</v>
      </c>
      <c r="G16" s="410"/>
      <c r="H16" s="409">
        <f t="shared" si="4"/>
        <v>500</v>
      </c>
      <c r="I16" s="409">
        <f t="shared" si="5"/>
        <v>500</v>
      </c>
      <c r="J16" s="204"/>
      <c r="K16" s="17" t="s">
        <v>533</v>
      </c>
      <c r="M16" s="418"/>
      <c r="N16" s="418"/>
      <c r="O16" s="418"/>
      <c r="P16" s="418"/>
      <c r="Q16" s="418"/>
      <c r="R16" s="418">
        <f t="shared" si="6"/>
        <v>500</v>
      </c>
      <c r="S16" s="418"/>
    </row>
    <row r="17" spans="1:19" ht="22.25">
      <c r="A17" s="413">
        <v>0</v>
      </c>
      <c r="B17" s="413" t="s">
        <v>505</v>
      </c>
      <c r="C17" s="420" t="s">
        <v>534</v>
      </c>
      <c r="D17" s="413"/>
      <c r="E17" s="420" t="s">
        <v>535</v>
      </c>
      <c r="F17" s="421">
        <v>3.71</v>
      </c>
      <c r="G17" s="410"/>
      <c r="H17" s="409">
        <f t="shared" si="4"/>
        <v>3.71</v>
      </c>
      <c r="I17" s="409">
        <f t="shared" si="5"/>
        <v>0</v>
      </c>
      <c r="J17" s="204" t="s">
        <v>536</v>
      </c>
      <c r="M17" s="418"/>
      <c r="N17" s="418"/>
      <c r="O17" s="418"/>
      <c r="P17" s="418"/>
      <c r="Q17" s="418"/>
      <c r="R17" s="418">
        <f t="shared" si="6"/>
        <v>0</v>
      </c>
      <c r="S17" s="418"/>
    </row>
    <row r="18" spans="1:19" ht="22.25">
      <c r="A18" s="413">
        <f>A17</f>
        <v>0</v>
      </c>
      <c r="B18" s="413" t="s">
        <v>505</v>
      </c>
      <c r="C18" s="420" t="s">
        <v>534</v>
      </c>
      <c r="D18" s="413"/>
      <c r="E18" s="420" t="s">
        <v>537</v>
      </c>
      <c r="F18" s="421">
        <v>3.81</v>
      </c>
      <c r="G18" s="410"/>
      <c r="H18" s="409">
        <f t="shared" si="4"/>
        <v>3.81</v>
      </c>
      <c r="I18" s="409">
        <f t="shared" si="5"/>
        <v>0</v>
      </c>
      <c r="J18" s="204" t="s">
        <v>538</v>
      </c>
      <c r="M18" s="418"/>
      <c r="N18" s="418"/>
      <c r="O18" s="418"/>
      <c r="P18" s="418"/>
      <c r="Q18" s="418"/>
      <c r="R18" s="418">
        <f t="shared" si="6"/>
        <v>0</v>
      </c>
      <c r="S18" s="418"/>
    </row>
    <row r="19" spans="1:19" ht="33.4">
      <c r="A19" s="413">
        <f>187*1.1</f>
        <v>205.70000000000002</v>
      </c>
      <c r="B19" s="413" t="s">
        <v>539</v>
      </c>
      <c r="C19" s="420" t="s">
        <v>540</v>
      </c>
      <c r="D19" s="413" t="s">
        <v>541</v>
      </c>
      <c r="E19" s="420" t="s">
        <v>542</v>
      </c>
      <c r="F19" s="421">
        <v>0.55647999999999997</v>
      </c>
      <c r="G19" s="410"/>
      <c r="H19" s="409">
        <f t="shared" si="4"/>
        <v>0.55647999999999997</v>
      </c>
      <c r="I19" s="409">
        <f t="shared" si="5"/>
        <v>114.46793600000001</v>
      </c>
      <c r="M19" s="418"/>
      <c r="N19" s="418"/>
      <c r="O19" s="418">
        <f t="shared" ref="O19:O33" si="7">I19</f>
        <v>114.46793600000001</v>
      </c>
      <c r="P19" s="418"/>
      <c r="Q19" s="418"/>
      <c r="R19" s="418"/>
      <c r="S19" s="418"/>
    </row>
    <row r="20" spans="1:19" ht="33.4">
      <c r="A20" s="413">
        <f>665*1.1</f>
        <v>731.50000000000011</v>
      </c>
      <c r="B20" s="413" t="s">
        <v>539</v>
      </c>
      <c r="C20" s="420" t="s">
        <v>540</v>
      </c>
      <c r="D20" s="413" t="s">
        <v>543</v>
      </c>
      <c r="E20" s="420" t="s">
        <v>544</v>
      </c>
      <c r="F20" s="421">
        <v>0.55647999999999997</v>
      </c>
      <c r="G20" s="410"/>
      <c r="H20" s="409">
        <f t="shared" si="4"/>
        <v>0.55647999999999997</v>
      </c>
      <c r="I20" s="409">
        <f t="shared" si="5"/>
        <v>407.06512000000004</v>
      </c>
      <c r="M20" s="418"/>
      <c r="N20" s="418"/>
      <c r="O20" s="418">
        <f t="shared" si="7"/>
        <v>407.06512000000004</v>
      </c>
      <c r="P20" s="418"/>
      <c r="Q20" s="418"/>
      <c r="R20" s="418"/>
      <c r="S20" s="418"/>
    </row>
    <row r="21" spans="1:19" ht="22.25">
      <c r="A21" s="413">
        <f>2*164*1.1</f>
        <v>360.8</v>
      </c>
      <c r="B21" s="413" t="s">
        <v>539</v>
      </c>
      <c r="C21" s="420" t="s">
        <v>545</v>
      </c>
      <c r="D21" s="413"/>
      <c r="E21" s="420" t="s">
        <v>546</v>
      </c>
      <c r="F21" s="409">
        <v>8.9420000000000002</v>
      </c>
      <c r="G21" s="410"/>
      <c r="H21" s="409">
        <f t="shared" si="4"/>
        <v>8.9420000000000002</v>
      </c>
      <c r="I21" s="409">
        <f t="shared" si="5"/>
        <v>3226.2736</v>
      </c>
      <c r="M21" s="418"/>
      <c r="N21" s="418"/>
      <c r="O21" s="418">
        <f t="shared" si="7"/>
        <v>3226.2736</v>
      </c>
      <c r="P21" s="418"/>
      <c r="Q21" s="418"/>
      <c r="R21" s="418"/>
      <c r="S21" s="418"/>
    </row>
    <row r="22" spans="1:19">
      <c r="A22" s="413"/>
      <c r="B22" s="413"/>
      <c r="C22" s="420"/>
      <c r="D22" s="413"/>
      <c r="E22" s="420"/>
      <c r="F22" s="421"/>
      <c r="G22" s="410"/>
      <c r="H22" s="409"/>
      <c r="I22" s="409"/>
      <c r="M22" s="418"/>
      <c r="N22" s="418"/>
      <c r="O22" s="418"/>
      <c r="P22" s="418"/>
      <c r="Q22" s="418"/>
      <c r="R22" s="418"/>
      <c r="S22" s="418"/>
    </row>
    <row r="23" spans="1:19" ht="22.25">
      <c r="A23" s="413">
        <v>32</v>
      </c>
      <c r="B23" s="413" t="s">
        <v>517</v>
      </c>
      <c r="C23" s="415" t="s">
        <v>506</v>
      </c>
      <c r="D23" s="414" t="s">
        <v>547</v>
      </c>
      <c r="E23" s="415" t="s">
        <v>548</v>
      </c>
      <c r="F23" s="416">
        <v>1.43</v>
      </c>
      <c r="G23" s="410"/>
      <c r="H23" s="409">
        <f t="shared" si="4"/>
        <v>1.43</v>
      </c>
      <c r="I23" s="409">
        <f t="shared" si="5"/>
        <v>45.76</v>
      </c>
      <c r="J23" s="204"/>
      <c r="M23" s="418"/>
      <c r="N23" s="418"/>
      <c r="O23" s="418">
        <f t="shared" si="7"/>
        <v>45.76</v>
      </c>
      <c r="P23" s="418"/>
      <c r="Q23" s="418"/>
      <c r="R23" s="418"/>
      <c r="S23" s="418"/>
    </row>
    <row r="24" spans="1:19" ht="22.25">
      <c r="A24" s="413">
        <f>A23</f>
        <v>32</v>
      </c>
      <c r="B24" s="413" t="s">
        <v>517</v>
      </c>
      <c r="C24" s="415" t="s">
        <v>506</v>
      </c>
      <c r="D24" s="414" t="s">
        <v>549</v>
      </c>
      <c r="E24" s="415" t="s">
        <v>550</v>
      </c>
      <c r="F24" s="416">
        <v>1.0900000000000001</v>
      </c>
      <c r="G24" s="410"/>
      <c r="H24" s="409">
        <f t="shared" si="4"/>
        <v>1.0900000000000001</v>
      </c>
      <c r="I24" s="409">
        <f t="shared" si="5"/>
        <v>34.880000000000003</v>
      </c>
      <c r="J24" s="204"/>
      <c r="M24" s="418"/>
      <c r="N24" s="418"/>
      <c r="O24" s="418">
        <f t="shared" si="7"/>
        <v>34.880000000000003</v>
      </c>
      <c r="P24" s="418"/>
      <c r="Q24" s="418"/>
      <c r="R24" s="418"/>
      <c r="S24" s="418"/>
    </row>
    <row r="25" spans="1:19" ht="44.55">
      <c r="A25" s="413">
        <v>4</v>
      </c>
      <c r="B25" s="413" t="s">
        <v>551</v>
      </c>
      <c r="C25" s="420" t="s">
        <v>552</v>
      </c>
      <c r="D25" s="413" t="s">
        <v>553</v>
      </c>
      <c r="E25" s="420" t="s">
        <v>554</v>
      </c>
      <c r="F25" s="421">
        <v>100</v>
      </c>
      <c r="G25" s="426"/>
      <c r="H25" s="425">
        <f t="shared" si="4"/>
        <v>100</v>
      </c>
      <c r="I25" s="409">
        <f t="shared" si="5"/>
        <v>400</v>
      </c>
      <c r="J25" s="204"/>
      <c r="K25" s="17" t="s">
        <v>555</v>
      </c>
      <c r="M25" s="418"/>
      <c r="N25" s="418"/>
      <c r="O25" s="418">
        <f t="shared" si="7"/>
        <v>400</v>
      </c>
      <c r="P25" s="418"/>
      <c r="Q25" s="418"/>
      <c r="R25" s="418"/>
      <c r="S25" s="418"/>
    </row>
    <row r="26" spans="1:19" ht="33.4">
      <c r="A26" s="413">
        <v>0</v>
      </c>
      <c r="B26" s="413" t="s">
        <v>517</v>
      </c>
      <c r="C26" s="420" t="s">
        <v>540</v>
      </c>
      <c r="D26" s="413" t="s">
        <v>556</v>
      </c>
      <c r="E26" s="420" t="s">
        <v>557</v>
      </c>
      <c r="F26" s="421">
        <v>6.58</v>
      </c>
      <c r="G26" s="410"/>
      <c r="H26" s="409">
        <f t="shared" si="4"/>
        <v>6.58</v>
      </c>
      <c r="I26" s="409">
        <f t="shared" si="5"/>
        <v>0</v>
      </c>
      <c r="J26" s="204"/>
      <c r="K26" s="17" t="s">
        <v>558</v>
      </c>
      <c r="M26" s="418"/>
      <c r="N26" s="418"/>
      <c r="O26" s="418">
        <f t="shared" si="7"/>
        <v>0</v>
      </c>
      <c r="P26" s="418"/>
      <c r="Q26" s="418"/>
      <c r="R26" s="418"/>
      <c r="S26" s="418"/>
    </row>
    <row r="27" spans="1:19" ht="22.25">
      <c r="A27" s="413">
        <v>20</v>
      </c>
      <c r="B27" s="413" t="s">
        <v>517</v>
      </c>
      <c r="C27" s="420" t="s">
        <v>545</v>
      </c>
      <c r="D27" s="413"/>
      <c r="E27" s="420" t="s">
        <v>559</v>
      </c>
      <c r="F27" s="421">
        <f>11.71</f>
        <v>11.71</v>
      </c>
      <c r="G27" s="422"/>
      <c r="H27" s="421">
        <f t="shared" si="4"/>
        <v>11.71</v>
      </c>
      <c r="I27" s="409">
        <f t="shared" si="5"/>
        <v>234.20000000000002</v>
      </c>
      <c r="J27" s="204"/>
      <c r="M27" s="418"/>
      <c r="N27" s="418"/>
      <c r="O27" s="418"/>
      <c r="P27" s="418"/>
      <c r="Q27" s="418"/>
      <c r="R27" s="418">
        <f t="shared" si="6"/>
        <v>234.20000000000002</v>
      </c>
      <c r="S27" s="418"/>
    </row>
    <row r="28" spans="1:19" ht="35.85" customHeight="1">
      <c r="A28" s="413">
        <v>1</v>
      </c>
      <c r="B28" s="414" t="s">
        <v>505</v>
      </c>
      <c r="C28" s="420" t="s">
        <v>518</v>
      </c>
      <c r="D28" s="414" t="s">
        <v>560</v>
      </c>
      <c r="E28" s="415" t="s">
        <v>561</v>
      </c>
      <c r="F28" s="416">
        <v>696.5</v>
      </c>
      <c r="G28" s="410"/>
      <c r="H28" s="409">
        <f t="shared" si="4"/>
        <v>696.5</v>
      </c>
      <c r="I28" s="409">
        <f t="shared" si="5"/>
        <v>696.5</v>
      </c>
      <c r="J28" s="1054" t="s">
        <v>562</v>
      </c>
      <c r="K28" s="1054"/>
      <c r="L28" s="1054"/>
      <c r="M28" s="418"/>
      <c r="N28" s="418"/>
      <c r="O28" s="418"/>
      <c r="P28" s="418"/>
      <c r="Q28" s="418"/>
      <c r="R28" s="418">
        <f t="shared" si="6"/>
        <v>696.5</v>
      </c>
      <c r="S28" s="418"/>
    </row>
    <row r="29" spans="1:19">
      <c r="A29" s="407"/>
      <c r="B29" s="407"/>
      <c r="C29" s="408"/>
      <c r="D29" s="407"/>
      <c r="E29" s="408"/>
      <c r="F29" s="409"/>
      <c r="G29" s="410"/>
      <c r="H29" s="409">
        <f t="shared" si="4"/>
        <v>0</v>
      </c>
      <c r="I29" s="409">
        <f t="shared" si="5"/>
        <v>0</v>
      </c>
      <c r="J29" s="204"/>
      <c r="M29" s="418"/>
      <c r="N29" s="418"/>
      <c r="O29" s="418"/>
      <c r="P29" s="418"/>
      <c r="Q29" s="418"/>
      <c r="R29" s="418">
        <f t="shared" si="6"/>
        <v>0</v>
      </c>
      <c r="S29" s="418"/>
    </row>
    <row r="30" spans="1:19" ht="22.25">
      <c r="A30" s="407">
        <v>1</v>
      </c>
      <c r="B30" s="413" t="s">
        <v>563</v>
      </c>
      <c r="C30" s="420" t="s">
        <v>545</v>
      </c>
      <c r="D30" s="413"/>
      <c r="E30" s="420" t="s">
        <v>564</v>
      </c>
      <c r="F30" s="421">
        <v>47.85</v>
      </c>
      <c r="G30" s="410"/>
      <c r="H30" s="409">
        <f t="shared" si="4"/>
        <v>47.85</v>
      </c>
      <c r="I30" s="409">
        <f t="shared" si="5"/>
        <v>47.85</v>
      </c>
      <c r="J30" s="204"/>
      <c r="K30" s="17" t="s">
        <v>565</v>
      </c>
      <c r="M30" s="418"/>
      <c r="N30" s="418"/>
      <c r="O30" s="418">
        <f t="shared" si="7"/>
        <v>47.85</v>
      </c>
      <c r="P30" s="418"/>
      <c r="Q30" s="418"/>
      <c r="R30" s="418"/>
      <c r="S30" s="418"/>
    </row>
    <row r="31" spans="1:19" ht="22.25">
      <c r="A31" s="413">
        <v>1</v>
      </c>
      <c r="B31" s="413" t="s">
        <v>522</v>
      </c>
      <c r="C31" s="420" t="s">
        <v>531</v>
      </c>
      <c r="D31" s="413"/>
      <c r="E31" s="420" t="s">
        <v>566</v>
      </c>
      <c r="F31" s="421">
        <v>100</v>
      </c>
      <c r="G31" s="410"/>
      <c r="H31" s="409">
        <f t="shared" si="4"/>
        <v>100</v>
      </c>
      <c r="I31" s="409">
        <f t="shared" si="5"/>
        <v>100</v>
      </c>
      <c r="J31" s="204"/>
      <c r="M31" s="418"/>
      <c r="N31" s="418"/>
      <c r="O31" s="418">
        <f t="shared" si="7"/>
        <v>100</v>
      </c>
      <c r="P31" s="418"/>
      <c r="Q31" s="418"/>
      <c r="R31" s="418"/>
      <c r="S31" s="418"/>
    </row>
    <row r="32" spans="1:19" ht="33.4">
      <c r="A32" s="413">
        <v>1</v>
      </c>
      <c r="B32" s="413" t="s">
        <v>517</v>
      </c>
      <c r="C32" s="420" t="s">
        <v>518</v>
      </c>
      <c r="D32" s="413"/>
      <c r="E32" s="420" t="s">
        <v>567</v>
      </c>
      <c r="F32" s="421">
        <v>690</v>
      </c>
      <c r="G32" s="410"/>
      <c r="H32" s="409">
        <f t="shared" si="4"/>
        <v>690</v>
      </c>
      <c r="I32" s="409">
        <f t="shared" si="5"/>
        <v>690</v>
      </c>
      <c r="J32" s="204"/>
      <c r="M32" s="418">
        <f>F32</f>
        <v>690</v>
      </c>
      <c r="N32" s="418"/>
      <c r="O32" s="418"/>
      <c r="P32" s="418"/>
      <c r="Q32" s="418"/>
      <c r="R32" s="418"/>
      <c r="S32" s="418"/>
    </row>
    <row r="33" spans="1:19" ht="44.55">
      <c r="A33" s="413">
        <v>30</v>
      </c>
      <c r="B33" s="413" t="s">
        <v>539</v>
      </c>
      <c r="C33" s="420" t="s">
        <v>552</v>
      </c>
      <c r="D33" s="413"/>
      <c r="E33" s="413" t="s">
        <v>568</v>
      </c>
      <c r="F33" s="421">
        <f>19.78/1.2</f>
        <v>16.483333333333334</v>
      </c>
      <c r="G33" s="428"/>
      <c r="H33" s="409">
        <f t="shared" si="4"/>
        <v>16.483333333333334</v>
      </c>
      <c r="I33" s="409">
        <f t="shared" si="5"/>
        <v>494.5</v>
      </c>
      <c r="J33" s="204"/>
      <c r="M33" s="418"/>
      <c r="N33" s="418"/>
      <c r="O33" s="418">
        <f t="shared" si="7"/>
        <v>494.5</v>
      </c>
      <c r="P33" s="418"/>
      <c r="Q33" s="418"/>
      <c r="R33" s="418"/>
      <c r="S33" s="418"/>
    </row>
    <row r="34" spans="1:19" ht="44.55">
      <c r="A34" s="413">
        <v>0</v>
      </c>
      <c r="B34" s="407" t="s">
        <v>517</v>
      </c>
      <c r="C34" s="408" t="s">
        <v>569</v>
      </c>
      <c r="D34" s="407" t="s">
        <v>570</v>
      </c>
      <c r="E34" s="408" t="s">
        <v>571</v>
      </c>
      <c r="F34" s="409">
        <v>1040</v>
      </c>
      <c r="G34" s="429">
        <v>0.48</v>
      </c>
      <c r="H34" s="430">
        <f t="shared" si="4"/>
        <v>540.80000000000007</v>
      </c>
      <c r="I34" s="409">
        <f t="shared" si="5"/>
        <v>0</v>
      </c>
      <c r="J34" s="204"/>
      <c r="M34" s="418"/>
      <c r="N34" s="418"/>
      <c r="O34" s="418"/>
      <c r="P34" s="418"/>
      <c r="Q34" s="418"/>
      <c r="R34" s="418"/>
      <c r="S34" s="418">
        <f t="shared" ref="S34:S38" si="8">I34</f>
        <v>0</v>
      </c>
    </row>
    <row r="35" spans="1:19" ht="55.65">
      <c r="A35" s="413">
        <v>1</v>
      </c>
      <c r="B35" s="413" t="s">
        <v>517</v>
      </c>
      <c r="C35" s="424" t="s">
        <v>569</v>
      </c>
      <c r="D35" s="423" t="s">
        <v>572</v>
      </c>
      <c r="E35" s="424" t="s">
        <v>573</v>
      </c>
      <c r="F35" s="425">
        <v>1190</v>
      </c>
      <c r="G35" s="429">
        <v>0.48</v>
      </c>
      <c r="H35" s="430">
        <f t="shared" si="4"/>
        <v>618.80000000000007</v>
      </c>
      <c r="I35" s="409">
        <f t="shared" si="5"/>
        <v>618.80000000000007</v>
      </c>
      <c r="J35" s="204"/>
      <c r="M35" s="418"/>
      <c r="N35" s="418"/>
      <c r="O35" s="418"/>
      <c r="P35" s="418"/>
      <c r="Q35" s="418"/>
      <c r="R35" s="418"/>
      <c r="S35" s="418">
        <f t="shared" si="8"/>
        <v>618.80000000000007</v>
      </c>
    </row>
    <row r="36" spans="1:19">
      <c r="A36" s="413">
        <v>3</v>
      </c>
      <c r="B36" s="413" t="s">
        <v>517</v>
      </c>
      <c r="C36" s="420" t="s">
        <v>574</v>
      </c>
      <c r="D36" s="413" t="s">
        <v>575</v>
      </c>
      <c r="E36" s="413" t="s">
        <v>576</v>
      </c>
      <c r="F36" s="421">
        <v>36.700000000000003</v>
      </c>
      <c r="G36" s="410"/>
      <c r="H36" s="409">
        <f t="shared" si="4"/>
        <v>36.700000000000003</v>
      </c>
      <c r="I36" s="409">
        <f t="shared" si="5"/>
        <v>110.10000000000001</v>
      </c>
      <c r="J36" s="204"/>
      <c r="M36" s="418"/>
      <c r="N36" s="418"/>
      <c r="O36" s="418"/>
      <c r="P36" s="418"/>
      <c r="Q36" s="418"/>
      <c r="R36" s="418"/>
      <c r="S36" s="418">
        <f t="shared" si="8"/>
        <v>110.10000000000001</v>
      </c>
    </row>
    <row r="37" spans="1:19">
      <c r="A37" s="413">
        <v>5</v>
      </c>
      <c r="B37" s="413" t="s">
        <v>517</v>
      </c>
      <c r="C37" s="420" t="s">
        <v>574</v>
      </c>
      <c r="D37" s="413" t="s">
        <v>577</v>
      </c>
      <c r="E37" s="413" t="s">
        <v>578</v>
      </c>
      <c r="F37" s="421">
        <v>75</v>
      </c>
      <c r="G37" s="410"/>
      <c r="H37" s="409">
        <f t="shared" si="4"/>
        <v>75</v>
      </c>
      <c r="I37" s="409">
        <f t="shared" si="5"/>
        <v>375</v>
      </c>
      <c r="J37" s="204"/>
      <c r="M37" s="418"/>
      <c r="N37" s="418"/>
      <c r="O37" s="418"/>
      <c r="P37" s="418"/>
      <c r="Q37" s="418"/>
      <c r="R37" s="418"/>
      <c r="S37" s="418">
        <f t="shared" si="8"/>
        <v>375</v>
      </c>
    </row>
    <row r="38" spans="1:19">
      <c r="A38" s="413">
        <v>1</v>
      </c>
      <c r="B38" s="413" t="s">
        <v>517</v>
      </c>
      <c r="C38" s="420" t="s">
        <v>574</v>
      </c>
      <c r="D38" s="413"/>
      <c r="E38" s="413" t="s">
        <v>579</v>
      </c>
      <c r="F38" s="421">
        <f>35/4</f>
        <v>8.75</v>
      </c>
      <c r="G38" s="410"/>
      <c r="H38" s="409">
        <f t="shared" si="4"/>
        <v>8.75</v>
      </c>
      <c r="I38" s="409">
        <f t="shared" si="5"/>
        <v>8.75</v>
      </c>
      <c r="J38" s="204"/>
      <c r="M38" s="418"/>
      <c r="N38" s="418"/>
      <c r="O38" s="418"/>
      <c r="P38" s="418"/>
      <c r="Q38" s="418"/>
      <c r="R38" s="418"/>
      <c r="S38" s="418">
        <f t="shared" si="8"/>
        <v>8.75</v>
      </c>
    </row>
    <row r="39" spans="1:19" ht="12.45">
      <c r="A39" s="407"/>
      <c r="B39" s="407"/>
      <c r="C39" s="408"/>
      <c r="D39" s="407"/>
      <c r="E39" s="431"/>
      <c r="F39" s="409"/>
      <c r="G39" s="410"/>
      <c r="H39" s="409"/>
      <c r="I39" s="409"/>
      <c r="J39" s="204"/>
      <c r="M39" s="418"/>
      <c r="N39" s="418"/>
      <c r="O39" s="418"/>
      <c r="P39" s="418"/>
      <c r="Q39" s="418"/>
      <c r="R39" s="418"/>
      <c r="S39" s="418"/>
    </row>
    <row r="40" spans="1:19">
      <c r="A40" s="407"/>
      <c r="B40" s="407"/>
      <c r="C40" s="408"/>
      <c r="D40" s="407"/>
      <c r="E40" s="407"/>
      <c r="F40" s="409"/>
      <c r="G40" s="410"/>
      <c r="H40" s="409"/>
      <c r="I40" s="409"/>
      <c r="J40" s="204"/>
      <c r="M40" s="418"/>
      <c r="N40" s="418"/>
      <c r="O40" s="418"/>
      <c r="P40" s="418"/>
      <c r="Q40" s="418"/>
      <c r="R40" s="418"/>
      <c r="S40" s="418"/>
    </row>
    <row r="41" spans="1:19">
      <c r="A41" s="407"/>
      <c r="B41" s="407"/>
      <c r="C41" s="408"/>
      <c r="D41" s="407"/>
      <c r="E41" s="432" t="s">
        <v>580</v>
      </c>
      <c r="F41" s="409"/>
      <c r="G41" s="410"/>
      <c r="H41" s="409"/>
      <c r="I41" s="421">
        <f>SUM(I4:I39)</f>
        <v>81012.926656000025</v>
      </c>
      <c r="J41" s="204"/>
      <c r="M41" s="418">
        <f>SUM(M4:M39)</f>
        <v>63084.98</v>
      </c>
      <c r="N41" s="418">
        <f>SUM(N4:N39)</f>
        <v>8036.3</v>
      </c>
      <c r="O41" s="418">
        <f>SUM(O4:O39)</f>
        <v>4870.7966560000004</v>
      </c>
      <c r="P41" s="418"/>
      <c r="Q41" s="418"/>
      <c r="R41" s="418">
        <f>SUM(R4:R39)</f>
        <v>3908.2</v>
      </c>
      <c r="S41" s="418">
        <f>SUM(S4:S39)</f>
        <v>1112.6500000000001</v>
      </c>
    </row>
    <row r="42" spans="1:19">
      <c r="A42" s="407"/>
      <c r="B42" s="407"/>
      <c r="C42" s="408"/>
      <c r="D42" s="407"/>
      <c r="E42" s="413" t="s">
        <v>581</v>
      </c>
      <c r="F42" s="409"/>
      <c r="G42" s="410">
        <v>0.25</v>
      </c>
      <c r="H42" s="409"/>
      <c r="I42" s="421"/>
      <c r="J42" s="204">
        <v>1</v>
      </c>
      <c r="M42" s="418"/>
      <c r="N42" s="418"/>
      <c r="O42" s="418"/>
      <c r="P42" s="418"/>
      <c r="Q42" s="418"/>
      <c r="R42" s="418"/>
      <c r="S42" s="418"/>
    </row>
    <row r="43" spans="1:19" ht="15.75">
      <c r="E43" s="433" t="s">
        <v>582</v>
      </c>
      <c r="F43" s="418"/>
      <c r="G43" s="434"/>
      <c r="H43" s="418"/>
      <c r="I43" s="435">
        <f>I41*(1+$G$42)</f>
        <v>101266.15832000003</v>
      </c>
      <c r="J43" s="436"/>
      <c r="K43" s="437"/>
      <c r="L43" s="437"/>
      <c r="M43" s="165">
        <f>M41*(1+$G$42)*J42</f>
        <v>78856.225000000006</v>
      </c>
      <c r="N43" s="165">
        <f>N41*(1+$G$42)</f>
        <v>10045.375</v>
      </c>
      <c r="O43" s="165">
        <f>O41*(1+$G$42)</f>
        <v>6088.4958200000001</v>
      </c>
      <c r="P43" s="165">
        <f>P77</f>
        <v>18160</v>
      </c>
      <c r="Q43" s="165">
        <f>Q137</f>
        <v>25250.04</v>
      </c>
      <c r="R43" s="165">
        <f>R41*(1+$G$42)</f>
        <v>4885.25</v>
      </c>
      <c r="S43" s="165">
        <f>S41*(1+$G$42)</f>
        <v>1390.8125</v>
      </c>
    </row>
    <row r="46" spans="1:19" ht="33.4">
      <c r="A46" s="17" t="s">
        <v>426</v>
      </c>
      <c r="B46" s="204" t="s">
        <v>583</v>
      </c>
      <c r="C46" s="204" t="s">
        <v>584</v>
      </c>
      <c r="E46" s="439" t="s">
        <v>585</v>
      </c>
    </row>
    <row r="47" spans="1:19">
      <c r="A47" s="440">
        <f t="shared" ref="A47:A64" si="9">B47*C47</f>
        <v>16</v>
      </c>
      <c r="B47" s="441">
        <v>16</v>
      </c>
      <c r="C47" s="441">
        <v>1</v>
      </c>
      <c r="E47" s="17" t="s">
        <v>586</v>
      </c>
      <c r="F47" s="403">
        <f t="shared" ref="F47:F68" si="10">F$72</f>
        <v>55</v>
      </c>
      <c r="H47" s="403">
        <f t="shared" si="4"/>
        <v>55</v>
      </c>
      <c r="I47" s="403">
        <f t="shared" ref="I47:I74" si="11">A47*H47</f>
        <v>880</v>
      </c>
      <c r="J47" s="17" t="s">
        <v>587</v>
      </c>
    </row>
    <row r="48" spans="1:19">
      <c r="A48" s="440">
        <f t="shared" si="9"/>
        <v>55.199999999999996</v>
      </c>
      <c r="B48" s="441">
        <v>0.15</v>
      </c>
      <c r="C48" s="441">
        <f>A6</f>
        <v>368</v>
      </c>
      <c r="D48" s="17" t="s">
        <v>588</v>
      </c>
      <c r="E48" s="17" t="s">
        <v>589</v>
      </c>
      <c r="F48" s="403">
        <f t="shared" si="10"/>
        <v>55</v>
      </c>
      <c r="H48" s="403">
        <f t="shared" si="4"/>
        <v>55</v>
      </c>
      <c r="I48" s="403">
        <f t="shared" si="11"/>
        <v>3035.9999999999995</v>
      </c>
      <c r="J48" s="17" t="s">
        <v>590</v>
      </c>
    </row>
    <row r="49" spans="1:10">
      <c r="A49" s="440">
        <f t="shared" si="9"/>
        <v>128.79999999999998</v>
      </c>
      <c r="B49" s="441">
        <v>0.35</v>
      </c>
      <c r="C49" s="441">
        <f>A6</f>
        <v>368</v>
      </c>
      <c r="D49" s="17" t="s">
        <v>588</v>
      </c>
      <c r="E49" s="17" t="s">
        <v>591</v>
      </c>
      <c r="F49" s="403">
        <f t="shared" si="10"/>
        <v>55</v>
      </c>
      <c r="H49" s="403">
        <f t="shared" si="4"/>
        <v>55</v>
      </c>
      <c r="I49" s="403">
        <f t="shared" si="11"/>
        <v>7083.9999999999991</v>
      </c>
      <c r="J49" s="17" t="s">
        <v>592</v>
      </c>
    </row>
    <row r="50" spans="1:10">
      <c r="A50" s="440">
        <f t="shared" si="9"/>
        <v>2.8000000000000003</v>
      </c>
      <c r="B50" s="441">
        <v>0.04</v>
      </c>
      <c r="C50" s="441">
        <v>70</v>
      </c>
      <c r="D50" s="17" t="s">
        <v>539</v>
      </c>
      <c r="E50" s="17" t="s">
        <v>593</v>
      </c>
      <c r="F50" s="403">
        <f t="shared" si="10"/>
        <v>55</v>
      </c>
      <c r="H50" s="403">
        <f t="shared" si="4"/>
        <v>55</v>
      </c>
      <c r="I50" s="403">
        <f t="shared" si="11"/>
        <v>154.00000000000003</v>
      </c>
    </row>
    <row r="51" spans="1:10">
      <c r="A51" s="440">
        <f t="shared" si="9"/>
        <v>2.8000000000000003</v>
      </c>
      <c r="B51" s="441">
        <v>0.04</v>
      </c>
      <c r="C51" s="441">
        <v>70</v>
      </c>
      <c r="D51" s="17" t="s">
        <v>539</v>
      </c>
      <c r="E51" s="17" t="s">
        <v>594</v>
      </c>
      <c r="F51" s="403">
        <f t="shared" si="10"/>
        <v>55</v>
      </c>
      <c r="H51" s="403">
        <f t="shared" si="4"/>
        <v>55</v>
      </c>
      <c r="I51" s="403">
        <f t="shared" si="11"/>
        <v>154.00000000000003</v>
      </c>
    </row>
    <row r="52" spans="1:10">
      <c r="A52" s="440">
        <f t="shared" si="9"/>
        <v>33.960000000000008</v>
      </c>
      <c r="B52" s="441">
        <v>0.02</v>
      </c>
      <c r="C52" s="441">
        <f>A19+A20+A21+A25*100</f>
        <v>1698.0000000000002</v>
      </c>
      <c r="D52" s="17" t="s">
        <v>539</v>
      </c>
      <c r="E52" s="17" t="s">
        <v>595</v>
      </c>
      <c r="F52" s="403">
        <f t="shared" si="10"/>
        <v>55</v>
      </c>
      <c r="H52" s="403">
        <f t="shared" si="4"/>
        <v>55</v>
      </c>
      <c r="I52" s="403">
        <f t="shared" si="11"/>
        <v>1867.8000000000004</v>
      </c>
    </row>
    <row r="53" spans="1:10">
      <c r="A53" s="440">
        <f t="shared" si="9"/>
        <v>8.16</v>
      </c>
      <c r="B53" s="441">
        <f>2*0.17</f>
        <v>0.34</v>
      </c>
      <c r="C53" s="441">
        <f>4+5*4</f>
        <v>24</v>
      </c>
      <c r="D53" s="17" t="s">
        <v>596</v>
      </c>
      <c r="E53" s="17" t="s">
        <v>597</v>
      </c>
      <c r="F53" s="403">
        <f t="shared" si="10"/>
        <v>55</v>
      </c>
      <c r="H53" s="403">
        <f t="shared" si="4"/>
        <v>55</v>
      </c>
      <c r="I53" s="403">
        <f t="shared" si="11"/>
        <v>448.8</v>
      </c>
      <c r="J53" s="17" t="s">
        <v>598</v>
      </c>
    </row>
    <row r="54" spans="1:10">
      <c r="A54" s="440">
        <f t="shared" si="9"/>
        <v>1.2000000000000002</v>
      </c>
      <c r="B54" s="441">
        <v>0.4</v>
      </c>
      <c r="C54" s="441">
        <v>3</v>
      </c>
      <c r="D54" s="17" t="s">
        <v>599</v>
      </c>
      <c r="E54" s="17" t="s">
        <v>600</v>
      </c>
      <c r="F54" s="403">
        <f t="shared" si="10"/>
        <v>55</v>
      </c>
      <c r="H54" s="403">
        <f t="shared" si="4"/>
        <v>55</v>
      </c>
      <c r="I54" s="403">
        <f t="shared" si="11"/>
        <v>66.000000000000014</v>
      </c>
    </row>
    <row r="55" spans="1:10">
      <c r="A55" s="440">
        <v>2</v>
      </c>
      <c r="B55" s="441">
        <v>2</v>
      </c>
      <c r="C55" s="441">
        <v>1</v>
      </c>
      <c r="E55" s="17" t="s">
        <v>601</v>
      </c>
      <c r="F55" s="403">
        <f t="shared" si="10"/>
        <v>55</v>
      </c>
      <c r="H55" s="403">
        <f t="shared" si="4"/>
        <v>55</v>
      </c>
      <c r="I55" s="403">
        <f t="shared" si="11"/>
        <v>110</v>
      </c>
    </row>
    <row r="56" spans="1:10">
      <c r="A56" s="440">
        <f t="shared" si="9"/>
        <v>4.4000000000000004</v>
      </c>
      <c r="B56" s="441">
        <f>0.5+10*0.15+2*0.1</f>
        <v>2.2000000000000002</v>
      </c>
      <c r="C56" s="441">
        <v>2</v>
      </c>
      <c r="E56" s="17" t="s">
        <v>602</v>
      </c>
      <c r="F56" s="403">
        <f t="shared" si="10"/>
        <v>55</v>
      </c>
      <c r="H56" s="403">
        <f t="shared" si="4"/>
        <v>55</v>
      </c>
      <c r="I56" s="403">
        <f t="shared" si="11"/>
        <v>242.00000000000003</v>
      </c>
    </row>
    <row r="57" spans="1:10">
      <c r="A57" s="440">
        <f t="shared" si="9"/>
        <v>1.1000000000000001</v>
      </c>
      <c r="B57" s="441">
        <f>0.5+4*0.15</f>
        <v>1.1000000000000001</v>
      </c>
      <c r="C57" s="441">
        <v>1</v>
      </c>
      <c r="E57" s="17" t="s">
        <v>603</v>
      </c>
      <c r="F57" s="403">
        <f t="shared" si="10"/>
        <v>55</v>
      </c>
      <c r="H57" s="403">
        <f t="shared" si="4"/>
        <v>55</v>
      </c>
      <c r="I57" s="403">
        <f t="shared" si="11"/>
        <v>60.500000000000007</v>
      </c>
    </row>
    <row r="58" spans="1:10">
      <c r="A58" s="440">
        <f t="shared" si="9"/>
        <v>5.333333333333333</v>
      </c>
      <c r="B58" s="441">
        <f>8/6</f>
        <v>1.3333333333333333</v>
      </c>
      <c r="C58" s="441">
        <v>4</v>
      </c>
      <c r="D58" s="17" t="s">
        <v>604</v>
      </c>
      <c r="E58" s="17" t="s">
        <v>605</v>
      </c>
      <c r="F58" s="403">
        <f t="shared" si="10"/>
        <v>55</v>
      </c>
      <c r="H58" s="403">
        <f t="shared" si="4"/>
        <v>55</v>
      </c>
      <c r="I58" s="403">
        <f t="shared" si="11"/>
        <v>293.33333333333331</v>
      </c>
    </row>
    <row r="59" spans="1:10">
      <c r="A59" s="440">
        <f t="shared" si="9"/>
        <v>4</v>
      </c>
      <c r="B59" s="441">
        <v>4</v>
      </c>
      <c r="C59" s="441">
        <v>1</v>
      </c>
      <c r="E59" s="17" t="s">
        <v>606</v>
      </c>
      <c r="F59" s="403">
        <f t="shared" si="10"/>
        <v>55</v>
      </c>
      <c r="H59" s="403">
        <f t="shared" si="4"/>
        <v>55</v>
      </c>
      <c r="I59" s="403">
        <f t="shared" si="11"/>
        <v>220</v>
      </c>
    </row>
    <row r="60" spans="1:10">
      <c r="A60" s="440">
        <f t="shared" si="9"/>
        <v>4</v>
      </c>
      <c r="B60" s="441">
        <v>2</v>
      </c>
      <c r="C60" s="441">
        <v>2</v>
      </c>
      <c r="E60" s="17" t="s">
        <v>607</v>
      </c>
      <c r="F60" s="403">
        <f t="shared" si="10"/>
        <v>55</v>
      </c>
      <c r="H60" s="403">
        <f t="shared" si="4"/>
        <v>55</v>
      </c>
      <c r="I60" s="403">
        <f t="shared" si="11"/>
        <v>220</v>
      </c>
      <c r="J60" s="17" t="s">
        <v>608</v>
      </c>
    </row>
    <row r="61" spans="1:10">
      <c r="A61" s="440">
        <f t="shared" si="9"/>
        <v>0.93000000000000016</v>
      </c>
      <c r="B61" s="441">
        <f>0.33+6*0.1</f>
        <v>0.93000000000000016</v>
      </c>
      <c r="C61" s="441">
        <v>1</v>
      </c>
      <c r="E61" s="17" t="s">
        <v>609</v>
      </c>
      <c r="F61" s="403">
        <f t="shared" si="10"/>
        <v>55</v>
      </c>
      <c r="H61" s="403">
        <f t="shared" si="4"/>
        <v>55</v>
      </c>
      <c r="I61" s="403">
        <f t="shared" si="11"/>
        <v>51.150000000000006</v>
      </c>
    </row>
    <row r="62" spans="1:10">
      <c r="A62" s="440">
        <f t="shared" si="9"/>
        <v>0.68</v>
      </c>
      <c r="B62" s="441">
        <v>0.17</v>
      </c>
      <c r="C62" s="441">
        <v>4</v>
      </c>
      <c r="E62" s="17" t="s">
        <v>610</v>
      </c>
      <c r="F62" s="403">
        <f t="shared" si="10"/>
        <v>55</v>
      </c>
      <c r="H62" s="403">
        <f t="shared" si="4"/>
        <v>55</v>
      </c>
      <c r="I62" s="403">
        <f t="shared" si="11"/>
        <v>37.400000000000006</v>
      </c>
    </row>
    <row r="63" spans="1:10">
      <c r="A63" s="440">
        <f t="shared" si="9"/>
        <v>1</v>
      </c>
      <c r="B63" s="441">
        <v>0.5</v>
      </c>
      <c r="C63" s="441">
        <v>2</v>
      </c>
      <c r="E63" s="17" t="s">
        <v>611</v>
      </c>
      <c r="F63" s="403">
        <f t="shared" si="10"/>
        <v>55</v>
      </c>
      <c r="H63" s="403">
        <f t="shared" si="4"/>
        <v>55</v>
      </c>
      <c r="I63" s="403">
        <f t="shared" si="11"/>
        <v>55</v>
      </c>
    </row>
    <row r="64" spans="1:10">
      <c r="A64" s="440">
        <f t="shared" si="9"/>
        <v>1</v>
      </c>
      <c r="B64" s="441">
        <v>1</v>
      </c>
      <c r="C64" s="441">
        <v>1</v>
      </c>
      <c r="E64" s="17" t="s">
        <v>612</v>
      </c>
      <c r="F64" s="403">
        <f t="shared" si="10"/>
        <v>55</v>
      </c>
      <c r="H64" s="403">
        <f t="shared" si="4"/>
        <v>55</v>
      </c>
      <c r="I64" s="403">
        <f t="shared" si="11"/>
        <v>55</v>
      </c>
      <c r="J64" s="17" t="s">
        <v>613</v>
      </c>
    </row>
    <row r="65" spans="1:16">
      <c r="A65" s="440">
        <f>A47</f>
        <v>16</v>
      </c>
      <c r="B65" s="441">
        <v>16</v>
      </c>
      <c r="C65" s="441">
        <v>1</v>
      </c>
      <c r="E65" s="17" t="s">
        <v>614</v>
      </c>
      <c r="F65" s="403">
        <f t="shared" si="10"/>
        <v>55</v>
      </c>
      <c r="H65" s="403">
        <f t="shared" si="4"/>
        <v>55</v>
      </c>
      <c r="I65" s="403">
        <f t="shared" si="11"/>
        <v>880</v>
      </c>
    </row>
    <row r="66" spans="1:16">
      <c r="A66" s="440">
        <f>B66*C66</f>
        <v>4</v>
      </c>
      <c r="B66" s="441">
        <v>4</v>
      </c>
      <c r="C66" s="441">
        <v>1</v>
      </c>
      <c r="E66" s="17" t="s">
        <v>615</v>
      </c>
      <c r="F66" s="403">
        <f t="shared" si="10"/>
        <v>55</v>
      </c>
      <c r="H66" s="403">
        <f t="shared" si="4"/>
        <v>55</v>
      </c>
      <c r="I66" s="403">
        <f t="shared" si="11"/>
        <v>220</v>
      </c>
    </row>
    <row r="67" spans="1:16">
      <c r="A67" s="440">
        <v>4</v>
      </c>
      <c r="B67" s="441">
        <v>4</v>
      </c>
      <c r="C67" s="441">
        <v>1</v>
      </c>
      <c r="E67" s="17" t="s">
        <v>616</v>
      </c>
      <c r="F67" s="403">
        <f t="shared" si="10"/>
        <v>55</v>
      </c>
      <c r="H67" s="403">
        <f t="shared" si="4"/>
        <v>55</v>
      </c>
      <c r="I67" s="403">
        <f t="shared" si="11"/>
        <v>220</v>
      </c>
    </row>
    <row r="68" spans="1:16">
      <c r="A68" s="440">
        <f>B68*C68</f>
        <v>7.5</v>
      </c>
      <c r="B68" s="441">
        <v>0.25</v>
      </c>
      <c r="C68" s="441">
        <v>30</v>
      </c>
      <c r="D68" s="442"/>
      <c r="E68" s="17" t="s">
        <v>617</v>
      </c>
      <c r="F68" s="443">
        <f t="shared" si="10"/>
        <v>55</v>
      </c>
      <c r="G68" s="444"/>
      <c r="H68" s="443">
        <f t="shared" si="4"/>
        <v>55</v>
      </c>
      <c r="I68" s="443">
        <f t="shared" si="11"/>
        <v>412.5</v>
      </c>
      <c r="J68" s="17" t="s">
        <v>618</v>
      </c>
    </row>
    <row r="70" spans="1:16">
      <c r="A70" s="17">
        <f>SUM(A47:A69)</f>
        <v>304.86333333333334</v>
      </c>
      <c r="B70" s="17" t="s">
        <v>619</v>
      </c>
      <c r="E70" s="17" t="s">
        <v>620</v>
      </c>
    </row>
    <row r="71" spans="1:16">
      <c r="A71" s="441">
        <v>3</v>
      </c>
      <c r="B71" s="17" t="s">
        <v>517</v>
      </c>
      <c r="E71" s="17" t="s">
        <v>621</v>
      </c>
    </row>
    <row r="72" spans="1:16">
      <c r="A72" s="17">
        <v>1</v>
      </c>
      <c r="B72" s="17" t="s">
        <v>517</v>
      </c>
      <c r="E72" s="17" t="s">
        <v>622</v>
      </c>
      <c r="F72" s="445">
        <v>55</v>
      </c>
      <c r="H72" s="403">
        <f t="shared" si="4"/>
        <v>55</v>
      </c>
      <c r="I72" s="403">
        <f t="shared" si="11"/>
        <v>55</v>
      </c>
      <c r="J72" s="17" t="s">
        <v>623</v>
      </c>
    </row>
    <row r="73" spans="1:16">
      <c r="A73" s="17">
        <f>ROUNDUP(A70/8/A71,0)</f>
        <v>13</v>
      </c>
      <c r="B73" s="17" t="s">
        <v>624</v>
      </c>
      <c r="E73" s="17" t="s">
        <v>625</v>
      </c>
      <c r="F73" s="403">
        <f>A71*8*F72</f>
        <v>1320</v>
      </c>
      <c r="H73" s="403">
        <f t="shared" si="4"/>
        <v>1320</v>
      </c>
      <c r="I73" s="403">
        <f t="shared" si="11"/>
        <v>17160</v>
      </c>
    </row>
    <row r="74" spans="1:16">
      <c r="A74" s="441">
        <v>1</v>
      </c>
      <c r="B74" s="442" t="s">
        <v>517</v>
      </c>
      <c r="C74" s="446"/>
      <c r="D74" s="442"/>
      <c r="E74" s="442" t="s">
        <v>626</v>
      </c>
      <c r="F74" s="447">
        <v>500</v>
      </c>
      <c r="G74" s="444"/>
      <c r="H74" s="403">
        <v>1000</v>
      </c>
      <c r="I74" s="403">
        <f t="shared" si="11"/>
        <v>1000</v>
      </c>
      <c r="J74" s="17" t="s">
        <v>627</v>
      </c>
    </row>
    <row r="75" spans="1:16">
      <c r="A75" s="441"/>
      <c r="F75" s="447"/>
      <c r="H75" s="403"/>
      <c r="I75" s="403"/>
    </row>
    <row r="76" spans="1:16">
      <c r="A76" s="441"/>
      <c r="F76" s="447"/>
      <c r="H76" s="403"/>
      <c r="I76" s="403"/>
    </row>
    <row r="77" spans="1:16" ht="15.75">
      <c r="E77" s="439" t="s">
        <v>628</v>
      </c>
      <c r="I77" s="443">
        <f>SUM(I73:I76)</f>
        <v>18160</v>
      </c>
      <c r="P77" s="438">
        <f>I77</f>
        <v>18160</v>
      </c>
    </row>
    <row r="86" spans="1:11" ht="55">
      <c r="C86" s="448" t="s">
        <v>629</v>
      </c>
      <c r="D86" s="448"/>
      <c r="E86" s="449" t="s">
        <v>630</v>
      </c>
    </row>
    <row r="87" spans="1:11">
      <c r="D87" s="448"/>
      <c r="E87" s="449" t="s">
        <v>631</v>
      </c>
    </row>
    <row r="88" spans="1:11">
      <c r="D88" s="17" t="s">
        <v>632</v>
      </c>
      <c r="E88" s="450" t="s">
        <v>633</v>
      </c>
      <c r="G88" s="451">
        <v>0.6</v>
      </c>
    </row>
    <row r="89" spans="1:11">
      <c r="D89" s="17" t="s">
        <v>517</v>
      </c>
      <c r="E89" s="450" t="s">
        <v>634</v>
      </c>
      <c r="G89" s="451">
        <f>G88</f>
        <v>0.6</v>
      </c>
    </row>
    <row r="90" spans="1:11">
      <c r="D90" s="448"/>
      <c r="E90" s="449"/>
    </row>
    <row r="91" spans="1:11">
      <c r="E91" s="449" t="s">
        <v>635</v>
      </c>
    </row>
    <row r="92" spans="1:11" ht="24.9">
      <c r="A92" s="452">
        <v>0</v>
      </c>
      <c r="B92" s="453" t="s">
        <v>517</v>
      </c>
      <c r="C92" s="454" t="s">
        <v>538</v>
      </c>
      <c r="D92" s="455" t="s">
        <v>636</v>
      </c>
      <c r="E92" s="453" t="s">
        <v>637</v>
      </c>
      <c r="F92" s="456">
        <v>1849</v>
      </c>
      <c r="G92" s="457"/>
      <c r="H92" s="458">
        <f>F92*(1-$G$89)</f>
        <v>739.6</v>
      </c>
      <c r="I92" s="458">
        <f t="shared" ref="I92:I100" si="12">A92*H92</f>
        <v>0</v>
      </c>
      <c r="J92" s="459" t="s">
        <v>638</v>
      </c>
      <c r="K92" s="460" t="s">
        <v>639</v>
      </c>
    </row>
    <row r="93" spans="1:11" ht="12.8" customHeight="1">
      <c r="A93" s="461">
        <v>0</v>
      </c>
      <c r="B93" s="453" t="s">
        <v>517</v>
      </c>
      <c r="C93" s="453" t="s">
        <v>538</v>
      </c>
      <c r="D93" s="462" t="s">
        <v>640</v>
      </c>
      <c r="E93" s="453" t="s">
        <v>641</v>
      </c>
      <c r="F93" s="463">
        <v>1949</v>
      </c>
      <c r="G93" s="457"/>
      <c r="H93" s="458">
        <f t="shared" ref="H93:H99" si="13">F93*(1-$G$88)</f>
        <v>779.6</v>
      </c>
      <c r="I93" s="458">
        <f t="shared" si="12"/>
        <v>0</v>
      </c>
      <c r="J93" s="459" t="s">
        <v>638</v>
      </c>
      <c r="K93" s="1051" t="s">
        <v>642</v>
      </c>
    </row>
    <row r="94" spans="1:11" ht="24.9">
      <c r="A94" s="452">
        <v>0</v>
      </c>
      <c r="B94" s="453" t="s">
        <v>539</v>
      </c>
      <c r="C94" s="453" t="s">
        <v>538</v>
      </c>
      <c r="D94" s="462" t="s">
        <v>643</v>
      </c>
      <c r="E94" s="453" t="s">
        <v>641</v>
      </c>
      <c r="F94" s="463">
        <v>80</v>
      </c>
      <c r="G94" s="457"/>
      <c r="H94" s="458">
        <f t="shared" si="13"/>
        <v>32</v>
      </c>
      <c r="I94" s="458">
        <f t="shared" si="12"/>
        <v>0</v>
      </c>
      <c r="J94" s="459" t="s">
        <v>638</v>
      </c>
      <c r="K94" s="1051"/>
    </row>
    <row r="95" spans="1:11" ht="12.8" customHeight="1">
      <c r="A95" s="461">
        <v>0</v>
      </c>
      <c r="B95" s="453" t="s">
        <v>517</v>
      </c>
      <c r="C95" s="453" t="s">
        <v>538</v>
      </c>
      <c r="D95" s="464" t="s">
        <v>644</v>
      </c>
      <c r="E95" s="453" t="s">
        <v>645</v>
      </c>
      <c r="F95" s="463">
        <v>10051</v>
      </c>
      <c r="G95" s="457"/>
      <c r="H95" s="458">
        <f t="shared" si="13"/>
        <v>4020.4</v>
      </c>
      <c r="I95" s="458">
        <f t="shared" si="12"/>
        <v>0</v>
      </c>
      <c r="J95" s="459" t="s">
        <v>638</v>
      </c>
      <c r="K95" s="1052" t="s">
        <v>646</v>
      </c>
    </row>
    <row r="96" spans="1:11" ht="24.9">
      <c r="A96" s="461">
        <v>0</v>
      </c>
      <c r="B96" s="453" t="s">
        <v>517</v>
      </c>
      <c r="C96" s="453" t="s">
        <v>538</v>
      </c>
      <c r="D96" s="464" t="s">
        <v>644</v>
      </c>
      <c r="E96" s="453" t="s">
        <v>647</v>
      </c>
      <c r="F96" s="463">
        <v>17412</v>
      </c>
      <c r="G96" s="457"/>
      <c r="H96" s="458">
        <f t="shared" si="13"/>
        <v>6964.8</v>
      </c>
      <c r="I96" s="458">
        <f t="shared" si="12"/>
        <v>0</v>
      </c>
      <c r="J96" s="459" t="s">
        <v>638</v>
      </c>
      <c r="K96" s="1052"/>
    </row>
    <row r="97" spans="1:12" ht="12.8" customHeight="1">
      <c r="A97" s="461">
        <v>0</v>
      </c>
      <c r="B97" s="453" t="s">
        <v>517</v>
      </c>
      <c r="C97" s="453" t="s">
        <v>538</v>
      </c>
      <c r="D97" s="465" t="s">
        <v>644</v>
      </c>
      <c r="E97" s="453" t="s">
        <v>648</v>
      </c>
      <c r="F97" s="466">
        <v>2345</v>
      </c>
      <c r="G97" s="457"/>
      <c r="H97" s="458">
        <f t="shared" si="13"/>
        <v>938</v>
      </c>
      <c r="I97" s="458">
        <f t="shared" si="12"/>
        <v>0</v>
      </c>
      <c r="J97" s="453" t="s">
        <v>649</v>
      </c>
      <c r="K97" s="1049" t="s">
        <v>650</v>
      </c>
    </row>
    <row r="98" spans="1:12" ht="24.9">
      <c r="A98" s="461">
        <v>0</v>
      </c>
      <c r="B98" s="453" t="s">
        <v>517</v>
      </c>
      <c r="C98" s="453" t="s">
        <v>538</v>
      </c>
      <c r="D98" s="465" t="s">
        <v>644</v>
      </c>
      <c r="E98" s="453" t="s">
        <v>651</v>
      </c>
      <c r="F98" s="466">
        <v>3258</v>
      </c>
      <c r="G98" s="457"/>
      <c r="H98" s="458">
        <f t="shared" si="13"/>
        <v>1303.2</v>
      </c>
      <c r="I98" s="458">
        <f t="shared" si="12"/>
        <v>0</v>
      </c>
      <c r="J98" s="453" t="s">
        <v>649</v>
      </c>
      <c r="K98" s="1049"/>
    </row>
    <row r="99" spans="1:12" ht="24.9">
      <c r="A99" s="461">
        <v>0</v>
      </c>
      <c r="B99" s="453" t="s">
        <v>517</v>
      </c>
      <c r="C99" s="453" t="s">
        <v>538</v>
      </c>
      <c r="D99" s="465" t="s">
        <v>644</v>
      </c>
      <c r="E99" s="453" t="s">
        <v>652</v>
      </c>
      <c r="F99" s="463">
        <v>5649</v>
      </c>
      <c r="G99" s="457"/>
      <c r="H99" s="458">
        <f t="shared" si="13"/>
        <v>2259.6</v>
      </c>
      <c r="I99" s="458">
        <f t="shared" si="12"/>
        <v>0</v>
      </c>
      <c r="J99" s="453" t="s">
        <v>649</v>
      </c>
      <c r="K99" s="1049"/>
    </row>
    <row r="100" spans="1:12" ht="24.9">
      <c r="A100" s="461">
        <v>0</v>
      </c>
      <c r="B100" s="453" t="s">
        <v>517</v>
      </c>
      <c r="C100" s="453" t="s">
        <v>538</v>
      </c>
      <c r="D100" s="465" t="s">
        <v>644</v>
      </c>
      <c r="E100" s="453" t="s">
        <v>653</v>
      </c>
      <c r="F100" s="463">
        <v>1488</v>
      </c>
      <c r="G100" s="457"/>
      <c r="H100" s="458">
        <f t="shared" ref="H100:H107" si="14">F100*(1-$G$88)</f>
        <v>595.20000000000005</v>
      </c>
      <c r="I100" s="458">
        <f t="shared" si="12"/>
        <v>0</v>
      </c>
      <c r="J100" s="453" t="s">
        <v>649</v>
      </c>
      <c r="K100" s="1049"/>
    </row>
    <row r="101" spans="1:12" ht="24.9">
      <c r="A101" s="461">
        <v>0</v>
      </c>
      <c r="B101" s="453" t="s">
        <v>517</v>
      </c>
      <c r="C101" s="453" t="s">
        <v>538</v>
      </c>
      <c r="D101" s="465" t="s">
        <v>644</v>
      </c>
      <c r="E101" s="453" t="s">
        <v>654</v>
      </c>
      <c r="F101" s="463">
        <v>5269</v>
      </c>
      <c r="G101" s="457"/>
      <c r="H101" s="458">
        <f t="shared" si="14"/>
        <v>2107.6</v>
      </c>
      <c r="I101" s="458">
        <f t="shared" ref="I101:I135" si="15">A101*H101</f>
        <v>0</v>
      </c>
      <c r="J101" s="453" t="s">
        <v>649</v>
      </c>
      <c r="K101" s="1049"/>
    </row>
    <row r="102" spans="1:12" ht="24.9">
      <c r="A102" s="461">
        <v>0</v>
      </c>
      <c r="B102" s="453" t="s">
        <v>517</v>
      </c>
      <c r="C102" s="453" t="s">
        <v>538</v>
      </c>
      <c r="D102" s="465" t="s">
        <v>644</v>
      </c>
      <c r="E102" s="453" t="s">
        <v>655</v>
      </c>
      <c r="F102" s="463">
        <v>3078</v>
      </c>
      <c r="G102" s="457"/>
      <c r="H102" s="458">
        <f t="shared" si="14"/>
        <v>1231.2</v>
      </c>
      <c r="I102" s="458">
        <f t="shared" si="15"/>
        <v>0</v>
      </c>
      <c r="J102" s="453" t="s">
        <v>649</v>
      </c>
      <c r="K102" s="1049"/>
    </row>
    <row r="103" spans="1:12" ht="24.9">
      <c r="A103" s="461">
        <v>0</v>
      </c>
      <c r="B103" s="453" t="s">
        <v>517</v>
      </c>
      <c r="C103" s="453" t="s">
        <v>538</v>
      </c>
      <c r="D103" s="465" t="s">
        <v>644</v>
      </c>
      <c r="E103" s="453" t="s">
        <v>656</v>
      </c>
      <c r="F103" s="463">
        <v>3489</v>
      </c>
      <c r="G103" s="457"/>
      <c r="H103" s="458">
        <f t="shared" si="14"/>
        <v>1395.6000000000001</v>
      </c>
      <c r="I103" s="458">
        <f t="shared" si="15"/>
        <v>0</v>
      </c>
      <c r="J103" s="453" t="s">
        <v>649</v>
      </c>
      <c r="K103" s="1049"/>
    </row>
    <row r="104" spans="1:12" ht="24.9">
      <c r="A104" s="461">
        <v>0</v>
      </c>
      <c r="B104" s="453" t="s">
        <v>517</v>
      </c>
      <c r="C104" s="453" t="s">
        <v>538</v>
      </c>
      <c r="D104" s="465" t="s">
        <v>644</v>
      </c>
      <c r="E104" s="453" t="s">
        <v>657</v>
      </c>
      <c r="F104" s="467" t="s">
        <v>658</v>
      </c>
      <c r="G104" s="457"/>
      <c r="H104" s="468"/>
      <c r="I104" s="468"/>
      <c r="J104" s="453" t="s">
        <v>649</v>
      </c>
      <c r="K104" s="1049"/>
    </row>
    <row r="105" spans="1:12" ht="24.9">
      <c r="A105" s="461">
        <v>0</v>
      </c>
      <c r="B105" s="453" t="s">
        <v>517</v>
      </c>
      <c r="C105" s="453" t="s">
        <v>538</v>
      </c>
      <c r="D105" s="465" t="s">
        <v>644</v>
      </c>
      <c r="E105" s="453" t="s">
        <v>659</v>
      </c>
      <c r="F105" s="463">
        <v>7456</v>
      </c>
      <c r="G105" s="457"/>
      <c r="H105" s="458">
        <f t="shared" si="14"/>
        <v>2982.4</v>
      </c>
      <c r="I105" s="458">
        <f t="shared" si="15"/>
        <v>0</v>
      </c>
      <c r="J105" s="453" t="s">
        <v>649</v>
      </c>
      <c r="K105" s="1049"/>
    </row>
    <row r="106" spans="1:12" ht="24.9">
      <c r="A106" s="461">
        <v>0</v>
      </c>
      <c r="B106" s="453" t="s">
        <v>517</v>
      </c>
      <c r="C106" s="453" t="s">
        <v>538</v>
      </c>
      <c r="D106" s="465" t="s">
        <v>644</v>
      </c>
      <c r="E106" s="453" t="s">
        <v>660</v>
      </c>
      <c r="F106" s="463">
        <v>8494</v>
      </c>
      <c r="G106" s="457"/>
      <c r="H106" s="458">
        <f t="shared" si="14"/>
        <v>3397.6000000000004</v>
      </c>
      <c r="I106" s="458">
        <f t="shared" si="15"/>
        <v>0</v>
      </c>
      <c r="J106" s="453" t="s">
        <v>649</v>
      </c>
      <c r="K106" s="1049"/>
    </row>
    <row r="107" spans="1:12" ht="24.9">
      <c r="A107" s="461">
        <v>0</v>
      </c>
      <c r="B107" s="453" t="s">
        <v>517</v>
      </c>
      <c r="C107" s="453" t="s">
        <v>538</v>
      </c>
      <c r="D107" s="465" t="s">
        <v>644</v>
      </c>
      <c r="E107" s="453" t="s">
        <v>661</v>
      </c>
      <c r="F107" s="463">
        <v>9434</v>
      </c>
      <c r="G107" s="457"/>
      <c r="H107" s="458">
        <f t="shared" si="14"/>
        <v>3773.6000000000004</v>
      </c>
      <c r="I107" s="458">
        <f t="shared" si="15"/>
        <v>0</v>
      </c>
      <c r="J107" s="453" t="s">
        <v>649</v>
      </c>
      <c r="K107" s="1049"/>
      <c r="L107" s="204"/>
    </row>
    <row r="108" spans="1:12">
      <c r="A108" s="469"/>
      <c r="B108" s="427"/>
      <c r="C108" s="427"/>
      <c r="D108" s="470"/>
      <c r="E108" s="427"/>
      <c r="F108" s="471"/>
      <c r="G108" s="471"/>
      <c r="H108" s="472"/>
      <c r="I108" s="473"/>
      <c r="J108" s="427"/>
      <c r="K108" s="427"/>
    </row>
    <row r="109" spans="1:12" ht="37.35">
      <c r="A109" s="474"/>
      <c r="B109" s="475"/>
      <c r="C109" s="475"/>
      <c r="D109" s="476"/>
      <c r="E109" s="475"/>
      <c r="F109" s="477" t="s">
        <v>662</v>
      </c>
      <c r="G109" s="478" t="s">
        <v>663</v>
      </c>
      <c r="H109" s="479"/>
      <c r="I109" s="480"/>
      <c r="J109" s="427"/>
      <c r="K109" s="475"/>
    </row>
    <row r="110" spans="1:12" ht="87.05">
      <c r="A110" s="461">
        <v>0</v>
      </c>
      <c r="B110" s="453" t="s">
        <v>539</v>
      </c>
      <c r="C110" s="453" t="s">
        <v>538</v>
      </c>
      <c r="D110" s="481" t="s">
        <v>664</v>
      </c>
      <c r="E110" s="453" t="s">
        <v>665</v>
      </c>
      <c r="F110" s="463">
        <v>108</v>
      </c>
      <c r="G110" s="463">
        <v>79</v>
      </c>
      <c r="H110" s="458">
        <f>IFERROR((MIN(A110,400)*F110+MAX(A110-400,0)*G110)*(1-G88)/A110,0)</f>
        <v>0</v>
      </c>
      <c r="I110" s="458">
        <f t="shared" si="15"/>
        <v>0</v>
      </c>
      <c r="J110" s="453" t="s">
        <v>638</v>
      </c>
      <c r="K110" s="482" t="s">
        <v>666</v>
      </c>
      <c r="L110" s="204"/>
    </row>
    <row r="111" spans="1:12">
      <c r="A111" s="474"/>
      <c r="B111" s="475"/>
      <c r="C111" s="475"/>
      <c r="D111" s="476"/>
      <c r="E111" s="475"/>
      <c r="F111" s="457"/>
      <c r="G111" s="457"/>
      <c r="H111" s="479"/>
      <c r="I111" s="480"/>
      <c r="J111" s="475"/>
      <c r="K111" s="475"/>
      <c r="L111" s="204"/>
    </row>
    <row r="112" spans="1:12">
      <c r="A112" s="474"/>
      <c r="B112" s="475"/>
      <c r="C112" s="475"/>
      <c r="D112" s="476"/>
      <c r="E112" s="475"/>
      <c r="F112" s="457"/>
      <c r="G112" s="457"/>
      <c r="H112" s="479"/>
      <c r="I112" s="480"/>
      <c r="J112" s="475"/>
      <c r="K112" s="475"/>
    </row>
    <row r="113" spans="1:12" ht="18.850000000000001" customHeight="1">
      <c r="A113" s="474"/>
      <c r="B113" s="475"/>
      <c r="C113" s="475"/>
      <c r="D113" s="476"/>
      <c r="E113" s="483" t="s">
        <v>667</v>
      </c>
      <c r="F113" s="457"/>
      <c r="G113" s="457"/>
      <c r="H113" s="479"/>
      <c r="I113" s="480"/>
      <c r="J113" s="475"/>
      <c r="K113" s="475"/>
    </row>
    <row r="114" spans="1:12" ht="13.6" customHeight="1">
      <c r="A114" s="452">
        <v>1</v>
      </c>
      <c r="B114" s="453" t="s">
        <v>517</v>
      </c>
      <c r="C114" s="454" t="s">
        <v>538</v>
      </c>
      <c r="D114" s="455" t="s">
        <v>636</v>
      </c>
      <c r="E114" s="453" t="s">
        <v>668</v>
      </c>
      <c r="F114" s="463">
        <v>3732</v>
      </c>
      <c r="G114" s="457"/>
      <c r="H114" s="458">
        <f>F114*(1-G89)</f>
        <v>1492.8000000000002</v>
      </c>
      <c r="I114" s="458">
        <f t="shared" si="15"/>
        <v>1492.8000000000002</v>
      </c>
      <c r="J114" s="453" t="s">
        <v>649</v>
      </c>
      <c r="K114" s="1050" t="s">
        <v>669</v>
      </c>
    </row>
    <row r="115" spans="1:12" ht="16.55" customHeight="1">
      <c r="A115" s="452">
        <v>1</v>
      </c>
      <c r="B115" s="453" t="s">
        <v>539</v>
      </c>
      <c r="C115" s="454" t="s">
        <v>538</v>
      </c>
      <c r="D115" s="455" t="s">
        <v>670</v>
      </c>
      <c r="E115" s="453" t="s">
        <v>671</v>
      </c>
      <c r="F115" s="463">
        <v>88.7</v>
      </c>
      <c r="G115" s="457"/>
      <c r="H115" s="458">
        <f>F115*(1-G89)</f>
        <v>35.480000000000004</v>
      </c>
      <c r="I115" s="458">
        <f t="shared" si="15"/>
        <v>35.480000000000004</v>
      </c>
      <c r="J115" s="453" t="s">
        <v>649</v>
      </c>
      <c r="K115" s="1050"/>
      <c r="L115" s="17" t="s">
        <v>672</v>
      </c>
    </row>
    <row r="116" spans="1:12" ht="13.45" customHeight="1">
      <c r="A116" s="461">
        <v>1</v>
      </c>
      <c r="B116" s="453" t="s">
        <v>517</v>
      </c>
      <c r="C116" s="453" t="s">
        <v>538</v>
      </c>
      <c r="D116" s="462" t="s">
        <v>640</v>
      </c>
      <c r="E116" s="453" t="s">
        <v>673</v>
      </c>
      <c r="F116" s="463">
        <v>1968</v>
      </c>
      <c r="G116" s="457"/>
      <c r="H116" s="458">
        <f t="shared" ref="H116:H130" si="16">F116*(1-$G$88)</f>
        <v>787.2</v>
      </c>
      <c r="I116" s="458">
        <f t="shared" si="15"/>
        <v>787.2</v>
      </c>
      <c r="J116" s="459" t="s">
        <v>638</v>
      </c>
      <c r="K116" s="1051" t="s">
        <v>642</v>
      </c>
    </row>
    <row r="117" spans="1:12" ht="14.25" customHeight="1">
      <c r="A117" s="452">
        <v>32</v>
      </c>
      <c r="B117" s="453" t="s">
        <v>539</v>
      </c>
      <c r="C117" s="453" t="s">
        <v>538</v>
      </c>
      <c r="D117" s="462" t="s">
        <v>643</v>
      </c>
      <c r="E117" s="453" t="s">
        <v>673</v>
      </c>
      <c r="F117" s="463">
        <v>87.9</v>
      </c>
      <c r="G117" s="457"/>
      <c r="H117" s="458">
        <f t="shared" si="16"/>
        <v>35.160000000000004</v>
      </c>
      <c r="I117" s="458">
        <f t="shared" si="15"/>
        <v>1125.1200000000001</v>
      </c>
      <c r="J117" s="459" t="s">
        <v>638</v>
      </c>
      <c r="K117" s="1051"/>
    </row>
    <row r="118" spans="1:12" ht="15.05" customHeight="1">
      <c r="A118" s="452">
        <v>1</v>
      </c>
      <c r="B118" s="453" t="s">
        <v>517</v>
      </c>
      <c r="C118" s="453" t="s">
        <v>538</v>
      </c>
      <c r="D118" s="464" t="s">
        <v>644</v>
      </c>
      <c r="E118" s="453" t="s">
        <v>645</v>
      </c>
      <c r="F118" s="463">
        <v>10051</v>
      </c>
      <c r="G118" s="457"/>
      <c r="H118" s="458">
        <f t="shared" si="16"/>
        <v>4020.4</v>
      </c>
      <c r="I118" s="458">
        <f t="shared" si="15"/>
        <v>4020.4</v>
      </c>
      <c r="J118" s="459" t="s">
        <v>638</v>
      </c>
      <c r="K118" s="1052" t="s">
        <v>646</v>
      </c>
    </row>
    <row r="119" spans="1:12" ht="10.5" customHeight="1">
      <c r="A119" s="461">
        <v>0</v>
      </c>
      <c r="B119" s="453" t="s">
        <v>517</v>
      </c>
      <c r="C119" s="453" t="s">
        <v>538</v>
      </c>
      <c r="D119" s="464" t="s">
        <v>644</v>
      </c>
      <c r="E119" s="453" t="s">
        <v>647</v>
      </c>
      <c r="F119" s="463">
        <v>17412</v>
      </c>
      <c r="G119" s="457"/>
      <c r="H119" s="458">
        <f t="shared" si="16"/>
        <v>6964.8</v>
      </c>
      <c r="I119" s="458">
        <f t="shared" si="15"/>
        <v>0</v>
      </c>
      <c r="J119" s="459" t="s">
        <v>638</v>
      </c>
      <c r="K119" s="1052"/>
    </row>
    <row r="120" spans="1:12" ht="14.25" customHeight="1">
      <c r="A120" s="461">
        <v>0</v>
      </c>
      <c r="B120" s="453" t="s">
        <v>517</v>
      </c>
      <c r="C120" s="453" t="s">
        <v>538</v>
      </c>
      <c r="D120" s="465" t="s">
        <v>644</v>
      </c>
      <c r="E120" s="453" t="s">
        <v>648</v>
      </c>
      <c r="F120" s="463">
        <v>2345</v>
      </c>
      <c r="G120" s="457"/>
      <c r="H120" s="458">
        <f t="shared" si="16"/>
        <v>938</v>
      </c>
      <c r="I120" s="458">
        <f t="shared" si="15"/>
        <v>0</v>
      </c>
      <c r="J120" s="453" t="s">
        <v>649</v>
      </c>
      <c r="K120" s="1049" t="s">
        <v>650</v>
      </c>
    </row>
    <row r="121" spans="1:12" ht="14.25" customHeight="1">
      <c r="A121" s="461">
        <v>0</v>
      </c>
      <c r="B121" s="453" t="s">
        <v>517</v>
      </c>
      <c r="C121" s="453" t="s">
        <v>538</v>
      </c>
      <c r="D121" s="465" t="s">
        <v>644</v>
      </c>
      <c r="E121" s="453" t="s">
        <v>651</v>
      </c>
      <c r="F121" s="463">
        <v>3258</v>
      </c>
      <c r="G121" s="457"/>
      <c r="H121" s="458">
        <f t="shared" si="16"/>
        <v>1303.2</v>
      </c>
      <c r="I121" s="458">
        <f t="shared" si="15"/>
        <v>0</v>
      </c>
      <c r="J121" s="453" t="s">
        <v>649</v>
      </c>
      <c r="K121" s="1049"/>
    </row>
    <row r="122" spans="1:12" ht="14.25" customHeight="1">
      <c r="A122" s="461">
        <v>0</v>
      </c>
      <c r="B122" s="453" t="s">
        <v>517</v>
      </c>
      <c r="C122" s="453" t="s">
        <v>538</v>
      </c>
      <c r="D122" s="465" t="s">
        <v>644</v>
      </c>
      <c r="E122" s="453" t="s">
        <v>652</v>
      </c>
      <c r="F122" s="463">
        <v>5649</v>
      </c>
      <c r="G122" s="457"/>
      <c r="H122" s="458">
        <f t="shared" si="16"/>
        <v>2259.6</v>
      </c>
      <c r="I122" s="458">
        <f t="shared" si="15"/>
        <v>0</v>
      </c>
      <c r="J122" s="453" t="s">
        <v>649</v>
      </c>
      <c r="K122" s="1049"/>
    </row>
    <row r="123" spans="1:12" ht="14.25" customHeight="1">
      <c r="A123" s="461">
        <v>0</v>
      </c>
      <c r="B123" s="453" t="s">
        <v>517</v>
      </c>
      <c r="C123" s="453" t="s">
        <v>538</v>
      </c>
      <c r="D123" s="465" t="s">
        <v>644</v>
      </c>
      <c r="E123" s="453" t="s">
        <v>653</v>
      </c>
      <c r="F123" s="463">
        <v>1488</v>
      </c>
      <c r="G123" s="457"/>
      <c r="H123" s="458">
        <f t="shared" si="16"/>
        <v>595.20000000000005</v>
      </c>
      <c r="I123" s="458">
        <f t="shared" si="15"/>
        <v>0</v>
      </c>
      <c r="J123" s="453" t="s">
        <v>649</v>
      </c>
      <c r="K123" s="1049"/>
    </row>
    <row r="124" spans="1:12" ht="14.25" customHeight="1">
      <c r="A124" s="461">
        <v>0</v>
      </c>
      <c r="B124" s="453" t="s">
        <v>517</v>
      </c>
      <c r="C124" s="453" t="s">
        <v>538</v>
      </c>
      <c r="D124" s="465" t="s">
        <v>644</v>
      </c>
      <c r="E124" s="453" t="s">
        <v>654</v>
      </c>
      <c r="F124" s="463">
        <v>5269</v>
      </c>
      <c r="G124" s="457"/>
      <c r="H124" s="458">
        <f t="shared" si="16"/>
        <v>2107.6</v>
      </c>
      <c r="I124" s="458">
        <f t="shared" si="15"/>
        <v>0</v>
      </c>
      <c r="J124" s="453" t="s">
        <v>649</v>
      </c>
      <c r="K124" s="1049"/>
    </row>
    <row r="125" spans="1:12" ht="14.25" customHeight="1">
      <c r="A125" s="461">
        <v>0</v>
      </c>
      <c r="B125" s="453" t="s">
        <v>517</v>
      </c>
      <c r="C125" s="453" t="s">
        <v>538</v>
      </c>
      <c r="D125" s="465" t="s">
        <v>644</v>
      </c>
      <c r="E125" s="453" t="s">
        <v>655</v>
      </c>
      <c r="F125" s="463">
        <v>3078</v>
      </c>
      <c r="G125" s="457"/>
      <c r="H125" s="458">
        <f t="shared" si="16"/>
        <v>1231.2</v>
      </c>
      <c r="I125" s="458">
        <f t="shared" si="15"/>
        <v>0</v>
      </c>
      <c r="J125" s="453" t="s">
        <v>649</v>
      </c>
      <c r="K125" s="1049"/>
    </row>
    <row r="126" spans="1:12" ht="14.25" customHeight="1">
      <c r="A126" s="461">
        <v>0</v>
      </c>
      <c r="B126" s="453" t="s">
        <v>517</v>
      </c>
      <c r="C126" s="453" t="s">
        <v>538</v>
      </c>
      <c r="D126" s="465" t="s">
        <v>644</v>
      </c>
      <c r="E126" s="453" t="s">
        <v>656</v>
      </c>
      <c r="F126" s="463">
        <v>3489</v>
      </c>
      <c r="G126" s="457"/>
      <c r="H126" s="458">
        <f t="shared" si="16"/>
        <v>1395.6000000000001</v>
      </c>
      <c r="I126" s="458">
        <f t="shared" si="15"/>
        <v>0</v>
      </c>
      <c r="J126" s="453" t="s">
        <v>649</v>
      </c>
      <c r="K126" s="1049"/>
    </row>
    <row r="127" spans="1:12" ht="14.25" customHeight="1">
      <c r="A127" s="461">
        <v>0</v>
      </c>
      <c r="B127" s="453" t="s">
        <v>517</v>
      </c>
      <c r="C127" s="453" t="s">
        <v>538</v>
      </c>
      <c r="D127" s="465" t="s">
        <v>644</v>
      </c>
      <c r="E127" s="453" t="s">
        <v>657</v>
      </c>
      <c r="F127" s="467" t="s">
        <v>658</v>
      </c>
      <c r="G127" s="457"/>
      <c r="H127" s="468"/>
      <c r="I127" s="484"/>
      <c r="J127" s="453" t="s">
        <v>649</v>
      </c>
      <c r="K127" s="1049"/>
    </row>
    <row r="128" spans="1:12" ht="14.25" customHeight="1">
      <c r="A128" s="461">
        <v>0</v>
      </c>
      <c r="B128" s="453" t="s">
        <v>517</v>
      </c>
      <c r="C128" s="453" t="s">
        <v>538</v>
      </c>
      <c r="D128" s="465" t="s">
        <v>644</v>
      </c>
      <c r="E128" s="453" t="s">
        <v>659</v>
      </c>
      <c r="F128" s="463">
        <v>7456</v>
      </c>
      <c r="G128" s="457"/>
      <c r="H128" s="458">
        <f t="shared" si="16"/>
        <v>2982.4</v>
      </c>
      <c r="I128" s="458">
        <f t="shared" si="15"/>
        <v>0</v>
      </c>
      <c r="J128" s="453" t="s">
        <v>649</v>
      </c>
      <c r="K128" s="1049"/>
    </row>
    <row r="129" spans="1:17" ht="14.25" customHeight="1">
      <c r="A129" s="461">
        <v>0</v>
      </c>
      <c r="B129" s="453" t="s">
        <v>517</v>
      </c>
      <c r="C129" s="453" t="s">
        <v>538</v>
      </c>
      <c r="D129" s="465" t="s">
        <v>644</v>
      </c>
      <c r="E129" s="453" t="s">
        <v>660</v>
      </c>
      <c r="F129" s="463">
        <v>8494</v>
      </c>
      <c r="G129" s="457"/>
      <c r="H129" s="458">
        <f t="shared" si="16"/>
        <v>3397.6000000000004</v>
      </c>
      <c r="I129" s="458">
        <f t="shared" si="15"/>
        <v>0</v>
      </c>
      <c r="J129" s="453" t="s">
        <v>649</v>
      </c>
      <c r="K129" s="1049"/>
    </row>
    <row r="130" spans="1:17" ht="14.25" customHeight="1">
      <c r="A130" s="461">
        <v>0</v>
      </c>
      <c r="B130" s="453" t="s">
        <v>517</v>
      </c>
      <c r="C130" s="453" t="s">
        <v>538</v>
      </c>
      <c r="D130" s="465" t="s">
        <v>644</v>
      </c>
      <c r="E130" s="453" t="s">
        <v>661</v>
      </c>
      <c r="F130" s="463">
        <v>9434</v>
      </c>
      <c r="G130" s="457"/>
      <c r="H130" s="458">
        <f t="shared" si="16"/>
        <v>3773.6000000000004</v>
      </c>
      <c r="I130" s="458">
        <f t="shared" si="15"/>
        <v>0</v>
      </c>
      <c r="J130" s="453" t="s">
        <v>649</v>
      </c>
      <c r="K130" s="1049"/>
    </row>
    <row r="131" spans="1:17" ht="14.25" customHeight="1">
      <c r="A131" s="469"/>
      <c r="B131" s="427"/>
      <c r="C131" s="427"/>
      <c r="D131" s="470"/>
      <c r="E131" s="427"/>
      <c r="F131" s="472"/>
      <c r="G131" s="471"/>
      <c r="H131" s="472"/>
      <c r="I131" s="473"/>
      <c r="J131" s="427"/>
      <c r="K131" s="427"/>
    </row>
    <row r="132" spans="1:17" ht="28.5" customHeight="1">
      <c r="A132" s="474"/>
      <c r="B132" s="475"/>
      <c r="C132" s="475"/>
      <c r="D132" s="476"/>
      <c r="E132" s="475"/>
      <c r="F132" s="477" t="s">
        <v>662</v>
      </c>
      <c r="G132" s="478" t="s">
        <v>663</v>
      </c>
      <c r="H132" s="479"/>
      <c r="I132" s="480"/>
      <c r="J132" s="427"/>
      <c r="K132" s="475"/>
    </row>
    <row r="133" spans="1:17" ht="78.05" customHeight="1">
      <c r="A133" s="461">
        <v>411</v>
      </c>
      <c r="B133" s="453" t="s">
        <v>539</v>
      </c>
      <c r="C133" s="453" t="s">
        <v>538</v>
      </c>
      <c r="D133" s="481" t="s">
        <v>664</v>
      </c>
      <c r="E133" s="453" t="s">
        <v>665</v>
      </c>
      <c r="F133" s="463">
        <v>108</v>
      </c>
      <c r="G133" s="463">
        <v>79</v>
      </c>
      <c r="H133" s="458">
        <f>IFERROR((MIN(A133,400)*F133+MAX(A133-400,0)*G133)*(1-G88)/A133,0)</f>
        <v>42.889537712895383</v>
      </c>
      <c r="I133" s="458">
        <f t="shared" si="15"/>
        <v>17627.600000000002</v>
      </c>
      <c r="J133" s="453" t="s">
        <v>638</v>
      </c>
      <c r="K133" s="482" t="s">
        <v>666</v>
      </c>
    </row>
    <row r="134" spans="1:17" ht="14.25" customHeight="1">
      <c r="A134" s="204"/>
      <c r="F134" s="17"/>
      <c r="H134" s="403"/>
      <c r="I134" s="403"/>
    </row>
    <row r="135" spans="1:17" ht="33.4">
      <c r="A135" s="204">
        <v>1</v>
      </c>
      <c r="B135" s="17" t="s">
        <v>517</v>
      </c>
      <c r="C135" s="204" t="s">
        <v>674</v>
      </c>
      <c r="E135" s="17" t="s">
        <v>675</v>
      </c>
      <c r="F135" s="445">
        <v>161.44</v>
      </c>
      <c r="G135" s="404">
        <v>0</v>
      </c>
      <c r="H135" s="458">
        <f>F135*(1-G135)</f>
        <v>161.44</v>
      </c>
      <c r="I135" s="458">
        <f t="shared" si="15"/>
        <v>161.44</v>
      </c>
    </row>
    <row r="136" spans="1:17">
      <c r="A136" s="204"/>
      <c r="F136" s="485"/>
      <c r="H136" s="403"/>
      <c r="I136" s="403"/>
    </row>
    <row r="137" spans="1:17" ht="15.75">
      <c r="E137" s="439" t="s">
        <v>676</v>
      </c>
      <c r="I137" s="486">
        <f>SUM(I92:I135)</f>
        <v>25250.04</v>
      </c>
      <c r="Q137" s="438">
        <f>I137</f>
        <v>25250.04</v>
      </c>
    </row>
    <row r="139" spans="1:17" ht="13.75" customHeight="1">
      <c r="A139" s="986" t="s">
        <v>100</v>
      </c>
      <c r="B139" s="986"/>
      <c r="C139" s="986"/>
      <c r="D139" s="986"/>
      <c r="E139" s="986"/>
    </row>
    <row r="141" spans="1:17">
      <c r="E141" s="442" t="s">
        <v>677</v>
      </c>
      <c r="J141" s="403"/>
    </row>
    <row r="142" spans="1:17" ht="22.25">
      <c r="A142" s="407">
        <v>0</v>
      </c>
      <c r="B142" s="407" t="s">
        <v>522</v>
      </c>
      <c r="C142" s="408" t="s">
        <v>678</v>
      </c>
      <c r="D142" s="407" t="s">
        <v>679</v>
      </c>
      <c r="E142" s="408" t="s">
        <v>680</v>
      </c>
      <c r="F142" s="409">
        <v>2801.13</v>
      </c>
      <c r="G142" s="410"/>
      <c r="H142" s="409">
        <f t="shared" ref="H142:H188" si="17">F142*(1-G142)</f>
        <v>2801.13</v>
      </c>
      <c r="I142" s="409"/>
    </row>
    <row r="143" spans="1:17" ht="22.25">
      <c r="A143" s="407">
        <v>0</v>
      </c>
      <c r="B143" s="407" t="s">
        <v>522</v>
      </c>
      <c r="C143" s="408" t="s">
        <v>678</v>
      </c>
      <c r="D143" s="407" t="s">
        <v>681</v>
      </c>
      <c r="E143" s="408" t="s">
        <v>682</v>
      </c>
      <c r="F143" s="409">
        <v>772.15</v>
      </c>
      <c r="G143" s="410"/>
      <c r="H143" s="409">
        <f t="shared" si="17"/>
        <v>772.15</v>
      </c>
      <c r="I143" s="409"/>
    </row>
    <row r="144" spans="1:17" ht="22.25">
      <c r="A144" s="407">
        <v>0</v>
      </c>
      <c r="B144" s="407" t="s">
        <v>522</v>
      </c>
      <c r="C144" s="408" t="s">
        <v>678</v>
      </c>
      <c r="D144" s="407" t="s">
        <v>683</v>
      </c>
      <c r="E144" s="408" t="s">
        <v>684</v>
      </c>
      <c r="F144" s="409">
        <v>150.26</v>
      </c>
      <c r="G144" s="410"/>
      <c r="H144" s="409">
        <f t="shared" si="17"/>
        <v>150.26</v>
      </c>
      <c r="I144" s="409"/>
    </row>
    <row r="145" spans="1:10" ht="22.25">
      <c r="A145" s="407">
        <v>0</v>
      </c>
      <c r="B145" s="407" t="s">
        <v>522</v>
      </c>
      <c r="C145" s="408" t="s">
        <v>678</v>
      </c>
      <c r="D145" s="407" t="s">
        <v>685</v>
      </c>
      <c r="E145" s="408" t="s">
        <v>686</v>
      </c>
      <c r="F145" s="409">
        <v>10.58</v>
      </c>
      <c r="G145" s="410"/>
      <c r="H145" s="409">
        <f t="shared" si="17"/>
        <v>10.58</v>
      </c>
      <c r="I145" s="409"/>
    </row>
    <row r="146" spans="1:10" ht="22.25">
      <c r="A146" s="407">
        <v>0</v>
      </c>
      <c r="B146" s="407" t="s">
        <v>522</v>
      </c>
      <c r="C146" s="408" t="s">
        <v>678</v>
      </c>
      <c r="D146" s="407" t="s">
        <v>687</v>
      </c>
      <c r="E146" s="408" t="s">
        <v>688</v>
      </c>
      <c r="F146" s="409">
        <v>69.78</v>
      </c>
      <c r="G146" s="410"/>
      <c r="H146" s="409">
        <f t="shared" si="17"/>
        <v>69.78</v>
      </c>
      <c r="I146" s="409"/>
      <c r="J146" s="17" t="s">
        <v>689</v>
      </c>
    </row>
    <row r="147" spans="1:10" ht="22.25">
      <c r="A147" s="487">
        <v>0</v>
      </c>
      <c r="B147" s="407" t="s">
        <v>539</v>
      </c>
      <c r="C147" s="408" t="s">
        <v>690</v>
      </c>
      <c r="D147" s="407"/>
      <c r="E147" s="407" t="s">
        <v>691</v>
      </c>
      <c r="F147" s="409">
        <v>7.58</v>
      </c>
      <c r="G147" s="410"/>
      <c r="H147" s="409">
        <f t="shared" si="17"/>
        <v>7.58</v>
      </c>
      <c r="I147" s="409"/>
      <c r="J147" s="17" t="s">
        <v>692</v>
      </c>
    </row>
    <row r="148" spans="1:10" ht="22.25">
      <c r="A148" s="487">
        <v>0</v>
      </c>
      <c r="B148" s="407" t="s">
        <v>539</v>
      </c>
      <c r="C148" s="408" t="s">
        <v>690</v>
      </c>
      <c r="D148" s="407"/>
      <c r="E148" s="407" t="s">
        <v>693</v>
      </c>
      <c r="F148" s="409">
        <v>2.04</v>
      </c>
      <c r="G148" s="410"/>
      <c r="H148" s="409">
        <f t="shared" si="17"/>
        <v>2.04</v>
      </c>
      <c r="I148" s="409"/>
      <c r="J148" s="17" t="s">
        <v>694</v>
      </c>
    </row>
    <row r="149" spans="1:10" ht="22.25">
      <c r="A149" s="407">
        <v>0</v>
      </c>
      <c r="B149" s="407" t="s">
        <v>522</v>
      </c>
      <c r="C149" s="408"/>
      <c r="D149" s="407"/>
      <c r="E149" s="408" t="s">
        <v>695</v>
      </c>
      <c r="F149" s="409">
        <v>50</v>
      </c>
      <c r="G149" s="410"/>
      <c r="H149" s="409">
        <f t="shared" si="17"/>
        <v>50</v>
      </c>
      <c r="I149" s="409"/>
      <c r="J149" s="204" t="s">
        <v>696</v>
      </c>
    </row>
    <row r="150" spans="1:10">
      <c r="A150" s="407">
        <v>0</v>
      </c>
      <c r="B150" s="407" t="s">
        <v>619</v>
      </c>
      <c r="C150" s="408"/>
      <c r="D150" s="407"/>
      <c r="E150" s="408" t="s">
        <v>697</v>
      </c>
      <c r="F150" s="409">
        <f>F72</f>
        <v>55</v>
      </c>
      <c r="G150" s="410"/>
      <c r="H150" s="409">
        <f t="shared" si="17"/>
        <v>55</v>
      </c>
      <c r="I150" s="409"/>
    </row>
    <row r="151" spans="1:10" ht="66.8">
      <c r="A151" s="407">
        <v>0</v>
      </c>
      <c r="B151" s="407" t="s">
        <v>517</v>
      </c>
      <c r="C151" s="408" t="s">
        <v>698</v>
      </c>
      <c r="D151" s="407" t="s">
        <v>636</v>
      </c>
      <c r="E151" s="408" t="s">
        <v>637</v>
      </c>
      <c r="F151" s="409">
        <v>1809</v>
      </c>
      <c r="G151" s="410">
        <v>0.75</v>
      </c>
      <c r="H151" s="409">
        <f t="shared" si="17"/>
        <v>452.25</v>
      </c>
      <c r="I151" s="409"/>
      <c r="J151" s="17" t="s">
        <v>699</v>
      </c>
    </row>
    <row r="152" spans="1:10">
      <c r="A152" s="407"/>
      <c r="B152" s="407"/>
      <c r="C152" s="408"/>
      <c r="D152" s="407"/>
      <c r="E152" s="408"/>
      <c r="F152" s="409"/>
      <c r="G152" s="410"/>
      <c r="H152" s="409"/>
      <c r="I152" s="409"/>
    </row>
    <row r="153" spans="1:10">
      <c r="E153" s="442" t="s">
        <v>700</v>
      </c>
    </row>
    <row r="154" spans="1:10">
      <c r="A154" s="407"/>
      <c r="B154" s="407"/>
      <c r="C154" s="408"/>
      <c r="D154" s="407"/>
      <c r="E154" s="408"/>
      <c r="F154" s="409"/>
      <c r="G154" s="410"/>
      <c r="H154" s="409"/>
      <c r="I154" s="409"/>
    </row>
    <row r="155" spans="1:10">
      <c r="A155" s="407"/>
      <c r="B155" s="407"/>
      <c r="C155" s="408"/>
      <c r="D155" s="407"/>
      <c r="E155" s="408" t="s">
        <v>701</v>
      </c>
      <c r="F155" s="409"/>
      <c r="G155" s="410"/>
      <c r="H155" s="409"/>
      <c r="I155" s="409"/>
    </row>
    <row r="156" spans="1:10">
      <c r="A156" s="407"/>
      <c r="B156" s="407"/>
      <c r="C156" s="408"/>
      <c r="D156" s="407"/>
      <c r="E156" s="408"/>
      <c r="F156" s="409"/>
      <c r="G156" s="410"/>
      <c r="H156" s="409"/>
      <c r="I156" s="409"/>
    </row>
    <row r="157" spans="1:10">
      <c r="A157" s="407"/>
      <c r="B157" s="407"/>
      <c r="C157" s="408"/>
      <c r="D157" s="407"/>
      <c r="E157" s="408"/>
      <c r="F157" s="409"/>
      <c r="G157" s="410"/>
      <c r="H157" s="409"/>
      <c r="I157" s="409"/>
    </row>
    <row r="158" spans="1:10">
      <c r="A158" s="407"/>
      <c r="B158" s="407"/>
      <c r="C158" s="408"/>
      <c r="D158" s="407"/>
      <c r="E158" s="408"/>
      <c r="F158" s="409"/>
      <c r="G158" s="410"/>
      <c r="H158" s="409"/>
      <c r="I158" s="409"/>
    </row>
    <row r="159" spans="1:10">
      <c r="A159" s="407"/>
      <c r="B159" s="407"/>
      <c r="C159" s="408"/>
      <c r="D159" s="407"/>
      <c r="E159" s="408"/>
      <c r="F159" s="409"/>
      <c r="G159" s="410"/>
      <c r="H159" s="409"/>
      <c r="I159" s="409"/>
    </row>
    <row r="160" spans="1:10">
      <c r="A160" s="204"/>
      <c r="F160" s="485"/>
      <c r="H160" s="403"/>
      <c r="I160" s="403"/>
    </row>
    <row r="161" spans="1:10">
      <c r="E161" s="439" t="s">
        <v>702</v>
      </c>
      <c r="I161" s="443">
        <f>SUM(I142:I160)</f>
        <v>0</v>
      </c>
    </row>
    <row r="163" spans="1:10" ht="15.05" customHeight="1">
      <c r="A163" s="1002" t="s">
        <v>90</v>
      </c>
      <c r="B163" s="1002"/>
      <c r="C163" s="1002"/>
      <c r="D163" s="1002"/>
      <c r="E163" s="1002"/>
    </row>
    <row r="165" spans="1:10">
      <c r="A165" s="17">
        <v>1</v>
      </c>
      <c r="B165" s="17" t="s">
        <v>517</v>
      </c>
      <c r="E165" s="17" t="s">
        <v>703</v>
      </c>
      <c r="F165" s="403">
        <v>800</v>
      </c>
      <c r="H165" s="403">
        <f t="shared" si="17"/>
        <v>800</v>
      </c>
      <c r="I165" s="403">
        <f t="shared" ref="I165:I181" si="18">A165*H165</f>
        <v>800</v>
      </c>
      <c r="J165" s="17" t="s">
        <v>704</v>
      </c>
    </row>
    <row r="166" spans="1:10">
      <c r="A166" s="17">
        <v>1</v>
      </c>
      <c r="B166" s="17" t="s">
        <v>517</v>
      </c>
      <c r="E166" s="17" t="s">
        <v>705</v>
      </c>
      <c r="F166" s="403">
        <v>500</v>
      </c>
      <c r="H166" s="403">
        <f t="shared" si="17"/>
        <v>500</v>
      </c>
      <c r="I166" s="403">
        <f t="shared" si="18"/>
        <v>500</v>
      </c>
      <c r="J166" s="17" t="s">
        <v>704</v>
      </c>
    </row>
    <row r="167" spans="1:10">
      <c r="A167" s="17">
        <v>1</v>
      </c>
      <c r="B167" s="17" t="s">
        <v>517</v>
      </c>
      <c r="E167" s="17" t="s">
        <v>706</v>
      </c>
      <c r="F167" s="403">
        <v>40</v>
      </c>
      <c r="H167" s="403">
        <f t="shared" si="17"/>
        <v>40</v>
      </c>
      <c r="I167" s="403">
        <f t="shared" si="18"/>
        <v>40</v>
      </c>
    </row>
    <row r="168" spans="1:10">
      <c r="A168" s="17">
        <v>0</v>
      </c>
      <c r="B168" s="17" t="s">
        <v>517</v>
      </c>
      <c r="E168" s="17" t="s">
        <v>707</v>
      </c>
      <c r="F168" s="403">
        <v>1500</v>
      </c>
      <c r="H168" s="403">
        <f t="shared" si="17"/>
        <v>1500</v>
      </c>
      <c r="I168" s="403">
        <f t="shared" si="18"/>
        <v>0</v>
      </c>
    </row>
    <row r="169" spans="1:10" ht="55.65">
      <c r="A169" s="17">
        <v>0</v>
      </c>
      <c r="B169" s="17" t="s">
        <v>517</v>
      </c>
      <c r="C169" s="204" t="s">
        <v>708</v>
      </c>
      <c r="E169" s="204" t="s">
        <v>709</v>
      </c>
      <c r="F169" s="403">
        <v>460</v>
      </c>
      <c r="H169" s="403">
        <f t="shared" si="17"/>
        <v>460</v>
      </c>
      <c r="I169" s="403">
        <f t="shared" si="18"/>
        <v>0</v>
      </c>
      <c r="J169" s="17" t="s">
        <v>710</v>
      </c>
    </row>
    <row r="170" spans="1:10" ht="55.65">
      <c r="A170" s="17">
        <v>0</v>
      </c>
      <c r="B170" s="17" t="s">
        <v>517</v>
      </c>
      <c r="C170" s="204" t="s">
        <v>711</v>
      </c>
      <c r="E170" s="204" t="s">
        <v>712</v>
      </c>
      <c r="F170" s="403">
        <v>320</v>
      </c>
      <c r="H170" s="403">
        <f t="shared" si="17"/>
        <v>320</v>
      </c>
      <c r="I170" s="403">
        <f t="shared" si="18"/>
        <v>0</v>
      </c>
    </row>
    <row r="171" spans="1:10" ht="55.65">
      <c r="A171" s="17">
        <v>0</v>
      </c>
      <c r="B171" s="17" t="s">
        <v>517</v>
      </c>
      <c r="C171" s="17" t="s">
        <v>713</v>
      </c>
      <c r="D171" s="17" t="s">
        <v>714</v>
      </c>
      <c r="E171" s="204" t="s">
        <v>715</v>
      </c>
      <c r="F171" s="403">
        <v>2725</v>
      </c>
      <c r="H171" s="403">
        <f t="shared" si="17"/>
        <v>2725</v>
      </c>
      <c r="I171" s="403">
        <f t="shared" si="18"/>
        <v>0</v>
      </c>
    </row>
    <row r="172" spans="1:10" ht="33.4">
      <c r="A172" s="17">
        <v>1</v>
      </c>
      <c r="B172" s="17" t="s">
        <v>517</v>
      </c>
      <c r="C172" s="204" t="s">
        <v>716</v>
      </c>
      <c r="E172" s="17" t="s">
        <v>717</v>
      </c>
      <c r="F172" s="403">
        <f>1840*1.04</f>
        <v>1913.6000000000001</v>
      </c>
      <c r="H172" s="403">
        <f t="shared" si="17"/>
        <v>1913.6000000000001</v>
      </c>
      <c r="I172" s="403">
        <f t="shared" si="18"/>
        <v>1913.6000000000001</v>
      </c>
      <c r="J172" s="17" t="s">
        <v>718</v>
      </c>
    </row>
    <row r="173" spans="1:10">
      <c r="H173" s="403"/>
      <c r="I173" s="403"/>
    </row>
    <row r="174" spans="1:10">
      <c r="E174" s="446" t="s">
        <v>719</v>
      </c>
      <c r="H174" s="403"/>
      <c r="I174" s="403"/>
    </row>
    <row r="175" spans="1:10" ht="22.25">
      <c r="A175" s="17">
        <f>2*16</f>
        <v>32</v>
      </c>
      <c r="B175" s="17" t="s">
        <v>619</v>
      </c>
      <c r="C175" s="204" t="s">
        <v>531</v>
      </c>
      <c r="E175" s="17" t="s">
        <v>720</v>
      </c>
      <c r="F175" s="403">
        <v>50</v>
      </c>
      <c r="H175" s="403">
        <f t="shared" si="17"/>
        <v>50</v>
      </c>
      <c r="I175" s="403">
        <f t="shared" si="18"/>
        <v>1600</v>
      </c>
    </row>
    <row r="176" spans="1:10">
      <c r="A176" s="17">
        <f>ROUND((51-2)/2*6,0)</f>
        <v>147</v>
      </c>
      <c r="B176" s="17" t="s">
        <v>517</v>
      </c>
      <c r="C176" s="204" t="s">
        <v>721</v>
      </c>
      <c r="E176" s="17" t="s">
        <v>722</v>
      </c>
      <c r="F176" s="403">
        <f>69/100</f>
        <v>0.69</v>
      </c>
      <c r="H176" s="403">
        <f t="shared" si="17"/>
        <v>0.69</v>
      </c>
      <c r="I176" s="403">
        <f t="shared" si="18"/>
        <v>101.42999999999999</v>
      </c>
    </row>
    <row r="177" spans="1:9">
      <c r="A177" s="17">
        <f t="shared" ref="A177:A178" si="19">A176</f>
        <v>147</v>
      </c>
      <c r="B177" s="17" t="s">
        <v>517</v>
      </c>
      <c r="C177" s="204" t="s">
        <v>721</v>
      </c>
      <c r="E177" s="17" t="s">
        <v>723</v>
      </c>
      <c r="F177" s="403">
        <v>0.1</v>
      </c>
      <c r="H177" s="403">
        <f t="shared" si="17"/>
        <v>0.1</v>
      </c>
      <c r="I177" s="403">
        <f t="shared" si="18"/>
        <v>14.700000000000001</v>
      </c>
    </row>
    <row r="178" spans="1:9">
      <c r="A178" s="17">
        <f t="shared" si="19"/>
        <v>147</v>
      </c>
      <c r="B178" s="17" t="s">
        <v>517</v>
      </c>
      <c r="C178" s="204" t="s">
        <v>721</v>
      </c>
      <c r="E178" s="17" t="s">
        <v>724</v>
      </c>
      <c r="F178" s="403">
        <f>13.25/1.2/100</f>
        <v>0.11041666666666668</v>
      </c>
      <c r="H178" s="403">
        <f t="shared" si="17"/>
        <v>0.11041666666666668</v>
      </c>
      <c r="I178" s="403">
        <f t="shared" si="18"/>
        <v>16.231250000000003</v>
      </c>
    </row>
    <row r="179" spans="1:9" ht="22.25">
      <c r="A179" s="17">
        <f>ROUNDUP(2*(16.4+8.5/12.9*11.3)/4,0)</f>
        <v>12</v>
      </c>
      <c r="B179" s="17" t="s">
        <v>539</v>
      </c>
      <c r="C179" s="204" t="s">
        <v>725</v>
      </c>
      <c r="E179" s="17" t="s">
        <v>726</v>
      </c>
      <c r="F179" s="403">
        <f>15.73/1.2</f>
        <v>13.108333333333334</v>
      </c>
      <c r="H179" s="403">
        <f t="shared" si="17"/>
        <v>13.108333333333334</v>
      </c>
      <c r="I179" s="403">
        <f t="shared" si="18"/>
        <v>157.30000000000001</v>
      </c>
    </row>
    <row r="180" spans="1:9" ht="22.25">
      <c r="A180" s="17">
        <f>A179</f>
        <v>12</v>
      </c>
      <c r="B180" s="17" t="s">
        <v>539</v>
      </c>
      <c r="C180" s="204" t="s">
        <v>531</v>
      </c>
      <c r="E180" s="17" t="s">
        <v>727</v>
      </c>
      <c r="F180" s="403">
        <v>25</v>
      </c>
      <c r="H180" s="403">
        <f t="shared" si="17"/>
        <v>25</v>
      </c>
      <c r="I180" s="403">
        <f t="shared" si="18"/>
        <v>300</v>
      </c>
    </row>
    <row r="181" spans="1:9" ht="22.25">
      <c r="A181" s="17">
        <f>A180*4</f>
        <v>48</v>
      </c>
      <c r="B181" s="17" t="s">
        <v>517</v>
      </c>
      <c r="C181" s="204" t="s">
        <v>531</v>
      </c>
      <c r="E181" s="17" t="s">
        <v>728</v>
      </c>
      <c r="F181" s="403">
        <v>0.1</v>
      </c>
      <c r="H181" s="403">
        <f t="shared" si="17"/>
        <v>0.1</v>
      </c>
      <c r="I181" s="403">
        <f t="shared" si="18"/>
        <v>4.8000000000000007</v>
      </c>
    </row>
    <row r="182" spans="1:9">
      <c r="H182" s="403"/>
      <c r="I182" s="403"/>
    </row>
    <row r="183" spans="1:9" ht="15.75">
      <c r="E183" s="439" t="s">
        <v>729</v>
      </c>
      <c r="I183" s="168">
        <f>SUM(I163:I182)</f>
        <v>5448.0612500000007</v>
      </c>
    </row>
    <row r="185" spans="1:9" ht="13.75" customHeight="1">
      <c r="A185" s="997" t="s">
        <v>68</v>
      </c>
      <c r="B185" s="997"/>
      <c r="C185" s="997"/>
      <c r="D185" s="997"/>
      <c r="E185" s="997"/>
    </row>
    <row r="186" spans="1:9">
      <c r="A186" s="17">
        <v>1</v>
      </c>
      <c r="B186" s="17" t="s">
        <v>517</v>
      </c>
      <c r="E186" s="17" t="s">
        <v>730</v>
      </c>
      <c r="F186" s="403">
        <v>500</v>
      </c>
      <c r="H186" s="403">
        <f t="shared" si="17"/>
        <v>500</v>
      </c>
      <c r="I186" s="403">
        <f t="shared" ref="I186:I188" si="20">A186*H186</f>
        <v>500</v>
      </c>
    </row>
    <row r="187" spans="1:9" ht="55.65">
      <c r="A187" s="17">
        <v>0</v>
      </c>
      <c r="B187" s="17" t="s">
        <v>517</v>
      </c>
      <c r="C187" s="204" t="s">
        <v>708</v>
      </c>
      <c r="E187" s="204" t="s">
        <v>731</v>
      </c>
      <c r="F187" s="403">
        <f>460/2</f>
        <v>230</v>
      </c>
      <c r="H187" s="403">
        <f t="shared" si="17"/>
        <v>230</v>
      </c>
      <c r="I187" s="403">
        <f t="shared" si="20"/>
        <v>0</v>
      </c>
    </row>
    <row r="188" spans="1:9" ht="55.65">
      <c r="A188" s="17">
        <v>0</v>
      </c>
      <c r="B188" s="17" t="s">
        <v>517</v>
      </c>
      <c r="C188" s="204" t="s">
        <v>711</v>
      </c>
      <c r="E188" s="204" t="s">
        <v>732</v>
      </c>
      <c r="F188" s="403">
        <f>320/2</f>
        <v>160</v>
      </c>
      <c r="H188" s="403">
        <f t="shared" si="17"/>
        <v>160</v>
      </c>
      <c r="I188" s="403">
        <f t="shared" si="20"/>
        <v>0</v>
      </c>
    </row>
    <row r="190" spans="1:9" ht="15.75">
      <c r="E190" s="439" t="s">
        <v>733</v>
      </c>
      <c r="I190" s="168">
        <f>SUM(I185:I189)</f>
        <v>500</v>
      </c>
    </row>
    <row r="191" spans="1:9">
      <c r="E191" s="439"/>
    </row>
  </sheetData>
  <mergeCells count="13">
    <mergeCell ref="B1:F1"/>
    <mergeCell ref="A2:G2"/>
    <mergeCell ref="J28:L28"/>
    <mergeCell ref="K93:K94"/>
    <mergeCell ref="K95:K96"/>
    <mergeCell ref="A139:E139"/>
    <mergeCell ref="A163:E163"/>
    <mergeCell ref="A185:E185"/>
    <mergeCell ref="K97:K107"/>
    <mergeCell ref="K114:K115"/>
    <mergeCell ref="K116:K117"/>
    <mergeCell ref="K118:K119"/>
    <mergeCell ref="K120:K130"/>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1"/>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8.710937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20.7109375" style="17" customWidth="1"/>
    <col min="11" max="64" width="10.140625" style="17"/>
  </cols>
  <sheetData>
    <row r="1" spans="1:19" ht="15.05">
      <c r="B1" s="1058" t="s">
        <v>233</v>
      </c>
      <c r="C1" s="1058"/>
      <c r="D1" s="1058"/>
      <c r="E1" s="1058"/>
      <c r="F1" s="1058"/>
      <c r="H1" s="405" t="s">
        <v>493</v>
      </c>
      <c r="I1" s="406">
        <v>310</v>
      </c>
      <c r="J1" s="17" t="s">
        <v>494</v>
      </c>
      <c r="K1" s="17" t="s">
        <v>495</v>
      </c>
      <c r="L1" s="58">
        <f>A4*I1</f>
        <v>34410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13">
        <v>111</v>
      </c>
      <c r="B4" s="413" t="s">
        <v>522</v>
      </c>
      <c r="C4" s="424" t="s">
        <v>817</v>
      </c>
      <c r="D4" s="423" t="s">
        <v>1066</v>
      </c>
      <c r="E4" s="424" t="s">
        <v>1067</v>
      </c>
      <c r="F4" s="421">
        <v>91.74</v>
      </c>
      <c r="G4" s="410"/>
      <c r="H4" s="409">
        <f t="shared" ref="H4:H7" si="0">F4*(1-G4)</f>
        <v>91.74</v>
      </c>
      <c r="I4" s="409">
        <f t="shared" ref="I4:I7" si="1">A4*H4</f>
        <v>10183.14</v>
      </c>
      <c r="J4" s="204"/>
      <c r="K4" s="403"/>
      <c r="L4" s="404"/>
      <c r="M4" s="418">
        <f t="shared" ref="M4:M6" si="2">I4</f>
        <v>10183.14</v>
      </c>
      <c r="N4" s="437"/>
      <c r="O4" s="437"/>
      <c r="P4" s="437"/>
      <c r="Q4" s="437"/>
      <c r="R4" s="437"/>
      <c r="S4" s="437"/>
    </row>
    <row r="5" spans="1:19">
      <c r="A5" s="413">
        <f>A4</f>
        <v>111</v>
      </c>
      <c r="B5" s="413"/>
      <c r="C5" s="420"/>
      <c r="D5" s="413"/>
      <c r="E5" s="413" t="s">
        <v>1564</v>
      </c>
      <c r="F5" s="421">
        <f>'REX Durées'!F17</f>
        <v>53.453066666666665</v>
      </c>
      <c r="G5" s="410"/>
      <c r="H5" s="409">
        <f t="shared" si="0"/>
        <v>53.453066666666665</v>
      </c>
      <c r="I5" s="409">
        <f t="shared" si="1"/>
        <v>5933.2903999999999</v>
      </c>
      <c r="J5" s="17" t="s">
        <v>1966</v>
      </c>
      <c r="M5" s="418">
        <f t="shared" si="2"/>
        <v>5933.2903999999999</v>
      </c>
      <c r="N5" s="437"/>
      <c r="O5" s="437"/>
      <c r="P5" s="437"/>
      <c r="Q5" s="437"/>
      <c r="R5" s="437"/>
      <c r="S5" s="437"/>
    </row>
    <row r="6" spans="1:19" ht="77.900000000000006">
      <c r="A6" s="413">
        <f>1120*1.1</f>
        <v>1232</v>
      </c>
      <c r="B6" s="413"/>
      <c r="C6" s="420" t="s">
        <v>1109</v>
      </c>
      <c r="D6" s="413"/>
      <c r="E6" s="413" t="s">
        <v>1110</v>
      </c>
      <c r="F6" s="421">
        <f>190/1000</f>
        <v>0.19</v>
      </c>
      <c r="G6" s="410"/>
      <c r="H6" s="409">
        <f t="shared" si="0"/>
        <v>0.19</v>
      </c>
      <c r="I6" s="409">
        <f t="shared" si="1"/>
        <v>234.08</v>
      </c>
      <c r="J6" s="204" t="s">
        <v>1111</v>
      </c>
      <c r="M6" s="418">
        <f t="shared" si="2"/>
        <v>234.08</v>
      </c>
      <c r="N6" s="437"/>
      <c r="O6" s="437"/>
      <c r="P6" s="437"/>
      <c r="Q6" s="437"/>
      <c r="R6" s="437"/>
      <c r="S6" s="437"/>
    </row>
    <row r="7" spans="1:19" ht="245.8" customHeight="1">
      <c r="A7" s="413">
        <v>1</v>
      </c>
      <c r="B7" s="413"/>
      <c r="C7" s="420" t="s">
        <v>969</v>
      </c>
      <c r="D7" s="413" t="s">
        <v>829</v>
      </c>
      <c r="E7" s="420" t="s">
        <v>830</v>
      </c>
      <c r="F7" s="421">
        <v>635.23</v>
      </c>
      <c r="G7" s="410"/>
      <c r="H7" s="409">
        <f t="shared" si="0"/>
        <v>635.23</v>
      </c>
      <c r="I7" s="409">
        <f t="shared" si="1"/>
        <v>635.23</v>
      </c>
      <c r="J7" s="204"/>
      <c r="M7" s="437"/>
      <c r="N7" s="437"/>
      <c r="O7" s="437"/>
      <c r="P7" s="437"/>
      <c r="Q7" s="437"/>
      <c r="R7" s="418">
        <f>I7</f>
        <v>635.23</v>
      </c>
      <c r="S7" s="437"/>
    </row>
    <row r="8" spans="1:19">
      <c r="A8" s="407"/>
      <c r="B8" s="407"/>
      <c r="C8" s="408"/>
      <c r="D8" s="407"/>
      <c r="E8" s="408"/>
      <c r="F8" s="409"/>
      <c r="G8" s="410"/>
      <c r="H8" s="409"/>
      <c r="I8" s="409"/>
      <c r="J8" s="204"/>
      <c r="M8" s="437"/>
      <c r="N8" s="437"/>
      <c r="O8" s="437"/>
      <c r="P8" s="437"/>
      <c r="Q8" s="437"/>
      <c r="R8" s="418"/>
      <c r="S8" s="437"/>
    </row>
    <row r="9" spans="1:19" ht="55.65">
      <c r="A9" s="413">
        <v>1</v>
      </c>
      <c r="B9" s="413"/>
      <c r="C9" s="420" t="s">
        <v>987</v>
      </c>
      <c r="D9" s="413" t="s">
        <v>556</v>
      </c>
      <c r="E9" s="413" t="s">
        <v>997</v>
      </c>
      <c r="F9" s="421">
        <v>387.78</v>
      </c>
      <c r="G9" s="410"/>
      <c r="H9" s="409"/>
      <c r="I9" s="409"/>
      <c r="J9" s="204" t="s">
        <v>1967</v>
      </c>
      <c r="M9" s="437"/>
      <c r="N9" s="437"/>
      <c r="O9" s="437"/>
      <c r="P9" s="437"/>
      <c r="Q9" s="437"/>
      <c r="R9" s="418"/>
      <c r="S9" s="437"/>
    </row>
    <row r="10" spans="1:19" ht="233.05" customHeight="1">
      <c r="A10" s="413">
        <v>1</v>
      </c>
      <c r="B10" s="413" t="s">
        <v>522</v>
      </c>
      <c r="C10" s="420" t="s">
        <v>987</v>
      </c>
      <c r="D10" s="413" t="s">
        <v>985</v>
      </c>
      <c r="E10" s="420" t="s">
        <v>1500</v>
      </c>
      <c r="F10" s="421">
        <v>493.33</v>
      </c>
      <c r="G10" s="410"/>
      <c r="H10" s="409">
        <f>F10*(1-G10)</f>
        <v>493.33</v>
      </c>
      <c r="I10" s="409">
        <f>A10*H10</f>
        <v>493.33</v>
      </c>
      <c r="J10" s="204" t="s">
        <v>1968</v>
      </c>
      <c r="M10" s="437"/>
      <c r="N10" s="437"/>
      <c r="O10" s="437"/>
      <c r="P10" s="437"/>
      <c r="Q10" s="437"/>
      <c r="R10" s="418">
        <f>I10</f>
        <v>493.33</v>
      </c>
      <c r="S10" s="437"/>
    </row>
    <row r="11" spans="1:19">
      <c r="A11" s="407"/>
      <c r="B11" s="407"/>
      <c r="C11" s="408"/>
      <c r="D11" s="407"/>
      <c r="E11" s="408"/>
      <c r="F11" s="409"/>
      <c r="G11" s="410"/>
      <c r="H11" s="409"/>
      <c r="I11" s="409"/>
      <c r="J11" s="204"/>
      <c r="M11" s="437"/>
      <c r="N11" s="418"/>
      <c r="O11" s="437"/>
      <c r="P11" s="437"/>
      <c r="Q11" s="437"/>
      <c r="R11" s="418"/>
      <c r="S11" s="437"/>
    </row>
    <row r="12" spans="1:19" ht="55.65">
      <c r="A12" s="413">
        <v>150</v>
      </c>
      <c r="B12" s="413" t="s">
        <v>539</v>
      </c>
      <c r="C12" s="420" t="s">
        <v>987</v>
      </c>
      <c r="D12" s="413" t="s">
        <v>541</v>
      </c>
      <c r="E12" s="420" t="s">
        <v>542</v>
      </c>
      <c r="F12" s="421">
        <f t="shared" ref="F12:F13" si="3">328.33/500</f>
        <v>0.65666000000000002</v>
      </c>
      <c r="G12" s="410"/>
      <c r="H12" s="409">
        <f t="shared" ref="H12:H65" si="4">F12*(1-G12)</f>
        <v>0.65666000000000002</v>
      </c>
      <c r="I12" s="409">
        <f t="shared" ref="I12:I26" si="5">A12*H12</f>
        <v>98.499000000000009</v>
      </c>
      <c r="J12" s="204"/>
      <c r="M12" s="437"/>
      <c r="N12" s="437"/>
      <c r="O12" s="418">
        <f t="shared" ref="O12:O23" si="6">I12</f>
        <v>98.499000000000009</v>
      </c>
      <c r="P12" s="418"/>
      <c r="Q12" s="418"/>
      <c r="R12" s="437"/>
      <c r="S12" s="437"/>
    </row>
    <row r="13" spans="1:19" ht="55.65">
      <c r="A13" s="413">
        <v>280</v>
      </c>
      <c r="B13" s="413" t="s">
        <v>539</v>
      </c>
      <c r="C13" s="420" t="s">
        <v>987</v>
      </c>
      <c r="D13" s="413" t="s">
        <v>543</v>
      </c>
      <c r="E13" s="420" t="s">
        <v>544</v>
      </c>
      <c r="F13" s="421">
        <f t="shared" si="3"/>
        <v>0.65666000000000002</v>
      </c>
      <c r="G13" s="410"/>
      <c r="H13" s="409">
        <f t="shared" si="4"/>
        <v>0.65666000000000002</v>
      </c>
      <c r="I13" s="409">
        <f t="shared" si="5"/>
        <v>183.8648</v>
      </c>
      <c r="J13" s="204"/>
      <c r="M13" s="437"/>
      <c r="N13" s="437"/>
      <c r="O13" s="418">
        <f t="shared" si="6"/>
        <v>183.8648</v>
      </c>
      <c r="P13" s="418"/>
      <c r="Q13" s="418"/>
      <c r="R13" s="437"/>
      <c r="S13" s="437"/>
    </row>
    <row r="14" spans="1:19" ht="22.25">
      <c r="A14" s="413">
        <v>48</v>
      </c>
      <c r="B14" s="413" t="s">
        <v>522</v>
      </c>
      <c r="C14" s="420" t="s">
        <v>1074</v>
      </c>
      <c r="D14" s="413"/>
      <c r="E14" s="420" t="s">
        <v>1079</v>
      </c>
      <c r="F14" s="421">
        <v>1.3</v>
      </c>
      <c r="G14" s="410"/>
      <c r="H14" s="409">
        <f t="shared" si="4"/>
        <v>1.3</v>
      </c>
      <c r="I14" s="409">
        <f t="shared" si="5"/>
        <v>62.400000000000006</v>
      </c>
      <c r="J14" s="204"/>
      <c r="M14" s="437"/>
      <c r="N14" s="437"/>
      <c r="O14" s="418">
        <f t="shared" si="6"/>
        <v>62.400000000000006</v>
      </c>
      <c r="P14" s="437"/>
      <c r="Q14" s="437"/>
      <c r="R14" s="418"/>
      <c r="S14" s="437"/>
    </row>
    <row r="15" spans="1:19" ht="22.25">
      <c r="A15" s="413">
        <v>48</v>
      </c>
      <c r="B15" s="413" t="s">
        <v>522</v>
      </c>
      <c r="C15" s="420" t="s">
        <v>1074</v>
      </c>
      <c r="D15" s="413"/>
      <c r="E15" s="420" t="s">
        <v>1080</v>
      </c>
      <c r="F15" s="421">
        <v>0.98</v>
      </c>
      <c r="G15" s="410"/>
      <c r="H15" s="409">
        <f t="shared" si="4"/>
        <v>0.98</v>
      </c>
      <c r="I15" s="409">
        <f t="shared" si="5"/>
        <v>47.04</v>
      </c>
      <c r="J15" s="204"/>
      <c r="M15" s="437"/>
      <c r="N15" s="437"/>
      <c r="O15" s="418">
        <f t="shared" si="6"/>
        <v>47.04</v>
      </c>
      <c r="P15" s="437"/>
      <c r="Q15" s="437"/>
      <c r="R15" s="418"/>
      <c r="S15" s="437"/>
    </row>
    <row r="16" spans="1:19" ht="55.65">
      <c r="A16" s="413">
        <v>1</v>
      </c>
      <c r="B16" s="413" t="s">
        <v>522</v>
      </c>
      <c r="C16" s="420" t="s">
        <v>987</v>
      </c>
      <c r="D16" s="413" t="s">
        <v>821</v>
      </c>
      <c r="E16" s="420" t="s">
        <v>822</v>
      </c>
      <c r="F16" s="421">
        <v>2175.1999999999998</v>
      </c>
      <c r="G16" s="410"/>
      <c r="H16" s="409">
        <f t="shared" si="4"/>
        <v>2175.1999999999998</v>
      </c>
      <c r="I16" s="409">
        <f t="shared" si="5"/>
        <v>2175.1999999999998</v>
      </c>
      <c r="J16" s="204"/>
      <c r="M16" s="437"/>
      <c r="N16" s="418">
        <f t="shared" ref="N16:N18" si="7">I16</f>
        <v>2175.1999999999998</v>
      </c>
      <c r="O16" s="437"/>
      <c r="P16" s="437"/>
      <c r="Q16" s="437"/>
      <c r="R16" s="437"/>
      <c r="S16" s="437"/>
    </row>
    <row r="17" spans="1:19" ht="33.4">
      <c r="A17" s="413">
        <v>1</v>
      </c>
      <c r="B17" s="413" t="s">
        <v>530</v>
      </c>
      <c r="C17" s="420" t="s">
        <v>969</v>
      </c>
      <c r="D17" s="413" t="s">
        <v>556</v>
      </c>
      <c r="E17" s="420" t="s">
        <v>1969</v>
      </c>
      <c r="F17" s="421">
        <v>905.34</v>
      </c>
      <c r="G17" s="410"/>
      <c r="H17" s="409">
        <f t="shared" si="4"/>
        <v>905.34</v>
      </c>
      <c r="I17" s="409">
        <f t="shared" si="5"/>
        <v>905.34</v>
      </c>
      <c r="J17" s="204"/>
      <c r="M17" s="437"/>
      <c r="N17" s="418">
        <f t="shared" si="7"/>
        <v>905.34</v>
      </c>
      <c r="O17" s="437"/>
      <c r="P17" s="437"/>
      <c r="Q17" s="437"/>
      <c r="R17" s="437"/>
      <c r="S17" s="437"/>
    </row>
    <row r="18" spans="1:19">
      <c r="A18" s="407"/>
      <c r="B18" s="407"/>
      <c r="C18" s="408"/>
      <c r="D18" s="407"/>
      <c r="E18" s="408"/>
      <c r="F18" s="409"/>
      <c r="G18" s="410"/>
      <c r="H18" s="409">
        <f t="shared" si="4"/>
        <v>0</v>
      </c>
      <c r="I18" s="409">
        <f t="shared" si="5"/>
        <v>0</v>
      </c>
      <c r="J18" s="204"/>
      <c r="M18" s="437"/>
      <c r="N18" s="418">
        <f t="shared" si="7"/>
        <v>0</v>
      </c>
      <c r="O18" s="437"/>
      <c r="P18" s="437"/>
      <c r="Q18" s="437"/>
      <c r="R18" s="437"/>
      <c r="S18" s="437"/>
    </row>
    <row r="19" spans="1:19" ht="55.65">
      <c r="A19" s="413">
        <v>12</v>
      </c>
      <c r="B19" s="413" t="s">
        <v>522</v>
      </c>
      <c r="C19" s="420" t="s">
        <v>987</v>
      </c>
      <c r="D19" s="413" t="s">
        <v>761</v>
      </c>
      <c r="E19" s="420" t="s">
        <v>762</v>
      </c>
      <c r="F19" s="421">
        <v>2.5</v>
      </c>
      <c r="G19" s="410"/>
      <c r="H19" s="409">
        <f t="shared" si="4"/>
        <v>2.5</v>
      </c>
      <c r="I19" s="409">
        <f t="shared" si="5"/>
        <v>30</v>
      </c>
      <c r="J19" s="204"/>
      <c r="M19" s="437"/>
      <c r="N19" s="437"/>
      <c r="O19" s="437"/>
      <c r="P19" s="437"/>
      <c r="Q19" s="437"/>
      <c r="R19" s="418">
        <f t="shared" ref="R19:R20" si="8">I19</f>
        <v>30</v>
      </c>
      <c r="S19" s="437"/>
    </row>
    <row r="20" spans="1:19" ht="45" customHeight="1">
      <c r="A20" s="413">
        <v>1</v>
      </c>
      <c r="B20" s="413" t="s">
        <v>522</v>
      </c>
      <c r="C20" s="420" t="s">
        <v>1479</v>
      </c>
      <c r="D20" s="413"/>
      <c r="E20" s="420" t="s">
        <v>803</v>
      </c>
      <c r="F20" s="421">
        <v>564.44000000000005</v>
      </c>
      <c r="G20" s="410"/>
      <c r="H20" s="409">
        <f t="shared" si="4"/>
        <v>564.44000000000005</v>
      </c>
      <c r="I20" s="409">
        <f t="shared" si="5"/>
        <v>564.44000000000005</v>
      </c>
      <c r="J20" s="1054" t="s">
        <v>1970</v>
      </c>
      <c r="K20" s="1054"/>
      <c r="L20" s="1054"/>
      <c r="M20" s="437"/>
      <c r="N20" s="437"/>
      <c r="O20" s="437"/>
      <c r="P20" s="437"/>
      <c r="Q20" s="437"/>
      <c r="R20" s="418">
        <f t="shared" si="8"/>
        <v>564.44000000000005</v>
      </c>
      <c r="S20" s="437"/>
    </row>
    <row r="21" spans="1:19" ht="22.25">
      <c r="A21" s="413">
        <v>1</v>
      </c>
      <c r="B21" s="413" t="s">
        <v>522</v>
      </c>
      <c r="C21" s="420"/>
      <c r="D21" s="413"/>
      <c r="E21" s="420" t="s">
        <v>695</v>
      </c>
      <c r="F21" s="421">
        <v>100</v>
      </c>
      <c r="G21" s="410"/>
      <c r="H21" s="409">
        <f t="shared" si="4"/>
        <v>100</v>
      </c>
      <c r="I21" s="409">
        <f t="shared" si="5"/>
        <v>100</v>
      </c>
      <c r="J21" s="204" t="s">
        <v>696</v>
      </c>
      <c r="M21" s="437"/>
      <c r="N21" s="437"/>
      <c r="O21" s="418">
        <f t="shared" si="6"/>
        <v>100</v>
      </c>
      <c r="P21" s="437"/>
      <c r="Q21" s="437"/>
      <c r="R21" s="418"/>
      <c r="S21" s="437"/>
    </row>
    <row r="22" spans="1:19" ht="55.65">
      <c r="A22" s="413">
        <v>1</v>
      </c>
      <c r="B22" s="413"/>
      <c r="C22" s="420" t="s">
        <v>1011</v>
      </c>
      <c r="D22" s="413" t="s">
        <v>769</v>
      </c>
      <c r="E22" s="413" t="s">
        <v>567</v>
      </c>
      <c r="F22" s="421">
        <v>343.75</v>
      </c>
      <c r="G22" s="410"/>
      <c r="H22" s="409">
        <f t="shared" si="4"/>
        <v>343.75</v>
      </c>
      <c r="I22" s="409">
        <f t="shared" si="5"/>
        <v>343.75</v>
      </c>
      <c r="J22" s="204"/>
      <c r="M22" s="418">
        <f>F22</f>
        <v>343.75</v>
      </c>
      <c r="N22" s="437"/>
      <c r="O22" s="437"/>
      <c r="P22" s="437"/>
      <c r="Q22" s="437"/>
      <c r="R22" s="437"/>
      <c r="S22" s="437"/>
    </row>
    <row r="23" spans="1:19" ht="22.25">
      <c r="A23" s="413">
        <v>50</v>
      </c>
      <c r="B23" s="413" t="s">
        <v>539</v>
      </c>
      <c r="C23" s="420" t="s">
        <v>1445</v>
      </c>
      <c r="D23" s="413"/>
      <c r="E23" s="413" t="s">
        <v>691</v>
      </c>
      <c r="F23" s="421">
        <f>7.58/1.2</f>
        <v>6.3166666666666673</v>
      </c>
      <c r="G23" s="428"/>
      <c r="H23" s="430">
        <f t="shared" si="4"/>
        <v>6.3166666666666673</v>
      </c>
      <c r="I23" s="430">
        <f t="shared" si="5"/>
        <v>315.83333333333337</v>
      </c>
      <c r="J23" s="719"/>
      <c r="K23" s="728"/>
      <c r="L23" s="728"/>
      <c r="M23" s="418"/>
      <c r="N23" s="437"/>
      <c r="O23" s="418">
        <f t="shared" si="6"/>
        <v>315.83333333333337</v>
      </c>
      <c r="P23" s="437"/>
      <c r="Q23" s="437"/>
      <c r="R23" s="437"/>
      <c r="S23" s="437"/>
    </row>
    <row r="24" spans="1:19" ht="44.55">
      <c r="A24" s="413">
        <v>1</v>
      </c>
      <c r="B24" s="413" t="s">
        <v>517</v>
      </c>
      <c r="C24" s="408" t="s">
        <v>569</v>
      </c>
      <c r="D24" s="407" t="s">
        <v>570</v>
      </c>
      <c r="E24" s="408" t="s">
        <v>571</v>
      </c>
      <c r="F24" s="409">
        <v>1040</v>
      </c>
      <c r="G24" s="429">
        <v>0.48</v>
      </c>
      <c r="H24" s="430">
        <f t="shared" si="4"/>
        <v>540.80000000000007</v>
      </c>
      <c r="I24" s="430">
        <f t="shared" si="5"/>
        <v>540.80000000000007</v>
      </c>
      <c r="J24" s="719"/>
      <c r="M24" s="418"/>
      <c r="N24" s="437"/>
      <c r="O24" s="437"/>
      <c r="P24" s="437"/>
      <c r="Q24" s="437"/>
      <c r="R24" s="437"/>
      <c r="S24" s="418">
        <f t="shared" ref="S24:S26" si="9">I24</f>
        <v>540.80000000000007</v>
      </c>
    </row>
    <row r="25" spans="1:19">
      <c r="A25" s="413">
        <v>5</v>
      </c>
      <c r="B25" s="413" t="s">
        <v>517</v>
      </c>
      <c r="C25" s="420" t="s">
        <v>574</v>
      </c>
      <c r="D25" s="413"/>
      <c r="E25" s="413" t="s">
        <v>1008</v>
      </c>
      <c r="F25" s="421">
        <v>75</v>
      </c>
      <c r="G25" s="410"/>
      <c r="H25" s="409">
        <f t="shared" si="4"/>
        <v>75</v>
      </c>
      <c r="I25" s="409">
        <f t="shared" si="5"/>
        <v>375</v>
      </c>
      <c r="J25" s="204"/>
      <c r="M25" s="418"/>
      <c r="N25" s="437"/>
      <c r="O25" s="437"/>
      <c r="P25" s="437"/>
      <c r="Q25" s="437"/>
      <c r="R25" s="437"/>
      <c r="S25" s="418">
        <f t="shared" si="9"/>
        <v>375</v>
      </c>
    </row>
    <row r="26" spans="1:19">
      <c r="A26" s="413">
        <v>1</v>
      </c>
      <c r="B26" s="413" t="s">
        <v>517</v>
      </c>
      <c r="C26" s="420" t="s">
        <v>574</v>
      </c>
      <c r="D26" s="413"/>
      <c r="E26" s="413" t="s">
        <v>567</v>
      </c>
      <c r="F26" s="421">
        <f>35/4</f>
        <v>8.75</v>
      </c>
      <c r="G26" s="410"/>
      <c r="H26" s="409">
        <f t="shared" si="4"/>
        <v>8.75</v>
      </c>
      <c r="I26" s="409">
        <f t="shared" si="5"/>
        <v>8.75</v>
      </c>
      <c r="J26" s="204"/>
      <c r="M26" s="418"/>
      <c r="N26" s="437"/>
      <c r="O26" s="437"/>
      <c r="P26" s="437"/>
      <c r="Q26" s="437"/>
      <c r="R26" s="437"/>
      <c r="S26" s="418">
        <f t="shared" si="9"/>
        <v>8.75</v>
      </c>
    </row>
    <row r="27" spans="1:19" ht="12.45">
      <c r="A27" s="407"/>
      <c r="B27" s="407"/>
      <c r="C27" s="408"/>
      <c r="D27" s="407"/>
      <c r="E27" s="431"/>
      <c r="F27" s="409"/>
      <c r="G27" s="410"/>
      <c r="H27" s="409"/>
      <c r="I27" s="409"/>
      <c r="J27" s="204"/>
      <c r="M27" s="418"/>
      <c r="N27" s="437"/>
      <c r="O27" s="437"/>
      <c r="P27" s="437"/>
      <c r="Q27" s="437"/>
      <c r="R27" s="437"/>
      <c r="S27" s="437"/>
    </row>
    <row r="28" spans="1:19">
      <c r="A28" s="407"/>
      <c r="B28" s="407"/>
      <c r="C28" s="408"/>
      <c r="D28" s="407"/>
      <c r="E28" s="407"/>
      <c r="F28" s="409"/>
      <c r="G28" s="410"/>
      <c r="H28" s="409"/>
      <c r="I28" s="409"/>
      <c r="J28" s="204"/>
      <c r="M28" s="437"/>
      <c r="N28" s="437"/>
      <c r="O28" s="437"/>
      <c r="P28" s="437"/>
      <c r="Q28" s="437"/>
      <c r="R28" s="437"/>
      <c r="S28" s="437"/>
    </row>
    <row r="29" spans="1:19">
      <c r="A29" s="407"/>
      <c r="B29" s="407"/>
      <c r="C29" s="408"/>
      <c r="D29" s="407"/>
      <c r="E29" s="432" t="s">
        <v>580</v>
      </c>
      <c r="F29" s="409"/>
      <c r="G29" s="410"/>
      <c r="H29" s="409"/>
      <c r="I29" s="421">
        <f>SUM(I4:I27)</f>
        <v>23229.987533333333</v>
      </c>
      <c r="J29" s="204"/>
      <c r="M29" s="418">
        <f>SUM(M4:M27)</f>
        <v>16694.260399999999</v>
      </c>
      <c r="N29" s="418">
        <f>SUM(N4:N27)</f>
        <v>3080.54</v>
      </c>
      <c r="O29" s="418">
        <f>SUM(O4:O27)</f>
        <v>807.6371333333334</v>
      </c>
      <c r="P29" s="418"/>
      <c r="Q29" s="418"/>
      <c r="R29" s="418">
        <f>SUM(R4:R27)</f>
        <v>1723</v>
      </c>
      <c r="S29" s="437"/>
    </row>
    <row r="30" spans="1:19">
      <c r="A30" s="407"/>
      <c r="B30" s="407"/>
      <c r="C30" s="408"/>
      <c r="D30" s="407"/>
      <c r="E30" s="413" t="s">
        <v>581</v>
      </c>
      <c r="F30" s="409"/>
      <c r="G30" s="410">
        <v>0.25</v>
      </c>
      <c r="H30" s="409"/>
      <c r="I30" s="421"/>
      <c r="J30" s="204"/>
      <c r="M30" s="418"/>
      <c r="N30" s="418"/>
      <c r="O30" s="418"/>
      <c r="P30" s="418"/>
      <c r="Q30" s="418"/>
      <c r="R30" s="418"/>
      <c r="S30" s="437"/>
    </row>
    <row r="31" spans="1:19" ht="15.75">
      <c r="E31" s="433" t="s">
        <v>582</v>
      </c>
      <c r="F31" s="418"/>
      <c r="G31" s="434"/>
      <c r="H31" s="418"/>
      <c r="I31" s="435">
        <f>I29*(1+$G$30)</f>
        <v>29037.484416666666</v>
      </c>
      <c r="J31" s="436"/>
      <c r="K31" s="437"/>
      <c r="L31" s="437"/>
      <c r="M31" s="165">
        <f>M29*(1+$G$30)</f>
        <v>20867.825499999999</v>
      </c>
      <c r="N31" s="165">
        <f>N29*(1+$G$30)</f>
        <v>3850.6750000000002</v>
      </c>
      <c r="O31" s="165">
        <f>O29*(1+$G$30)</f>
        <v>1009.5464166666668</v>
      </c>
      <c r="P31" s="418"/>
      <c r="Q31" s="418"/>
      <c r="R31" s="165">
        <f>R29*(1+$G$30)</f>
        <v>2153.75</v>
      </c>
      <c r="S31" s="165">
        <f>SUM(S4:S30)</f>
        <v>924.55000000000007</v>
      </c>
    </row>
    <row r="34" spans="1:10">
      <c r="E34" s="439" t="s">
        <v>585</v>
      </c>
    </row>
    <row r="35" spans="1:10">
      <c r="A35" s="441">
        <v>3.5</v>
      </c>
      <c r="B35" s="17" t="s">
        <v>619</v>
      </c>
      <c r="E35" s="17" t="s">
        <v>586</v>
      </c>
      <c r="F35" s="403">
        <f t="shared" ref="F35:F50" si="10">F$54</f>
        <v>55</v>
      </c>
      <c r="H35" s="403">
        <f t="shared" si="4"/>
        <v>55</v>
      </c>
      <c r="I35" s="403">
        <f t="shared" ref="I35:I56" si="11">A35*H35</f>
        <v>192.5</v>
      </c>
      <c r="J35" s="17" t="s">
        <v>1971</v>
      </c>
    </row>
    <row r="36" spans="1:10">
      <c r="A36" s="445">
        <f>A5*'REX Durées'!F21</f>
        <v>141.10703703703703</v>
      </c>
      <c r="B36" s="17" t="s">
        <v>619</v>
      </c>
      <c r="E36" s="17" t="s">
        <v>1972</v>
      </c>
      <c r="F36" s="403">
        <f t="shared" si="10"/>
        <v>55</v>
      </c>
      <c r="H36" s="403">
        <f t="shared" si="4"/>
        <v>55</v>
      </c>
      <c r="I36" s="403">
        <f t="shared" si="11"/>
        <v>7760.8870370370369</v>
      </c>
      <c r="J36" s="17" t="s">
        <v>1966</v>
      </c>
    </row>
    <row r="37" spans="1:10">
      <c r="A37" s="441">
        <f>3.3*6/2</f>
        <v>9.8999999999999986</v>
      </c>
      <c r="B37" s="17" t="s">
        <v>619</v>
      </c>
      <c r="E37" s="17" t="s">
        <v>1426</v>
      </c>
      <c r="F37" s="403">
        <f t="shared" si="10"/>
        <v>55</v>
      </c>
      <c r="H37" s="403">
        <f t="shared" si="4"/>
        <v>55</v>
      </c>
      <c r="I37" s="403">
        <f t="shared" si="11"/>
        <v>544.49999999999989</v>
      </c>
      <c r="J37" s="17" t="s">
        <v>1450</v>
      </c>
    </row>
    <row r="38" spans="1:10">
      <c r="A38" s="441">
        <f>7.75*A4/30</f>
        <v>28.675000000000001</v>
      </c>
      <c r="B38" s="17" t="s">
        <v>619</v>
      </c>
      <c r="E38" s="17" t="s">
        <v>591</v>
      </c>
      <c r="F38" s="403">
        <f t="shared" si="10"/>
        <v>55</v>
      </c>
      <c r="H38" s="403">
        <f t="shared" si="4"/>
        <v>55</v>
      </c>
      <c r="I38" s="403">
        <f t="shared" si="11"/>
        <v>1577.125</v>
      </c>
      <c r="J38" s="17" t="s">
        <v>1451</v>
      </c>
    </row>
    <row r="39" spans="1:10">
      <c r="A39" s="441">
        <v>0</v>
      </c>
      <c r="B39" s="17" t="s">
        <v>619</v>
      </c>
      <c r="E39" s="17" t="s">
        <v>1428</v>
      </c>
      <c r="F39" s="403">
        <f t="shared" si="10"/>
        <v>55</v>
      </c>
      <c r="H39" s="403">
        <f t="shared" si="4"/>
        <v>55</v>
      </c>
      <c r="I39" s="403">
        <f t="shared" si="11"/>
        <v>0</v>
      </c>
      <c r="J39" s="17" t="s">
        <v>1452</v>
      </c>
    </row>
    <row r="40" spans="1:10">
      <c r="A40" s="441">
        <v>0</v>
      </c>
      <c r="B40" s="17" t="s">
        <v>619</v>
      </c>
      <c r="E40" s="17" t="s">
        <v>1429</v>
      </c>
      <c r="F40" s="403">
        <f t="shared" si="10"/>
        <v>55</v>
      </c>
      <c r="H40" s="403">
        <f t="shared" si="4"/>
        <v>55</v>
      </c>
      <c r="I40" s="403">
        <f t="shared" si="11"/>
        <v>0</v>
      </c>
      <c r="J40" s="17" t="s">
        <v>1452</v>
      </c>
    </row>
    <row r="41" spans="1:10">
      <c r="A41" s="441">
        <v>0</v>
      </c>
      <c r="B41" s="17" t="s">
        <v>619</v>
      </c>
      <c r="E41" s="17" t="s">
        <v>605</v>
      </c>
      <c r="F41" s="403">
        <f t="shared" si="10"/>
        <v>55</v>
      </c>
      <c r="H41" s="403">
        <f t="shared" si="4"/>
        <v>55</v>
      </c>
      <c r="I41" s="403">
        <f t="shared" si="11"/>
        <v>0</v>
      </c>
      <c r="J41" s="17" t="s">
        <v>1453</v>
      </c>
    </row>
    <row r="42" spans="1:10">
      <c r="A42" s="441">
        <v>8</v>
      </c>
      <c r="B42" s="17" t="s">
        <v>619</v>
      </c>
      <c r="E42" s="17" t="s">
        <v>607</v>
      </c>
      <c r="F42" s="403">
        <f t="shared" si="10"/>
        <v>55</v>
      </c>
      <c r="H42" s="403">
        <f t="shared" si="4"/>
        <v>55</v>
      </c>
      <c r="I42" s="403">
        <f t="shared" si="11"/>
        <v>440</v>
      </c>
    </row>
    <row r="43" spans="1:10">
      <c r="A43" s="441">
        <v>0</v>
      </c>
      <c r="B43" s="17" t="s">
        <v>619</v>
      </c>
      <c r="E43" s="17" t="s">
        <v>609</v>
      </c>
      <c r="F43" s="403">
        <f t="shared" si="10"/>
        <v>55</v>
      </c>
      <c r="H43" s="403">
        <f t="shared" si="4"/>
        <v>55</v>
      </c>
      <c r="I43" s="403">
        <f t="shared" si="11"/>
        <v>0</v>
      </c>
      <c r="J43" s="17" t="s">
        <v>1453</v>
      </c>
    </row>
    <row r="44" spans="1:10">
      <c r="A44" s="441">
        <v>0</v>
      </c>
      <c r="B44" s="17" t="s">
        <v>619</v>
      </c>
      <c r="E44" s="17" t="s">
        <v>610</v>
      </c>
      <c r="F44" s="403">
        <f t="shared" si="10"/>
        <v>55</v>
      </c>
      <c r="H44" s="403">
        <f t="shared" si="4"/>
        <v>55</v>
      </c>
      <c r="I44" s="403">
        <f t="shared" si="11"/>
        <v>0</v>
      </c>
      <c r="J44" s="17" t="s">
        <v>1453</v>
      </c>
    </row>
    <row r="45" spans="1:10">
      <c r="A45" s="441">
        <v>0</v>
      </c>
      <c r="B45" s="17" t="s">
        <v>619</v>
      </c>
      <c r="E45" s="17" t="s">
        <v>611</v>
      </c>
      <c r="F45" s="403">
        <f t="shared" si="10"/>
        <v>55</v>
      </c>
      <c r="H45" s="403">
        <f t="shared" si="4"/>
        <v>55</v>
      </c>
      <c r="I45" s="403">
        <f t="shared" si="11"/>
        <v>0</v>
      </c>
      <c r="J45" s="17" t="s">
        <v>1453</v>
      </c>
    </row>
    <row r="46" spans="1:10">
      <c r="A46" s="441">
        <v>1</v>
      </c>
      <c r="B46" s="17" t="s">
        <v>619</v>
      </c>
      <c r="E46" s="17" t="s">
        <v>1431</v>
      </c>
      <c r="F46" s="403">
        <f t="shared" si="10"/>
        <v>55</v>
      </c>
      <c r="H46" s="403">
        <f t="shared" si="4"/>
        <v>55</v>
      </c>
      <c r="I46" s="403">
        <f t="shared" si="11"/>
        <v>55</v>
      </c>
    </row>
    <row r="47" spans="1:10">
      <c r="A47" s="441">
        <v>5</v>
      </c>
      <c r="B47" s="17" t="s">
        <v>619</v>
      </c>
      <c r="E47" s="17" t="s">
        <v>612</v>
      </c>
      <c r="F47" s="403">
        <f t="shared" si="10"/>
        <v>55</v>
      </c>
      <c r="H47" s="403">
        <f t="shared" si="4"/>
        <v>55</v>
      </c>
      <c r="I47" s="403">
        <f t="shared" si="11"/>
        <v>275</v>
      </c>
      <c r="J47" s="17" t="s">
        <v>1973</v>
      </c>
    </row>
    <row r="48" spans="1:10">
      <c r="A48" s="441">
        <v>1.5</v>
      </c>
      <c r="B48" s="17" t="s">
        <v>619</v>
      </c>
      <c r="E48" s="17" t="s">
        <v>614</v>
      </c>
      <c r="F48" s="403">
        <f t="shared" si="10"/>
        <v>55</v>
      </c>
      <c r="H48" s="403">
        <f t="shared" si="4"/>
        <v>55</v>
      </c>
      <c r="I48" s="403">
        <f t="shared" si="11"/>
        <v>82.5</v>
      </c>
      <c r="J48" s="17" t="s">
        <v>1971</v>
      </c>
    </row>
    <row r="49" spans="1:16">
      <c r="A49" s="441">
        <v>0</v>
      </c>
      <c r="B49" s="17" t="s">
        <v>619</v>
      </c>
      <c r="E49" s="17" t="s">
        <v>617</v>
      </c>
      <c r="F49" s="403">
        <f t="shared" si="10"/>
        <v>55</v>
      </c>
      <c r="H49" s="403">
        <f t="shared" si="4"/>
        <v>55</v>
      </c>
      <c r="I49" s="403">
        <f t="shared" si="11"/>
        <v>0</v>
      </c>
      <c r="J49" s="17" t="s">
        <v>1974</v>
      </c>
    </row>
    <row r="50" spans="1:16">
      <c r="A50" s="441">
        <v>4</v>
      </c>
      <c r="B50" s="17" t="s">
        <v>619</v>
      </c>
      <c r="E50" s="17" t="s">
        <v>616</v>
      </c>
      <c r="F50" s="403">
        <f t="shared" si="10"/>
        <v>55</v>
      </c>
      <c r="H50" s="403">
        <f t="shared" si="4"/>
        <v>55</v>
      </c>
      <c r="I50" s="403">
        <f t="shared" si="11"/>
        <v>220</v>
      </c>
    </row>
    <row r="52" spans="1:16">
      <c r="A52" s="403">
        <f>SUM(A35:A51)</f>
        <v>202.68203703703705</v>
      </c>
      <c r="B52" s="17" t="s">
        <v>619</v>
      </c>
      <c r="E52" s="17" t="s">
        <v>620</v>
      </c>
    </row>
    <row r="53" spans="1:16">
      <c r="A53" s="441">
        <v>3</v>
      </c>
      <c r="B53" s="17" t="s">
        <v>517</v>
      </c>
      <c r="E53" s="17" t="s">
        <v>621</v>
      </c>
    </row>
    <row r="54" spans="1:16">
      <c r="A54" s="17">
        <v>1</v>
      </c>
      <c r="B54" s="17" t="s">
        <v>517</v>
      </c>
      <c r="E54" s="17" t="s">
        <v>622</v>
      </c>
      <c r="F54" s="445">
        <v>55</v>
      </c>
      <c r="H54" s="403">
        <f t="shared" si="4"/>
        <v>55</v>
      </c>
      <c r="I54" s="403">
        <f t="shared" si="11"/>
        <v>55</v>
      </c>
      <c r="J54" s="17" t="s">
        <v>623</v>
      </c>
    </row>
    <row r="55" spans="1:16">
      <c r="A55" s="17">
        <f>ROUNDUP(A52/8/A53,0)</f>
        <v>9</v>
      </c>
      <c r="B55" s="17" t="s">
        <v>624</v>
      </c>
      <c r="E55" s="17" t="s">
        <v>625</v>
      </c>
      <c r="F55" s="403">
        <f>A53*8*F54</f>
        <v>1320</v>
      </c>
      <c r="H55" s="403">
        <f t="shared" si="4"/>
        <v>1320</v>
      </c>
      <c r="I55" s="403">
        <f t="shared" si="11"/>
        <v>11880</v>
      </c>
    </row>
    <row r="56" spans="1:16">
      <c r="A56" s="441">
        <v>0</v>
      </c>
      <c r="B56" s="17" t="s">
        <v>517</v>
      </c>
      <c r="E56" s="17" t="s">
        <v>626</v>
      </c>
      <c r="F56" s="447"/>
      <c r="H56" s="403">
        <f t="shared" si="4"/>
        <v>0</v>
      </c>
      <c r="I56" s="403">
        <f t="shared" si="11"/>
        <v>0</v>
      </c>
    </row>
    <row r="57" spans="1:16">
      <c r="A57" s="441"/>
      <c r="F57" s="447"/>
      <c r="H57" s="403"/>
      <c r="I57" s="403"/>
    </row>
    <row r="58" spans="1:16">
      <c r="A58" s="441"/>
      <c r="F58" s="447"/>
      <c r="H58" s="403"/>
      <c r="I58" s="403"/>
    </row>
    <row r="59" spans="1:16" ht="15.75">
      <c r="E59" s="439" t="s">
        <v>628</v>
      </c>
      <c r="I59" s="443">
        <f>SUM(I55:I58)</f>
        <v>11880</v>
      </c>
      <c r="P59" s="165">
        <f>I59</f>
        <v>11880</v>
      </c>
    </row>
    <row r="62" spans="1:16">
      <c r="E62" s="449" t="s">
        <v>630</v>
      </c>
    </row>
    <row r="63" spans="1:16">
      <c r="A63" s="441">
        <v>1</v>
      </c>
      <c r="B63" s="17" t="s">
        <v>517</v>
      </c>
      <c r="E63" s="17" t="s">
        <v>668</v>
      </c>
      <c r="F63" s="445">
        <f>1796*0.6</f>
        <v>1077.5999999999999</v>
      </c>
      <c r="H63" s="403">
        <f t="shared" si="4"/>
        <v>1077.5999999999999</v>
      </c>
      <c r="I63" s="403">
        <f t="shared" ref="I63:I65" si="12">A63*H63</f>
        <v>1077.5999999999999</v>
      </c>
      <c r="J63" s="17" t="s">
        <v>1460</v>
      </c>
    </row>
    <row r="64" spans="1:16">
      <c r="A64" s="441">
        <v>20</v>
      </c>
      <c r="B64" s="17" t="s">
        <v>539</v>
      </c>
      <c r="E64" s="17" t="s">
        <v>1461</v>
      </c>
      <c r="F64" s="445">
        <v>80</v>
      </c>
      <c r="H64" s="403">
        <f t="shared" si="4"/>
        <v>80</v>
      </c>
      <c r="I64" s="403">
        <f t="shared" si="12"/>
        <v>1600</v>
      </c>
      <c r="J64" s="17" t="s">
        <v>1975</v>
      </c>
    </row>
    <row r="65" spans="1:17">
      <c r="A65" s="441">
        <v>1</v>
      </c>
      <c r="B65" s="17" t="s">
        <v>517</v>
      </c>
      <c r="E65" s="17" t="s">
        <v>1463</v>
      </c>
      <c r="F65" s="445">
        <v>2493</v>
      </c>
      <c r="H65" s="403">
        <f t="shared" si="4"/>
        <v>2493</v>
      </c>
      <c r="I65" s="403">
        <f t="shared" si="12"/>
        <v>2493</v>
      </c>
      <c r="J65" s="17" t="s">
        <v>1976</v>
      </c>
    </row>
    <row r="66" spans="1:17" ht="15.75">
      <c r="E66" s="439" t="s">
        <v>676</v>
      </c>
      <c r="I66" s="443">
        <f>SUM(I63:I65)</f>
        <v>5170.6000000000004</v>
      </c>
      <c r="Q66" s="165">
        <f>I66</f>
        <v>5170.6000000000004</v>
      </c>
    </row>
    <row r="68" spans="1:17" ht="13.75" customHeight="1">
      <c r="A68" s="986" t="s">
        <v>100</v>
      </c>
      <c r="B68" s="986"/>
      <c r="C68" s="986"/>
      <c r="D68" s="986"/>
      <c r="E68" s="986"/>
    </row>
    <row r="76" spans="1:17" ht="15.05" customHeight="1">
      <c r="A76" s="1002" t="s">
        <v>90</v>
      </c>
      <c r="B76" s="1002"/>
      <c r="C76" s="1002"/>
      <c r="D76" s="1002"/>
      <c r="E76" s="1002"/>
    </row>
    <row r="78" spans="1:17" ht="13.75">
      <c r="A78" s="17">
        <v>1</v>
      </c>
      <c r="B78" s="17" t="s">
        <v>517</v>
      </c>
      <c r="E78" s="17" t="s">
        <v>1464</v>
      </c>
      <c r="F78" s="403">
        <v>860</v>
      </c>
      <c r="H78" s="403">
        <f t="shared" ref="H78:H89" si="13">F78*(1-G78)</f>
        <v>860</v>
      </c>
      <c r="I78" s="403">
        <f t="shared" ref="I78:I82" si="14">A78*H78</f>
        <v>860</v>
      </c>
      <c r="J78" s="494" t="s">
        <v>1465</v>
      </c>
    </row>
    <row r="79" spans="1:17">
      <c r="A79" s="17">
        <v>1</v>
      </c>
      <c r="B79" s="17" t="s">
        <v>517</v>
      </c>
      <c r="E79" s="17" t="s">
        <v>707</v>
      </c>
      <c r="F79" s="403">
        <v>1500</v>
      </c>
      <c r="H79" s="403">
        <f t="shared" si="13"/>
        <v>1500</v>
      </c>
      <c r="I79" s="403">
        <f t="shared" si="14"/>
        <v>1500</v>
      </c>
    </row>
    <row r="80" spans="1:17" ht="55.65">
      <c r="A80" s="17">
        <v>0</v>
      </c>
      <c r="B80" s="17" t="s">
        <v>517</v>
      </c>
      <c r="C80" s="204" t="s">
        <v>708</v>
      </c>
      <c r="E80" s="204" t="s">
        <v>709</v>
      </c>
      <c r="F80" s="403">
        <v>460</v>
      </c>
      <c r="H80" s="403">
        <f t="shared" si="13"/>
        <v>460</v>
      </c>
      <c r="I80" s="403">
        <f t="shared" si="14"/>
        <v>0</v>
      </c>
    </row>
    <row r="81" spans="1:10" ht="55.65">
      <c r="A81" s="17">
        <v>1</v>
      </c>
      <c r="B81" s="17" t="s">
        <v>517</v>
      </c>
      <c r="C81" s="204" t="s">
        <v>711</v>
      </c>
      <c r="E81" s="204" t="s">
        <v>712</v>
      </c>
      <c r="F81" s="403">
        <v>320</v>
      </c>
      <c r="H81" s="403">
        <f t="shared" si="13"/>
        <v>320</v>
      </c>
      <c r="I81" s="403">
        <f t="shared" si="14"/>
        <v>320</v>
      </c>
    </row>
    <row r="82" spans="1:10" ht="55.65">
      <c r="A82" s="17">
        <v>1</v>
      </c>
      <c r="B82" s="17" t="s">
        <v>517</v>
      </c>
      <c r="C82" s="17" t="s">
        <v>713</v>
      </c>
      <c r="D82" s="17" t="s">
        <v>714</v>
      </c>
      <c r="E82" s="204" t="s">
        <v>715</v>
      </c>
      <c r="F82" s="403">
        <v>2725</v>
      </c>
      <c r="H82" s="403">
        <f t="shared" si="13"/>
        <v>2725</v>
      </c>
      <c r="I82" s="403">
        <f t="shared" si="14"/>
        <v>2725</v>
      </c>
    </row>
    <row r="84" spans="1:10" ht="15.75">
      <c r="E84" s="439" t="s">
        <v>729</v>
      </c>
      <c r="I84" s="168">
        <f>SUM(I76:I83)</f>
        <v>5405</v>
      </c>
    </row>
    <row r="86" spans="1:10" ht="13.75" customHeight="1">
      <c r="A86" s="997" t="s">
        <v>68</v>
      </c>
      <c r="B86" s="997"/>
      <c r="C86" s="997"/>
      <c r="D86" s="997"/>
      <c r="E86" s="997"/>
    </row>
    <row r="87" spans="1:10">
      <c r="A87" s="17">
        <v>1</v>
      </c>
      <c r="B87" s="17" t="s">
        <v>517</v>
      </c>
      <c r="E87" s="17" t="s">
        <v>730</v>
      </c>
      <c r="F87" s="403">
        <v>500</v>
      </c>
      <c r="H87" s="403">
        <f t="shared" si="13"/>
        <v>500</v>
      </c>
      <c r="I87" s="403">
        <f t="shared" ref="I87:I89" si="15">A87*H87</f>
        <v>500</v>
      </c>
      <c r="J87" s="17" t="s">
        <v>696</v>
      </c>
    </row>
    <row r="88" spans="1:10" ht="55.65">
      <c r="A88" s="17">
        <v>0</v>
      </c>
      <c r="B88" s="17" t="s">
        <v>517</v>
      </c>
      <c r="C88" s="204" t="s">
        <v>708</v>
      </c>
      <c r="E88" s="204" t="s">
        <v>731</v>
      </c>
      <c r="F88" s="403">
        <f>460/2</f>
        <v>230</v>
      </c>
      <c r="H88" s="403">
        <f t="shared" si="13"/>
        <v>230</v>
      </c>
      <c r="I88" s="403">
        <f t="shared" si="15"/>
        <v>0</v>
      </c>
    </row>
    <row r="89" spans="1:10" ht="55.65">
      <c r="A89" s="17">
        <v>1</v>
      </c>
      <c r="B89" s="17" t="s">
        <v>517</v>
      </c>
      <c r="C89" s="204" t="s">
        <v>711</v>
      </c>
      <c r="E89" s="204" t="s">
        <v>732</v>
      </c>
      <c r="F89" s="403">
        <f>320/2</f>
        <v>160</v>
      </c>
      <c r="H89" s="403">
        <f t="shared" si="13"/>
        <v>160</v>
      </c>
      <c r="I89" s="403">
        <f t="shared" si="15"/>
        <v>160</v>
      </c>
    </row>
    <row r="91" spans="1:10" ht="15.75">
      <c r="E91" s="439" t="s">
        <v>733</v>
      </c>
      <c r="I91" s="168">
        <f>SUM(I86:I90)</f>
        <v>660</v>
      </c>
    </row>
  </sheetData>
  <mergeCells count="6">
    <mergeCell ref="A86:E86"/>
    <mergeCell ref="B1:F1"/>
    <mergeCell ref="A2:G2"/>
    <mergeCell ref="J20:L20"/>
    <mergeCell ref="A68:E68"/>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20.7109375" style="17" customWidth="1"/>
    <col min="11" max="64" width="10.140625" style="17"/>
  </cols>
  <sheetData>
    <row r="1" spans="1:19" ht="15.05">
      <c r="B1" s="1058" t="s">
        <v>1977</v>
      </c>
      <c r="C1" s="1058"/>
      <c r="D1" s="1058"/>
      <c r="E1" s="1058"/>
      <c r="F1" s="1058"/>
      <c r="H1" s="405" t="s">
        <v>493</v>
      </c>
      <c r="I1" s="406">
        <v>310</v>
      </c>
      <c r="J1" s="17" t="s">
        <v>494</v>
      </c>
      <c r="K1" s="17" t="s">
        <v>495</v>
      </c>
      <c r="L1" s="58">
        <f>A4*I1</f>
        <v>32240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13">
        <v>104</v>
      </c>
      <c r="B4" s="407" t="s">
        <v>522</v>
      </c>
      <c r="C4" s="424" t="s">
        <v>817</v>
      </c>
      <c r="D4" s="423" t="s">
        <v>1066</v>
      </c>
      <c r="E4" s="424" t="s">
        <v>1067</v>
      </c>
      <c r="F4" s="421">
        <v>91.74</v>
      </c>
      <c r="G4" s="410"/>
      <c r="H4" s="409">
        <f t="shared" ref="H4:H9" si="0">F4*(1-G4)</f>
        <v>91.74</v>
      </c>
      <c r="I4" s="409">
        <f t="shared" ref="I4:I9" si="1">A4*H4</f>
        <v>9540.9599999999991</v>
      </c>
      <c r="J4" s="204"/>
      <c r="K4" s="403"/>
      <c r="L4" s="404"/>
      <c r="M4" s="418">
        <f t="shared" ref="M4:M5" si="2">I4</f>
        <v>9540.9599999999991</v>
      </c>
      <c r="N4" s="437"/>
      <c r="O4" s="437"/>
      <c r="P4" s="437"/>
      <c r="Q4" s="437"/>
      <c r="R4" s="437"/>
      <c r="S4" s="437"/>
    </row>
    <row r="5" spans="1:19" ht="55.65">
      <c r="A5" s="413">
        <v>1</v>
      </c>
      <c r="B5" s="407" t="s">
        <v>522</v>
      </c>
      <c r="C5" s="420" t="s">
        <v>987</v>
      </c>
      <c r="D5" s="413" t="s">
        <v>556</v>
      </c>
      <c r="E5" s="413" t="s">
        <v>994</v>
      </c>
      <c r="F5" s="421">
        <f>10440*A4/261</f>
        <v>4160</v>
      </c>
      <c r="G5" s="410"/>
      <c r="H5" s="409">
        <f t="shared" si="0"/>
        <v>4160</v>
      </c>
      <c r="I5" s="409">
        <f t="shared" si="1"/>
        <v>4160</v>
      </c>
      <c r="J5" s="204" t="s">
        <v>1978</v>
      </c>
      <c r="M5" s="418">
        <f t="shared" si="2"/>
        <v>4160</v>
      </c>
      <c r="N5" s="437"/>
      <c r="O5" s="437"/>
      <c r="P5" s="437"/>
      <c r="Q5" s="437"/>
      <c r="R5" s="437"/>
      <c r="S5" s="437"/>
    </row>
    <row r="6" spans="1:19" ht="225" customHeight="1">
      <c r="A6" s="413">
        <v>1</v>
      </c>
      <c r="B6" s="407" t="s">
        <v>522</v>
      </c>
      <c r="C6" s="420" t="s">
        <v>969</v>
      </c>
      <c r="D6" s="413" t="s">
        <v>829</v>
      </c>
      <c r="E6" s="420" t="s">
        <v>830</v>
      </c>
      <c r="F6" s="421">
        <f>635.23-100</f>
        <v>535.23</v>
      </c>
      <c r="G6" s="410"/>
      <c r="H6" s="409">
        <f t="shared" si="0"/>
        <v>535.23</v>
      </c>
      <c r="I6" s="409">
        <f t="shared" si="1"/>
        <v>535.23</v>
      </c>
      <c r="J6" s="204" t="s">
        <v>971</v>
      </c>
      <c r="M6" s="437"/>
      <c r="N6" s="437"/>
      <c r="O6" s="437"/>
      <c r="P6" s="437"/>
      <c r="Q6" s="437"/>
      <c r="R6" s="418">
        <f>I6</f>
        <v>535.23</v>
      </c>
      <c r="S6" s="437"/>
    </row>
    <row r="7" spans="1:19">
      <c r="A7" s="407"/>
      <c r="B7" s="407"/>
      <c r="C7" s="408"/>
      <c r="D7" s="407"/>
      <c r="E7" s="408"/>
      <c r="F7" s="409"/>
      <c r="G7" s="410"/>
      <c r="H7" s="409"/>
      <c r="I7" s="409"/>
      <c r="J7" s="204"/>
      <c r="M7" s="437"/>
      <c r="N7" s="437"/>
      <c r="O7" s="437"/>
      <c r="P7" s="437"/>
      <c r="Q7" s="437"/>
      <c r="R7" s="418"/>
      <c r="S7" s="437"/>
    </row>
    <row r="8" spans="1:19">
      <c r="A8" s="407"/>
      <c r="B8" s="407"/>
      <c r="C8" s="408"/>
      <c r="D8" s="407"/>
      <c r="E8" s="407"/>
      <c r="F8" s="409"/>
      <c r="G8" s="410"/>
      <c r="H8" s="409"/>
      <c r="I8" s="409"/>
      <c r="J8" s="204"/>
      <c r="M8" s="437"/>
      <c r="N8" s="437"/>
      <c r="O8" s="437"/>
      <c r="P8" s="437"/>
      <c r="Q8" s="437"/>
      <c r="R8" s="418"/>
      <c r="S8" s="437"/>
    </row>
    <row r="9" spans="1:19" ht="233.05" customHeight="1">
      <c r="A9" s="413">
        <v>1</v>
      </c>
      <c r="B9" s="413" t="s">
        <v>522</v>
      </c>
      <c r="C9" s="420" t="s">
        <v>987</v>
      </c>
      <c r="D9" s="413" t="s">
        <v>985</v>
      </c>
      <c r="E9" s="420" t="s">
        <v>1500</v>
      </c>
      <c r="F9" s="421">
        <v>493.33</v>
      </c>
      <c r="G9" s="410"/>
      <c r="H9" s="409">
        <f t="shared" si="0"/>
        <v>493.33</v>
      </c>
      <c r="I9" s="409">
        <f t="shared" si="1"/>
        <v>493.33</v>
      </c>
      <c r="J9" s="204" t="s">
        <v>230</v>
      </c>
      <c r="M9" s="437"/>
      <c r="N9" s="437"/>
      <c r="O9" s="437"/>
      <c r="P9" s="437"/>
      <c r="Q9" s="437"/>
      <c r="R9" s="418">
        <f>I9</f>
        <v>493.33</v>
      </c>
      <c r="S9" s="437"/>
    </row>
    <row r="10" spans="1:19">
      <c r="A10" s="407"/>
      <c r="B10" s="407"/>
      <c r="C10" s="408"/>
      <c r="D10" s="407"/>
      <c r="E10" s="408"/>
      <c r="F10" s="409"/>
      <c r="G10" s="410"/>
      <c r="H10" s="409"/>
      <c r="I10" s="409"/>
      <c r="J10" s="204"/>
      <c r="M10" s="437"/>
      <c r="N10" s="437"/>
      <c r="O10" s="437"/>
      <c r="P10" s="437"/>
      <c r="Q10" s="437"/>
      <c r="R10" s="418"/>
      <c r="S10" s="437"/>
    </row>
    <row r="11" spans="1:19" ht="55.65">
      <c r="A11" s="413">
        <v>91</v>
      </c>
      <c r="B11" s="413" t="s">
        <v>539</v>
      </c>
      <c r="C11" s="420" t="s">
        <v>987</v>
      </c>
      <c r="D11" s="413" t="s">
        <v>541</v>
      </c>
      <c r="E11" s="420" t="s">
        <v>542</v>
      </c>
      <c r="F11" s="421">
        <f t="shared" ref="F11:F12" si="3">328.33/500</f>
        <v>0.65666000000000002</v>
      </c>
      <c r="G11" s="410"/>
      <c r="H11" s="409">
        <f t="shared" ref="H11:H63" si="4">F11*(1-G11)</f>
        <v>0.65666000000000002</v>
      </c>
      <c r="I11" s="409">
        <f t="shared" ref="I11:I25" si="5">A11*H11</f>
        <v>59.756060000000005</v>
      </c>
      <c r="J11" s="204"/>
      <c r="M11" s="437"/>
      <c r="N11" s="437"/>
      <c r="O11" s="418">
        <f t="shared" ref="O11:O22" si="6">I11</f>
        <v>59.756060000000005</v>
      </c>
      <c r="P11" s="418"/>
      <c r="Q11" s="418"/>
      <c r="R11" s="437"/>
      <c r="S11" s="437"/>
    </row>
    <row r="12" spans="1:19" ht="55.65">
      <c r="A12" s="413">
        <v>214</v>
      </c>
      <c r="B12" s="413" t="s">
        <v>539</v>
      </c>
      <c r="C12" s="420" t="s">
        <v>987</v>
      </c>
      <c r="D12" s="413" t="s">
        <v>543</v>
      </c>
      <c r="E12" s="420" t="s">
        <v>544</v>
      </c>
      <c r="F12" s="421">
        <f t="shared" si="3"/>
        <v>0.65666000000000002</v>
      </c>
      <c r="G12" s="410"/>
      <c r="H12" s="409">
        <f t="shared" si="4"/>
        <v>0.65666000000000002</v>
      </c>
      <c r="I12" s="409">
        <f t="shared" si="5"/>
        <v>140.52524</v>
      </c>
      <c r="J12" s="204"/>
      <c r="M12" s="437"/>
      <c r="N12" s="437"/>
      <c r="O12" s="418">
        <f t="shared" si="6"/>
        <v>140.52524</v>
      </c>
      <c r="P12" s="418"/>
      <c r="Q12" s="418"/>
      <c r="R12" s="437"/>
      <c r="S12" s="437"/>
    </row>
    <row r="13" spans="1:19" ht="33.4">
      <c r="A13" s="413">
        <v>15</v>
      </c>
      <c r="B13" s="413" t="s">
        <v>522</v>
      </c>
      <c r="C13" s="420" t="s">
        <v>1074</v>
      </c>
      <c r="D13" s="413"/>
      <c r="E13" s="420" t="s">
        <v>1079</v>
      </c>
      <c r="F13" s="421">
        <v>1.3</v>
      </c>
      <c r="G13" s="410"/>
      <c r="H13" s="409">
        <f t="shared" si="4"/>
        <v>1.3</v>
      </c>
      <c r="I13" s="409">
        <f t="shared" si="5"/>
        <v>19.5</v>
      </c>
      <c r="J13" s="204" t="s">
        <v>1979</v>
      </c>
      <c r="M13" s="437"/>
      <c r="N13" s="437"/>
      <c r="O13" s="418">
        <f t="shared" si="6"/>
        <v>19.5</v>
      </c>
      <c r="P13" s="437"/>
      <c r="Q13" s="437"/>
      <c r="R13" s="418"/>
      <c r="S13" s="437"/>
    </row>
    <row r="14" spans="1:19" ht="22.25">
      <c r="A14" s="413">
        <v>15</v>
      </c>
      <c r="B14" s="413" t="s">
        <v>522</v>
      </c>
      <c r="C14" s="420" t="s">
        <v>1074</v>
      </c>
      <c r="D14" s="413"/>
      <c r="E14" s="420" t="s">
        <v>1080</v>
      </c>
      <c r="F14" s="421">
        <v>0.98</v>
      </c>
      <c r="G14" s="410"/>
      <c r="H14" s="409">
        <f t="shared" si="4"/>
        <v>0.98</v>
      </c>
      <c r="I14" s="409">
        <f t="shared" si="5"/>
        <v>14.7</v>
      </c>
      <c r="J14" s="204" t="s">
        <v>538</v>
      </c>
      <c r="M14" s="437"/>
      <c r="N14" s="437"/>
      <c r="O14" s="418">
        <f t="shared" si="6"/>
        <v>14.7</v>
      </c>
      <c r="P14" s="437"/>
      <c r="Q14" s="437"/>
      <c r="R14" s="418"/>
      <c r="S14" s="437"/>
    </row>
    <row r="15" spans="1:19" ht="22.25">
      <c r="A15" s="413">
        <v>1</v>
      </c>
      <c r="B15" s="413" t="s">
        <v>522</v>
      </c>
      <c r="C15" s="420" t="s">
        <v>1113</v>
      </c>
      <c r="D15" s="413"/>
      <c r="E15" s="420" t="s">
        <v>1114</v>
      </c>
      <c r="F15" s="421">
        <f>2893/1.2</f>
        <v>2410.8333333333335</v>
      </c>
      <c r="G15" s="410"/>
      <c r="H15" s="409">
        <f t="shared" si="4"/>
        <v>2410.8333333333335</v>
      </c>
      <c r="I15" s="409">
        <f t="shared" si="5"/>
        <v>2410.8333333333335</v>
      </c>
      <c r="J15" s="204"/>
      <c r="M15" s="437"/>
      <c r="N15" s="418">
        <f>I15</f>
        <v>2410.8333333333335</v>
      </c>
      <c r="O15" s="437"/>
      <c r="P15" s="437"/>
      <c r="Q15" s="437"/>
      <c r="R15" s="437"/>
      <c r="S15" s="437"/>
    </row>
    <row r="16" spans="1:19">
      <c r="A16" s="407"/>
      <c r="B16" s="407"/>
      <c r="C16" s="408"/>
      <c r="D16" s="407"/>
      <c r="E16" s="408"/>
      <c r="F16" s="409"/>
      <c r="G16" s="410"/>
      <c r="H16" s="409"/>
      <c r="I16" s="409"/>
      <c r="J16" s="204"/>
      <c r="M16" s="437"/>
      <c r="N16" s="418"/>
      <c r="O16" s="437"/>
      <c r="P16" s="437"/>
      <c r="Q16" s="437"/>
      <c r="R16" s="437"/>
      <c r="S16" s="437"/>
    </row>
    <row r="17" spans="1:19">
      <c r="A17" s="407"/>
      <c r="B17" s="407"/>
      <c r="C17" s="408"/>
      <c r="D17" s="407"/>
      <c r="E17" s="408"/>
      <c r="F17" s="409"/>
      <c r="G17" s="410"/>
      <c r="H17" s="409">
        <f t="shared" si="4"/>
        <v>0</v>
      </c>
      <c r="I17" s="409">
        <f t="shared" si="5"/>
        <v>0</v>
      </c>
      <c r="J17" s="204"/>
      <c r="M17" s="437"/>
      <c r="N17" s="418">
        <f>I17</f>
        <v>0</v>
      </c>
      <c r="O17" s="437"/>
      <c r="P17" s="437"/>
      <c r="Q17" s="437"/>
      <c r="R17" s="437"/>
      <c r="S17" s="437"/>
    </row>
    <row r="18" spans="1:19" ht="55.65">
      <c r="A18" s="413">
        <v>10</v>
      </c>
      <c r="B18" s="413" t="s">
        <v>522</v>
      </c>
      <c r="C18" s="420" t="s">
        <v>987</v>
      </c>
      <c r="D18" s="413" t="s">
        <v>761</v>
      </c>
      <c r="E18" s="420" t="s">
        <v>762</v>
      </c>
      <c r="F18" s="421">
        <v>2.5</v>
      </c>
      <c r="G18" s="410"/>
      <c r="H18" s="409">
        <f t="shared" si="4"/>
        <v>2.5</v>
      </c>
      <c r="I18" s="409">
        <f t="shared" si="5"/>
        <v>25</v>
      </c>
      <c r="J18" s="204"/>
      <c r="M18" s="437"/>
      <c r="N18" s="437"/>
      <c r="O18" s="437"/>
      <c r="P18" s="437"/>
      <c r="Q18" s="437"/>
      <c r="R18" s="418">
        <f t="shared" ref="R18:R19" si="7">I18</f>
        <v>25</v>
      </c>
      <c r="S18" s="437"/>
    </row>
    <row r="19" spans="1:19" ht="47" customHeight="1">
      <c r="A19" s="413">
        <v>1</v>
      </c>
      <c r="B19" s="413" t="s">
        <v>522</v>
      </c>
      <c r="C19" s="420" t="s">
        <v>1479</v>
      </c>
      <c r="D19" s="413"/>
      <c r="E19" s="420" t="s">
        <v>803</v>
      </c>
      <c r="F19" s="421">
        <v>564.44000000000005</v>
      </c>
      <c r="G19" s="410"/>
      <c r="H19" s="409">
        <f t="shared" si="4"/>
        <v>564.44000000000005</v>
      </c>
      <c r="I19" s="409">
        <f t="shared" si="5"/>
        <v>564.44000000000005</v>
      </c>
      <c r="J19" s="1054"/>
      <c r="K19" s="1054"/>
      <c r="L19" s="1054"/>
      <c r="M19" s="437"/>
      <c r="N19" s="437"/>
      <c r="O19" s="437"/>
      <c r="P19" s="437"/>
      <c r="Q19" s="437"/>
      <c r="R19" s="418">
        <f t="shared" si="7"/>
        <v>564.44000000000005</v>
      </c>
      <c r="S19" s="437"/>
    </row>
    <row r="20" spans="1:19" ht="22.25">
      <c r="A20" s="413">
        <v>1</v>
      </c>
      <c r="B20" s="413" t="s">
        <v>522</v>
      </c>
      <c r="C20" s="420"/>
      <c r="D20" s="413"/>
      <c r="E20" s="420" t="s">
        <v>695</v>
      </c>
      <c r="F20" s="421">
        <v>100</v>
      </c>
      <c r="G20" s="410"/>
      <c r="H20" s="409">
        <f t="shared" si="4"/>
        <v>100</v>
      </c>
      <c r="I20" s="409">
        <f t="shared" si="5"/>
        <v>100</v>
      </c>
      <c r="J20" s="204" t="s">
        <v>696</v>
      </c>
      <c r="M20" s="437"/>
      <c r="N20" s="437"/>
      <c r="O20" s="418">
        <f t="shared" si="6"/>
        <v>100</v>
      </c>
      <c r="P20" s="437"/>
      <c r="Q20" s="437"/>
      <c r="R20" s="418"/>
      <c r="S20" s="437"/>
    </row>
    <row r="21" spans="1:19" ht="55.65">
      <c r="A21" s="413">
        <v>1</v>
      </c>
      <c r="B21" s="413"/>
      <c r="C21" s="420" t="s">
        <v>1011</v>
      </c>
      <c r="D21" s="413" t="s">
        <v>769</v>
      </c>
      <c r="E21" s="413" t="s">
        <v>567</v>
      </c>
      <c r="F21" s="421">
        <v>343.75</v>
      </c>
      <c r="G21" s="410"/>
      <c r="H21" s="409">
        <f t="shared" si="4"/>
        <v>343.75</v>
      </c>
      <c r="I21" s="409">
        <f t="shared" si="5"/>
        <v>343.75</v>
      </c>
      <c r="J21" s="204"/>
      <c r="M21" s="418">
        <f>F21</f>
        <v>343.75</v>
      </c>
      <c r="N21" s="437"/>
      <c r="O21" s="437"/>
      <c r="P21" s="437"/>
      <c r="Q21" s="437"/>
      <c r="R21" s="437"/>
      <c r="S21" s="437"/>
    </row>
    <row r="22" spans="1:19" ht="22.25">
      <c r="A22" s="413">
        <v>40</v>
      </c>
      <c r="B22" s="413" t="s">
        <v>539</v>
      </c>
      <c r="C22" s="420" t="s">
        <v>1445</v>
      </c>
      <c r="D22" s="413"/>
      <c r="E22" s="413" t="s">
        <v>691</v>
      </c>
      <c r="F22" s="421">
        <f>7.58/1.2</f>
        <v>6.3166666666666673</v>
      </c>
      <c r="G22" s="410"/>
      <c r="H22" s="409">
        <f t="shared" si="4"/>
        <v>6.3166666666666673</v>
      </c>
      <c r="I22" s="409">
        <f t="shared" si="5"/>
        <v>252.66666666666669</v>
      </c>
      <c r="J22" s="204" t="s">
        <v>1980</v>
      </c>
      <c r="M22" s="418"/>
      <c r="N22" s="437"/>
      <c r="O22" s="418">
        <f t="shared" si="6"/>
        <v>252.66666666666669</v>
      </c>
      <c r="P22" s="437"/>
      <c r="Q22" s="437"/>
      <c r="R22" s="437"/>
      <c r="S22" s="437"/>
    </row>
    <row r="23" spans="1:19" ht="44.55">
      <c r="A23" s="413">
        <v>1</v>
      </c>
      <c r="B23" s="413" t="s">
        <v>517</v>
      </c>
      <c r="C23" s="408" t="s">
        <v>569</v>
      </c>
      <c r="D23" s="407" t="s">
        <v>570</v>
      </c>
      <c r="E23" s="408" t="s">
        <v>571</v>
      </c>
      <c r="F23" s="409">
        <v>1040</v>
      </c>
      <c r="G23" s="429">
        <v>0.48</v>
      </c>
      <c r="H23" s="430">
        <f t="shared" si="4"/>
        <v>540.80000000000007</v>
      </c>
      <c r="I23" s="430">
        <f t="shared" si="5"/>
        <v>540.80000000000007</v>
      </c>
      <c r="J23" s="719"/>
      <c r="M23" s="418"/>
      <c r="N23" s="437"/>
      <c r="O23" s="437"/>
      <c r="P23" s="437"/>
      <c r="Q23" s="437"/>
      <c r="R23" s="437"/>
      <c r="S23" s="418">
        <f t="shared" ref="S23:S25" si="8">I23</f>
        <v>540.80000000000007</v>
      </c>
    </row>
    <row r="24" spans="1:19">
      <c r="A24" s="413">
        <v>5</v>
      </c>
      <c r="B24" s="413" t="s">
        <v>517</v>
      </c>
      <c r="C24" s="420" t="s">
        <v>574</v>
      </c>
      <c r="D24" s="413"/>
      <c r="E24" s="413" t="s">
        <v>1008</v>
      </c>
      <c r="F24" s="421">
        <v>75</v>
      </c>
      <c r="G24" s="410"/>
      <c r="H24" s="409">
        <f t="shared" si="4"/>
        <v>75</v>
      </c>
      <c r="I24" s="409">
        <f t="shared" si="5"/>
        <v>375</v>
      </c>
      <c r="J24" s="204"/>
      <c r="M24" s="418"/>
      <c r="N24" s="437"/>
      <c r="O24" s="437"/>
      <c r="P24" s="437"/>
      <c r="Q24" s="437"/>
      <c r="R24" s="437"/>
      <c r="S24" s="418">
        <f t="shared" si="8"/>
        <v>375</v>
      </c>
    </row>
    <row r="25" spans="1:19">
      <c r="A25" s="413">
        <v>1</v>
      </c>
      <c r="B25" s="413" t="s">
        <v>517</v>
      </c>
      <c r="C25" s="420" t="s">
        <v>574</v>
      </c>
      <c r="D25" s="413"/>
      <c r="E25" s="413" t="s">
        <v>567</v>
      </c>
      <c r="F25" s="421">
        <f>35/4</f>
        <v>8.75</v>
      </c>
      <c r="G25" s="410"/>
      <c r="H25" s="409">
        <f t="shared" si="4"/>
        <v>8.75</v>
      </c>
      <c r="I25" s="409">
        <f t="shared" si="5"/>
        <v>8.75</v>
      </c>
      <c r="J25" s="204"/>
      <c r="M25" s="418"/>
      <c r="N25" s="437"/>
      <c r="O25" s="437"/>
      <c r="P25" s="437"/>
      <c r="Q25" s="437"/>
      <c r="R25" s="437"/>
      <c r="S25" s="418">
        <f t="shared" si="8"/>
        <v>8.75</v>
      </c>
    </row>
    <row r="26" spans="1:19" ht="12.45">
      <c r="A26" s="407"/>
      <c r="B26" s="407"/>
      <c r="C26" s="408"/>
      <c r="D26" s="407"/>
      <c r="E26" s="431"/>
      <c r="F26" s="409"/>
      <c r="G26" s="410"/>
      <c r="H26" s="409"/>
      <c r="I26" s="409"/>
      <c r="J26" s="204"/>
      <c r="M26" s="418"/>
      <c r="N26" s="437"/>
      <c r="O26" s="437"/>
      <c r="P26" s="437"/>
      <c r="Q26" s="437"/>
      <c r="R26" s="437"/>
      <c r="S26" s="437"/>
    </row>
    <row r="27" spans="1:19">
      <c r="A27" s="407"/>
      <c r="B27" s="407"/>
      <c r="C27" s="408"/>
      <c r="D27" s="407"/>
      <c r="E27" s="407"/>
      <c r="F27" s="409"/>
      <c r="G27" s="410"/>
      <c r="H27" s="409"/>
      <c r="I27" s="409"/>
      <c r="J27" s="204"/>
      <c r="M27" s="437"/>
      <c r="N27" s="437"/>
      <c r="O27" s="437"/>
      <c r="P27" s="437"/>
      <c r="Q27" s="437"/>
      <c r="R27" s="437"/>
      <c r="S27" s="437"/>
    </row>
    <row r="28" spans="1:19">
      <c r="A28" s="407"/>
      <c r="B28" s="407"/>
      <c r="C28" s="408"/>
      <c r="D28" s="407"/>
      <c r="E28" s="432" t="s">
        <v>580</v>
      </c>
      <c r="F28" s="409"/>
      <c r="G28" s="410"/>
      <c r="H28" s="409"/>
      <c r="I28" s="421">
        <f>SUM(I4:I26)</f>
        <v>19585.241299999998</v>
      </c>
      <c r="J28" s="204"/>
      <c r="M28" s="418">
        <f>SUM(M4:M26)</f>
        <v>14044.71</v>
      </c>
      <c r="N28" s="418">
        <f>SUM(N4:N26)</f>
        <v>2410.8333333333335</v>
      </c>
      <c r="O28" s="418">
        <f>SUM(O4:O26)</f>
        <v>587.14796666666666</v>
      </c>
      <c r="P28" s="418"/>
      <c r="Q28" s="418"/>
      <c r="R28" s="418">
        <f>SUM(R4:R26)</f>
        <v>1618</v>
      </c>
      <c r="S28" s="437"/>
    </row>
    <row r="29" spans="1:19">
      <c r="A29" s="407"/>
      <c r="B29" s="407"/>
      <c r="C29" s="408"/>
      <c r="D29" s="407"/>
      <c r="E29" s="413" t="s">
        <v>581</v>
      </c>
      <c r="F29" s="409"/>
      <c r="G29" s="410">
        <v>0.25</v>
      </c>
      <c r="H29" s="409"/>
      <c r="I29" s="421"/>
      <c r="J29" s="204"/>
      <c r="M29" s="418"/>
      <c r="N29" s="418"/>
      <c r="O29" s="418"/>
      <c r="P29" s="418"/>
      <c r="Q29" s="418"/>
      <c r="R29" s="418"/>
      <c r="S29" s="437"/>
    </row>
    <row r="30" spans="1:19" ht="15.75">
      <c r="E30" s="433" t="s">
        <v>582</v>
      </c>
      <c r="F30" s="418"/>
      <c r="G30" s="434"/>
      <c r="H30" s="418"/>
      <c r="I30" s="435">
        <f>I28*(1+$G$29)</f>
        <v>24481.551624999996</v>
      </c>
      <c r="J30" s="436"/>
      <c r="K30" s="437"/>
      <c r="L30" s="437"/>
      <c r="M30" s="165">
        <f>M28*(1+$G$29)</f>
        <v>17555.887499999997</v>
      </c>
      <c r="N30" s="165">
        <f>N28*(1+$G$29)</f>
        <v>3013.541666666667</v>
      </c>
      <c r="O30" s="165">
        <f>O28*(1+$G$29)</f>
        <v>733.93495833333327</v>
      </c>
      <c r="P30" s="418"/>
      <c r="Q30" s="418"/>
      <c r="R30" s="165">
        <f>R28*(1+$G$29)</f>
        <v>2022.5</v>
      </c>
      <c r="S30" s="165">
        <f>SUM(S4:S29)</f>
        <v>924.55000000000007</v>
      </c>
    </row>
    <row r="33" spans="1:10">
      <c r="E33" s="439" t="s">
        <v>585</v>
      </c>
    </row>
    <row r="34" spans="1:10">
      <c r="A34" s="441">
        <v>4</v>
      </c>
      <c r="B34" s="17" t="s">
        <v>619</v>
      </c>
      <c r="E34" s="17" t="s">
        <v>586</v>
      </c>
      <c r="F34" s="403">
        <f t="shared" ref="F34:F48" si="9">F$52</f>
        <v>55</v>
      </c>
      <c r="H34" s="403">
        <f t="shared" si="4"/>
        <v>55</v>
      </c>
      <c r="I34" s="403">
        <f t="shared" ref="I34:I54" si="10">A34*H34</f>
        <v>220</v>
      </c>
    </row>
    <row r="35" spans="1:10">
      <c r="A35" s="441">
        <f>8*2*A4/120</f>
        <v>13.866666666666667</v>
      </c>
      <c r="B35" s="17" t="s">
        <v>619</v>
      </c>
      <c r="E35" s="17" t="s">
        <v>589</v>
      </c>
      <c r="F35" s="403">
        <f t="shared" si="9"/>
        <v>55</v>
      </c>
      <c r="H35" s="403">
        <f t="shared" si="4"/>
        <v>55</v>
      </c>
      <c r="I35" s="403">
        <f t="shared" si="10"/>
        <v>762.66666666666674</v>
      </c>
      <c r="J35" s="17" t="s">
        <v>1981</v>
      </c>
    </row>
    <row r="36" spans="1:10">
      <c r="A36" s="441">
        <f>3.3*5/2</f>
        <v>8.25</v>
      </c>
      <c r="B36" s="17" t="s">
        <v>619</v>
      </c>
      <c r="E36" s="17" t="s">
        <v>1426</v>
      </c>
      <c r="F36" s="403">
        <f t="shared" si="9"/>
        <v>55</v>
      </c>
      <c r="H36" s="403">
        <f t="shared" si="4"/>
        <v>55</v>
      </c>
      <c r="I36" s="403">
        <f t="shared" si="10"/>
        <v>453.75</v>
      </c>
      <c r="J36" s="17" t="s">
        <v>1450</v>
      </c>
    </row>
    <row r="37" spans="1:10">
      <c r="A37" s="441">
        <f>16*2*A4/120</f>
        <v>27.733333333333334</v>
      </c>
      <c r="B37" s="17" t="s">
        <v>619</v>
      </c>
      <c r="E37" s="17" t="s">
        <v>591</v>
      </c>
      <c r="F37" s="403">
        <f t="shared" si="9"/>
        <v>55</v>
      </c>
      <c r="H37" s="403">
        <f t="shared" si="4"/>
        <v>55</v>
      </c>
      <c r="I37" s="403">
        <f t="shared" si="10"/>
        <v>1525.3333333333335</v>
      </c>
      <c r="J37" s="17" t="s">
        <v>1981</v>
      </c>
    </row>
    <row r="38" spans="1:10">
      <c r="A38" s="441">
        <v>0</v>
      </c>
      <c r="B38" s="17" t="s">
        <v>619</v>
      </c>
      <c r="E38" s="17" t="s">
        <v>1428</v>
      </c>
      <c r="F38" s="403">
        <f t="shared" si="9"/>
        <v>55</v>
      </c>
      <c r="H38" s="403">
        <f t="shared" si="4"/>
        <v>55</v>
      </c>
      <c r="I38" s="403">
        <f t="shared" si="10"/>
        <v>0</v>
      </c>
      <c r="J38" s="17" t="s">
        <v>1452</v>
      </c>
    </row>
    <row r="39" spans="1:10">
      <c r="A39" s="441">
        <v>0</v>
      </c>
      <c r="B39" s="17" t="s">
        <v>619</v>
      </c>
      <c r="E39" s="17" t="s">
        <v>1429</v>
      </c>
      <c r="F39" s="403">
        <f t="shared" si="9"/>
        <v>55</v>
      </c>
      <c r="H39" s="403">
        <f t="shared" si="4"/>
        <v>55</v>
      </c>
      <c r="I39" s="403">
        <f t="shared" si="10"/>
        <v>0</v>
      </c>
      <c r="J39" s="17" t="s">
        <v>1452</v>
      </c>
    </row>
    <row r="40" spans="1:10">
      <c r="A40" s="441">
        <v>0</v>
      </c>
      <c r="B40" s="17" t="s">
        <v>619</v>
      </c>
      <c r="E40" s="17" t="s">
        <v>605</v>
      </c>
      <c r="F40" s="403">
        <f t="shared" si="9"/>
        <v>55</v>
      </c>
      <c r="H40" s="403">
        <f t="shared" si="4"/>
        <v>55</v>
      </c>
      <c r="I40" s="403">
        <f t="shared" si="10"/>
        <v>0</v>
      </c>
      <c r="J40" s="17" t="s">
        <v>1453</v>
      </c>
    </row>
    <row r="41" spans="1:10">
      <c r="A41" s="441">
        <v>8</v>
      </c>
      <c r="B41" s="17" t="s">
        <v>619</v>
      </c>
      <c r="E41" s="17" t="s">
        <v>607</v>
      </c>
      <c r="F41" s="403">
        <f t="shared" si="9"/>
        <v>55</v>
      </c>
      <c r="H41" s="403">
        <f t="shared" si="4"/>
        <v>55</v>
      </c>
      <c r="I41" s="403">
        <f t="shared" si="10"/>
        <v>440</v>
      </c>
    </row>
    <row r="42" spans="1:10">
      <c r="A42" s="441">
        <v>0</v>
      </c>
      <c r="B42" s="17" t="s">
        <v>619</v>
      </c>
      <c r="E42" s="17" t="s">
        <v>609</v>
      </c>
      <c r="F42" s="403">
        <f t="shared" si="9"/>
        <v>55</v>
      </c>
      <c r="H42" s="403">
        <f t="shared" si="4"/>
        <v>55</v>
      </c>
      <c r="I42" s="403">
        <f t="shared" si="10"/>
        <v>0</v>
      </c>
      <c r="J42" s="17" t="s">
        <v>1453</v>
      </c>
    </row>
    <row r="43" spans="1:10">
      <c r="A43" s="441">
        <v>0</v>
      </c>
      <c r="B43" s="17" t="s">
        <v>619</v>
      </c>
      <c r="E43" s="17" t="s">
        <v>610</v>
      </c>
      <c r="F43" s="403">
        <f t="shared" si="9"/>
        <v>55</v>
      </c>
      <c r="H43" s="403">
        <f t="shared" si="4"/>
        <v>55</v>
      </c>
      <c r="I43" s="403">
        <f t="shared" si="10"/>
        <v>0</v>
      </c>
      <c r="J43" s="17" t="s">
        <v>1453</v>
      </c>
    </row>
    <row r="44" spans="1:10">
      <c r="A44" s="441">
        <v>0</v>
      </c>
      <c r="B44" s="17" t="s">
        <v>619</v>
      </c>
      <c r="E44" s="17" t="s">
        <v>611</v>
      </c>
      <c r="F44" s="403">
        <f t="shared" si="9"/>
        <v>55</v>
      </c>
      <c r="H44" s="403">
        <f t="shared" si="4"/>
        <v>55</v>
      </c>
      <c r="I44" s="403">
        <f t="shared" si="10"/>
        <v>0</v>
      </c>
      <c r="J44" s="17" t="s">
        <v>1453</v>
      </c>
    </row>
    <row r="45" spans="1:10">
      <c r="A45" s="441">
        <v>1</v>
      </c>
      <c r="B45" s="17" t="s">
        <v>619</v>
      </c>
      <c r="E45" s="17" t="s">
        <v>1431</v>
      </c>
      <c r="F45" s="403">
        <f t="shared" si="9"/>
        <v>55</v>
      </c>
      <c r="H45" s="403">
        <f t="shared" si="4"/>
        <v>55</v>
      </c>
      <c r="I45" s="403">
        <f t="shared" si="10"/>
        <v>55</v>
      </c>
    </row>
    <row r="46" spans="1:10">
      <c r="A46" s="441">
        <v>1</v>
      </c>
      <c r="B46" s="17" t="s">
        <v>619</v>
      </c>
      <c r="E46" s="17" t="s">
        <v>612</v>
      </c>
      <c r="F46" s="403">
        <f t="shared" si="9"/>
        <v>55</v>
      </c>
      <c r="H46" s="403">
        <f t="shared" si="4"/>
        <v>55</v>
      </c>
      <c r="I46" s="403">
        <f t="shared" si="10"/>
        <v>55</v>
      </c>
    </row>
    <row r="47" spans="1:10">
      <c r="A47" s="441">
        <v>2</v>
      </c>
      <c r="B47" s="17" t="s">
        <v>619</v>
      </c>
      <c r="E47" s="17" t="s">
        <v>614</v>
      </c>
      <c r="F47" s="403">
        <f t="shared" si="9"/>
        <v>55</v>
      </c>
      <c r="H47" s="403">
        <f t="shared" si="4"/>
        <v>55</v>
      </c>
      <c r="I47" s="403">
        <f t="shared" si="10"/>
        <v>110</v>
      </c>
    </row>
    <row r="48" spans="1:10">
      <c r="A48" s="441">
        <v>4</v>
      </c>
      <c r="B48" s="17" t="s">
        <v>619</v>
      </c>
      <c r="E48" s="17" t="s">
        <v>616</v>
      </c>
      <c r="F48" s="403">
        <f t="shared" si="9"/>
        <v>55</v>
      </c>
      <c r="H48" s="403">
        <f t="shared" si="4"/>
        <v>55</v>
      </c>
      <c r="I48" s="403">
        <f t="shared" si="10"/>
        <v>220</v>
      </c>
    </row>
    <row r="50" spans="1:17">
      <c r="A50" s="17">
        <f>SUM(A34:A49)</f>
        <v>69.849999999999994</v>
      </c>
      <c r="B50" s="17" t="s">
        <v>619</v>
      </c>
      <c r="E50" s="17" t="s">
        <v>620</v>
      </c>
    </row>
    <row r="51" spans="1:17">
      <c r="A51" s="441">
        <v>2</v>
      </c>
      <c r="B51" s="17" t="s">
        <v>517</v>
      </c>
      <c r="E51" s="17" t="s">
        <v>621</v>
      </c>
    </row>
    <row r="52" spans="1:17">
      <c r="A52" s="17">
        <v>1</v>
      </c>
      <c r="B52" s="17" t="s">
        <v>517</v>
      </c>
      <c r="E52" s="17" t="s">
        <v>622</v>
      </c>
      <c r="F52" s="445">
        <v>55</v>
      </c>
      <c r="H52" s="403">
        <f t="shared" si="4"/>
        <v>55</v>
      </c>
      <c r="I52" s="403">
        <f t="shared" si="10"/>
        <v>55</v>
      </c>
      <c r="J52" s="17" t="s">
        <v>623</v>
      </c>
    </row>
    <row r="53" spans="1:17">
      <c r="A53" s="17">
        <f>ROUNDUP(A50/8/A51,0)</f>
        <v>5</v>
      </c>
      <c r="B53" s="17" t="s">
        <v>624</v>
      </c>
      <c r="E53" s="17" t="s">
        <v>625</v>
      </c>
      <c r="F53" s="403">
        <f>A51*8*F52</f>
        <v>880</v>
      </c>
      <c r="H53" s="403">
        <f t="shared" si="4"/>
        <v>880</v>
      </c>
      <c r="I53" s="403">
        <f t="shared" si="10"/>
        <v>4400</v>
      </c>
    </row>
    <row r="54" spans="1:17">
      <c r="A54" s="441">
        <v>1</v>
      </c>
      <c r="B54" s="17" t="s">
        <v>517</v>
      </c>
      <c r="E54" s="17" t="s">
        <v>626</v>
      </c>
      <c r="F54" s="447"/>
      <c r="H54" s="403">
        <f t="shared" si="4"/>
        <v>0</v>
      </c>
      <c r="I54" s="403">
        <f t="shared" si="10"/>
        <v>0</v>
      </c>
    </row>
    <row r="55" spans="1:17">
      <c r="A55" s="441"/>
      <c r="F55" s="447"/>
      <c r="H55" s="403"/>
      <c r="I55" s="403"/>
    </row>
    <row r="56" spans="1:17">
      <c r="A56" s="441"/>
      <c r="F56" s="447"/>
      <c r="H56" s="403"/>
      <c r="I56" s="403"/>
    </row>
    <row r="57" spans="1:17" ht="15.75">
      <c r="E57" s="439" t="s">
        <v>628</v>
      </c>
      <c r="I57" s="443">
        <f>SUM(I53:I56)</f>
        <v>4400</v>
      </c>
      <c r="P57" s="165">
        <f>I57</f>
        <v>4400</v>
      </c>
    </row>
    <row r="60" spans="1:17">
      <c r="E60" s="449" t="s">
        <v>630</v>
      </c>
    </row>
    <row r="61" spans="1:17">
      <c r="A61" s="441">
        <v>1</v>
      </c>
      <c r="B61" s="17" t="s">
        <v>517</v>
      </c>
      <c r="E61" s="17" t="s">
        <v>668</v>
      </c>
      <c r="F61" s="445">
        <f>1796*0.6</f>
        <v>1077.5999999999999</v>
      </c>
      <c r="H61" s="403">
        <f t="shared" si="4"/>
        <v>1077.5999999999999</v>
      </c>
      <c r="I61" s="403">
        <f t="shared" ref="I61:I63" si="11">A61*H61</f>
        <v>1077.5999999999999</v>
      </c>
      <c r="J61" s="17" t="s">
        <v>1460</v>
      </c>
    </row>
    <row r="62" spans="1:17">
      <c r="A62" s="441">
        <v>0</v>
      </c>
      <c r="B62" s="17" t="s">
        <v>539</v>
      </c>
      <c r="E62" s="17" t="s">
        <v>1461</v>
      </c>
      <c r="F62" s="445">
        <v>80</v>
      </c>
      <c r="H62" s="403">
        <f t="shared" si="4"/>
        <v>80</v>
      </c>
      <c r="I62" s="403">
        <f t="shared" si="11"/>
        <v>0</v>
      </c>
    </row>
    <row r="63" spans="1:17">
      <c r="A63" s="441">
        <v>0</v>
      </c>
      <c r="B63" s="17" t="s">
        <v>517</v>
      </c>
      <c r="E63" s="17" t="s">
        <v>1463</v>
      </c>
      <c r="F63" s="445">
        <v>2493</v>
      </c>
      <c r="H63" s="403">
        <f t="shared" si="4"/>
        <v>2493</v>
      </c>
      <c r="I63" s="403">
        <f t="shared" si="11"/>
        <v>0</v>
      </c>
    </row>
    <row r="64" spans="1:17" ht="15.75">
      <c r="E64" s="439" t="s">
        <v>676</v>
      </c>
      <c r="I64" s="443">
        <f>SUM(I61:I63)</f>
        <v>1077.5999999999999</v>
      </c>
      <c r="Q64" s="165">
        <f>I64</f>
        <v>1077.5999999999999</v>
      </c>
    </row>
    <row r="66" spans="1:10" ht="13.75" customHeight="1">
      <c r="A66" s="986" t="s">
        <v>100</v>
      </c>
      <c r="B66" s="986"/>
      <c r="C66" s="986"/>
      <c r="D66" s="986"/>
      <c r="E66" s="986"/>
    </row>
    <row r="75" spans="1:10" ht="15.05" customHeight="1">
      <c r="A75" s="1002" t="s">
        <v>90</v>
      </c>
      <c r="B75" s="1002"/>
      <c r="C75" s="1002"/>
      <c r="D75" s="1002"/>
      <c r="E75" s="1002"/>
    </row>
    <row r="77" spans="1:10" ht="13.75">
      <c r="A77" s="17">
        <v>1</v>
      </c>
      <c r="B77" s="17" t="s">
        <v>517</v>
      </c>
      <c r="E77" s="17" t="s">
        <v>1464</v>
      </c>
      <c r="F77" s="403">
        <v>860</v>
      </c>
      <c r="H77" s="403">
        <f t="shared" ref="H77:H88" si="12">F77*(1-G77)</f>
        <v>860</v>
      </c>
      <c r="I77" s="403">
        <f t="shared" ref="I77:I81" si="13">A77*H77</f>
        <v>860</v>
      </c>
      <c r="J77" s="494" t="s">
        <v>1465</v>
      </c>
    </row>
    <row r="78" spans="1:10">
      <c r="A78" s="17">
        <v>1</v>
      </c>
      <c r="B78" s="17" t="s">
        <v>517</v>
      </c>
      <c r="E78" s="17" t="s">
        <v>707</v>
      </c>
      <c r="F78" s="403">
        <v>1500</v>
      </c>
      <c r="H78" s="403">
        <f t="shared" si="12"/>
        <v>1500</v>
      </c>
      <c r="I78" s="403">
        <f t="shared" si="13"/>
        <v>1500</v>
      </c>
      <c r="J78" s="17" t="s">
        <v>1466</v>
      </c>
    </row>
    <row r="79" spans="1:10" ht="55.65">
      <c r="A79" s="17">
        <v>0</v>
      </c>
      <c r="B79" s="17" t="s">
        <v>517</v>
      </c>
      <c r="C79" s="204" t="s">
        <v>708</v>
      </c>
      <c r="E79" s="204" t="s">
        <v>709</v>
      </c>
      <c r="F79" s="403">
        <v>460</v>
      </c>
      <c r="H79" s="403">
        <f t="shared" si="12"/>
        <v>460</v>
      </c>
      <c r="I79" s="403">
        <f t="shared" si="13"/>
        <v>0</v>
      </c>
    </row>
    <row r="80" spans="1:10" ht="55.65">
      <c r="A80" s="17">
        <v>1</v>
      </c>
      <c r="B80" s="17" t="s">
        <v>517</v>
      </c>
      <c r="C80" s="204" t="s">
        <v>711</v>
      </c>
      <c r="E80" s="204" t="s">
        <v>712</v>
      </c>
      <c r="F80" s="403">
        <v>320</v>
      </c>
      <c r="H80" s="403">
        <f t="shared" si="12"/>
        <v>320</v>
      </c>
      <c r="I80" s="403">
        <f t="shared" si="13"/>
        <v>320</v>
      </c>
    </row>
    <row r="81" spans="1:10" ht="55.65">
      <c r="A81" s="17">
        <v>0</v>
      </c>
      <c r="B81" s="17" t="s">
        <v>517</v>
      </c>
      <c r="C81" s="17" t="s">
        <v>713</v>
      </c>
      <c r="D81" s="17" t="s">
        <v>714</v>
      </c>
      <c r="E81" s="204" t="s">
        <v>715</v>
      </c>
      <c r="F81" s="403">
        <v>2725</v>
      </c>
      <c r="H81" s="403">
        <f t="shared" si="12"/>
        <v>2725</v>
      </c>
      <c r="I81" s="403">
        <f t="shared" si="13"/>
        <v>0</v>
      </c>
    </row>
    <row r="83" spans="1:10" ht="15.75">
      <c r="E83" s="439" t="s">
        <v>729</v>
      </c>
      <c r="I83" s="168">
        <f>SUM(I75:I82)</f>
        <v>2680</v>
      </c>
    </row>
    <row r="85" spans="1:10" ht="13.75" customHeight="1">
      <c r="A85" s="997" t="s">
        <v>68</v>
      </c>
      <c r="B85" s="997"/>
      <c r="C85" s="997"/>
      <c r="D85" s="997"/>
      <c r="E85" s="997"/>
    </row>
    <row r="86" spans="1:10">
      <c r="A86" s="17">
        <v>1</v>
      </c>
      <c r="B86" s="17" t="s">
        <v>517</v>
      </c>
      <c r="E86" s="17" t="s">
        <v>730</v>
      </c>
      <c r="F86" s="403">
        <v>500</v>
      </c>
      <c r="H86" s="403">
        <f t="shared" si="12"/>
        <v>500</v>
      </c>
      <c r="I86" s="403">
        <f t="shared" ref="I86:I88" si="14">A86*H86</f>
        <v>500</v>
      </c>
      <c r="J86" s="17" t="s">
        <v>696</v>
      </c>
    </row>
    <row r="87" spans="1:10" ht="55.65">
      <c r="A87" s="17">
        <v>0</v>
      </c>
      <c r="B87" s="17" t="s">
        <v>517</v>
      </c>
      <c r="C87" s="204" t="s">
        <v>708</v>
      </c>
      <c r="E87" s="204" t="s">
        <v>731</v>
      </c>
      <c r="F87" s="403">
        <f>460/2</f>
        <v>230</v>
      </c>
      <c r="H87" s="403">
        <f t="shared" si="12"/>
        <v>230</v>
      </c>
      <c r="I87" s="403">
        <f t="shared" si="14"/>
        <v>0</v>
      </c>
    </row>
    <row r="88" spans="1:10" ht="55.65">
      <c r="A88" s="17">
        <v>1</v>
      </c>
      <c r="B88" s="17" t="s">
        <v>517</v>
      </c>
      <c r="C88" s="204" t="s">
        <v>711</v>
      </c>
      <c r="E88" s="204" t="s">
        <v>732</v>
      </c>
      <c r="F88" s="403">
        <f>320/2</f>
        <v>160</v>
      </c>
      <c r="H88" s="403">
        <f t="shared" si="12"/>
        <v>160</v>
      </c>
      <c r="I88" s="403">
        <f t="shared" si="14"/>
        <v>160</v>
      </c>
    </row>
    <row r="90" spans="1:10" ht="15.75">
      <c r="E90" s="439" t="s">
        <v>733</v>
      </c>
      <c r="I90" s="168">
        <f>SUM(I85:I89)</f>
        <v>660</v>
      </c>
    </row>
  </sheetData>
  <mergeCells count="6">
    <mergeCell ref="A85:E85"/>
    <mergeCell ref="B1:F1"/>
    <mergeCell ref="A2:G2"/>
    <mergeCell ref="J19:L19"/>
    <mergeCell ref="A66:E66"/>
    <mergeCell ref="A75:E7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1"/>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20.140625" style="17" customWidth="1"/>
    <col min="11" max="64" width="10.140625" style="17"/>
  </cols>
  <sheetData>
    <row r="1" spans="1:19" ht="15.05">
      <c r="B1" s="1058" t="s">
        <v>1982</v>
      </c>
      <c r="C1" s="1058"/>
      <c r="D1" s="1058"/>
      <c r="E1" s="1058"/>
      <c r="F1" s="1058"/>
      <c r="H1" s="405" t="s">
        <v>493</v>
      </c>
      <c r="I1" s="406">
        <v>310</v>
      </c>
      <c r="J1" s="17" t="s">
        <v>494</v>
      </c>
      <c r="K1" s="17" t="s">
        <v>495</v>
      </c>
      <c r="L1" s="58">
        <f>A4*I1</f>
        <v>35650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23">
        <f>57+58</f>
        <v>115</v>
      </c>
      <c r="B4" s="423" t="s">
        <v>522</v>
      </c>
      <c r="C4" s="424" t="s">
        <v>817</v>
      </c>
      <c r="D4" s="423" t="s">
        <v>1066</v>
      </c>
      <c r="E4" s="424" t="s">
        <v>1067</v>
      </c>
      <c r="F4" s="421">
        <v>91.74</v>
      </c>
      <c r="G4" s="410"/>
      <c r="H4" s="409">
        <f t="shared" ref="H4:H9" si="0">F4*(1-G4)</f>
        <v>91.74</v>
      </c>
      <c r="I4" s="409">
        <f t="shared" ref="I4:I9" si="1">A4*H4</f>
        <v>10550.099999999999</v>
      </c>
      <c r="J4" s="204"/>
      <c r="K4" s="403"/>
      <c r="L4" s="404"/>
      <c r="M4" s="418">
        <f t="shared" ref="M4:M5" si="2">I4</f>
        <v>10550.099999999999</v>
      </c>
      <c r="N4" s="437"/>
      <c r="O4" s="437"/>
      <c r="P4" s="437"/>
      <c r="Q4" s="437"/>
      <c r="R4" s="437"/>
      <c r="S4" s="437"/>
    </row>
    <row r="5" spans="1:19" ht="55.65">
      <c r="A5" s="423">
        <v>1</v>
      </c>
      <c r="B5" s="423" t="s">
        <v>522</v>
      </c>
      <c r="C5" s="424" t="s">
        <v>1011</v>
      </c>
      <c r="D5" s="423" t="s">
        <v>556</v>
      </c>
      <c r="E5" s="424" t="s">
        <v>1014</v>
      </c>
      <c r="F5" s="425">
        <f>2623.01*A4/109</f>
        <v>2767.3958715596332</v>
      </c>
      <c r="G5" s="428"/>
      <c r="H5" s="430">
        <f t="shared" si="0"/>
        <v>2767.3958715596332</v>
      </c>
      <c r="I5" s="430">
        <f t="shared" si="1"/>
        <v>2767.3958715596332</v>
      </c>
      <c r="J5" s="719" t="s">
        <v>1886</v>
      </c>
      <c r="K5" s="728"/>
      <c r="L5" s="728"/>
      <c r="M5" s="418">
        <f t="shared" si="2"/>
        <v>2767.3958715596332</v>
      </c>
      <c r="N5" s="437"/>
      <c r="O5" s="437"/>
      <c r="P5" s="437"/>
      <c r="Q5" s="437"/>
      <c r="R5" s="437"/>
      <c r="S5" s="437"/>
    </row>
    <row r="6" spans="1:19" ht="22.25">
      <c r="A6" s="423">
        <v>2</v>
      </c>
      <c r="B6" s="423" t="s">
        <v>522</v>
      </c>
      <c r="C6" s="424" t="s">
        <v>531</v>
      </c>
      <c r="D6" s="423"/>
      <c r="E6" s="424" t="s">
        <v>1116</v>
      </c>
      <c r="F6" s="425">
        <v>500</v>
      </c>
      <c r="G6" s="428"/>
      <c r="H6" s="430">
        <f t="shared" si="0"/>
        <v>500</v>
      </c>
      <c r="I6" s="430">
        <f t="shared" si="1"/>
        <v>1000</v>
      </c>
      <c r="J6" s="719"/>
      <c r="K6" s="728"/>
      <c r="L6" s="728"/>
      <c r="M6" s="437"/>
      <c r="N6" s="437"/>
      <c r="O6" s="437"/>
      <c r="P6" s="437"/>
      <c r="Q6" s="437"/>
      <c r="R6" s="418">
        <f t="shared" ref="R6:R9" si="3">I6</f>
        <v>1000</v>
      </c>
      <c r="S6" s="437"/>
    </row>
    <row r="7" spans="1:19" ht="66.8">
      <c r="A7" s="423">
        <v>2</v>
      </c>
      <c r="B7" s="423" t="s">
        <v>522</v>
      </c>
      <c r="C7" s="420" t="s">
        <v>987</v>
      </c>
      <c r="D7" s="413" t="s">
        <v>995</v>
      </c>
      <c r="E7" s="420" t="s">
        <v>996</v>
      </c>
      <c r="F7" s="421">
        <v>227.78</v>
      </c>
      <c r="G7" s="428"/>
      <c r="H7" s="430">
        <f t="shared" si="0"/>
        <v>227.78</v>
      </c>
      <c r="I7" s="430">
        <f t="shared" si="1"/>
        <v>455.56</v>
      </c>
      <c r="J7" s="719"/>
      <c r="K7" s="728"/>
      <c r="L7" s="728"/>
      <c r="M7" s="437"/>
      <c r="N7" s="437"/>
      <c r="O7" s="437"/>
      <c r="P7" s="437"/>
      <c r="Q7" s="437"/>
      <c r="R7" s="418">
        <f t="shared" si="3"/>
        <v>455.56</v>
      </c>
      <c r="S7" s="437"/>
    </row>
    <row r="8" spans="1:19">
      <c r="A8" s="487"/>
      <c r="B8" s="487"/>
      <c r="C8" s="492"/>
      <c r="D8" s="487"/>
      <c r="E8" s="487"/>
      <c r="F8" s="430"/>
      <c r="G8" s="428"/>
      <c r="H8" s="430">
        <f t="shared" si="0"/>
        <v>0</v>
      </c>
      <c r="I8" s="430">
        <f t="shared" si="1"/>
        <v>0</v>
      </c>
      <c r="J8" s="719"/>
      <c r="K8" s="728"/>
      <c r="L8" s="728"/>
      <c r="M8" s="437"/>
      <c r="N8" s="437"/>
      <c r="O8" s="437"/>
      <c r="P8" s="437"/>
      <c r="Q8" s="437"/>
      <c r="R8" s="418">
        <f t="shared" si="3"/>
        <v>0</v>
      </c>
      <c r="S8" s="437"/>
    </row>
    <row r="9" spans="1:19">
      <c r="A9" s="487"/>
      <c r="B9" s="487"/>
      <c r="C9" s="492"/>
      <c r="D9" s="487"/>
      <c r="E9" s="492"/>
      <c r="F9" s="430"/>
      <c r="G9" s="428"/>
      <c r="H9" s="430">
        <f t="shared" si="0"/>
        <v>0</v>
      </c>
      <c r="I9" s="430">
        <f t="shared" si="1"/>
        <v>0</v>
      </c>
      <c r="J9" s="719"/>
      <c r="K9" s="728"/>
      <c r="L9" s="728"/>
      <c r="M9" s="437"/>
      <c r="N9" s="437"/>
      <c r="O9" s="437"/>
      <c r="P9" s="437"/>
      <c r="Q9" s="437"/>
      <c r="R9" s="418">
        <f t="shared" si="3"/>
        <v>0</v>
      </c>
      <c r="S9" s="437"/>
    </row>
    <row r="10" spans="1:19">
      <c r="A10" s="487"/>
      <c r="B10" s="487"/>
      <c r="C10" s="492"/>
      <c r="D10" s="487"/>
      <c r="E10" s="492"/>
      <c r="F10" s="430"/>
      <c r="G10" s="428"/>
      <c r="H10" s="430">
        <f t="shared" ref="H10:H67" si="4">F10*(1-G10)</f>
        <v>0</v>
      </c>
      <c r="I10" s="430">
        <f t="shared" ref="I10:I27" si="5">A10*H10</f>
        <v>0</v>
      </c>
      <c r="J10" s="719"/>
      <c r="K10" s="728"/>
      <c r="L10" s="728"/>
      <c r="M10" s="437"/>
      <c r="N10" s="437"/>
      <c r="O10" s="437"/>
      <c r="P10" s="437"/>
      <c r="Q10" s="437"/>
      <c r="R10" s="418">
        <f>I10</f>
        <v>0</v>
      </c>
      <c r="S10" s="437"/>
    </row>
    <row r="11" spans="1:19" ht="55.65">
      <c r="A11" s="413">
        <v>100</v>
      </c>
      <c r="B11" s="413" t="s">
        <v>539</v>
      </c>
      <c r="C11" s="420" t="s">
        <v>987</v>
      </c>
      <c r="D11" s="413" t="s">
        <v>541</v>
      </c>
      <c r="E11" s="420" t="s">
        <v>542</v>
      </c>
      <c r="F11" s="421">
        <f t="shared" ref="F11:F12" si="6">328.33/500</f>
        <v>0.65666000000000002</v>
      </c>
      <c r="G11" s="428"/>
      <c r="H11" s="430">
        <f t="shared" si="4"/>
        <v>0.65666000000000002</v>
      </c>
      <c r="I11" s="430">
        <f t="shared" si="5"/>
        <v>65.665999999999997</v>
      </c>
      <c r="J11" s="719" t="s">
        <v>1877</v>
      </c>
      <c r="K11" s="728"/>
      <c r="L11" s="728"/>
      <c r="M11" s="437"/>
      <c r="N11" s="437"/>
      <c r="O11" s="418">
        <f t="shared" ref="O11:O23" si="7">I11</f>
        <v>65.665999999999997</v>
      </c>
      <c r="P11" s="418"/>
      <c r="Q11" s="418"/>
      <c r="R11" s="437"/>
      <c r="S11" s="437"/>
    </row>
    <row r="12" spans="1:19" ht="55.65">
      <c r="A12" s="413">
        <v>200</v>
      </c>
      <c r="B12" s="413" t="s">
        <v>539</v>
      </c>
      <c r="C12" s="420" t="s">
        <v>987</v>
      </c>
      <c r="D12" s="413" t="s">
        <v>543</v>
      </c>
      <c r="E12" s="420" t="s">
        <v>544</v>
      </c>
      <c r="F12" s="421">
        <f t="shared" si="6"/>
        <v>0.65666000000000002</v>
      </c>
      <c r="G12" s="428"/>
      <c r="H12" s="430">
        <f t="shared" si="4"/>
        <v>0.65666000000000002</v>
      </c>
      <c r="I12" s="430">
        <f t="shared" si="5"/>
        <v>131.33199999999999</v>
      </c>
      <c r="J12" s="719" t="s">
        <v>1877</v>
      </c>
      <c r="K12" s="728"/>
      <c r="L12" s="728"/>
      <c r="M12" s="437"/>
      <c r="N12" s="437"/>
      <c r="O12" s="418">
        <f t="shared" si="7"/>
        <v>131.33199999999999</v>
      </c>
      <c r="P12" s="418"/>
      <c r="Q12" s="418"/>
      <c r="R12" s="437"/>
      <c r="S12" s="437"/>
    </row>
    <row r="13" spans="1:19" ht="22.25">
      <c r="A13" s="423">
        <v>16</v>
      </c>
      <c r="B13" s="423" t="s">
        <v>522</v>
      </c>
      <c r="C13" s="424" t="s">
        <v>1074</v>
      </c>
      <c r="D13" s="423"/>
      <c r="E13" s="424" t="s">
        <v>1079</v>
      </c>
      <c r="F13" s="425">
        <v>1.3</v>
      </c>
      <c r="G13" s="428"/>
      <c r="H13" s="430">
        <f t="shared" si="4"/>
        <v>1.3</v>
      </c>
      <c r="I13" s="430">
        <f t="shared" si="5"/>
        <v>20.8</v>
      </c>
      <c r="J13" s="719"/>
      <c r="K13" s="728"/>
      <c r="L13" s="728"/>
      <c r="M13" s="437"/>
      <c r="N13" s="437"/>
      <c r="O13" s="418">
        <f t="shared" si="7"/>
        <v>20.8</v>
      </c>
      <c r="P13" s="437"/>
      <c r="Q13" s="437"/>
      <c r="R13" s="418"/>
      <c r="S13" s="437"/>
    </row>
    <row r="14" spans="1:19" ht="22.25">
      <c r="A14" s="423">
        <v>16</v>
      </c>
      <c r="B14" s="423" t="s">
        <v>522</v>
      </c>
      <c r="C14" s="424" t="s">
        <v>1074</v>
      </c>
      <c r="D14" s="423"/>
      <c r="E14" s="424" t="s">
        <v>1080</v>
      </c>
      <c r="F14" s="425">
        <v>0.98</v>
      </c>
      <c r="G14" s="428"/>
      <c r="H14" s="430">
        <f t="shared" si="4"/>
        <v>0.98</v>
      </c>
      <c r="I14" s="430">
        <f t="shared" si="5"/>
        <v>15.68</v>
      </c>
      <c r="J14" s="719"/>
      <c r="K14" s="728"/>
      <c r="L14" s="728"/>
      <c r="M14" s="437"/>
      <c r="N14" s="437"/>
      <c r="O14" s="418">
        <f t="shared" si="7"/>
        <v>15.68</v>
      </c>
      <c r="P14" s="437"/>
      <c r="Q14" s="437"/>
      <c r="R14" s="418"/>
      <c r="S14" s="437"/>
    </row>
    <row r="15" spans="1:19" ht="22.25">
      <c r="A15" s="423">
        <v>2</v>
      </c>
      <c r="B15" s="423" t="s">
        <v>522</v>
      </c>
      <c r="C15" s="424" t="s">
        <v>531</v>
      </c>
      <c r="D15" s="487"/>
      <c r="E15" s="424" t="s">
        <v>1117</v>
      </c>
      <c r="F15" s="430"/>
      <c r="G15" s="428"/>
      <c r="H15" s="430">
        <f t="shared" si="4"/>
        <v>0</v>
      </c>
      <c r="I15" s="430">
        <f t="shared" si="5"/>
        <v>0</v>
      </c>
      <c r="J15" s="719"/>
      <c r="K15" s="728"/>
      <c r="L15" s="728"/>
      <c r="M15" s="437"/>
      <c r="N15" s="418">
        <f t="shared" ref="N15:N17" si="8">I15</f>
        <v>0</v>
      </c>
      <c r="O15" s="437"/>
      <c r="P15" s="437"/>
      <c r="Q15" s="437"/>
      <c r="R15" s="437"/>
      <c r="S15" s="437"/>
    </row>
    <row r="16" spans="1:19" ht="55.65">
      <c r="A16" s="423">
        <v>58</v>
      </c>
      <c r="B16" s="487" t="s">
        <v>522</v>
      </c>
      <c r="C16" s="424" t="s">
        <v>1011</v>
      </c>
      <c r="D16" s="423" t="s">
        <v>1028</v>
      </c>
      <c r="E16" s="424" t="s">
        <v>1029</v>
      </c>
      <c r="F16" s="425">
        <v>42.31</v>
      </c>
      <c r="G16" s="428"/>
      <c r="H16" s="430">
        <f t="shared" si="4"/>
        <v>42.31</v>
      </c>
      <c r="I16" s="430">
        <f t="shared" si="5"/>
        <v>2453.98</v>
      </c>
      <c r="J16" s="719"/>
      <c r="K16" s="728"/>
      <c r="L16" s="728"/>
      <c r="M16" s="437"/>
      <c r="N16" s="418">
        <f t="shared" si="8"/>
        <v>2453.98</v>
      </c>
      <c r="O16" s="437"/>
      <c r="P16" s="437"/>
      <c r="Q16" s="437"/>
      <c r="R16" s="437"/>
      <c r="S16" s="437"/>
    </row>
    <row r="17" spans="1:19" ht="55.65">
      <c r="A17" s="487">
        <v>2</v>
      </c>
      <c r="B17" s="487" t="s">
        <v>522</v>
      </c>
      <c r="C17" s="492" t="s">
        <v>987</v>
      </c>
      <c r="D17" s="487" t="s">
        <v>990</v>
      </c>
      <c r="E17" s="492" t="s">
        <v>991</v>
      </c>
      <c r="F17" s="430">
        <v>33.43</v>
      </c>
      <c r="G17" s="428"/>
      <c r="H17" s="430">
        <f t="shared" si="4"/>
        <v>33.43</v>
      </c>
      <c r="I17" s="430">
        <f t="shared" si="5"/>
        <v>66.86</v>
      </c>
      <c r="J17" s="719"/>
      <c r="K17" s="728"/>
      <c r="L17" s="728"/>
      <c r="M17" s="437"/>
      <c r="N17" s="418">
        <f t="shared" si="8"/>
        <v>66.86</v>
      </c>
      <c r="O17" s="437"/>
      <c r="P17" s="437"/>
      <c r="Q17" s="437"/>
      <c r="R17" s="437"/>
      <c r="S17" s="437"/>
    </row>
    <row r="18" spans="1:19" ht="55.65">
      <c r="A18" s="487">
        <v>8</v>
      </c>
      <c r="B18" s="487" t="s">
        <v>522</v>
      </c>
      <c r="C18" s="492" t="s">
        <v>987</v>
      </c>
      <c r="D18" s="487" t="s">
        <v>761</v>
      </c>
      <c r="E18" s="492" t="s">
        <v>762</v>
      </c>
      <c r="F18" s="430">
        <v>2.5</v>
      </c>
      <c r="G18" s="428"/>
      <c r="H18" s="430">
        <f t="shared" si="4"/>
        <v>2.5</v>
      </c>
      <c r="I18" s="430">
        <f t="shared" si="5"/>
        <v>20</v>
      </c>
      <c r="J18" s="719"/>
      <c r="K18" s="728"/>
      <c r="L18" s="728"/>
      <c r="M18" s="437"/>
      <c r="N18" s="437"/>
      <c r="O18" s="437"/>
      <c r="P18" s="437"/>
      <c r="Q18" s="437"/>
      <c r="R18" s="418">
        <f t="shared" ref="R18:R19" si="9">I18</f>
        <v>20</v>
      </c>
      <c r="S18" s="437"/>
    </row>
    <row r="19" spans="1:19" ht="33.4">
      <c r="A19" s="487">
        <v>2</v>
      </c>
      <c r="B19" s="487" t="s">
        <v>522</v>
      </c>
      <c r="C19" s="492" t="s">
        <v>1479</v>
      </c>
      <c r="D19" s="487"/>
      <c r="E19" s="492" t="s">
        <v>803</v>
      </c>
      <c r="F19" s="430">
        <v>564.44000000000005</v>
      </c>
      <c r="G19" s="428"/>
      <c r="H19" s="430">
        <f t="shared" si="4"/>
        <v>564.44000000000005</v>
      </c>
      <c r="I19" s="430">
        <f t="shared" si="5"/>
        <v>1128.8800000000001</v>
      </c>
      <c r="J19" s="1080"/>
      <c r="K19" s="1080"/>
      <c r="L19" s="1080"/>
      <c r="M19" s="437"/>
      <c r="N19" s="437"/>
      <c r="O19" s="437"/>
      <c r="P19" s="437"/>
      <c r="Q19" s="437"/>
      <c r="R19" s="418">
        <f t="shared" si="9"/>
        <v>1128.8800000000001</v>
      </c>
      <c r="S19" s="437"/>
    </row>
    <row r="20" spans="1:19" ht="22.25">
      <c r="A20" s="407">
        <v>1</v>
      </c>
      <c r="B20" s="407" t="s">
        <v>522</v>
      </c>
      <c r="C20" s="408"/>
      <c r="D20" s="407"/>
      <c r="E20" s="408" t="s">
        <v>695</v>
      </c>
      <c r="F20" s="409">
        <v>100</v>
      </c>
      <c r="G20" s="410"/>
      <c r="H20" s="409">
        <f t="shared" si="4"/>
        <v>100</v>
      </c>
      <c r="I20" s="409">
        <f t="shared" si="5"/>
        <v>100</v>
      </c>
      <c r="J20" s="204" t="s">
        <v>696</v>
      </c>
      <c r="M20" s="437"/>
      <c r="N20" s="437"/>
      <c r="O20" s="418">
        <f t="shared" si="7"/>
        <v>100</v>
      </c>
      <c r="P20" s="437"/>
      <c r="Q20" s="437"/>
      <c r="R20" s="418"/>
      <c r="S20" s="437"/>
    </row>
    <row r="21" spans="1:19" ht="55.65">
      <c r="A21" s="487">
        <v>1</v>
      </c>
      <c r="B21" s="487"/>
      <c r="C21" s="492" t="s">
        <v>1011</v>
      </c>
      <c r="D21" s="487" t="s">
        <v>769</v>
      </c>
      <c r="E21" s="487" t="s">
        <v>567</v>
      </c>
      <c r="F21" s="430">
        <v>343.75</v>
      </c>
      <c r="G21" s="428"/>
      <c r="H21" s="430">
        <f t="shared" si="4"/>
        <v>343.75</v>
      </c>
      <c r="I21" s="430">
        <f t="shared" si="5"/>
        <v>343.75</v>
      </c>
      <c r="J21" s="719"/>
      <c r="K21" s="728"/>
      <c r="L21" s="728"/>
      <c r="M21" s="418">
        <f>F21</f>
        <v>343.75</v>
      </c>
      <c r="N21" s="437"/>
      <c r="O21" s="437"/>
      <c r="P21" s="437"/>
      <c r="Q21" s="437"/>
      <c r="R21" s="437"/>
      <c r="S21" s="437"/>
    </row>
    <row r="22" spans="1:19" ht="22.25">
      <c r="A22" s="487">
        <v>130</v>
      </c>
      <c r="B22" s="407" t="s">
        <v>539</v>
      </c>
      <c r="C22" s="408" t="s">
        <v>1445</v>
      </c>
      <c r="D22" s="407"/>
      <c r="E22" s="407" t="s">
        <v>691</v>
      </c>
      <c r="F22" s="409">
        <f>7.58/1.2</f>
        <v>6.3166666666666673</v>
      </c>
      <c r="G22" s="428"/>
      <c r="H22" s="430">
        <f t="shared" si="4"/>
        <v>6.3166666666666673</v>
      </c>
      <c r="I22" s="430">
        <f t="shared" si="5"/>
        <v>821.16666666666674</v>
      </c>
      <c r="J22" s="719"/>
      <c r="K22" s="728"/>
      <c r="L22" s="728"/>
      <c r="M22" s="418"/>
      <c r="N22" s="437"/>
      <c r="O22" s="418">
        <f t="shared" si="7"/>
        <v>821.16666666666674</v>
      </c>
      <c r="P22" s="437"/>
      <c r="Q22" s="437"/>
      <c r="R22" s="437"/>
      <c r="S22" s="437"/>
    </row>
    <row r="23" spans="1:19" ht="22.25">
      <c r="A23" s="487">
        <v>0</v>
      </c>
      <c r="B23" s="407" t="s">
        <v>539</v>
      </c>
      <c r="C23" s="408" t="s">
        <v>1445</v>
      </c>
      <c r="D23" s="407"/>
      <c r="E23" s="407" t="s">
        <v>1103</v>
      </c>
      <c r="F23" s="409">
        <v>11.45</v>
      </c>
      <c r="G23" s="428"/>
      <c r="H23" s="430">
        <f t="shared" si="4"/>
        <v>11.45</v>
      </c>
      <c r="I23" s="430">
        <f t="shared" si="5"/>
        <v>0</v>
      </c>
      <c r="J23" s="719"/>
      <c r="K23" s="728"/>
      <c r="L23" s="728"/>
      <c r="M23" s="418"/>
      <c r="N23" s="437"/>
      <c r="O23" s="418">
        <f t="shared" si="7"/>
        <v>0</v>
      </c>
      <c r="P23" s="437"/>
      <c r="Q23" s="437"/>
      <c r="R23" s="437"/>
      <c r="S23" s="437"/>
    </row>
    <row r="24" spans="1:19">
      <c r="A24" s="487"/>
      <c r="B24" s="487"/>
      <c r="C24" s="492"/>
      <c r="D24" s="487"/>
      <c r="E24" s="487"/>
      <c r="F24" s="430"/>
      <c r="G24" s="428"/>
      <c r="H24" s="430"/>
      <c r="I24" s="430"/>
      <c r="J24" s="719"/>
      <c r="K24" s="728"/>
      <c r="L24" s="728"/>
      <c r="M24" s="418"/>
      <c r="N24" s="437"/>
      <c r="O24" s="437"/>
      <c r="P24" s="437"/>
      <c r="Q24" s="437"/>
      <c r="R24" s="437"/>
      <c r="S24" s="437"/>
    </row>
    <row r="25" spans="1:19" ht="44.55">
      <c r="A25" s="407">
        <v>1</v>
      </c>
      <c r="B25" s="407" t="s">
        <v>517</v>
      </c>
      <c r="C25" s="408" t="s">
        <v>569</v>
      </c>
      <c r="D25" s="407" t="s">
        <v>570</v>
      </c>
      <c r="E25" s="408" t="s">
        <v>571</v>
      </c>
      <c r="F25" s="409">
        <v>1040</v>
      </c>
      <c r="G25" s="429">
        <v>0.48</v>
      </c>
      <c r="H25" s="430">
        <f t="shared" si="4"/>
        <v>540.80000000000007</v>
      </c>
      <c r="I25" s="430">
        <f t="shared" si="5"/>
        <v>540.80000000000007</v>
      </c>
      <c r="J25" s="719"/>
      <c r="K25" s="728"/>
      <c r="L25" s="728"/>
      <c r="M25" s="418"/>
      <c r="N25" s="437"/>
      <c r="O25" s="437"/>
      <c r="P25" s="437"/>
      <c r="Q25" s="437"/>
      <c r="R25" s="437"/>
      <c r="S25" s="418">
        <f t="shared" ref="S25:S27" si="10">I25</f>
        <v>540.80000000000007</v>
      </c>
    </row>
    <row r="26" spans="1:19">
      <c r="A26" s="407">
        <v>5</v>
      </c>
      <c r="B26" s="407" t="s">
        <v>517</v>
      </c>
      <c r="C26" s="408" t="s">
        <v>574</v>
      </c>
      <c r="D26" s="407"/>
      <c r="E26" s="407" t="s">
        <v>1008</v>
      </c>
      <c r="F26" s="409">
        <v>75</v>
      </c>
      <c r="G26" s="428"/>
      <c r="H26" s="430">
        <f t="shared" si="4"/>
        <v>75</v>
      </c>
      <c r="I26" s="430">
        <f t="shared" si="5"/>
        <v>375</v>
      </c>
      <c r="J26" s="719"/>
      <c r="K26" s="728"/>
      <c r="L26" s="728"/>
      <c r="M26" s="418"/>
      <c r="N26" s="437"/>
      <c r="O26" s="437"/>
      <c r="P26" s="437"/>
      <c r="Q26" s="437"/>
      <c r="R26" s="437"/>
      <c r="S26" s="418">
        <f t="shared" si="10"/>
        <v>375</v>
      </c>
    </row>
    <row r="27" spans="1:19">
      <c r="A27" s="407">
        <v>1</v>
      </c>
      <c r="B27" s="407" t="s">
        <v>517</v>
      </c>
      <c r="C27" s="408" t="s">
        <v>574</v>
      </c>
      <c r="D27" s="407"/>
      <c r="E27" s="407" t="s">
        <v>567</v>
      </c>
      <c r="F27" s="409">
        <f>35/4</f>
        <v>8.75</v>
      </c>
      <c r="G27" s="428"/>
      <c r="H27" s="430">
        <f t="shared" si="4"/>
        <v>8.75</v>
      </c>
      <c r="I27" s="430">
        <f t="shared" si="5"/>
        <v>8.75</v>
      </c>
      <c r="J27" s="719"/>
      <c r="K27" s="728"/>
      <c r="L27" s="728"/>
      <c r="M27" s="418"/>
      <c r="N27" s="437"/>
      <c r="O27" s="437"/>
      <c r="P27" s="437"/>
      <c r="Q27" s="437"/>
      <c r="R27" s="437"/>
      <c r="S27" s="418">
        <f t="shared" si="10"/>
        <v>8.75</v>
      </c>
    </row>
    <row r="28" spans="1:19" ht="12.45">
      <c r="A28" s="487"/>
      <c r="B28" s="487"/>
      <c r="C28" s="492"/>
      <c r="D28" s="487"/>
      <c r="E28" s="744"/>
      <c r="F28" s="430"/>
      <c r="G28" s="428"/>
      <c r="H28" s="430"/>
      <c r="I28" s="430"/>
      <c r="J28" s="719"/>
      <c r="K28" s="728"/>
      <c r="L28" s="728"/>
      <c r="M28" s="418"/>
      <c r="N28" s="437"/>
      <c r="O28" s="437"/>
      <c r="P28" s="437"/>
      <c r="Q28" s="437"/>
      <c r="R28" s="437"/>
      <c r="S28" s="437"/>
    </row>
    <row r="29" spans="1:19" ht="12.45">
      <c r="A29" s="487"/>
      <c r="B29" s="487"/>
      <c r="C29" s="492"/>
      <c r="D29" s="487"/>
      <c r="E29" s="744"/>
      <c r="F29" s="430"/>
      <c r="G29" s="428"/>
      <c r="H29" s="430"/>
      <c r="I29" s="430"/>
      <c r="J29" s="719"/>
      <c r="K29" s="728"/>
      <c r="L29" s="728"/>
      <c r="M29" s="418"/>
      <c r="N29" s="437"/>
      <c r="O29" s="437"/>
      <c r="P29" s="437"/>
      <c r="Q29" s="437"/>
      <c r="R29" s="437"/>
      <c r="S29" s="437"/>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917" t="s">
        <v>580</v>
      </c>
      <c r="F31" s="409"/>
      <c r="G31" s="410"/>
      <c r="H31" s="409"/>
      <c r="I31" s="409">
        <f>SUM(I4:I29)</f>
        <v>20865.720538226298</v>
      </c>
      <c r="J31" s="204"/>
      <c r="M31" s="418">
        <f>SUM(M4:M29)</f>
        <v>13661.245871559631</v>
      </c>
      <c r="N31" s="418">
        <f>SUM(N4:N29)</f>
        <v>2520.84</v>
      </c>
      <c r="O31" s="418">
        <f>SUM(O4:O29)</f>
        <v>1154.6446666666668</v>
      </c>
      <c r="P31" s="418"/>
      <c r="Q31" s="418"/>
      <c r="R31" s="418">
        <f>SUM(R4:R29)</f>
        <v>2604.44</v>
      </c>
      <c r="S31" s="437"/>
    </row>
    <row r="32" spans="1:19">
      <c r="A32" s="407"/>
      <c r="B32" s="407"/>
      <c r="C32" s="408"/>
      <c r="D32" s="407"/>
      <c r="E32" s="407" t="s">
        <v>581</v>
      </c>
      <c r="F32" s="409"/>
      <c r="G32" s="410">
        <v>0.25</v>
      </c>
      <c r="H32" s="409"/>
      <c r="I32" s="409"/>
      <c r="J32" s="204"/>
      <c r="M32" s="418"/>
      <c r="N32" s="418"/>
      <c r="O32" s="418"/>
      <c r="P32" s="418"/>
      <c r="Q32" s="418"/>
      <c r="R32" s="418"/>
      <c r="S32" s="437"/>
    </row>
    <row r="33" spans="1:19" ht="15.75">
      <c r="E33" s="918" t="s">
        <v>582</v>
      </c>
      <c r="F33" s="418"/>
      <c r="G33" s="434"/>
      <c r="H33" s="418"/>
      <c r="I33" s="418">
        <f>I31*(1+$G$32)</f>
        <v>26082.150672782875</v>
      </c>
      <c r="J33" s="436"/>
      <c r="K33" s="437"/>
      <c r="L33" s="437"/>
      <c r="M33" s="165">
        <f>M31*(1+$G$32)</f>
        <v>17076.55733944954</v>
      </c>
      <c r="N33" s="165">
        <f>N31*(1+$G$32)</f>
        <v>3151.05</v>
      </c>
      <c r="O33" s="165">
        <f>O31*(1+$G$32)</f>
        <v>1443.3058333333336</v>
      </c>
      <c r="P33" s="418"/>
      <c r="Q33" s="418"/>
      <c r="R33" s="165">
        <f>R31*(1+$G$32)</f>
        <v>3255.55</v>
      </c>
      <c r="S33" s="165">
        <f>SUM(S4:S32)</f>
        <v>924.55000000000007</v>
      </c>
    </row>
    <row r="36" spans="1:19">
      <c r="E36" s="919" t="s">
        <v>585</v>
      </c>
    </row>
    <row r="37" spans="1:19">
      <c r="A37" s="441">
        <v>8</v>
      </c>
      <c r="B37" s="17" t="s">
        <v>619</v>
      </c>
      <c r="E37" s="17" t="s">
        <v>586</v>
      </c>
      <c r="F37" s="403">
        <f t="shared" ref="F37:F52" si="11">F$56</f>
        <v>55</v>
      </c>
      <c r="H37" s="403">
        <f t="shared" si="4"/>
        <v>55</v>
      </c>
      <c r="I37" s="403">
        <f t="shared" ref="I37:I60" si="12">A37*H37</f>
        <v>440</v>
      </c>
      <c r="J37" s="17" t="s">
        <v>1983</v>
      </c>
    </row>
    <row r="38" spans="1:19">
      <c r="A38" s="441">
        <v>77</v>
      </c>
      <c r="B38" s="17" t="s">
        <v>619</v>
      </c>
      <c r="E38" s="17" t="s">
        <v>589</v>
      </c>
      <c r="F38" s="403">
        <f t="shared" si="11"/>
        <v>55</v>
      </c>
      <c r="H38" s="403">
        <f t="shared" si="4"/>
        <v>55</v>
      </c>
      <c r="I38" s="403">
        <f t="shared" si="12"/>
        <v>4235</v>
      </c>
      <c r="J38" s="17" t="s">
        <v>696</v>
      </c>
    </row>
    <row r="39" spans="1:19">
      <c r="A39" s="441">
        <f>3.3*6/2</f>
        <v>9.8999999999999986</v>
      </c>
      <c r="B39" s="17" t="s">
        <v>619</v>
      </c>
      <c r="E39" s="17" t="s">
        <v>1426</v>
      </c>
      <c r="F39" s="403">
        <f t="shared" si="11"/>
        <v>55</v>
      </c>
      <c r="H39" s="403">
        <f t="shared" si="4"/>
        <v>55</v>
      </c>
      <c r="I39" s="403">
        <f t="shared" si="12"/>
        <v>544.49999999999989</v>
      </c>
      <c r="J39" s="17" t="s">
        <v>1450</v>
      </c>
    </row>
    <row r="40" spans="1:19">
      <c r="A40" s="441">
        <f>7.75*A4/30</f>
        <v>29.708333333333332</v>
      </c>
      <c r="B40" s="17" t="s">
        <v>619</v>
      </c>
      <c r="E40" s="17" t="s">
        <v>591</v>
      </c>
      <c r="F40" s="403">
        <f t="shared" si="11"/>
        <v>55</v>
      </c>
      <c r="H40" s="403">
        <f t="shared" si="4"/>
        <v>55</v>
      </c>
      <c r="I40" s="403">
        <f t="shared" si="12"/>
        <v>1633.9583333333333</v>
      </c>
      <c r="J40" s="17" t="s">
        <v>1451</v>
      </c>
    </row>
    <row r="41" spans="1:19">
      <c r="A41" s="441">
        <v>0</v>
      </c>
      <c r="B41" s="17" t="s">
        <v>619</v>
      </c>
      <c r="E41" s="17" t="s">
        <v>1428</v>
      </c>
      <c r="F41" s="403">
        <f t="shared" si="11"/>
        <v>55</v>
      </c>
      <c r="H41" s="403">
        <f t="shared" si="4"/>
        <v>55</v>
      </c>
      <c r="I41" s="403">
        <f t="shared" si="12"/>
        <v>0</v>
      </c>
      <c r="J41" s="17" t="s">
        <v>1452</v>
      </c>
    </row>
    <row r="42" spans="1:19">
      <c r="A42" s="441">
        <v>0</v>
      </c>
      <c r="B42" s="17" t="s">
        <v>619</v>
      </c>
      <c r="E42" s="17" t="s">
        <v>1429</v>
      </c>
      <c r="F42" s="403">
        <f t="shared" si="11"/>
        <v>55</v>
      </c>
      <c r="H42" s="403">
        <f t="shared" si="4"/>
        <v>55</v>
      </c>
      <c r="I42" s="403">
        <f t="shared" si="12"/>
        <v>0</v>
      </c>
      <c r="J42" s="17" t="s">
        <v>1452</v>
      </c>
    </row>
    <row r="43" spans="1:19">
      <c r="A43" s="441">
        <v>0</v>
      </c>
      <c r="B43" s="17" t="s">
        <v>619</v>
      </c>
      <c r="E43" s="17" t="s">
        <v>605</v>
      </c>
      <c r="F43" s="403">
        <f t="shared" si="11"/>
        <v>55</v>
      </c>
      <c r="H43" s="403">
        <f t="shared" si="4"/>
        <v>55</v>
      </c>
      <c r="I43" s="403">
        <f t="shared" si="12"/>
        <v>0</v>
      </c>
      <c r="J43" s="17" t="s">
        <v>1453</v>
      </c>
    </row>
    <row r="44" spans="1:19">
      <c r="A44" s="441">
        <v>8</v>
      </c>
      <c r="B44" s="17" t="s">
        <v>619</v>
      </c>
      <c r="E44" s="17" t="s">
        <v>607</v>
      </c>
      <c r="F44" s="403">
        <f t="shared" si="11"/>
        <v>55</v>
      </c>
      <c r="H44" s="403">
        <f t="shared" si="4"/>
        <v>55</v>
      </c>
      <c r="I44" s="403">
        <f t="shared" si="12"/>
        <v>440</v>
      </c>
    </row>
    <row r="45" spans="1:19">
      <c r="A45" s="441">
        <v>0</v>
      </c>
      <c r="B45" s="17" t="s">
        <v>619</v>
      </c>
      <c r="E45" s="17" t="s">
        <v>609</v>
      </c>
      <c r="F45" s="403">
        <f t="shared" si="11"/>
        <v>55</v>
      </c>
      <c r="H45" s="403">
        <f t="shared" si="4"/>
        <v>55</v>
      </c>
      <c r="I45" s="403">
        <f t="shared" si="12"/>
        <v>0</v>
      </c>
      <c r="J45" s="17" t="s">
        <v>1453</v>
      </c>
    </row>
    <row r="46" spans="1:19">
      <c r="A46" s="441">
        <v>0</v>
      </c>
      <c r="B46" s="17" t="s">
        <v>619</v>
      </c>
      <c r="E46" s="17" t="s">
        <v>610</v>
      </c>
      <c r="F46" s="403">
        <f t="shared" si="11"/>
        <v>55</v>
      </c>
      <c r="H46" s="403">
        <f t="shared" si="4"/>
        <v>55</v>
      </c>
      <c r="I46" s="403">
        <f t="shared" si="12"/>
        <v>0</v>
      </c>
      <c r="J46" s="17" t="s">
        <v>1453</v>
      </c>
    </row>
    <row r="47" spans="1:19">
      <c r="A47" s="441">
        <v>0</v>
      </c>
      <c r="B47" s="17" t="s">
        <v>619</v>
      </c>
      <c r="E47" s="17" t="s">
        <v>611</v>
      </c>
      <c r="F47" s="403">
        <f t="shared" si="11"/>
        <v>55</v>
      </c>
      <c r="H47" s="403">
        <f t="shared" si="4"/>
        <v>55</v>
      </c>
      <c r="I47" s="403">
        <f t="shared" si="12"/>
        <v>0</v>
      </c>
      <c r="J47" s="17" t="s">
        <v>1453</v>
      </c>
    </row>
    <row r="48" spans="1:19">
      <c r="A48" s="441">
        <v>1.5</v>
      </c>
      <c r="B48" s="17" t="s">
        <v>619</v>
      </c>
      <c r="E48" s="17" t="s">
        <v>1431</v>
      </c>
      <c r="F48" s="403">
        <f t="shared" si="11"/>
        <v>55</v>
      </c>
      <c r="H48" s="403">
        <f t="shared" si="4"/>
        <v>55</v>
      </c>
      <c r="I48" s="403">
        <f t="shared" si="12"/>
        <v>82.5</v>
      </c>
      <c r="J48" s="17" t="s">
        <v>1880</v>
      </c>
    </row>
    <row r="49" spans="1:16">
      <c r="A49" s="441">
        <v>6.5</v>
      </c>
      <c r="B49" s="17" t="s">
        <v>619</v>
      </c>
      <c r="E49" s="17" t="s">
        <v>612</v>
      </c>
      <c r="F49" s="403">
        <f t="shared" si="11"/>
        <v>55</v>
      </c>
      <c r="H49" s="403">
        <f t="shared" si="4"/>
        <v>55</v>
      </c>
      <c r="I49" s="403">
        <f t="shared" si="12"/>
        <v>357.5</v>
      </c>
      <c r="J49" s="17" t="s">
        <v>1881</v>
      </c>
    </row>
    <row r="50" spans="1:16">
      <c r="A50" s="441">
        <v>4</v>
      </c>
      <c r="B50" s="17" t="s">
        <v>619</v>
      </c>
      <c r="E50" s="17" t="s">
        <v>614</v>
      </c>
      <c r="F50" s="403">
        <f t="shared" si="11"/>
        <v>55</v>
      </c>
      <c r="H50" s="403">
        <f t="shared" si="4"/>
        <v>55</v>
      </c>
      <c r="I50" s="403">
        <f t="shared" si="12"/>
        <v>220</v>
      </c>
    </row>
    <row r="51" spans="1:16">
      <c r="A51" s="441">
        <v>8</v>
      </c>
      <c r="B51" s="17" t="s">
        <v>619</v>
      </c>
      <c r="E51" s="17" t="s">
        <v>617</v>
      </c>
      <c r="F51" s="403">
        <f t="shared" si="11"/>
        <v>55</v>
      </c>
      <c r="H51" s="403">
        <f t="shared" si="4"/>
        <v>55</v>
      </c>
      <c r="I51" s="403">
        <f t="shared" si="12"/>
        <v>440</v>
      </c>
      <c r="J51" s="17" t="s">
        <v>1984</v>
      </c>
    </row>
    <row r="52" spans="1:16">
      <c r="A52" s="441">
        <v>4</v>
      </c>
      <c r="B52" s="17" t="s">
        <v>619</v>
      </c>
      <c r="E52" s="17" t="s">
        <v>616</v>
      </c>
      <c r="F52" s="403">
        <f t="shared" si="11"/>
        <v>55</v>
      </c>
      <c r="H52" s="403">
        <f t="shared" si="4"/>
        <v>55</v>
      </c>
      <c r="I52" s="403">
        <f t="shared" si="12"/>
        <v>220</v>
      </c>
    </row>
    <row r="54" spans="1:16">
      <c r="A54" s="17">
        <f>SUM(A37:A53)</f>
        <v>156.60833333333335</v>
      </c>
      <c r="B54" s="17" t="s">
        <v>619</v>
      </c>
      <c r="E54" s="17" t="s">
        <v>620</v>
      </c>
    </row>
    <row r="55" spans="1:16">
      <c r="A55" s="441">
        <v>3</v>
      </c>
      <c r="B55" s="17" t="s">
        <v>517</v>
      </c>
      <c r="E55" s="17" t="s">
        <v>621</v>
      </c>
    </row>
    <row r="56" spans="1:16">
      <c r="B56" s="17" t="s">
        <v>517</v>
      </c>
      <c r="E56" s="17" t="s">
        <v>622</v>
      </c>
      <c r="F56" s="445">
        <v>55</v>
      </c>
      <c r="H56" s="403">
        <f t="shared" si="4"/>
        <v>55</v>
      </c>
      <c r="I56" s="403">
        <f t="shared" si="12"/>
        <v>0</v>
      </c>
      <c r="J56" s="17" t="s">
        <v>623</v>
      </c>
    </row>
    <row r="57" spans="1:16">
      <c r="A57" s="17">
        <f>ROUNDUP(A54/8/A55,0)</f>
        <v>7</v>
      </c>
      <c r="B57" s="17" t="s">
        <v>624</v>
      </c>
      <c r="E57" s="17" t="s">
        <v>625</v>
      </c>
      <c r="F57" s="403">
        <f>A55*8*F56</f>
        <v>1320</v>
      </c>
      <c r="H57" s="403">
        <f t="shared" si="4"/>
        <v>1320</v>
      </c>
      <c r="I57" s="403">
        <f t="shared" si="12"/>
        <v>9240</v>
      </c>
    </row>
    <row r="58" spans="1:16">
      <c r="A58" s="441">
        <v>2</v>
      </c>
      <c r="B58" s="17" t="s">
        <v>1455</v>
      </c>
      <c r="E58" s="17" t="s">
        <v>1883</v>
      </c>
      <c r="F58" s="447">
        <f>2000</f>
        <v>2000</v>
      </c>
      <c r="H58" s="403">
        <f t="shared" si="4"/>
        <v>2000</v>
      </c>
      <c r="I58" s="403">
        <f t="shared" si="12"/>
        <v>4000</v>
      </c>
    </row>
    <row r="59" spans="1:16">
      <c r="A59" s="441">
        <v>1</v>
      </c>
      <c r="B59" s="17" t="s">
        <v>517</v>
      </c>
      <c r="E59" s="17" t="s">
        <v>1458</v>
      </c>
      <c r="F59" s="447">
        <v>500</v>
      </c>
      <c r="H59" s="403">
        <f t="shared" si="4"/>
        <v>500</v>
      </c>
      <c r="I59" s="403">
        <f t="shared" si="12"/>
        <v>500</v>
      </c>
    </row>
    <row r="60" spans="1:16">
      <c r="A60" s="441">
        <v>1</v>
      </c>
      <c r="B60" s="17" t="s">
        <v>517</v>
      </c>
      <c r="E60" s="17" t="s">
        <v>1459</v>
      </c>
      <c r="F60" s="447">
        <v>1000</v>
      </c>
      <c r="H60" s="403">
        <f t="shared" si="4"/>
        <v>1000</v>
      </c>
      <c r="I60" s="403">
        <f t="shared" si="12"/>
        <v>1000</v>
      </c>
    </row>
    <row r="61" spans="1:16" ht="15.75">
      <c r="E61" s="919" t="s">
        <v>628</v>
      </c>
      <c r="I61" s="403">
        <f>SUM(I57:I60)</f>
        <v>14740</v>
      </c>
      <c r="P61" s="165">
        <f>I61</f>
        <v>14740</v>
      </c>
    </row>
    <row r="64" spans="1:16">
      <c r="E64" s="920" t="s">
        <v>630</v>
      </c>
    </row>
    <row r="65" spans="1:17">
      <c r="A65" s="441">
        <v>1</v>
      </c>
      <c r="B65" s="17" t="s">
        <v>517</v>
      </c>
      <c r="E65" s="17" t="s">
        <v>668</v>
      </c>
      <c r="F65" s="445">
        <f>1796*0.6</f>
        <v>1077.5999999999999</v>
      </c>
      <c r="H65" s="403">
        <f t="shared" si="4"/>
        <v>1077.5999999999999</v>
      </c>
      <c r="I65" s="403">
        <f t="shared" ref="I65:I67" si="13">A65*H65</f>
        <v>1077.5999999999999</v>
      </c>
      <c r="J65" s="17" t="s">
        <v>1460</v>
      </c>
    </row>
    <row r="66" spans="1:17">
      <c r="A66" s="441">
        <v>0</v>
      </c>
      <c r="B66" s="17" t="s">
        <v>539</v>
      </c>
      <c r="E66" s="17" t="s">
        <v>1461</v>
      </c>
      <c r="F66" s="445">
        <v>80</v>
      </c>
      <c r="H66" s="403">
        <f t="shared" si="4"/>
        <v>80</v>
      </c>
      <c r="I66" s="403">
        <f t="shared" si="13"/>
        <v>0</v>
      </c>
    </row>
    <row r="67" spans="1:17">
      <c r="A67" s="441">
        <v>0</v>
      </c>
      <c r="B67" s="17" t="s">
        <v>517</v>
      </c>
      <c r="E67" s="17" t="s">
        <v>1463</v>
      </c>
      <c r="F67" s="445">
        <v>2493</v>
      </c>
      <c r="H67" s="403">
        <f t="shared" si="4"/>
        <v>2493</v>
      </c>
      <c r="I67" s="403">
        <f t="shared" si="13"/>
        <v>0</v>
      </c>
    </row>
    <row r="68" spans="1:17" ht="15.75">
      <c r="E68" s="919" t="s">
        <v>676</v>
      </c>
      <c r="I68" s="403">
        <f>SUM(I65:I67)</f>
        <v>1077.5999999999999</v>
      </c>
      <c r="Q68" s="165">
        <f>I68</f>
        <v>1077.5999999999999</v>
      </c>
    </row>
    <row r="70" spans="1:17" ht="13.75" customHeight="1">
      <c r="A70" s="1101" t="s">
        <v>100</v>
      </c>
      <c r="B70" s="1101"/>
      <c r="C70" s="1101"/>
      <c r="D70" s="1101"/>
      <c r="E70" s="1101"/>
    </row>
    <row r="76" spans="1:17" ht="15.05" customHeight="1">
      <c r="A76" s="1102" t="s">
        <v>90</v>
      </c>
      <c r="B76" s="1102"/>
      <c r="C76" s="1102"/>
      <c r="D76" s="1102"/>
      <c r="E76" s="1102"/>
    </row>
    <row r="78" spans="1:17" ht="13.75">
      <c r="B78" s="17" t="s">
        <v>517</v>
      </c>
      <c r="E78" s="17" t="s">
        <v>1464</v>
      </c>
      <c r="F78" s="403">
        <v>860</v>
      </c>
      <c r="H78" s="403">
        <f t="shared" ref="H78:H89" si="14">F78*(1-G78)</f>
        <v>860</v>
      </c>
      <c r="I78" s="403">
        <f t="shared" ref="I78:I82" si="15">A78*H78</f>
        <v>0</v>
      </c>
      <c r="J78" s="494" t="s">
        <v>1465</v>
      </c>
    </row>
    <row r="79" spans="1:17">
      <c r="A79" s="17">
        <v>1</v>
      </c>
      <c r="B79" s="17" t="s">
        <v>517</v>
      </c>
      <c r="E79" s="17" t="s">
        <v>707</v>
      </c>
      <c r="F79" s="403">
        <v>1500</v>
      </c>
      <c r="H79" s="403">
        <f t="shared" si="14"/>
        <v>1500</v>
      </c>
      <c r="I79" s="403">
        <f t="shared" si="15"/>
        <v>1500</v>
      </c>
    </row>
    <row r="80" spans="1:17" ht="55.65">
      <c r="A80" s="17">
        <v>1</v>
      </c>
      <c r="B80" s="17" t="s">
        <v>517</v>
      </c>
      <c r="C80" s="204" t="s">
        <v>708</v>
      </c>
      <c r="E80" s="204" t="s">
        <v>709</v>
      </c>
      <c r="F80" s="403">
        <v>460</v>
      </c>
      <c r="H80" s="403">
        <f t="shared" si="14"/>
        <v>460</v>
      </c>
      <c r="I80" s="403">
        <f t="shared" si="15"/>
        <v>460</v>
      </c>
    </row>
    <row r="81" spans="1:10" ht="55.65">
      <c r="A81" s="17">
        <v>0</v>
      </c>
      <c r="B81" s="17" t="s">
        <v>517</v>
      </c>
      <c r="C81" s="204" t="s">
        <v>711</v>
      </c>
      <c r="E81" s="204" t="s">
        <v>712</v>
      </c>
      <c r="F81" s="403">
        <v>320</v>
      </c>
      <c r="H81" s="403">
        <f t="shared" si="14"/>
        <v>320</v>
      </c>
      <c r="I81" s="403">
        <f t="shared" si="15"/>
        <v>0</v>
      </c>
    </row>
    <row r="82" spans="1:10" ht="55.65">
      <c r="A82" s="17">
        <v>0</v>
      </c>
      <c r="B82" s="17" t="s">
        <v>517</v>
      </c>
      <c r="C82" s="17" t="s">
        <v>713</v>
      </c>
      <c r="D82" s="17" t="s">
        <v>714</v>
      </c>
      <c r="E82" s="204" t="s">
        <v>715</v>
      </c>
      <c r="F82" s="403">
        <v>2725</v>
      </c>
      <c r="H82" s="403">
        <f t="shared" si="14"/>
        <v>2725</v>
      </c>
      <c r="I82" s="403">
        <f t="shared" si="15"/>
        <v>0</v>
      </c>
    </row>
    <row r="84" spans="1:10" ht="15.75">
      <c r="E84" s="919" t="s">
        <v>729</v>
      </c>
      <c r="I84" s="168">
        <f>SUM(I76:I83)</f>
        <v>1960</v>
      </c>
    </row>
    <row r="86" spans="1:10" ht="13.75" customHeight="1">
      <c r="A86" s="1100" t="s">
        <v>68</v>
      </c>
      <c r="B86" s="1100"/>
      <c r="C86" s="1100"/>
      <c r="D86" s="1100"/>
      <c r="E86" s="1100"/>
    </row>
    <row r="87" spans="1:10">
      <c r="A87" s="17">
        <v>1</v>
      </c>
      <c r="B87" s="17" t="s">
        <v>517</v>
      </c>
      <c r="E87" s="17" t="s">
        <v>730</v>
      </c>
      <c r="F87" s="403">
        <v>350</v>
      </c>
      <c r="H87" s="403">
        <f t="shared" si="14"/>
        <v>350</v>
      </c>
      <c r="I87" s="403">
        <f t="shared" ref="I87:I89" si="16">A87*H87</f>
        <v>350</v>
      </c>
      <c r="J87" s="17" t="s">
        <v>1985</v>
      </c>
    </row>
    <row r="88" spans="1:10" ht="55.65">
      <c r="A88" s="17">
        <v>1</v>
      </c>
      <c r="B88" s="17" t="s">
        <v>517</v>
      </c>
      <c r="C88" s="204" t="s">
        <v>708</v>
      </c>
      <c r="E88" s="204" t="s">
        <v>731</v>
      </c>
      <c r="F88" s="403">
        <f>460/2</f>
        <v>230</v>
      </c>
      <c r="H88" s="403">
        <f t="shared" si="14"/>
        <v>230</v>
      </c>
      <c r="I88" s="403">
        <f t="shared" si="16"/>
        <v>230</v>
      </c>
    </row>
    <row r="89" spans="1:10" ht="55.65">
      <c r="A89" s="17">
        <v>0</v>
      </c>
      <c r="B89" s="17" t="s">
        <v>517</v>
      </c>
      <c r="C89" s="204" t="s">
        <v>711</v>
      </c>
      <c r="E89" s="204" t="s">
        <v>732</v>
      </c>
      <c r="F89" s="403">
        <f>320/2</f>
        <v>160</v>
      </c>
      <c r="H89" s="403">
        <f t="shared" si="14"/>
        <v>160</v>
      </c>
      <c r="I89" s="403">
        <f t="shared" si="16"/>
        <v>0</v>
      </c>
    </row>
    <row r="91" spans="1:10" ht="15.75">
      <c r="E91" s="919" t="s">
        <v>733</v>
      </c>
      <c r="I91" s="168">
        <f>SUM(I86:I90)</f>
        <v>580</v>
      </c>
    </row>
  </sheetData>
  <mergeCells count="6">
    <mergeCell ref="A86:E86"/>
    <mergeCell ref="B1:F1"/>
    <mergeCell ref="A2:G2"/>
    <mergeCell ref="J19:L19"/>
    <mergeCell ref="A70:E70"/>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14.28515625" style="17" customWidth="1"/>
    <col min="11" max="64" width="10.140625" style="17"/>
  </cols>
  <sheetData>
    <row r="1" spans="1:19" ht="15.05">
      <c r="B1" s="1058" t="s">
        <v>243</v>
      </c>
      <c r="C1" s="1058"/>
      <c r="D1" s="1058"/>
      <c r="E1" s="1058"/>
      <c r="F1" s="1058"/>
      <c r="H1" s="405" t="s">
        <v>493</v>
      </c>
      <c r="I1" s="406">
        <v>310</v>
      </c>
      <c r="J1" s="17" t="s">
        <v>494</v>
      </c>
      <c r="K1" s="17" t="s">
        <v>495</v>
      </c>
      <c r="L1" s="58">
        <f>A4*I1</f>
        <v>75950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07">
        <v>245</v>
      </c>
      <c r="B4" s="423" t="s">
        <v>522</v>
      </c>
      <c r="C4" s="424" t="s">
        <v>817</v>
      </c>
      <c r="D4" s="423" t="s">
        <v>1066</v>
      </c>
      <c r="E4" s="424" t="s">
        <v>1067</v>
      </c>
      <c r="F4" s="421">
        <v>91.74</v>
      </c>
      <c r="G4" s="410"/>
      <c r="H4" s="409">
        <f t="shared" ref="H4:H9" si="0">F4*(1-G4)</f>
        <v>91.74</v>
      </c>
      <c r="I4" s="409">
        <f t="shared" ref="I4:I9" si="1">A4*H4</f>
        <v>22476.3</v>
      </c>
      <c r="J4" s="204"/>
      <c r="K4" s="403"/>
      <c r="L4" s="404"/>
      <c r="M4" s="418">
        <f t="shared" ref="M4:M5" si="2">I4</f>
        <v>22476.3</v>
      </c>
      <c r="N4" s="437"/>
      <c r="O4" s="437"/>
      <c r="P4" s="437"/>
      <c r="Q4" s="437"/>
      <c r="R4" s="437"/>
      <c r="S4" s="437"/>
    </row>
    <row r="5" spans="1:19" ht="44.55">
      <c r="A5" s="407">
        <v>1</v>
      </c>
      <c r="B5" s="407"/>
      <c r="C5" s="408" t="s">
        <v>987</v>
      </c>
      <c r="D5" s="407" t="s">
        <v>556</v>
      </c>
      <c r="E5" s="407" t="s">
        <v>994</v>
      </c>
      <c r="F5" s="409">
        <v>10440</v>
      </c>
      <c r="G5" s="410"/>
      <c r="H5" s="409">
        <f t="shared" si="0"/>
        <v>10440</v>
      </c>
      <c r="I5" s="409">
        <f t="shared" si="1"/>
        <v>10440</v>
      </c>
      <c r="J5" s="204"/>
      <c r="M5" s="418">
        <f t="shared" si="2"/>
        <v>10440</v>
      </c>
      <c r="N5" s="437"/>
      <c r="O5" s="437"/>
      <c r="P5" s="437"/>
      <c r="Q5" s="437"/>
      <c r="R5" s="437"/>
      <c r="S5" s="437"/>
    </row>
    <row r="6" spans="1:19" ht="55.65">
      <c r="A6" s="407">
        <v>1</v>
      </c>
      <c r="B6" s="407"/>
      <c r="C6" s="408" t="s">
        <v>987</v>
      </c>
      <c r="D6" s="407" t="s">
        <v>556</v>
      </c>
      <c r="E6" s="407" t="s">
        <v>1000</v>
      </c>
      <c r="F6" s="409">
        <v>1222.22</v>
      </c>
      <c r="G6" s="410"/>
      <c r="H6" s="409">
        <f t="shared" si="0"/>
        <v>1222.22</v>
      </c>
      <c r="I6" s="409">
        <f t="shared" si="1"/>
        <v>1222.22</v>
      </c>
      <c r="J6" s="204" t="s">
        <v>1001</v>
      </c>
      <c r="M6" s="437"/>
      <c r="N6" s="437"/>
      <c r="O6" s="437"/>
      <c r="P6" s="437"/>
      <c r="Q6" s="437"/>
      <c r="R6" s="418">
        <f t="shared" ref="R6:R9" si="3">I6</f>
        <v>1222.22</v>
      </c>
      <c r="S6" s="437"/>
    </row>
    <row r="7" spans="1:19" ht="66.8">
      <c r="A7" s="407">
        <v>1</v>
      </c>
      <c r="B7" s="407" t="s">
        <v>522</v>
      </c>
      <c r="C7" s="408" t="s">
        <v>987</v>
      </c>
      <c r="D7" s="407" t="s">
        <v>995</v>
      </c>
      <c r="E7" s="408" t="s">
        <v>996</v>
      </c>
      <c r="F7" s="409">
        <v>227.78</v>
      </c>
      <c r="G7" s="410"/>
      <c r="H7" s="409">
        <f t="shared" si="0"/>
        <v>227.78</v>
      </c>
      <c r="I7" s="409">
        <f t="shared" si="1"/>
        <v>227.78</v>
      </c>
      <c r="J7" s="204" t="s">
        <v>1986</v>
      </c>
      <c r="M7" s="437"/>
      <c r="N7" s="437"/>
      <c r="O7" s="437"/>
      <c r="P7" s="437"/>
      <c r="Q7" s="437"/>
      <c r="R7" s="418">
        <f t="shared" si="3"/>
        <v>227.78</v>
      </c>
      <c r="S7" s="437"/>
    </row>
    <row r="8" spans="1:19" ht="44.55">
      <c r="A8" s="407">
        <v>1</v>
      </c>
      <c r="B8" s="407"/>
      <c r="C8" s="408" t="s">
        <v>987</v>
      </c>
      <c r="D8" s="407" t="s">
        <v>556</v>
      </c>
      <c r="E8" s="407" t="s">
        <v>997</v>
      </c>
      <c r="F8" s="409">
        <v>387.78</v>
      </c>
      <c r="G8" s="410"/>
      <c r="H8" s="409">
        <f t="shared" si="0"/>
        <v>387.78</v>
      </c>
      <c r="I8" s="409">
        <f t="shared" si="1"/>
        <v>387.78</v>
      </c>
      <c r="J8" s="204" t="s">
        <v>1987</v>
      </c>
      <c r="M8" s="437"/>
      <c r="N8" s="437"/>
      <c r="O8" s="437"/>
      <c r="P8" s="437"/>
      <c r="Q8" s="437"/>
      <c r="R8" s="418">
        <f t="shared" si="3"/>
        <v>387.78</v>
      </c>
      <c r="S8" s="437"/>
    </row>
    <row r="9" spans="1:19" ht="200.3">
      <c r="A9" s="407">
        <v>2</v>
      </c>
      <c r="B9" s="407" t="s">
        <v>522</v>
      </c>
      <c r="C9" s="408" t="s">
        <v>987</v>
      </c>
      <c r="D9" s="407" t="s">
        <v>985</v>
      </c>
      <c r="E9" s="408" t="s">
        <v>1500</v>
      </c>
      <c r="F9" s="409">
        <v>493.33</v>
      </c>
      <c r="G9" s="410"/>
      <c r="H9" s="409">
        <f t="shared" si="0"/>
        <v>493.33</v>
      </c>
      <c r="I9" s="409">
        <f t="shared" si="1"/>
        <v>986.66</v>
      </c>
      <c r="J9" s="204" t="s">
        <v>1988</v>
      </c>
      <c r="M9" s="437"/>
      <c r="N9" s="437"/>
      <c r="O9" s="437"/>
      <c r="P9" s="437"/>
      <c r="Q9" s="437"/>
      <c r="R9" s="418">
        <f t="shared" si="3"/>
        <v>986.66</v>
      </c>
      <c r="S9" s="437"/>
    </row>
    <row r="10" spans="1:19" ht="44.55">
      <c r="A10" s="407">
        <v>2</v>
      </c>
      <c r="B10" s="407" t="s">
        <v>522</v>
      </c>
      <c r="C10" s="408" t="s">
        <v>987</v>
      </c>
      <c r="D10" s="407" t="s">
        <v>992</v>
      </c>
      <c r="E10" s="408" t="s">
        <v>993</v>
      </c>
      <c r="F10" s="409">
        <v>274.44</v>
      </c>
      <c r="G10" s="410"/>
      <c r="H10" s="409">
        <f t="shared" ref="H10:H67" si="4">F10*(1-G10)</f>
        <v>274.44</v>
      </c>
      <c r="I10" s="409">
        <f t="shared" ref="I10:I28" si="5">A10*H10</f>
        <v>548.88</v>
      </c>
      <c r="J10" s="204"/>
      <c r="M10" s="437"/>
      <c r="N10" s="437"/>
      <c r="O10" s="437"/>
      <c r="P10" s="437"/>
      <c r="Q10" s="437"/>
      <c r="R10" s="418">
        <f>I10</f>
        <v>548.88</v>
      </c>
      <c r="S10" s="437"/>
    </row>
    <row r="11" spans="1:19" ht="44.55">
      <c r="A11" s="407">
        <v>1</v>
      </c>
      <c r="B11" s="407" t="s">
        <v>522</v>
      </c>
      <c r="C11" s="408" t="s">
        <v>987</v>
      </c>
      <c r="D11" s="407" t="s">
        <v>541</v>
      </c>
      <c r="E11" s="408" t="s">
        <v>542</v>
      </c>
      <c r="F11" s="409">
        <v>328.33</v>
      </c>
      <c r="G11" s="410"/>
      <c r="H11" s="409">
        <f t="shared" si="4"/>
        <v>328.33</v>
      </c>
      <c r="I11" s="409">
        <f t="shared" si="5"/>
        <v>328.33</v>
      </c>
      <c r="J11" s="204"/>
      <c r="M11" s="437"/>
      <c r="N11" s="437"/>
      <c r="O11" s="418">
        <f t="shared" ref="O11:O21" si="6">I11</f>
        <v>328.33</v>
      </c>
      <c r="P11" s="418"/>
      <c r="Q11" s="418"/>
      <c r="R11" s="437"/>
      <c r="S11" s="437"/>
    </row>
    <row r="12" spans="1:19" ht="44.55">
      <c r="A12" s="407">
        <v>1</v>
      </c>
      <c r="B12" s="407" t="s">
        <v>522</v>
      </c>
      <c r="C12" s="408" t="s">
        <v>987</v>
      </c>
      <c r="D12" s="407" t="s">
        <v>543</v>
      </c>
      <c r="E12" s="408" t="s">
        <v>544</v>
      </c>
      <c r="F12" s="409">
        <v>328.33</v>
      </c>
      <c r="G12" s="410"/>
      <c r="H12" s="409">
        <f t="shared" si="4"/>
        <v>328.33</v>
      </c>
      <c r="I12" s="409">
        <f t="shared" si="5"/>
        <v>328.33</v>
      </c>
      <c r="J12" s="204"/>
      <c r="M12" s="437"/>
      <c r="N12" s="437"/>
      <c r="O12" s="418">
        <f t="shared" si="6"/>
        <v>328.33</v>
      </c>
      <c r="P12" s="418"/>
      <c r="Q12" s="418"/>
      <c r="R12" s="437"/>
      <c r="S12" s="437"/>
    </row>
    <row r="13" spans="1:19" ht="22.25">
      <c r="A13" s="407">
        <v>80</v>
      </c>
      <c r="B13" s="407" t="s">
        <v>522</v>
      </c>
      <c r="C13" s="408" t="s">
        <v>1074</v>
      </c>
      <c r="D13" s="407"/>
      <c r="E13" s="408" t="s">
        <v>1079</v>
      </c>
      <c r="F13" s="409">
        <v>1.3</v>
      </c>
      <c r="G13" s="410"/>
      <c r="H13" s="409">
        <f t="shared" si="4"/>
        <v>1.3</v>
      </c>
      <c r="I13" s="409">
        <f t="shared" si="5"/>
        <v>104</v>
      </c>
      <c r="J13" s="204"/>
      <c r="M13" s="437"/>
      <c r="N13" s="437"/>
      <c r="O13" s="418">
        <f t="shared" si="6"/>
        <v>104</v>
      </c>
      <c r="P13" s="437"/>
      <c r="Q13" s="437"/>
      <c r="R13" s="418"/>
      <c r="S13" s="437"/>
    </row>
    <row r="14" spans="1:19" ht="22.25">
      <c r="A14" s="407">
        <v>80</v>
      </c>
      <c r="B14" s="407" t="s">
        <v>522</v>
      </c>
      <c r="C14" s="408" t="s">
        <v>1074</v>
      </c>
      <c r="D14" s="407"/>
      <c r="E14" s="408" t="s">
        <v>1080</v>
      </c>
      <c r="F14" s="409">
        <v>0.98</v>
      </c>
      <c r="G14" s="410"/>
      <c r="H14" s="409">
        <f t="shared" si="4"/>
        <v>0.98</v>
      </c>
      <c r="I14" s="409">
        <f t="shared" si="5"/>
        <v>78.400000000000006</v>
      </c>
      <c r="J14" s="204"/>
      <c r="M14" s="437"/>
      <c r="N14" s="437"/>
      <c r="O14" s="418">
        <f t="shared" si="6"/>
        <v>78.400000000000006</v>
      </c>
      <c r="P14" s="437"/>
      <c r="Q14" s="437"/>
      <c r="R14" s="418"/>
      <c r="S14" s="437"/>
    </row>
    <row r="15" spans="1:19" ht="55.65">
      <c r="A15" s="413">
        <v>2</v>
      </c>
      <c r="B15" s="413" t="s">
        <v>522</v>
      </c>
      <c r="C15" s="420" t="s">
        <v>987</v>
      </c>
      <c r="D15" s="413" t="s">
        <v>821</v>
      </c>
      <c r="E15" s="420" t="s">
        <v>822</v>
      </c>
      <c r="F15" s="421">
        <v>2175.1999999999998</v>
      </c>
      <c r="G15" s="410"/>
      <c r="H15" s="409">
        <f t="shared" si="4"/>
        <v>2175.1999999999998</v>
      </c>
      <c r="I15" s="409">
        <f t="shared" si="5"/>
        <v>4350.3999999999996</v>
      </c>
      <c r="J15" s="204" t="s">
        <v>1989</v>
      </c>
      <c r="M15" s="437"/>
      <c r="N15" s="418">
        <f t="shared" ref="N15:N17" si="7">I15</f>
        <v>4350.3999999999996</v>
      </c>
      <c r="O15" s="437"/>
      <c r="P15" s="437"/>
      <c r="Q15" s="437"/>
      <c r="R15" s="437"/>
      <c r="S15" s="437"/>
    </row>
    <row r="16" spans="1:19" ht="33.4">
      <c r="A16" s="413">
        <v>1</v>
      </c>
      <c r="B16" s="407" t="s">
        <v>522</v>
      </c>
      <c r="C16" s="408" t="s">
        <v>1118</v>
      </c>
      <c r="D16" s="407"/>
      <c r="E16" s="420" t="s">
        <v>1119</v>
      </c>
      <c r="F16" s="409">
        <f>1961.49*17.5/15</f>
        <v>2288.4049999999997</v>
      </c>
      <c r="G16" s="410"/>
      <c r="H16" s="409">
        <f t="shared" si="4"/>
        <v>2288.4049999999997</v>
      </c>
      <c r="I16" s="409">
        <f t="shared" si="5"/>
        <v>2288.4049999999997</v>
      </c>
      <c r="J16" s="204" t="s">
        <v>1990</v>
      </c>
      <c r="M16" s="437"/>
      <c r="N16" s="418">
        <f t="shared" si="7"/>
        <v>2288.4049999999997</v>
      </c>
      <c r="O16" s="437"/>
      <c r="P16" s="437"/>
      <c r="Q16" s="437"/>
      <c r="R16" s="437"/>
      <c r="S16" s="437"/>
    </row>
    <row r="17" spans="1:19" ht="44.55">
      <c r="A17" s="407">
        <v>3</v>
      </c>
      <c r="B17" s="407" t="s">
        <v>522</v>
      </c>
      <c r="C17" s="408" t="s">
        <v>987</v>
      </c>
      <c r="D17" s="407" t="s">
        <v>990</v>
      </c>
      <c r="E17" s="408" t="s">
        <v>991</v>
      </c>
      <c r="F17" s="409">
        <v>33.43</v>
      </c>
      <c r="G17" s="410"/>
      <c r="H17" s="409">
        <f t="shared" si="4"/>
        <v>33.43</v>
      </c>
      <c r="I17" s="409">
        <f t="shared" si="5"/>
        <v>100.28999999999999</v>
      </c>
      <c r="J17" s="204"/>
      <c r="M17" s="437"/>
      <c r="N17" s="418">
        <f t="shared" si="7"/>
        <v>100.28999999999999</v>
      </c>
      <c r="O17" s="437"/>
      <c r="P17" s="437"/>
      <c r="Q17" s="437"/>
      <c r="R17" s="437"/>
      <c r="S17" s="437"/>
    </row>
    <row r="18" spans="1:19" ht="44.55">
      <c r="A18" s="407">
        <v>24</v>
      </c>
      <c r="B18" s="407" t="s">
        <v>522</v>
      </c>
      <c r="C18" s="408" t="s">
        <v>987</v>
      </c>
      <c r="D18" s="407" t="s">
        <v>761</v>
      </c>
      <c r="E18" s="408" t="s">
        <v>762</v>
      </c>
      <c r="F18" s="409">
        <v>2.5</v>
      </c>
      <c r="G18" s="410"/>
      <c r="H18" s="409">
        <f t="shared" si="4"/>
        <v>2.5</v>
      </c>
      <c r="I18" s="409">
        <f t="shared" si="5"/>
        <v>60</v>
      </c>
      <c r="J18" s="204"/>
      <c r="M18" s="437"/>
      <c r="N18" s="437"/>
      <c r="O18" s="437"/>
      <c r="P18" s="437"/>
      <c r="Q18" s="437"/>
      <c r="R18" s="418">
        <f t="shared" ref="R18:R20" si="8">I18</f>
        <v>60</v>
      </c>
      <c r="S18" s="437"/>
    </row>
    <row r="19" spans="1:19" ht="24.9" customHeight="1">
      <c r="A19" s="407">
        <v>1</v>
      </c>
      <c r="B19" s="407" t="s">
        <v>522</v>
      </c>
      <c r="C19" s="408" t="s">
        <v>1479</v>
      </c>
      <c r="D19" s="407"/>
      <c r="E19" s="408" t="s">
        <v>803</v>
      </c>
      <c r="F19" s="409">
        <v>564.44000000000005</v>
      </c>
      <c r="G19" s="410"/>
      <c r="H19" s="409">
        <f t="shared" si="4"/>
        <v>564.44000000000005</v>
      </c>
      <c r="I19" s="409">
        <f t="shared" si="5"/>
        <v>564.44000000000005</v>
      </c>
      <c r="J19" s="1054" t="s">
        <v>837</v>
      </c>
      <c r="K19" s="1054"/>
      <c r="L19" s="1054"/>
      <c r="M19" s="437"/>
      <c r="N19" s="437"/>
      <c r="O19" s="437"/>
      <c r="P19" s="437"/>
      <c r="Q19" s="437"/>
      <c r="R19" s="418">
        <f t="shared" si="8"/>
        <v>564.44000000000005</v>
      </c>
      <c r="S19" s="437"/>
    </row>
    <row r="20" spans="1:19" ht="44.55">
      <c r="A20" s="407">
        <v>1</v>
      </c>
      <c r="B20" s="407" t="s">
        <v>522</v>
      </c>
      <c r="C20" s="408" t="s">
        <v>987</v>
      </c>
      <c r="D20" s="407" t="s">
        <v>998</v>
      </c>
      <c r="E20" s="408" t="s">
        <v>999</v>
      </c>
      <c r="F20" s="409">
        <v>116.67</v>
      </c>
      <c r="G20" s="410"/>
      <c r="H20" s="409">
        <f t="shared" si="4"/>
        <v>116.67</v>
      </c>
      <c r="I20" s="409">
        <f t="shared" si="5"/>
        <v>116.67</v>
      </c>
      <c r="J20" s="204"/>
      <c r="M20" s="437"/>
      <c r="N20" s="437"/>
      <c r="O20" s="437"/>
      <c r="P20" s="437"/>
      <c r="Q20" s="437"/>
      <c r="R20" s="418">
        <f t="shared" si="8"/>
        <v>116.67</v>
      </c>
      <c r="S20" s="437"/>
    </row>
    <row r="21" spans="1:19" ht="22.25">
      <c r="A21" s="407">
        <v>1</v>
      </c>
      <c r="B21" s="407" t="s">
        <v>522</v>
      </c>
      <c r="C21" s="408"/>
      <c r="D21" s="407"/>
      <c r="E21" s="408" t="s">
        <v>695</v>
      </c>
      <c r="F21" s="409">
        <v>100</v>
      </c>
      <c r="G21" s="410"/>
      <c r="H21" s="409">
        <f t="shared" si="4"/>
        <v>100</v>
      </c>
      <c r="I21" s="409">
        <f t="shared" si="5"/>
        <v>100</v>
      </c>
      <c r="J21" s="204" t="s">
        <v>696</v>
      </c>
      <c r="M21" s="437"/>
      <c r="N21" s="437"/>
      <c r="O21" s="418">
        <f t="shared" si="6"/>
        <v>100</v>
      </c>
      <c r="P21" s="437"/>
      <c r="Q21" s="437"/>
      <c r="R21" s="418"/>
      <c r="S21" s="437"/>
    </row>
    <row r="22" spans="1:19" ht="44.55">
      <c r="A22" s="407">
        <v>1</v>
      </c>
      <c r="B22" s="407"/>
      <c r="C22" s="408" t="s">
        <v>987</v>
      </c>
      <c r="D22" s="407" t="s">
        <v>769</v>
      </c>
      <c r="E22" s="407" t="s">
        <v>567</v>
      </c>
      <c r="F22" s="409">
        <v>750</v>
      </c>
      <c r="G22" s="410"/>
      <c r="H22" s="409">
        <f t="shared" si="4"/>
        <v>750</v>
      </c>
      <c r="I22" s="409">
        <f t="shared" si="5"/>
        <v>750</v>
      </c>
      <c r="J22" s="204"/>
      <c r="M22" s="418">
        <f>F22</f>
        <v>750</v>
      </c>
      <c r="N22" s="437"/>
      <c r="O22" s="437"/>
      <c r="P22" s="437"/>
      <c r="Q22" s="437"/>
      <c r="R22" s="437"/>
      <c r="S22" s="437"/>
    </row>
    <row r="23" spans="1:19">
      <c r="A23" s="407"/>
      <c r="B23" s="407"/>
      <c r="C23" s="408"/>
      <c r="D23" s="407"/>
      <c r="E23" s="407" t="s">
        <v>1991</v>
      </c>
      <c r="F23" s="409"/>
      <c r="G23" s="410"/>
      <c r="H23" s="409"/>
      <c r="I23" s="409"/>
      <c r="J23" s="204"/>
      <c r="M23" s="418"/>
      <c r="N23" s="437"/>
      <c r="O23" s="437"/>
      <c r="P23" s="437"/>
      <c r="Q23" s="437"/>
      <c r="R23" s="437"/>
      <c r="S23" s="437"/>
    </row>
    <row r="24" spans="1:19">
      <c r="A24" s="407"/>
      <c r="B24" s="407"/>
      <c r="C24" s="408"/>
      <c r="D24" s="407"/>
      <c r="E24" s="407"/>
      <c r="F24" s="409"/>
      <c r="G24" s="410"/>
      <c r="H24" s="409"/>
      <c r="I24" s="409"/>
      <c r="J24" s="204"/>
      <c r="M24" s="418"/>
      <c r="N24" s="437"/>
      <c r="O24" s="437"/>
      <c r="P24" s="437"/>
      <c r="Q24" s="437"/>
      <c r="R24" s="437"/>
      <c r="S24" s="437"/>
    </row>
    <row r="25" spans="1:19" ht="44.55">
      <c r="A25" s="407">
        <v>1</v>
      </c>
      <c r="B25" s="407" t="s">
        <v>517</v>
      </c>
      <c r="C25" s="492" t="s">
        <v>569</v>
      </c>
      <c r="D25" s="487" t="s">
        <v>572</v>
      </c>
      <c r="E25" s="492" t="s">
        <v>573</v>
      </c>
      <c r="F25" s="430">
        <v>1190</v>
      </c>
      <c r="G25" s="429">
        <v>0.48</v>
      </c>
      <c r="H25" s="430">
        <f t="shared" si="4"/>
        <v>618.80000000000007</v>
      </c>
      <c r="I25" s="409">
        <f t="shared" si="5"/>
        <v>618.80000000000007</v>
      </c>
      <c r="J25" s="204" t="s">
        <v>1888</v>
      </c>
      <c r="M25" s="418"/>
      <c r="N25" s="437"/>
      <c r="O25" s="437"/>
      <c r="P25" s="437"/>
      <c r="Q25" s="437"/>
      <c r="R25" s="437"/>
      <c r="S25" s="418">
        <f t="shared" ref="S25:S28" si="9">I25</f>
        <v>618.80000000000007</v>
      </c>
    </row>
    <row r="26" spans="1:19">
      <c r="A26" s="407">
        <v>3</v>
      </c>
      <c r="B26" s="407" t="s">
        <v>517</v>
      </c>
      <c r="C26" s="408" t="s">
        <v>574</v>
      </c>
      <c r="D26" s="407" t="s">
        <v>575</v>
      </c>
      <c r="E26" s="407" t="s">
        <v>576</v>
      </c>
      <c r="F26" s="409">
        <v>36.700000000000003</v>
      </c>
      <c r="G26" s="410"/>
      <c r="H26" s="409">
        <f t="shared" si="4"/>
        <v>36.700000000000003</v>
      </c>
      <c r="I26" s="409">
        <f t="shared" si="5"/>
        <v>110.10000000000001</v>
      </c>
      <c r="J26" s="204"/>
      <c r="M26" s="418"/>
      <c r="N26" s="437"/>
      <c r="O26" s="437"/>
      <c r="P26" s="437"/>
      <c r="Q26" s="437"/>
      <c r="R26" s="437"/>
      <c r="S26" s="418">
        <f t="shared" si="9"/>
        <v>110.10000000000001</v>
      </c>
    </row>
    <row r="27" spans="1:19">
      <c r="A27" s="407">
        <v>5</v>
      </c>
      <c r="B27" s="407" t="s">
        <v>517</v>
      </c>
      <c r="C27" s="408" t="s">
        <v>574</v>
      </c>
      <c r="D27" s="407" t="s">
        <v>577</v>
      </c>
      <c r="E27" s="407" t="s">
        <v>578</v>
      </c>
      <c r="F27" s="409">
        <v>75</v>
      </c>
      <c r="G27" s="410"/>
      <c r="H27" s="409">
        <f t="shared" si="4"/>
        <v>75</v>
      </c>
      <c r="I27" s="409">
        <f t="shared" si="5"/>
        <v>375</v>
      </c>
      <c r="J27" s="204"/>
      <c r="M27" s="418"/>
      <c r="N27" s="437"/>
      <c r="O27" s="437"/>
      <c r="P27" s="437"/>
      <c r="Q27" s="437"/>
      <c r="R27" s="437"/>
      <c r="S27" s="418">
        <f t="shared" si="9"/>
        <v>375</v>
      </c>
    </row>
    <row r="28" spans="1:19">
      <c r="A28" s="407">
        <v>1</v>
      </c>
      <c r="B28" s="407" t="s">
        <v>517</v>
      </c>
      <c r="C28" s="408" t="s">
        <v>574</v>
      </c>
      <c r="D28" s="407"/>
      <c r="E28" s="407" t="s">
        <v>579</v>
      </c>
      <c r="F28" s="409">
        <f>35/4</f>
        <v>8.75</v>
      </c>
      <c r="G28" s="410"/>
      <c r="H28" s="409">
        <f t="shared" si="4"/>
        <v>8.75</v>
      </c>
      <c r="I28" s="409">
        <f t="shared" si="5"/>
        <v>8.75</v>
      </c>
      <c r="J28" s="204"/>
      <c r="M28" s="418"/>
      <c r="N28" s="437"/>
      <c r="O28" s="437"/>
      <c r="P28" s="437"/>
      <c r="Q28" s="437"/>
      <c r="R28" s="437"/>
      <c r="S28" s="418">
        <f t="shared" si="9"/>
        <v>8.75</v>
      </c>
    </row>
    <row r="29" spans="1:19" ht="12.45">
      <c r="A29" s="407"/>
      <c r="B29" s="407"/>
      <c r="C29" s="408"/>
      <c r="D29" s="407"/>
      <c r="E29" s="431"/>
      <c r="F29" s="409"/>
      <c r="G29" s="410"/>
      <c r="H29" s="409"/>
      <c r="I29" s="409"/>
      <c r="J29" s="204"/>
      <c r="M29" s="418"/>
      <c r="N29" s="437"/>
      <c r="O29" s="437"/>
      <c r="P29" s="437"/>
      <c r="Q29" s="437"/>
      <c r="R29" s="437"/>
      <c r="S29" s="437"/>
    </row>
    <row r="30" spans="1:19" ht="12.45">
      <c r="A30" s="407"/>
      <c r="B30" s="407"/>
      <c r="C30" s="408"/>
      <c r="D30" s="407"/>
      <c r="E30" s="431"/>
      <c r="F30" s="409"/>
      <c r="G30" s="410"/>
      <c r="H30" s="409"/>
      <c r="I30" s="409"/>
      <c r="J30" s="204"/>
      <c r="M30" s="418"/>
      <c r="N30" s="437"/>
      <c r="O30" s="437"/>
      <c r="P30" s="437"/>
      <c r="Q30" s="437"/>
      <c r="R30" s="437"/>
      <c r="S30" s="437"/>
    </row>
    <row r="31" spans="1:19">
      <c r="A31" s="407"/>
      <c r="B31" s="407"/>
      <c r="C31" s="408"/>
      <c r="D31" s="407"/>
      <c r="E31" s="407"/>
      <c r="F31" s="409"/>
      <c r="G31" s="410"/>
      <c r="H31" s="409"/>
      <c r="I31" s="409"/>
      <c r="J31" s="204"/>
      <c r="M31" s="437"/>
      <c r="N31" s="437"/>
      <c r="O31" s="437"/>
      <c r="P31" s="437"/>
      <c r="Q31" s="437"/>
      <c r="R31" s="437"/>
      <c r="S31" s="437"/>
    </row>
    <row r="32" spans="1:19">
      <c r="A32" s="407"/>
      <c r="B32" s="407"/>
      <c r="C32" s="408"/>
      <c r="D32" s="407"/>
      <c r="E32" s="432" t="s">
        <v>580</v>
      </c>
      <c r="F32" s="409"/>
      <c r="G32" s="410"/>
      <c r="H32" s="409"/>
      <c r="I32" s="421">
        <f>SUM(I4:I30)</f>
        <v>46571.535000000011</v>
      </c>
      <c r="J32" s="204"/>
      <c r="M32" s="418">
        <f>SUM(M4:M30)</f>
        <v>33666.300000000003</v>
      </c>
      <c r="N32" s="418">
        <f>SUM(N4:N30)</f>
        <v>6739.0949999999993</v>
      </c>
      <c r="O32" s="418">
        <f>SUM(O4:O30)</f>
        <v>939.06</v>
      </c>
      <c r="P32" s="418"/>
      <c r="Q32" s="418"/>
      <c r="R32" s="418">
        <f>SUM(R4:R30)</f>
        <v>4114.43</v>
      </c>
      <c r="S32" s="437"/>
    </row>
    <row r="33" spans="1:19">
      <c r="A33" s="407"/>
      <c r="B33" s="407"/>
      <c r="C33" s="408"/>
      <c r="D33" s="407"/>
      <c r="E33" s="413" t="s">
        <v>581</v>
      </c>
      <c r="F33" s="409"/>
      <c r="G33" s="410">
        <v>0.25</v>
      </c>
      <c r="H33" s="409"/>
      <c r="I33" s="421"/>
      <c r="J33" s="204"/>
      <c r="M33" s="418"/>
      <c r="N33" s="418"/>
      <c r="O33" s="418"/>
      <c r="P33" s="418"/>
      <c r="Q33" s="418"/>
      <c r="R33" s="418"/>
      <c r="S33" s="437"/>
    </row>
    <row r="34" spans="1:19" ht="15.75">
      <c r="E34" s="433" t="s">
        <v>582</v>
      </c>
      <c r="F34" s="418"/>
      <c r="G34" s="434"/>
      <c r="H34" s="418"/>
      <c r="I34" s="435">
        <f>I32*(1+$G$33)</f>
        <v>58214.418750000012</v>
      </c>
      <c r="J34" s="436"/>
      <c r="K34" s="437"/>
      <c r="L34" s="437"/>
      <c r="M34" s="165">
        <f>M32*(1+$G$33)</f>
        <v>42082.875</v>
      </c>
      <c r="N34" s="165">
        <f>N32*(1+$G$33)</f>
        <v>8423.8687499999996</v>
      </c>
      <c r="O34" s="165">
        <f>O32*(1+$G$33)</f>
        <v>1173.8249999999998</v>
      </c>
      <c r="P34" s="418"/>
      <c r="Q34" s="418"/>
      <c r="R34" s="165">
        <f>R32*(1+$G$33)</f>
        <v>5143.0375000000004</v>
      </c>
      <c r="S34" s="165">
        <f>SUM(S4:S33)</f>
        <v>1112.6500000000001</v>
      </c>
    </row>
    <row r="37" spans="1:19">
      <c r="E37" s="439" t="s">
        <v>585</v>
      </c>
    </row>
    <row r="38" spans="1:19">
      <c r="A38" s="441">
        <v>8</v>
      </c>
      <c r="B38" s="17" t="s">
        <v>619</v>
      </c>
      <c r="E38" s="17" t="s">
        <v>586</v>
      </c>
      <c r="F38" s="403">
        <f t="shared" ref="F38:F52" si="10">F$56</f>
        <v>55</v>
      </c>
      <c r="H38" s="403">
        <f t="shared" si="4"/>
        <v>55</v>
      </c>
      <c r="I38" s="403">
        <f t="shared" ref="I38:I58" si="11">A38*H38</f>
        <v>440</v>
      </c>
    </row>
    <row r="39" spans="1:19">
      <c r="A39" s="441">
        <f>8*81/36*2</f>
        <v>36</v>
      </c>
      <c r="B39" s="17" t="s">
        <v>619</v>
      </c>
      <c r="E39" s="17" t="s">
        <v>589</v>
      </c>
      <c r="F39" s="403">
        <f t="shared" si="10"/>
        <v>55</v>
      </c>
      <c r="H39" s="403">
        <f t="shared" si="4"/>
        <v>55</v>
      </c>
      <c r="I39" s="403">
        <f t="shared" si="11"/>
        <v>1980</v>
      </c>
      <c r="J39" s="17" t="s">
        <v>1929</v>
      </c>
    </row>
    <row r="40" spans="1:19">
      <c r="A40" s="441">
        <v>4</v>
      </c>
      <c r="B40" s="17" t="s">
        <v>619</v>
      </c>
      <c r="E40" s="17" t="s">
        <v>1426</v>
      </c>
      <c r="F40" s="403">
        <f t="shared" si="10"/>
        <v>55</v>
      </c>
      <c r="H40" s="403">
        <f t="shared" si="4"/>
        <v>55</v>
      </c>
      <c r="I40" s="403">
        <f t="shared" si="11"/>
        <v>220</v>
      </c>
    </row>
    <row r="41" spans="1:19">
      <c r="A41" s="441">
        <f>16/36*81*2</f>
        <v>72</v>
      </c>
      <c r="B41" s="17" t="s">
        <v>619</v>
      </c>
      <c r="E41" s="17" t="s">
        <v>591</v>
      </c>
      <c r="F41" s="403">
        <f t="shared" si="10"/>
        <v>55</v>
      </c>
      <c r="H41" s="403">
        <f t="shared" si="4"/>
        <v>55</v>
      </c>
      <c r="I41" s="403">
        <f t="shared" si="11"/>
        <v>3960</v>
      </c>
      <c r="J41" s="17" t="s">
        <v>1929</v>
      </c>
    </row>
    <row r="42" spans="1:19">
      <c r="A42" s="441">
        <v>4</v>
      </c>
      <c r="B42" s="17" t="s">
        <v>619</v>
      </c>
      <c r="E42" s="17" t="s">
        <v>1428</v>
      </c>
      <c r="F42" s="403">
        <f t="shared" si="10"/>
        <v>55</v>
      </c>
      <c r="H42" s="403">
        <f t="shared" si="4"/>
        <v>55</v>
      </c>
      <c r="I42" s="403">
        <f t="shared" si="11"/>
        <v>220</v>
      </c>
    </row>
    <row r="43" spans="1:19">
      <c r="A43" s="441">
        <v>4</v>
      </c>
      <c r="B43" s="17" t="s">
        <v>619</v>
      </c>
      <c r="E43" s="17" t="s">
        <v>1429</v>
      </c>
      <c r="F43" s="403">
        <f t="shared" si="10"/>
        <v>55</v>
      </c>
      <c r="H43" s="403">
        <f t="shared" si="4"/>
        <v>55</v>
      </c>
      <c r="I43" s="403">
        <f t="shared" si="11"/>
        <v>220</v>
      </c>
    </row>
    <row r="44" spans="1:19">
      <c r="A44" s="441">
        <v>2</v>
      </c>
      <c r="B44" s="17" t="s">
        <v>619</v>
      </c>
      <c r="E44" s="17" t="s">
        <v>605</v>
      </c>
      <c r="F44" s="403">
        <f t="shared" si="10"/>
        <v>55</v>
      </c>
      <c r="H44" s="403">
        <f t="shared" si="4"/>
        <v>55</v>
      </c>
      <c r="I44" s="403">
        <f t="shared" si="11"/>
        <v>110</v>
      </c>
    </row>
    <row r="45" spans="1:19">
      <c r="A45" s="441">
        <v>2</v>
      </c>
      <c r="B45" s="17" t="s">
        <v>619</v>
      </c>
      <c r="E45" s="17" t="s">
        <v>607</v>
      </c>
      <c r="F45" s="403">
        <f t="shared" si="10"/>
        <v>55</v>
      </c>
      <c r="H45" s="403">
        <f t="shared" si="4"/>
        <v>55</v>
      </c>
      <c r="I45" s="403">
        <f t="shared" si="11"/>
        <v>110</v>
      </c>
    </row>
    <row r="46" spans="1:19">
      <c r="A46" s="441">
        <v>0.5</v>
      </c>
      <c r="B46" s="17" t="s">
        <v>619</v>
      </c>
      <c r="E46" s="17" t="s">
        <v>609</v>
      </c>
      <c r="F46" s="403">
        <f t="shared" si="10"/>
        <v>55</v>
      </c>
      <c r="H46" s="403">
        <f t="shared" si="4"/>
        <v>55</v>
      </c>
      <c r="I46" s="403">
        <f t="shared" si="11"/>
        <v>27.5</v>
      </c>
    </row>
    <row r="47" spans="1:19">
      <c r="A47" s="441">
        <v>8</v>
      </c>
      <c r="B47" s="17" t="s">
        <v>619</v>
      </c>
      <c r="E47" s="17" t="s">
        <v>610</v>
      </c>
      <c r="F47" s="403">
        <f t="shared" si="10"/>
        <v>55</v>
      </c>
      <c r="H47" s="403">
        <f t="shared" si="4"/>
        <v>55</v>
      </c>
      <c r="I47" s="403">
        <f t="shared" si="11"/>
        <v>440</v>
      </c>
    </row>
    <row r="48" spans="1:19">
      <c r="A48" s="441">
        <v>0.5</v>
      </c>
      <c r="B48" s="17" t="s">
        <v>619</v>
      </c>
      <c r="E48" s="17" t="s">
        <v>611</v>
      </c>
      <c r="F48" s="403">
        <f t="shared" si="10"/>
        <v>55</v>
      </c>
      <c r="H48" s="403">
        <f t="shared" si="4"/>
        <v>55</v>
      </c>
      <c r="I48" s="403">
        <f t="shared" si="11"/>
        <v>27.5</v>
      </c>
    </row>
    <row r="49" spans="1:16">
      <c r="A49" s="441">
        <v>1</v>
      </c>
      <c r="B49" s="17" t="s">
        <v>619</v>
      </c>
      <c r="E49" s="17" t="s">
        <v>1431</v>
      </c>
      <c r="F49" s="403">
        <f t="shared" si="10"/>
        <v>55</v>
      </c>
      <c r="H49" s="403">
        <f t="shared" si="4"/>
        <v>55</v>
      </c>
      <c r="I49" s="403">
        <f t="shared" si="11"/>
        <v>55</v>
      </c>
    </row>
    <row r="50" spans="1:16">
      <c r="A50" s="441">
        <v>3</v>
      </c>
      <c r="B50" s="17" t="s">
        <v>619</v>
      </c>
      <c r="E50" s="17" t="s">
        <v>612</v>
      </c>
      <c r="F50" s="403">
        <f t="shared" si="10"/>
        <v>55</v>
      </c>
      <c r="H50" s="403">
        <f t="shared" si="4"/>
        <v>55</v>
      </c>
      <c r="I50" s="403">
        <f t="shared" si="11"/>
        <v>165</v>
      </c>
    </row>
    <row r="51" spans="1:16">
      <c r="A51" s="441">
        <v>8</v>
      </c>
      <c r="B51" s="17" t="s">
        <v>619</v>
      </c>
      <c r="E51" s="17" t="s">
        <v>614</v>
      </c>
      <c r="F51" s="403">
        <f t="shared" si="10"/>
        <v>55</v>
      </c>
      <c r="H51" s="403">
        <f t="shared" si="4"/>
        <v>55</v>
      </c>
      <c r="I51" s="403">
        <f t="shared" si="11"/>
        <v>440</v>
      </c>
    </row>
    <row r="52" spans="1:16">
      <c r="A52" s="441">
        <v>4</v>
      </c>
      <c r="B52" s="17" t="s">
        <v>619</v>
      </c>
      <c r="E52" s="17" t="s">
        <v>616</v>
      </c>
      <c r="F52" s="403">
        <f t="shared" si="10"/>
        <v>55</v>
      </c>
      <c r="H52" s="403">
        <f t="shared" si="4"/>
        <v>55</v>
      </c>
      <c r="I52" s="403">
        <f t="shared" si="11"/>
        <v>220</v>
      </c>
    </row>
    <row r="54" spans="1:16">
      <c r="A54" s="17">
        <f>SUM(A38:A53)</f>
        <v>157</v>
      </c>
      <c r="B54" s="17" t="s">
        <v>619</v>
      </c>
      <c r="E54" s="17" t="s">
        <v>620</v>
      </c>
    </row>
    <row r="55" spans="1:16">
      <c r="A55" s="441">
        <v>3</v>
      </c>
      <c r="B55" s="17" t="s">
        <v>517</v>
      </c>
      <c r="E55" s="17" t="s">
        <v>621</v>
      </c>
    </row>
    <row r="56" spans="1:16">
      <c r="A56" s="17">
        <v>1</v>
      </c>
      <c r="B56" s="17" t="s">
        <v>517</v>
      </c>
      <c r="E56" s="17" t="s">
        <v>622</v>
      </c>
      <c r="F56" s="445">
        <v>55</v>
      </c>
      <c r="H56" s="403">
        <f t="shared" si="4"/>
        <v>55</v>
      </c>
      <c r="I56" s="403">
        <f t="shared" si="11"/>
        <v>55</v>
      </c>
      <c r="J56" s="17" t="s">
        <v>623</v>
      </c>
    </row>
    <row r="57" spans="1:16">
      <c r="A57" s="17">
        <f>ROUNDUP(A54/8/A55,0)</f>
        <v>7</v>
      </c>
      <c r="B57" s="17" t="s">
        <v>624</v>
      </c>
      <c r="E57" s="17" t="s">
        <v>625</v>
      </c>
      <c r="F57" s="403">
        <f>A55*8*F56</f>
        <v>1320</v>
      </c>
      <c r="H57" s="403">
        <f t="shared" si="4"/>
        <v>1320</v>
      </c>
      <c r="I57" s="403">
        <f t="shared" si="11"/>
        <v>9240</v>
      </c>
    </row>
    <row r="58" spans="1:16">
      <c r="A58" s="441">
        <v>1</v>
      </c>
      <c r="B58" s="17" t="s">
        <v>517</v>
      </c>
      <c r="E58" s="17" t="s">
        <v>626</v>
      </c>
      <c r="F58" s="447"/>
      <c r="H58" s="403">
        <f t="shared" si="4"/>
        <v>0</v>
      </c>
      <c r="I58" s="403">
        <f t="shared" si="11"/>
        <v>0</v>
      </c>
    </row>
    <row r="59" spans="1:16">
      <c r="A59" s="441"/>
      <c r="F59" s="447"/>
      <c r="H59" s="403"/>
      <c r="I59" s="403"/>
    </row>
    <row r="60" spans="1:16">
      <c r="A60" s="441"/>
      <c r="F60" s="447"/>
      <c r="H60" s="403"/>
      <c r="I60" s="403"/>
    </row>
    <row r="61" spans="1:16" ht="15.75">
      <c r="E61" s="439" t="s">
        <v>628</v>
      </c>
      <c r="I61" s="443">
        <f>SUM(I57:I60)</f>
        <v>9240</v>
      </c>
      <c r="P61" s="165">
        <f>I61</f>
        <v>9240</v>
      </c>
    </row>
    <row r="64" spans="1:16">
      <c r="E64" s="449" t="s">
        <v>630</v>
      </c>
    </row>
    <row r="65" spans="1:17">
      <c r="A65" s="441"/>
      <c r="B65" s="17" t="s">
        <v>517</v>
      </c>
      <c r="E65" s="17" t="s">
        <v>668</v>
      </c>
      <c r="F65" s="447"/>
      <c r="H65" s="403">
        <f t="shared" si="4"/>
        <v>0</v>
      </c>
      <c r="I65" s="403">
        <f t="shared" ref="I65:I67" si="12">A65*H65</f>
        <v>0</v>
      </c>
      <c r="J65" s="17" t="s">
        <v>1992</v>
      </c>
    </row>
    <row r="66" spans="1:17">
      <c r="A66" s="441"/>
      <c r="B66" s="17" t="s">
        <v>517</v>
      </c>
      <c r="E66" s="17" t="s">
        <v>1842</v>
      </c>
      <c r="F66" s="447"/>
      <c r="H66" s="403">
        <f t="shared" si="4"/>
        <v>0</v>
      </c>
      <c r="I66" s="403">
        <f t="shared" si="12"/>
        <v>0</v>
      </c>
    </row>
    <row r="67" spans="1:17">
      <c r="A67" s="441">
        <v>1</v>
      </c>
      <c r="B67" s="17" t="s">
        <v>517</v>
      </c>
      <c r="E67" s="17" t="s">
        <v>1843</v>
      </c>
      <c r="F67" s="447">
        <v>6000</v>
      </c>
      <c r="H67" s="403">
        <f t="shared" si="4"/>
        <v>6000</v>
      </c>
      <c r="I67" s="403">
        <f t="shared" si="12"/>
        <v>6000</v>
      </c>
      <c r="J67" s="17" t="s">
        <v>1993</v>
      </c>
    </row>
    <row r="68" spans="1:17" ht="15.75">
      <c r="E68" s="439" t="s">
        <v>676</v>
      </c>
      <c r="I68" s="443">
        <f>SUM(I65:I67)</f>
        <v>6000</v>
      </c>
      <c r="Q68" s="165">
        <f>I68</f>
        <v>6000</v>
      </c>
    </row>
    <row r="70" spans="1:17" ht="13.75" customHeight="1">
      <c r="A70" s="986" t="s">
        <v>100</v>
      </c>
      <c r="B70" s="986"/>
      <c r="C70" s="986"/>
      <c r="D70" s="986"/>
      <c r="E70" s="986"/>
    </row>
    <row r="76" spans="1:17" ht="15.05" customHeight="1">
      <c r="A76" s="1002" t="s">
        <v>90</v>
      </c>
      <c r="B76" s="1002"/>
      <c r="C76" s="1002"/>
      <c r="D76" s="1002"/>
      <c r="E76" s="1002"/>
    </row>
    <row r="78" spans="1:17" ht="13.75">
      <c r="A78" s="17">
        <v>1</v>
      </c>
      <c r="B78" s="17" t="s">
        <v>517</v>
      </c>
      <c r="E78" s="17" t="s">
        <v>1464</v>
      </c>
      <c r="F78" s="403">
        <v>860</v>
      </c>
      <c r="H78" s="403">
        <f t="shared" ref="H78:H90" si="13">F78*(1-G78)</f>
        <v>860</v>
      </c>
      <c r="I78" s="403">
        <f t="shared" ref="I78:I83" si="14">A78*H78</f>
        <v>860</v>
      </c>
      <c r="J78" s="494" t="s">
        <v>1465</v>
      </c>
    </row>
    <row r="79" spans="1:17">
      <c r="A79" s="17">
        <v>1</v>
      </c>
      <c r="B79" s="17" t="s">
        <v>517</v>
      </c>
      <c r="E79" s="17" t="s">
        <v>707</v>
      </c>
      <c r="F79" s="403">
        <v>1500</v>
      </c>
      <c r="H79" s="403">
        <f t="shared" si="13"/>
        <v>1500</v>
      </c>
      <c r="I79" s="403">
        <f t="shared" si="14"/>
        <v>1500</v>
      </c>
    </row>
    <row r="80" spans="1:17" ht="55.65">
      <c r="A80" s="17">
        <v>0</v>
      </c>
      <c r="B80" s="17" t="s">
        <v>517</v>
      </c>
      <c r="C80" s="204" t="s">
        <v>708</v>
      </c>
      <c r="E80" s="204" t="s">
        <v>709</v>
      </c>
      <c r="F80" s="403">
        <v>460</v>
      </c>
      <c r="H80" s="403">
        <f t="shared" si="13"/>
        <v>460</v>
      </c>
      <c r="I80" s="403">
        <f t="shared" si="14"/>
        <v>0</v>
      </c>
    </row>
    <row r="81" spans="1:10" ht="55.65">
      <c r="A81" s="17">
        <v>1</v>
      </c>
      <c r="B81" s="17" t="s">
        <v>517</v>
      </c>
      <c r="C81" s="204" t="s">
        <v>711</v>
      </c>
      <c r="E81" s="204" t="s">
        <v>712</v>
      </c>
      <c r="F81" s="403">
        <v>320</v>
      </c>
      <c r="H81" s="403">
        <f t="shared" si="13"/>
        <v>320</v>
      </c>
      <c r="I81" s="403">
        <f t="shared" si="14"/>
        <v>320</v>
      </c>
    </row>
    <row r="82" spans="1:10">
      <c r="A82" s="17">
        <v>1</v>
      </c>
      <c r="B82" s="17" t="s">
        <v>517</v>
      </c>
      <c r="E82" s="17" t="s">
        <v>1994</v>
      </c>
      <c r="F82" s="403">
        <v>400</v>
      </c>
      <c r="H82" s="403">
        <f t="shared" si="13"/>
        <v>400</v>
      </c>
      <c r="I82" s="403">
        <f t="shared" si="14"/>
        <v>400</v>
      </c>
    </row>
    <row r="83" spans="1:10" ht="55.65">
      <c r="A83" s="17">
        <v>0</v>
      </c>
      <c r="B83" s="17" t="s">
        <v>517</v>
      </c>
      <c r="C83" s="17" t="s">
        <v>713</v>
      </c>
      <c r="D83" s="17" t="s">
        <v>714</v>
      </c>
      <c r="E83" s="204" t="s">
        <v>715</v>
      </c>
      <c r="F83" s="403">
        <v>2725</v>
      </c>
      <c r="H83" s="403">
        <f t="shared" si="13"/>
        <v>2725</v>
      </c>
      <c r="I83" s="403">
        <f t="shared" si="14"/>
        <v>0</v>
      </c>
    </row>
    <row r="84" spans="1:10">
      <c r="H84" s="403"/>
      <c r="I84" s="403"/>
    </row>
    <row r="85" spans="1:10" ht="15.75">
      <c r="E85" s="439" t="s">
        <v>729</v>
      </c>
      <c r="I85" s="168">
        <f>SUM(I76:I84)</f>
        <v>3080</v>
      </c>
    </row>
    <row r="87" spans="1:10" ht="13.75" customHeight="1">
      <c r="A87" s="997" t="s">
        <v>68</v>
      </c>
      <c r="B87" s="997"/>
      <c r="C87" s="997"/>
      <c r="D87" s="997"/>
      <c r="E87" s="997"/>
    </row>
    <row r="88" spans="1:10">
      <c r="A88" s="17">
        <v>1</v>
      </c>
      <c r="B88" s="17" t="s">
        <v>517</v>
      </c>
      <c r="E88" s="17" t="s">
        <v>730</v>
      </c>
      <c r="F88" s="403">
        <v>500</v>
      </c>
      <c r="H88" s="403">
        <f t="shared" si="13"/>
        <v>500</v>
      </c>
      <c r="I88" s="403">
        <f t="shared" ref="I88:I90" si="15">A88*H88</f>
        <v>500</v>
      </c>
      <c r="J88" s="17" t="s">
        <v>696</v>
      </c>
    </row>
    <row r="89" spans="1:10" ht="55.65">
      <c r="A89" s="17">
        <v>0</v>
      </c>
      <c r="B89" s="17" t="s">
        <v>517</v>
      </c>
      <c r="C89" s="204" t="s">
        <v>708</v>
      </c>
      <c r="E89" s="204" t="s">
        <v>731</v>
      </c>
      <c r="F89" s="403">
        <f>460/2</f>
        <v>230</v>
      </c>
      <c r="H89" s="403">
        <f t="shared" si="13"/>
        <v>230</v>
      </c>
      <c r="I89" s="403">
        <f t="shared" si="15"/>
        <v>0</v>
      </c>
    </row>
    <row r="90" spans="1:10" ht="55.65">
      <c r="A90" s="17">
        <v>1</v>
      </c>
      <c r="B90" s="17" t="s">
        <v>517</v>
      </c>
      <c r="C90" s="204" t="s">
        <v>711</v>
      </c>
      <c r="E90" s="204" t="s">
        <v>732</v>
      </c>
      <c r="F90" s="403">
        <f>320/2</f>
        <v>160</v>
      </c>
      <c r="H90" s="403">
        <f t="shared" si="13"/>
        <v>160</v>
      </c>
      <c r="I90" s="403">
        <f t="shared" si="15"/>
        <v>160</v>
      </c>
    </row>
    <row r="92" spans="1:10" ht="15.75">
      <c r="E92" s="439" t="s">
        <v>733</v>
      </c>
      <c r="I92" s="168">
        <f>SUM(I87:I91)</f>
        <v>660</v>
      </c>
    </row>
  </sheetData>
  <mergeCells count="6">
    <mergeCell ref="A87:E87"/>
    <mergeCell ref="B1:F1"/>
    <mergeCell ref="A2:G2"/>
    <mergeCell ref="J19:L19"/>
    <mergeCell ref="A70:E70"/>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14.28515625" style="17" customWidth="1"/>
    <col min="11" max="64" width="10.140625" style="17"/>
  </cols>
  <sheetData>
    <row r="1" spans="1:19" ht="15.05">
      <c r="B1" s="1058" t="s">
        <v>1995</v>
      </c>
      <c r="C1" s="1058"/>
      <c r="D1" s="1058"/>
      <c r="E1" s="1058"/>
      <c r="F1" s="1058"/>
      <c r="H1" s="405" t="s">
        <v>493</v>
      </c>
      <c r="I1" s="406">
        <v>310</v>
      </c>
      <c r="J1" s="17" t="s">
        <v>494</v>
      </c>
      <c r="K1" s="17" t="s">
        <v>495</v>
      </c>
      <c r="L1" s="58">
        <f>A4*I1</f>
        <v>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87"/>
      <c r="B4" s="487" t="s">
        <v>522</v>
      </c>
      <c r="C4" s="424" t="s">
        <v>817</v>
      </c>
      <c r="D4" s="423" t="s">
        <v>1066</v>
      </c>
      <c r="E4" s="424" t="s">
        <v>1067</v>
      </c>
      <c r="F4" s="421">
        <v>91.74</v>
      </c>
      <c r="G4" s="410"/>
      <c r="H4" s="409">
        <f t="shared" ref="H4:H9" si="0">F4*(1-G4)</f>
        <v>91.74</v>
      </c>
      <c r="I4" s="409">
        <f t="shared" ref="I4:I9" si="1">A4*H4</f>
        <v>0</v>
      </c>
      <c r="J4" s="204"/>
      <c r="K4" s="403"/>
      <c r="L4" s="404"/>
      <c r="M4" s="418">
        <f t="shared" ref="M4:M5" si="2">I4</f>
        <v>0</v>
      </c>
      <c r="N4" s="437"/>
      <c r="O4" s="437"/>
      <c r="P4" s="437"/>
      <c r="Q4" s="437"/>
      <c r="R4" s="437"/>
      <c r="S4" s="437"/>
    </row>
    <row r="5" spans="1:19" ht="55.65">
      <c r="A5" s="487"/>
      <c r="B5" s="487"/>
      <c r="C5" s="492" t="s">
        <v>987</v>
      </c>
      <c r="D5" s="487" t="s">
        <v>556</v>
      </c>
      <c r="E5" s="487" t="s">
        <v>994</v>
      </c>
      <c r="F5" s="430">
        <v>10440</v>
      </c>
      <c r="G5" s="428"/>
      <c r="H5" s="430">
        <f t="shared" si="0"/>
        <v>10440</v>
      </c>
      <c r="I5" s="430">
        <f t="shared" si="1"/>
        <v>0</v>
      </c>
      <c r="J5" s="719"/>
      <c r="K5" s="728"/>
      <c r="L5" s="728"/>
      <c r="M5" s="418">
        <f t="shared" si="2"/>
        <v>0</v>
      </c>
      <c r="N5" s="437"/>
      <c r="O5" s="437"/>
      <c r="P5" s="437"/>
      <c r="Q5" s="437"/>
      <c r="R5" s="437"/>
      <c r="S5" s="437"/>
    </row>
    <row r="6" spans="1:19" ht="55.65">
      <c r="A6" s="487"/>
      <c r="B6" s="487"/>
      <c r="C6" s="492" t="s">
        <v>987</v>
      </c>
      <c r="D6" s="487" t="s">
        <v>556</v>
      </c>
      <c r="E6" s="487" t="s">
        <v>1000</v>
      </c>
      <c r="F6" s="430">
        <v>1222.22</v>
      </c>
      <c r="G6" s="428"/>
      <c r="H6" s="430">
        <f t="shared" si="0"/>
        <v>1222.22</v>
      </c>
      <c r="I6" s="430">
        <f t="shared" si="1"/>
        <v>0</v>
      </c>
      <c r="J6" s="719" t="s">
        <v>1001</v>
      </c>
      <c r="K6" s="728"/>
      <c r="L6" s="728"/>
      <c r="M6" s="437"/>
      <c r="N6" s="437"/>
      <c r="O6" s="437"/>
      <c r="P6" s="437"/>
      <c r="Q6" s="437"/>
      <c r="R6" s="418">
        <f t="shared" ref="R6:R9" si="3">I6</f>
        <v>0</v>
      </c>
      <c r="S6" s="437"/>
    </row>
    <row r="7" spans="1:19" ht="66.8">
      <c r="A7" s="487"/>
      <c r="B7" s="487" t="s">
        <v>522</v>
      </c>
      <c r="C7" s="492" t="s">
        <v>987</v>
      </c>
      <c r="D7" s="487" t="s">
        <v>995</v>
      </c>
      <c r="E7" s="492" t="s">
        <v>996</v>
      </c>
      <c r="F7" s="430">
        <v>227.78</v>
      </c>
      <c r="G7" s="428"/>
      <c r="H7" s="430">
        <f t="shared" si="0"/>
        <v>227.78</v>
      </c>
      <c r="I7" s="430">
        <f t="shared" si="1"/>
        <v>0</v>
      </c>
      <c r="J7" s="719" t="s">
        <v>1986</v>
      </c>
      <c r="K7" s="728"/>
      <c r="L7" s="728"/>
      <c r="M7" s="437"/>
      <c r="N7" s="437"/>
      <c r="O7" s="437"/>
      <c r="P7" s="437"/>
      <c r="Q7" s="437"/>
      <c r="R7" s="418">
        <f t="shared" si="3"/>
        <v>0</v>
      </c>
      <c r="S7" s="437"/>
    </row>
    <row r="8" spans="1:19" ht="55.65">
      <c r="A8" s="487"/>
      <c r="B8" s="487"/>
      <c r="C8" s="492" t="s">
        <v>987</v>
      </c>
      <c r="D8" s="487" t="s">
        <v>556</v>
      </c>
      <c r="E8" s="487" t="s">
        <v>997</v>
      </c>
      <c r="F8" s="430">
        <v>387.78</v>
      </c>
      <c r="G8" s="428"/>
      <c r="H8" s="430">
        <f t="shared" si="0"/>
        <v>387.78</v>
      </c>
      <c r="I8" s="430">
        <f t="shared" si="1"/>
        <v>0</v>
      </c>
      <c r="J8" s="719" t="s">
        <v>1987</v>
      </c>
      <c r="K8" s="728"/>
      <c r="L8" s="728"/>
      <c r="M8" s="437"/>
      <c r="N8" s="437"/>
      <c r="O8" s="437"/>
      <c r="P8" s="437"/>
      <c r="Q8" s="437"/>
      <c r="R8" s="418">
        <f t="shared" si="3"/>
        <v>0</v>
      </c>
      <c r="S8" s="437"/>
    </row>
    <row r="9" spans="1:19" ht="200.3">
      <c r="A9" s="487"/>
      <c r="B9" s="487" t="s">
        <v>522</v>
      </c>
      <c r="C9" s="492" t="s">
        <v>987</v>
      </c>
      <c r="D9" s="487" t="s">
        <v>985</v>
      </c>
      <c r="E9" s="492" t="s">
        <v>1500</v>
      </c>
      <c r="F9" s="430">
        <v>493.33</v>
      </c>
      <c r="G9" s="428"/>
      <c r="H9" s="430">
        <f t="shared" si="0"/>
        <v>493.33</v>
      </c>
      <c r="I9" s="430">
        <f t="shared" si="1"/>
        <v>0</v>
      </c>
      <c r="J9" s="719" t="s">
        <v>1988</v>
      </c>
      <c r="K9" s="728"/>
      <c r="L9" s="728"/>
      <c r="M9" s="437"/>
      <c r="N9" s="437"/>
      <c r="O9" s="437"/>
      <c r="P9" s="437"/>
      <c r="Q9" s="437"/>
      <c r="R9" s="418">
        <f t="shared" si="3"/>
        <v>0</v>
      </c>
      <c r="S9" s="437"/>
    </row>
    <row r="10" spans="1:19" ht="55.65">
      <c r="A10" s="487"/>
      <c r="B10" s="487" t="s">
        <v>522</v>
      </c>
      <c r="C10" s="492" t="s">
        <v>987</v>
      </c>
      <c r="D10" s="487" t="s">
        <v>992</v>
      </c>
      <c r="E10" s="492" t="s">
        <v>993</v>
      </c>
      <c r="F10" s="430">
        <v>274.44</v>
      </c>
      <c r="G10" s="428"/>
      <c r="H10" s="430">
        <f t="shared" ref="H10:H66" si="4">F10*(1-G10)</f>
        <v>274.44</v>
      </c>
      <c r="I10" s="430">
        <f t="shared" ref="I10:I27" si="5">A10*H10</f>
        <v>0</v>
      </c>
      <c r="J10" s="719"/>
      <c r="K10" s="728"/>
      <c r="L10" s="728"/>
      <c r="M10" s="437"/>
      <c r="N10" s="437"/>
      <c r="O10" s="437"/>
      <c r="P10" s="437"/>
      <c r="Q10" s="437"/>
      <c r="R10" s="418">
        <f>I10</f>
        <v>0</v>
      </c>
      <c r="S10" s="437"/>
    </row>
    <row r="11" spans="1:19" ht="44.55">
      <c r="A11" s="407"/>
      <c r="B11" s="407" t="s">
        <v>539</v>
      </c>
      <c r="C11" s="408" t="s">
        <v>987</v>
      </c>
      <c r="D11" s="407" t="s">
        <v>541</v>
      </c>
      <c r="E11" s="408" t="s">
        <v>542</v>
      </c>
      <c r="F11" s="409">
        <f t="shared" ref="F11:F12" si="6">328.33/500</f>
        <v>0.65666000000000002</v>
      </c>
      <c r="G11" s="428"/>
      <c r="H11" s="430">
        <f t="shared" si="4"/>
        <v>0.65666000000000002</v>
      </c>
      <c r="I11" s="430">
        <f t="shared" si="5"/>
        <v>0</v>
      </c>
      <c r="J11" s="719"/>
      <c r="K11" s="728"/>
      <c r="L11" s="728"/>
      <c r="M11" s="437"/>
      <c r="N11" s="437"/>
      <c r="O11" s="418">
        <f t="shared" ref="O11:O22" si="7">I11</f>
        <v>0</v>
      </c>
      <c r="P11" s="418"/>
      <c r="Q11" s="418"/>
      <c r="R11" s="437"/>
      <c r="S11" s="437"/>
    </row>
    <row r="12" spans="1:19" ht="44.55">
      <c r="A12" s="407"/>
      <c r="B12" s="407" t="s">
        <v>539</v>
      </c>
      <c r="C12" s="408" t="s">
        <v>987</v>
      </c>
      <c r="D12" s="407" t="s">
        <v>543</v>
      </c>
      <c r="E12" s="408" t="s">
        <v>544</v>
      </c>
      <c r="F12" s="409">
        <f t="shared" si="6"/>
        <v>0.65666000000000002</v>
      </c>
      <c r="G12" s="428"/>
      <c r="H12" s="430">
        <f t="shared" si="4"/>
        <v>0.65666000000000002</v>
      </c>
      <c r="I12" s="430">
        <f t="shared" si="5"/>
        <v>0</v>
      </c>
      <c r="J12" s="719"/>
      <c r="K12" s="728"/>
      <c r="L12" s="728"/>
      <c r="M12" s="437"/>
      <c r="N12" s="437"/>
      <c r="O12" s="418">
        <f t="shared" si="7"/>
        <v>0</v>
      </c>
      <c r="P12" s="418"/>
      <c r="Q12" s="418"/>
      <c r="R12" s="437"/>
      <c r="S12" s="437"/>
    </row>
    <row r="13" spans="1:19" ht="22.25">
      <c r="A13" s="487"/>
      <c r="B13" s="487" t="s">
        <v>522</v>
      </c>
      <c r="C13" s="492" t="s">
        <v>1074</v>
      </c>
      <c r="D13" s="487"/>
      <c r="E13" s="492" t="s">
        <v>1079</v>
      </c>
      <c r="F13" s="430">
        <v>1.3</v>
      </c>
      <c r="G13" s="428"/>
      <c r="H13" s="430">
        <f t="shared" si="4"/>
        <v>1.3</v>
      </c>
      <c r="I13" s="430">
        <f t="shared" si="5"/>
        <v>0</v>
      </c>
      <c r="J13" s="719"/>
      <c r="K13" s="728"/>
      <c r="L13" s="728"/>
      <c r="M13" s="437"/>
      <c r="N13" s="437"/>
      <c r="O13" s="418">
        <f t="shared" si="7"/>
        <v>0</v>
      </c>
      <c r="P13" s="437"/>
      <c r="Q13" s="437"/>
      <c r="R13" s="418"/>
      <c r="S13" s="437"/>
    </row>
    <row r="14" spans="1:19" ht="22.25">
      <c r="A14" s="487"/>
      <c r="B14" s="487" t="s">
        <v>522</v>
      </c>
      <c r="C14" s="492" t="s">
        <v>1074</v>
      </c>
      <c r="D14" s="487"/>
      <c r="E14" s="492" t="s">
        <v>1080</v>
      </c>
      <c r="F14" s="430">
        <v>0.98</v>
      </c>
      <c r="G14" s="428"/>
      <c r="H14" s="430">
        <f t="shared" si="4"/>
        <v>0.98</v>
      </c>
      <c r="I14" s="430">
        <f t="shared" si="5"/>
        <v>0</v>
      </c>
      <c r="J14" s="719"/>
      <c r="K14" s="728"/>
      <c r="L14" s="728"/>
      <c r="M14" s="437"/>
      <c r="N14" s="437"/>
      <c r="O14" s="418">
        <f t="shared" si="7"/>
        <v>0</v>
      </c>
      <c r="P14" s="437"/>
      <c r="Q14" s="437"/>
      <c r="R14" s="418"/>
      <c r="S14" s="437"/>
    </row>
    <row r="15" spans="1:19" ht="55.65">
      <c r="A15" s="487"/>
      <c r="B15" s="487" t="s">
        <v>522</v>
      </c>
      <c r="C15" s="492" t="s">
        <v>987</v>
      </c>
      <c r="D15" s="487" t="s">
        <v>821</v>
      </c>
      <c r="E15" s="492" t="s">
        <v>822</v>
      </c>
      <c r="F15" s="430">
        <v>2175.1999999999998</v>
      </c>
      <c r="G15" s="428"/>
      <c r="H15" s="430">
        <f t="shared" si="4"/>
        <v>2175.1999999999998</v>
      </c>
      <c r="I15" s="430">
        <f t="shared" si="5"/>
        <v>0</v>
      </c>
      <c r="J15" s="719"/>
      <c r="K15" s="728"/>
      <c r="L15" s="728"/>
      <c r="M15" s="437"/>
      <c r="N15" s="418">
        <f t="shared" ref="N15:N17" si="8">I15</f>
        <v>0</v>
      </c>
      <c r="O15" s="437"/>
      <c r="P15" s="437"/>
      <c r="Q15" s="437"/>
      <c r="R15" s="437"/>
      <c r="S15" s="437"/>
    </row>
    <row r="16" spans="1:19" ht="55.65">
      <c r="A16" s="487"/>
      <c r="B16" s="487" t="s">
        <v>522</v>
      </c>
      <c r="C16" s="492" t="s">
        <v>987</v>
      </c>
      <c r="D16" s="487" t="s">
        <v>988</v>
      </c>
      <c r="E16" s="492" t="s">
        <v>989</v>
      </c>
      <c r="F16" s="430">
        <v>1961.49</v>
      </c>
      <c r="G16" s="428"/>
      <c r="H16" s="430">
        <f t="shared" si="4"/>
        <v>1961.49</v>
      </c>
      <c r="I16" s="430">
        <f t="shared" si="5"/>
        <v>0</v>
      </c>
      <c r="J16" s="719"/>
      <c r="K16" s="728"/>
      <c r="L16" s="728"/>
      <c r="M16" s="437"/>
      <c r="N16" s="418">
        <f t="shared" si="8"/>
        <v>0</v>
      </c>
      <c r="O16" s="437"/>
      <c r="P16" s="437"/>
      <c r="Q16" s="437"/>
      <c r="R16" s="437"/>
      <c r="S16" s="437"/>
    </row>
    <row r="17" spans="1:19" ht="55.65">
      <c r="A17" s="487"/>
      <c r="B17" s="487" t="s">
        <v>522</v>
      </c>
      <c r="C17" s="492" t="s">
        <v>987</v>
      </c>
      <c r="D17" s="487" t="s">
        <v>990</v>
      </c>
      <c r="E17" s="492" t="s">
        <v>991</v>
      </c>
      <c r="F17" s="430">
        <v>33.43</v>
      </c>
      <c r="G17" s="428"/>
      <c r="H17" s="430">
        <f t="shared" si="4"/>
        <v>33.43</v>
      </c>
      <c r="I17" s="430">
        <f t="shared" si="5"/>
        <v>0</v>
      </c>
      <c r="J17" s="719"/>
      <c r="K17" s="728"/>
      <c r="L17" s="728"/>
      <c r="M17" s="437"/>
      <c r="N17" s="418">
        <f t="shared" si="8"/>
        <v>0</v>
      </c>
      <c r="O17" s="437"/>
      <c r="P17" s="437"/>
      <c r="Q17" s="437"/>
      <c r="R17" s="437"/>
      <c r="S17" s="437"/>
    </row>
    <row r="18" spans="1:19" ht="55.65">
      <c r="A18" s="487"/>
      <c r="B18" s="487" t="s">
        <v>522</v>
      </c>
      <c r="C18" s="492" t="s">
        <v>987</v>
      </c>
      <c r="D18" s="487" t="s">
        <v>761</v>
      </c>
      <c r="E18" s="492" t="s">
        <v>762</v>
      </c>
      <c r="F18" s="430">
        <v>2.5</v>
      </c>
      <c r="G18" s="428"/>
      <c r="H18" s="430">
        <f t="shared" si="4"/>
        <v>2.5</v>
      </c>
      <c r="I18" s="430">
        <f t="shared" si="5"/>
        <v>0</v>
      </c>
      <c r="J18" s="719"/>
      <c r="K18" s="728"/>
      <c r="L18" s="728"/>
      <c r="M18" s="437"/>
      <c r="N18" s="437"/>
      <c r="O18" s="437"/>
      <c r="P18" s="437"/>
      <c r="Q18" s="437"/>
      <c r="R18" s="418">
        <f t="shared" ref="R18:R19" si="9">I18</f>
        <v>0</v>
      </c>
      <c r="S18" s="437"/>
    </row>
    <row r="19" spans="1:19" ht="33.4">
      <c r="A19" s="487"/>
      <c r="B19" s="487" t="s">
        <v>522</v>
      </c>
      <c r="C19" s="492" t="s">
        <v>1479</v>
      </c>
      <c r="D19" s="487"/>
      <c r="E19" s="492" t="s">
        <v>803</v>
      </c>
      <c r="F19" s="430">
        <v>564.44000000000005</v>
      </c>
      <c r="G19" s="428"/>
      <c r="H19" s="430">
        <f t="shared" si="4"/>
        <v>564.44000000000005</v>
      </c>
      <c r="I19" s="430">
        <f t="shared" si="5"/>
        <v>0</v>
      </c>
      <c r="J19" s="1080"/>
      <c r="K19" s="1080"/>
      <c r="L19" s="1080"/>
      <c r="M19" s="437"/>
      <c r="N19" s="437"/>
      <c r="O19" s="437"/>
      <c r="P19" s="437"/>
      <c r="Q19" s="437"/>
      <c r="R19" s="418">
        <f t="shared" si="9"/>
        <v>0</v>
      </c>
      <c r="S19" s="437"/>
    </row>
    <row r="20" spans="1:19" ht="22.25">
      <c r="A20" s="407">
        <v>1</v>
      </c>
      <c r="B20" s="407" t="s">
        <v>522</v>
      </c>
      <c r="C20" s="408"/>
      <c r="D20" s="407"/>
      <c r="E20" s="408" t="s">
        <v>695</v>
      </c>
      <c r="F20" s="409">
        <v>100</v>
      </c>
      <c r="G20" s="410"/>
      <c r="H20" s="409">
        <f t="shared" si="4"/>
        <v>100</v>
      </c>
      <c r="I20" s="409">
        <f t="shared" si="5"/>
        <v>100</v>
      </c>
      <c r="J20" s="204" t="s">
        <v>696</v>
      </c>
      <c r="M20" s="437"/>
      <c r="N20" s="437"/>
      <c r="O20" s="418">
        <f t="shared" si="7"/>
        <v>100</v>
      </c>
      <c r="P20" s="437"/>
      <c r="Q20" s="437"/>
      <c r="R20" s="418"/>
      <c r="S20" s="437"/>
    </row>
    <row r="21" spans="1:19" ht="55.65">
      <c r="A21" s="487"/>
      <c r="B21" s="487"/>
      <c r="C21" s="492" t="s">
        <v>987</v>
      </c>
      <c r="D21" s="487" t="s">
        <v>769</v>
      </c>
      <c r="E21" s="487" t="s">
        <v>567</v>
      </c>
      <c r="F21" s="430">
        <v>750</v>
      </c>
      <c r="G21" s="428"/>
      <c r="H21" s="430">
        <f t="shared" si="4"/>
        <v>750</v>
      </c>
      <c r="I21" s="430">
        <f t="shared" si="5"/>
        <v>0</v>
      </c>
      <c r="J21" s="719"/>
      <c r="K21" s="728"/>
      <c r="L21" s="728"/>
      <c r="M21" s="418">
        <f>F21</f>
        <v>750</v>
      </c>
      <c r="N21" s="437"/>
      <c r="O21" s="437"/>
      <c r="P21" s="437"/>
      <c r="Q21" s="437"/>
      <c r="R21" s="437"/>
      <c r="S21" s="437"/>
    </row>
    <row r="22" spans="1:19" ht="22.25">
      <c r="A22" s="487"/>
      <c r="B22" s="413" t="s">
        <v>539</v>
      </c>
      <c r="C22" s="420" t="s">
        <v>1445</v>
      </c>
      <c r="D22" s="413"/>
      <c r="E22" s="413" t="s">
        <v>691</v>
      </c>
      <c r="F22" s="421">
        <f>7.58/1.2</f>
        <v>6.3166666666666673</v>
      </c>
      <c r="G22" s="428"/>
      <c r="H22" s="430">
        <f t="shared" si="4"/>
        <v>6.3166666666666673</v>
      </c>
      <c r="I22" s="430">
        <f t="shared" si="5"/>
        <v>0</v>
      </c>
      <c r="J22" s="719"/>
      <c r="K22" s="728"/>
      <c r="L22" s="728"/>
      <c r="M22" s="418"/>
      <c r="N22" s="437"/>
      <c r="O22" s="418">
        <f t="shared" si="7"/>
        <v>0</v>
      </c>
      <c r="P22" s="437"/>
      <c r="Q22" s="437"/>
      <c r="R22" s="437"/>
      <c r="S22" s="437"/>
    </row>
    <row r="23" spans="1:19">
      <c r="A23" s="487"/>
      <c r="B23" s="487"/>
      <c r="C23" s="492"/>
      <c r="D23" s="487"/>
      <c r="E23" s="487"/>
      <c r="F23" s="430"/>
      <c r="G23" s="428"/>
      <c r="H23" s="430"/>
      <c r="I23" s="430"/>
      <c r="J23" s="719"/>
      <c r="K23" s="728"/>
      <c r="L23" s="728"/>
      <c r="M23" s="418"/>
      <c r="N23" s="437"/>
      <c r="O23" s="437"/>
      <c r="P23" s="437"/>
      <c r="Q23" s="437"/>
      <c r="R23" s="437"/>
      <c r="S23" s="437"/>
    </row>
    <row r="24" spans="1:19" ht="33.4">
      <c r="A24" s="487"/>
      <c r="B24" s="487" t="s">
        <v>517</v>
      </c>
      <c r="C24" s="492" t="s">
        <v>574</v>
      </c>
      <c r="D24" s="487" t="s">
        <v>1010</v>
      </c>
      <c r="E24" s="487" t="s">
        <v>1005</v>
      </c>
      <c r="F24" s="430">
        <v>455</v>
      </c>
      <c r="G24" s="428"/>
      <c r="H24" s="430">
        <f t="shared" si="4"/>
        <v>455</v>
      </c>
      <c r="I24" s="430">
        <f t="shared" si="5"/>
        <v>0</v>
      </c>
      <c r="J24" s="719" t="s">
        <v>1888</v>
      </c>
      <c r="K24" s="728"/>
      <c r="L24" s="728"/>
      <c r="M24" s="418"/>
      <c r="N24" s="437"/>
      <c r="O24" s="437"/>
      <c r="P24" s="437"/>
      <c r="Q24" s="437"/>
      <c r="R24" s="437"/>
      <c r="S24" s="418">
        <f t="shared" ref="S24:S27" si="10">I24</f>
        <v>0</v>
      </c>
    </row>
    <row r="25" spans="1:19">
      <c r="A25" s="487"/>
      <c r="B25" s="487" t="s">
        <v>517</v>
      </c>
      <c r="C25" s="492" t="s">
        <v>574</v>
      </c>
      <c r="D25" s="487" t="s">
        <v>575</v>
      </c>
      <c r="E25" s="487" t="s">
        <v>576</v>
      </c>
      <c r="F25" s="430">
        <v>36.700000000000003</v>
      </c>
      <c r="G25" s="428"/>
      <c r="H25" s="430">
        <f t="shared" si="4"/>
        <v>36.700000000000003</v>
      </c>
      <c r="I25" s="430">
        <f t="shared" si="5"/>
        <v>0</v>
      </c>
      <c r="J25" s="719"/>
      <c r="K25" s="728"/>
      <c r="L25" s="728"/>
      <c r="M25" s="418"/>
      <c r="N25" s="437"/>
      <c r="O25" s="437"/>
      <c r="P25" s="437"/>
      <c r="Q25" s="437"/>
      <c r="R25" s="437"/>
      <c r="S25" s="418">
        <f t="shared" si="10"/>
        <v>0</v>
      </c>
    </row>
    <row r="26" spans="1:19">
      <c r="A26" s="487"/>
      <c r="B26" s="487" t="s">
        <v>517</v>
      </c>
      <c r="C26" s="492" t="s">
        <v>574</v>
      </c>
      <c r="D26" s="487" t="s">
        <v>577</v>
      </c>
      <c r="E26" s="487" t="s">
        <v>578</v>
      </c>
      <c r="F26" s="430">
        <v>75</v>
      </c>
      <c r="G26" s="428"/>
      <c r="H26" s="430">
        <f t="shared" si="4"/>
        <v>75</v>
      </c>
      <c r="I26" s="430">
        <f t="shared" si="5"/>
        <v>0</v>
      </c>
      <c r="J26" s="719"/>
      <c r="K26" s="728"/>
      <c r="L26" s="728"/>
      <c r="M26" s="418"/>
      <c r="N26" s="437"/>
      <c r="O26" s="437"/>
      <c r="P26" s="437"/>
      <c r="Q26" s="437"/>
      <c r="R26" s="437"/>
      <c r="S26" s="418">
        <f t="shared" si="10"/>
        <v>0</v>
      </c>
    </row>
    <row r="27" spans="1:19">
      <c r="A27" s="487"/>
      <c r="B27" s="487" t="s">
        <v>517</v>
      </c>
      <c r="C27" s="492" t="s">
        <v>574</v>
      </c>
      <c r="D27" s="487"/>
      <c r="E27" s="487" t="s">
        <v>579</v>
      </c>
      <c r="F27" s="430">
        <f>35/4</f>
        <v>8.75</v>
      </c>
      <c r="G27" s="428"/>
      <c r="H27" s="430">
        <f t="shared" si="4"/>
        <v>8.75</v>
      </c>
      <c r="I27" s="430">
        <f t="shared" si="5"/>
        <v>0</v>
      </c>
      <c r="J27" s="719"/>
      <c r="K27" s="728"/>
      <c r="L27" s="728"/>
      <c r="M27" s="418"/>
      <c r="N27" s="437"/>
      <c r="O27" s="437"/>
      <c r="P27" s="437"/>
      <c r="Q27" s="437"/>
      <c r="R27" s="437"/>
      <c r="S27" s="418">
        <f t="shared" si="10"/>
        <v>0</v>
      </c>
    </row>
    <row r="28" spans="1:19" ht="12.45">
      <c r="A28" s="487"/>
      <c r="B28" s="487"/>
      <c r="C28" s="492"/>
      <c r="D28" s="487"/>
      <c r="E28" s="744"/>
      <c r="F28" s="430"/>
      <c r="G28" s="428"/>
      <c r="H28" s="430"/>
      <c r="I28" s="430"/>
      <c r="J28" s="719"/>
      <c r="K28" s="728"/>
      <c r="L28" s="728"/>
      <c r="M28" s="418"/>
      <c r="N28" s="437"/>
      <c r="O28" s="437"/>
      <c r="P28" s="437"/>
      <c r="Q28" s="437"/>
      <c r="R28" s="437"/>
      <c r="S28" s="437"/>
    </row>
    <row r="29" spans="1:19" ht="12.45">
      <c r="A29" s="487"/>
      <c r="B29" s="487"/>
      <c r="C29" s="492"/>
      <c r="D29" s="487"/>
      <c r="E29" s="744"/>
      <c r="F29" s="430"/>
      <c r="G29" s="428"/>
      <c r="H29" s="430"/>
      <c r="I29" s="430"/>
      <c r="J29" s="719"/>
      <c r="K29" s="728"/>
      <c r="L29" s="728"/>
      <c r="M29" s="418"/>
      <c r="N29" s="437"/>
      <c r="O29" s="437"/>
      <c r="P29" s="437"/>
      <c r="Q29" s="437"/>
      <c r="R29" s="437"/>
      <c r="S29" s="437"/>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432" t="s">
        <v>580</v>
      </c>
      <c r="F31" s="409"/>
      <c r="G31" s="410"/>
      <c r="H31" s="409"/>
      <c r="I31" s="421">
        <f>SUM(I4:I29)</f>
        <v>100</v>
      </c>
      <c r="J31" s="204"/>
      <c r="M31" s="418">
        <f>SUM(M4:M29)</f>
        <v>750</v>
      </c>
      <c r="N31" s="418">
        <f>SUM(N4:N29)</f>
        <v>0</v>
      </c>
      <c r="O31" s="418">
        <f>SUM(O4:O29)</f>
        <v>100</v>
      </c>
      <c r="P31" s="418"/>
      <c r="Q31" s="418"/>
      <c r="R31" s="418">
        <f>SUM(R4:R29)</f>
        <v>0</v>
      </c>
      <c r="S31" s="437"/>
    </row>
    <row r="32" spans="1:19">
      <c r="A32" s="407"/>
      <c r="B32" s="407"/>
      <c r="C32" s="408"/>
      <c r="D32" s="407"/>
      <c r="E32" s="413" t="s">
        <v>581</v>
      </c>
      <c r="F32" s="409"/>
      <c r="G32" s="410">
        <v>0.25</v>
      </c>
      <c r="H32" s="409"/>
      <c r="I32" s="421"/>
      <c r="J32" s="204"/>
      <c r="M32" s="418"/>
      <c r="N32" s="418"/>
      <c r="O32" s="418"/>
      <c r="P32" s="418"/>
      <c r="Q32" s="418"/>
      <c r="R32" s="418"/>
      <c r="S32" s="437"/>
    </row>
    <row r="33" spans="1:19" ht="15.75">
      <c r="E33" s="433" t="s">
        <v>582</v>
      </c>
      <c r="F33" s="418"/>
      <c r="G33" s="434"/>
      <c r="H33" s="418"/>
      <c r="I33" s="435">
        <f>I31*(1+$G$32)</f>
        <v>125</v>
      </c>
      <c r="J33" s="436"/>
      <c r="K33" s="437"/>
      <c r="L33" s="437"/>
      <c r="M33" s="165">
        <f>M31*(1+$G$32)</f>
        <v>937.5</v>
      </c>
      <c r="N33" s="165">
        <f>N31*(1+$G$32)</f>
        <v>0</v>
      </c>
      <c r="O33" s="165">
        <f>O31*(1+$G$32)</f>
        <v>125</v>
      </c>
      <c r="P33" s="418"/>
      <c r="Q33" s="418"/>
      <c r="R33" s="165">
        <f>R31*(1+$G$32)</f>
        <v>0</v>
      </c>
      <c r="S33" s="165">
        <f>SUM(S4:S32)</f>
        <v>0</v>
      </c>
    </row>
    <row r="36" spans="1:19">
      <c r="E36" s="439" t="s">
        <v>585</v>
      </c>
    </row>
    <row r="37" spans="1:19">
      <c r="A37" s="441"/>
      <c r="B37" s="17" t="s">
        <v>619</v>
      </c>
      <c r="E37" s="17" t="s">
        <v>586</v>
      </c>
      <c r="F37" s="403">
        <f t="shared" ref="F37:F51" si="11">F$55</f>
        <v>55</v>
      </c>
      <c r="H37" s="403">
        <f t="shared" si="4"/>
        <v>55</v>
      </c>
      <c r="I37" s="403">
        <f t="shared" ref="I37:I57" si="12">A37*H37</f>
        <v>0</v>
      </c>
    </row>
    <row r="38" spans="1:19">
      <c r="A38" s="441"/>
      <c r="B38" s="17" t="s">
        <v>619</v>
      </c>
      <c r="E38" s="17" t="s">
        <v>589</v>
      </c>
      <c r="F38" s="403">
        <f t="shared" si="11"/>
        <v>55</v>
      </c>
      <c r="H38" s="403">
        <f t="shared" si="4"/>
        <v>55</v>
      </c>
      <c r="I38" s="403">
        <f t="shared" si="12"/>
        <v>0</v>
      </c>
      <c r="J38" s="17" t="s">
        <v>1929</v>
      </c>
    </row>
    <row r="39" spans="1:19">
      <c r="A39" s="441"/>
      <c r="B39" s="17" t="s">
        <v>619</v>
      </c>
      <c r="E39" s="17" t="s">
        <v>1426</v>
      </c>
      <c r="F39" s="403">
        <f t="shared" si="11"/>
        <v>55</v>
      </c>
      <c r="H39" s="403">
        <f t="shared" si="4"/>
        <v>55</v>
      </c>
      <c r="I39" s="403">
        <f t="shared" si="12"/>
        <v>0</v>
      </c>
    </row>
    <row r="40" spans="1:19">
      <c r="A40" s="441"/>
      <c r="B40" s="17" t="s">
        <v>619</v>
      </c>
      <c r="E40" s="17" t="s">
        <v>591</v>
      </c>
      <c r="F40" s="403">
        <f t="shared" si="11"/>
        <v>55</v>
      </c>
      <c r="H40" s="403">
        <f t="shared" si="4"/>
        <v>55</v>
      </c>
      <c r="I40" s="403">
        <f t="shared" si="12"/>
        <v>0</v>
      </c>
      <c r="J40" s="17" t="s">
        <v>1929</v>
      </c>
    </row>
    <row r="41" spans="1:19">
      <c r="A41" s="441"/>
      <c r="B41" s="17" t="s">
        <v>619</v>
      </c>
      <c r="E41" s="17" t="s">
        <v>1428</v>
      </c>
      <c r="F41" s="403">
        <f t="shared" si="11"/>
        <v>55</v>
      </c>
      <c r="H41" s="403">
        <f t="shared" si="4"/>
        <v>55</v>
      </c>
      <c r="I41" s="403">
        <f t="shared" si="12"/>
        <v>0</v>
      </c>
    </row>
    <row r="42" spans="1:19">
      <c r="A42" s="441"/>
      <c r="B42" s="17" t="s">
        <v>619</v>
      </c>
      <c r="E42" s="17" t="s">
        <v>1429</v>
      </c>
      <c r="F42" s="403">
        <f t="shared" si="11"/>
        <v>55</v>
      </c>
      <c r="H42" s="403">
        <f t="shared" si="4"/>
        <v>55</v>
      </c>
      <c r="I42" s="403">
        <f t="shared" si="12"/>
        <v>0</v>
      </c>
    </row>
    <row r="43" spans="1:19">
      <c r="A43" s="441"/>
      <c r="B43" s="17" t="s">
        <v>619</v>
      </c>
      <c r="E43" s="17" t="s">
        <v>605</v>
      </c>
      <c r="F43" s="403">
        <f t="shared" si="11"/>
        <v>55</v>
      </c>
      <c r="H43" s="403">
        <f t="shared" si="4"/>
        <v>55</v>
      </c>
      <c r="I43" s="403">
        <f t="shared" si="12"/>
        <v>0</v>
      </c>
    </row>
    <row r="44" spans="1:19">
      <c r="A44" s="441"/>
      <c r="B44" s="17" t="s">
        <v>619</v>
      </c>
      <c r="E44" s="17" t="s">
        <v>607</v>
      </c>
      <c r="F44" s="403">
        <f t="shared" si="11"/>
        <v>55</v>
      </c>
      <c r="H44" s="403">
        <f t="shared" si="4"/>
        <v>55</v>
      </c>
      <c r="I44" s="403">
        <f t="shared" si="12"/>
        <v>0</v>
      </c>
    </row>
    <row r="45" spans="1:19">
      <c r="A45" s="441"/>
      <c r="B45" s="17" t="s">
        <v>619</v>
      </c>
      <c r="E45" s="17" t="s">
        <v>609</v>
      </c>
      <c r="F45" s="403">
        <f t="shared" si="11"/>
        <v>55</v>
      </c>
      <c r="H45" s="403">
        <f t="shared" si="4"/>
        <v>55</v>
      </c>
      <c r="I45" s="403">
        <f t="shared" si="12"/>
        <v>0</v>
      </c>
    </row>
    <row r="46" spans="1:19">
      <c r="A46" s="441"/>
      <c r="B46" s="17" t="s">
        <v>619</v>
      </c>
      <c r="E46" s="17" t="s">
        <v>610</v>
      </c>
      <c r="F46" s="403">
        <f t="shared" si="11"/>
        <v>55</v>
      </c>
      <c r="H46" s="403">
        <f t="shared" si="4"/>
        <v>55</v>
      </c>
      <c r="I46" s="403">
        <f t="shared" si="12"/>
        <v>0</v>
      </c>
    </row>
    <row r="47" spans="1:19">
      <c r="A47" s="441"/>
      <c r="B47" s="17" t="s">
        <v>619</v>
      </c>
      <c r="E47" s="17" t="s">
        <v>611</v>
      </c>
      <c r="F47" s="403">
        <f t="shared" si="11"/>
        <v>55</v>
      </c>
      <c r="H47" s="403">
        <f t="shared" si="4"/>
        <v>55</v>
      </c>
      <c r="I47" s="403">
        <f t="shared" si="12"/>
        <v>0</v>
      </c>
    </row>
    <row r="48" spans="1:19">
      <c r="A48" s="441"/>
      <c r="B48" s="17" t="s">
        <v>619</v>
      </c>
      <c r="E48" s="17" t="s">
        <v>1431</v>
      </c>
      <c r="F48" s="403">
        <f t="shared" si="11"/>
        <v>55</v>
      </c>
      <c r="H48" s="403">
        <f t="shared" si="4"/>
        <v>55</v>
      </c>
      <c r="I48" s="403">
        <f t="shared" si="12"/>
        <v>0</v>
      </c>
    </row>
    <row r="49" spans="1:16">
      <c r="A49" s="441"/>
      <c r="B49" s="17" t="s">
        <v>619</v>
      </c>
      <c r="E49" s="17" t="s">
        <v>612</v>
      </c>
      <c r="F49" s="403">
        <f t="shared" si="11"/>
        <v>55</v>
      </c>
      <c r="H49" s="403">
        <f t="shared" si="4"/>
        <v>55</v>
      </c>
      <c r="I49" s="403">
        <f t="shared" si="12"/>
        <v>0</v>
      </c>
    </row>
    <row r="50" spans="1:16">
      <c r="A50" s="441"/>
      <c r="B50" s="17" t="s">
        <v>619</v>
      </c>
      <c r="E50" s="17" t="s">
        <v>614</v>
      </c>
      <c r="F50" s="403">
        <f t="shared" si="11"/>
        <v>55</v>
      </c>
      <c r="H50" s="403">
        <f t="shared" si="4"/>
        <v>55</v>
      </c>
      <c r="I50" s="403">
        <f t="shared" si="12"/>
        <v>0</v>
      </c>
    </row>
    <row r="51" spans="1:16">
      <c r="A51" s="441"/>
      <c r="B51" s="17" t="s">
        <v>619</v>
      </c>
      <c r="E51" s="17" t="s">
        <v>616</v>
      </c>
      <c r="F51" s="403">
        <f t="shared" si="11"/>
        <v>55</v>
      </c>
      <c r="H51" s="403">
        <f t="shared" si="4"/>
        <v>55</v>
      </c>
      <c r="I51" s="403">
        <f t="shared" si="12"/>
        <v>0</v>
      </c>
    </row>
    <row r="53" spans="1:16">
      <c r="A53" s="17">
        <f>SUM(A37:A52)</f>
        <v>0</v>
      </c>
      <c r="B53" s="17" t="s">
        <v>619</v>
      </c>
      <c r="E53" s="17" t="s">
        <v>620</v>
      </c>
    </row>
    <row r="54" spans="1:16">
      <c r="A54" s="441"/>
      <c r="B54" s="17" t="s">
        <v>517</v>
      </c>
      <c r="E54" s="17" t="s">
        <v>621</v>
      </c>
    </row>
    <row r="55" spans="1:16">
      <c r="B55" s="17" t="s">
        <v>517</v>
      </c>
      <c r="E55" s="17" t="s">
        <v>622</v>
      </c>
      <c r="F55" s="445">
        <v>55</v>
      </c>
      <c r="H55" s="403">
        <f t="shared" si="4"/>
        <v>55</v>
      </c>
      <c r="I55" s="403">
        <f t="shared" si="12"/>
        <v>0</v>
      </c>
      <c r="J55" s="17" t="s">
        <v>623</v>
      </c>
    </row>
    <row r="56" spans="1:16">
      <c r="B56" s="17" t="s">
        <v>624</v>
      </c>
      <c r="E56" s="17" t="s">
        <v>625</v>
      </c>
      <c r="F56" s="403">
        <f>A54*8*F55</f>
        <v>0</v>
      </c>
      <c r="H56" s="403">
        <f t="shared" si="4"/>
        <v>0</v>
      </c>
      <c r="I56" s="403">
        <f t="shared" si="12"/>
        <v>0</v>
      </c>
    </row>
    <row r="57" spans="1:16">
      <c r="A57" s="441"/>
      <c r="B57" s="17" t="s">
        <v>517</v>
      </c>
      <c r="E57" s="17" t="s">
        <v>626</v>
      </c>
      <c r="F57" s="447"/>
      <c r="H57" s="403">
        <f t="shared" si="4"/>
        <v>0</v>
      </c>
      <c r="I57" s="403">
        <f t="shared" si="12"/>
        <v>0</v>
      </c>
    </row>
    <row r="58" spans="1:16">
      <c r="A58" s="441"/>
      <c r="F58" s="447"/>
      <c r="H58" s="403"/>
      <c r="I58" s="403"/>
    </row>
    <row r="59" spans="1:16">
      <c r="A59" s="441"/>
      <c r="F59" s="447"/>
      <c r="H59" s="403"/>
      <c r="I59" s="403"/>
    </row>
    <row r="60" spans="1:16" ht="15.75">
      <c r="E60" s="439" t="s">
        <v>628</v>
      </c>
      <c r="I60" s="443">
        <f>SUM(I56:I59)</f>
        <v>0</v>
      </c>
      <c r="P60" s="165">
        <f>I60</f>
        <v>0</v>
      </c>
    </row>
    <row r="63" spans="1:16">
      <c r="E63" s="449" t="s">
        <v>630</v>
      </c>
    </row>
    <row r="64" spans="1:16">
      <c r="A64" s="441">
        <v>1</v>
      </c>
      <c r="B64" s="17" t="s">
        <v>517</v>
      </c>
      <c r="E64" s="17" t="s">
        <v>668</v>
      </c>
      <c r="F64" s="445">
        <f>1796*0.6</f>
        <v>1077.5999999999999</v>
      </c>
      <c r="H64" s="403">
        <f t="shared" si="4"/>
        <v>1077.5999999999999</v>
      </c>
      <c r="I64" s="403">
        <f t="shared" ref="I64:I66" si="13">A64*H64</f>
        <v>1077.5999999999999</v>
      </c>
      <c r="J64" s="17" t="s">
        <v>1992</v>
      </c>
    </row>
    <row r="65" spans="1:17">
      <c r="A65" s="441"/>
      <c r="B65" s="17" t="s">
        <v>539</v>
      </c>
      <c r="E65" s="17" t="s">
        <v>1461</v>
      </c>
      <c r="F65" s="445">
        <v>80</v>
      </c>
      <c r="H65" s="403">
        <f t="shared" si="4"/>
        <v>80</v>
      </c>
      <c r="I65" s="403">
        <f t="shared" si="13"/>
        <v>0</v>
      </c>
    </row>
    <row r="66" spans="1:17">
      <c r="A66" s="441"/>
      <c r="B66" s="17" t="s">
        <v>517</v>
      </c>
      <c r="E66" s="17" t="s">
        <v>1463</v>
      </c>
      <c r="F66" s="445">
        <v>2493</v>
      </c>
      <c r="H66" s="403">
        <f t="shared" si="4"/>
        <v>2493</v>
      </c>
      <c r="I66" s="403">
        <f t="shared" si="13"/>
        <v>0</v>
      </c>
      <c r="J66" s="17" t="s">
        <v>1993</v>
      </c>
    </row>
    <row r="67" spans="1:17" ht="15.75">
      <c r="E67" s="439" t="s">
        <v>676</v>
      </c>
      <c r="I67" s="443">
        <f>SUM(I64:I66)</f>
        <v>1077.5999999999999</v>
      </c>
      <c r="Q67" s="165">
        <f>I67</f>
        <v>1077.5999999999999</v>
      </c>
    </row>
    <row r="69" spans="1:17" ht="13.75" customHeight="1">
      <c r="A69" s="986" t="s">
        <v>100</v>
      </c>
      <c r="B69" s="986"/>
      <c r="C69" s="986"/>
      <c r="D69" s="986"/>
      <c r="E69" s="986"/>
    </row>
    <row r="75" spans="1:17" ht="15.05" customHeight="1">
      <c r="A75" s="1002" t="s">
        <v>90</v>
      </c>
      <c r="B75" s="1002"/>
      <c r="C75" s="1002"/>
      <c r="D75" s="1002"/>
      <c r="E75" s="1002"/>
    </row>
    <row r="77" spans="1:17" ht="13.75">
      <c r="B77" s="17" t="s">
        <v>517</v>
      </c>
      <c r="E77" s="17" t="s">
        <v>1464</v>
      </c>
      <c r="F77" s="403">
        <v>860</v>
      </c>
      <c r="H77" s="403">
        <f t="shared" ref="H77:H88" si="14">F77*(1-G77)</f>
        <v>860</v>
      </c>
      <c r="I77" s="403">
        <f t="shared" ref="I77:I81" si="15">A77*H77</f>
        <v>0</v>
      </c>
      <c r="J77" s="494" t="s">
        <v>1465</v>
      </c>
    </row>
    <row r="78" spans="1:17">
      <c r="A78" s="17">
        <v>1</v>
      </c>
      <c r="B78" s="17" t="s">
        <v>517</v>
      </c>
      <c r="E78" s="17" t="s">
        <v>707</v>
      </c>
      <c r="F78" s="403">
        <v>1500</v>
      </c>
      <c r="H78" s="403">
        <f t="shared" si="14"/>
        <v>1500</v>
      </c>
      <c r="I78" s="403">
        <f t="shared" si="15"/>
        <v>1500</v>
      </c>
    </row>
    <row r="79" spans="1:17" ht="55.65">
      <c r="A79" s="17">
        <v>1</v>
      </c>
      <c r="B79" s="17" t="s">
        <v>517</v>
      </c>
      <c r="C79" s="204" t="s">
        <v>708</v>
      </c>
      <c r="E79" s="204" t="s">
        <v>709</v>
      </c>
      <c r="F79" s="403">
        <v>460</v>
      </c>
      <c r="H79" s="403">
        <f t="shared" si="14"/>
        <v>460</v>
      </c>
      <c r="I79" s="403">
        <f t="shared" si="15"/>
        <v>460</v>
      </c>
    </row>
    <row r="80" spans="1:17" ht="55.65">
      <c r="A80" s="17">
        <v>0</v>
      </c>
      <c r="B80" s="17" t="s">
        <v>517</v>
      </c>
      <c r="C80" s="204" t="s">
        <v>711</v>
      </c>
      <c r="E80" s="204" t="s">
        <v>712</v>
      </c>
      <c r="F80" s="403">
        <v>320</v>
      </c>
      <c r="H80" s="403">
        <f t="shared" si="14"/>
        <v>320</v>
      </c>
      <c r="I80" s="403">
        <f t="shared" si="15"/>
        <v>0</v>
      </c>
    </row>
    <row r="81" spans="1:10" ht="55.65">
      <c r="A81" s="17">
        <v>0</v>
      </c>
      <c r="B81" s="17" t="s">
        <v>517</v>
      </c>
      <c r="C81" s="17" t="s">
        <v>713</v>
      </c>
      <c r="D81" s="17" t="s">
        <v>714</v>
      </c>
      <c r="E81" s="204" t="s">
        <v>715</v>
      </c>
      <c r="F81" s="403">
        <v>2725</v>
      </c>
      <c r="H81" s="403">
        <f t="shared" si="14"/>
        <v>2725</v>
      </c>
      <c r="I81" s="403">
        <f t="shared" si="15"/>
        <v>0</v>
      </c>
    </row>
    <row r="83" spans="1:10" ht="15.75">
      <c r="E83" s="439" t="s">
        <v>729</v>
      </c>
      <c r="I83" s="168">
        <f>SUM(I75:I82)</f>
        <v>1960</v>
      </c>
    </row>
    <row r="85" spans="1:10" ht="13.75" customHeight="1">
      <c r="A85" s="997" t="s">
        <v>68</v>
      </c>
      <c r="B85" s="997"/>
      <c r="C85" s="997"/>
      <c r="D85" s="997"/>
      <c r="E85" s="997"/>
    </row>
    <row r="86" spans="1:10">
      <c r="A86" s="17">
        <v>1</v>
      </c>
      <c r="B86" s="17" t="s">
        <v>517</v>
      </c>
      <c r="E86" s="17" t="s">
        <v>730</v>
      </c>
      <c r="F86" s="403">
        <v>300</v>
      </c>
      <c r="H86" s="403">
        <f t="shared" si="14"/>
        <v>300</v>
      </c>
      <c r="I86" s="403">
        <f t="shared" ref="I86:I88" si="16">A86*H86</f>
        <v>300</v>
      </c>
      <c r="J86" s="17" t="s">
        <v>696</v>
      </c>
    </row>
    <row r="87" spans="1:10" ht="55.65">
      <c r="A87" s="17">
        <v>1</v>
      </c>
      <c r="B87" s="17" t="s">
        <v>517</v>
      </c>
      <c r="C87" s="204" t="s">
        <v>708</v>
      </c>
      <c r="E87" s="204" t="s">
        <v>731</v>
      </c>
      <c r="F87" s="403">
        <f>460/2</f>
        <v>230</v>
      </c>
      <c r="H87" s="403">
        <f t="shared" si="14"/>
        <v>230</v>
      </c>
      <c r="I87" s="403">
        <f t="shared" si="16"/>
        <v>230</v>
      </c>
    </row>
    <row r="88" spans="1:10" ht="55.65">
      <c r="A88" s="17">
        <v>0</v>
      </c>
      <c r="B88" s="17" t="s">
        <v>517</v>
      </c>
      <c r="C88" s="204" t="s">
        <v>711</v>
      </c>
      <c r="E88" s="204" t="s">
        <v>732</v>
      </c>
      <c r="F88" s="403">
        <f>320/2</f>
        <v>160</v>
      </c>
      <c r="H88" s="403">
        <f t="shared" si="14"/>
        <v>160</v>
      </c>
      <c r="I88" s="403">
        <f t="shared" si="16"/>
        <v>0</v>
      </c>
    </row>
    <row r="90" spans="1:10" ht="15.75">
      <c r="E90" s="439" t="s">
        <v>733</v>
      </c>
      <c r="I90" s="168">
        <f>SUM(I85:I89)</f>
        <v>530</v>
      </c>
    </row>
  </sheetData>
  <mergeCells count="6">
    <mergeCell ref="A85:E85"/>
    <mergeCell ref="B1:F1"/>
    <mergeCell ref="A2:G2"/>
    <mergeCell ref="J19:L19"/>
    <mergeCell ref="A69:E69"/>
    <mergeCell ref="A75:E7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0.140625" style="204"/>
    <col min="4" max="4" width="17.85546875" style="17" customWidth="1"/>
    <col min="5" max="5" width="39" style="17" customWidth="1"/>
    <col min="6" max="6" width="10.140625" style="403"/>
    <col min="7" max="7" width="10.140625" style="404"/>
    <col min="8" max="9" width="10.140625" style="17"/>
    <col min="10" max="10" width="20.7109375" style="17" customWidth="1"/>
    <col min="11" max="64" width="10.140625" style="17"/>
  </cols>
  <sheetData>
    <row r="1" spans="1:19" ht="15.05">
      <c r="B1" s="1058" t="s">
        <v>1996</v>
      </c>
      <c r="C1" s="1058"/>
      <c r="D1" s="1058"/>
      <c r="E1" s="1058"/>
      <c r="F1" s="1058"/>
      <c r="H1" s="405" t="s">
        <v>493</v>
      </c>
      <c r="I1" s="406">
        <v>310</v>
      </c>
      <c r="J1" s="17" t="s">
        <v>494</v>
      </c>
      <c r="K1" s="17" t="s">
        <v>495</v>
      </c>
      <c r="L1" s="58">
        <f>A4*I1</f>
        <v>35960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07">
        <v>116</v>
      </c>
      <c r="B4" s="407" t="s">
        <v>522</v>
      </c>
      <c r="C4" s="424" t="s">
        <v>817</v>
      </c>
      <c r="D4" s="423" t="s">
        <v>1066</v>
      </c>
      <c r="E4" s="424" t="s">
        <v>1067</v>
      </c>
      <c r="F4" s="421">
        <v>91.74</v>
      </c>
      <c r="G4" s="410"/>
      <c r="H4" s="409">
        <f t="shared" ref="H4:H9" si="0">F4*(1-G4)</f>
        <v>91.74</v>
      </c>
      <c r="I4" s="409">
        <f t="shared" ref="I4:I9" si="1">A4*H4</f>
        <v>10641.84</v>
      </c>
      <c r="J4" s="204"/>
      <c r="K4" s="403"/>
      <c r="L4" s="404"/>
      <c r="M4" s="418">
        <f t="shared" ref="M4:M5" si="2">I4</f>
        <v>10641.84</v>
      </c>
      <c r="N4" s="437"/>
      <c r="O4" s="437"/>
      <c r="P4" s="437"/>
      <c r="Q4" s="437"/>
      <c r="R4" s="437"/>
      <c r="S4" s="437"/>
    </row>
    <row r="5" spans="1:19" ht="44.55">
      <c r="A5" s="407">
        <v>1</v>
      </c>
      <c r="B5" s="407"/>
      <c r="C5" s="408" t="s">
        <v>987</v>
      </c>
      <c r="D5" s="407" t="s">
        <v>556</v>
      </c>
      <c r="E5" s="407" t="s">
        <v>994</v>
      </c>
      <c r="F5" s="409">
        <f>10440*116/261</f>
        <v>4640</v>
      </c>
      <c r="G5" s="410"/>
      <c r="H5" s="409">
        <f t="shared" si="0"/>
        <v>4640</v>
      </c>
      <c r="I5" s="409">
        <f t="shared" si="1"/>
        <v>4640</v>
      </c>
      <c r="J5" s="204" t="s">
        <v>1978</v>
      </c>
      <c r="M5" s="418">
        <f t="shared" si="2"/>
        <v>4640</v>
      </c>
      <c r="N5" s="437"/>
      <c r="O5" s="437"/>
      <c r="P5" s="437"/>
      <c r="Q5" s="437"/>
      <c r="R5" s="437"/>
      <c r="S5" s="437"/>
    </row>
    <row r="6" spans="1:19" ht="189.2">
      <c r="A6" s="407">
        <v>1</v>
      </c>
      <c r="B6" s="407"/>
      <c r="C6" s="408" t="s">
        <v>969</v>
      </c>
      <c r="D6" s="407" t="s">
        <v>829</v>
      </c>
      <c r="E6" s="408" t="s">
        <v>830</v>
      </c>
      <c r="F6" s="409">
        <v>635.23</v>
      </c>
      <c r="G6" s="410"/>
      <c r="H6" s="409">
        <f t="shared" si="0"/>
        <v>635.23</v>
      </c>
      <c r="I6" s="409">
        <f t="shared" si="1"/>
        <v>635.23</v>
      </c>
      <c r="J6" s="204"/>
      <c r="M6" s="437"/>
      <c r="N6" s="437"/>
      <c r="O6" s="437"/>
      <c r="P6" s="437"/>
      <c r="Q6" s="437"/>
      <c r="R6" s="418">
        <f>I6</f>
        <v>635.23</v>
      </c>
      <c r="S6" s="437"/>
    </row>
    <row r="7" spans="1:19">
      <c r="A7" s="407"/>
      <c r="B7" s="407"/>
      <c r="C7" s="408"/>
      <c r="D7" s="407"/>
      <c r="E7" s="408"/>
      <c r="F7" s="409"/>
      <c r="G7" s="410"/>
      <c r="H7" s="409"/>
      <c r="I7" s="409"/>
      <c r="J7" s="204"/>
      <c r="M7" s="437"/>
      <c r="N7" s="437"/>
      <c r="O7" s="437"/>
      <c r="P7" s="437"/>
      <c r="Q7" s="437"/>
      <c r="R7" s="418"/>
      <c r="S7" s="437"/>
    </row>
    <row r="8" spans="1:19">
      <c r="A8" s="407"/>
      <c r="B8" s="407"/>
      <c r="C8" s="408"/>
      <c r="D8" s="407"/>
      <c r="E8" s="407"/>
      <c r="F8" s="409"/>
      <c r="G8" s="410"/>
      <c r="H8" s="409"/>
      <c r="I8" s="409"/>
      <c r="J8" s="204"/>
      <c r="M8" s="437"/>
      <c r="N8" s="437"/>
      <c r="O8" s="437"/>
      <c r="P8" s="437"/>
      <c r="Q8" s="437"/>
      <c r="R8" s="418"/>
      <c r="S8" s="437"/>
    </row>
    <row r="9" spans="1:19" ht="200.3">
      <c r="A9" s="407">
        <v>1</v>
      </c>
      <c r="B9" s="407" t="s">
        <v>522</v>
      </c>
      <c r="C9" s="408" t="s">
        <v>987</v>
      </c>
      <c r="D9" s="407" t="s">
        <v>985</v>
      </c>
      <c r="E9" s="408" t="s">
        <v>1500</v>
      </c>
      <c r="F9" s="409">
        <v>493.33</v>
      </c>
      <c r="G9" s="410"/>
      <c r="H9" s="409">
        <f t="shared" si="0"/>
        <v>493.33</v>
      </c>
      <c r="I9" s="409">
        <f t="shared" si="1"/>
        <v>493.33</v>
      </c>
      <c r="J9" s="204"/>
      <c r="M9" s="437"/>
      <c r="N9" s="437"/>
      <c r="O9" s="437"/>
      <c r="P9" s="437"/>
      <c r="Q9" s="437"/>
      <c r="R9" s="418">
        <f>I9</f>
        <v>493.33</v>
      </c>
      <c r="S9" s="437"/>
    </row>
    <row r="10" spans="1:19">
      <c r="A10" s="407"/>
      <c r="B10" s="407"/>
      <c r="C10" s="408"/>
      <c r="D10" s="407"/>
      <c r="E10" s="408"/>
      <c r="F10" s="409"/>
      <c r="G10" s="410"/>
      <c r="H10" s="409"/>
      <c r="I10" s="409"/>
      <c r="J10" s="204"/>
      <c r="M10" s="437"/>
      <c r="N10" s="418"/>
      <c r="O10" s="437"/>
      <c r="P10" s="437"/>
      <c r="Q10" s="437"/>
      <c r="R10" s="418"/>
      <c r="S10" s="437"/>
    </row>
    <row r="11" spans="1:19" ht="44.55">
      <c r="A11" s="407"/>
      <c r="B11" s="407" t="s">
        <v>539</v>
      </c>
      <c r="C11" s="408" t="s">
        <v>987</v>
      </c>
      <c r="D11" s="407" t="s">
        <v>541</v>
      </c>
      <c r="E11" s="408" t="s">
        <v>542</v>
      </c>
      <c r="F11" s="409">
        <f t="shared" ref="F11:F12" si="3">328.33/500</f>
        <v>0.65666000000000002</v>
      </c>
      <c r="G11" s="410"/>
      <c r="H11" s="409">
        <f t="shared" ref="H11:H63" si="4">F11*(1-G11)</f>
        <v>0.65666000000000002</v>
      </c>
      <c r="I11" s="409">
        <f t="shared" ref="I11:I25" si="5">A11*H11</f>
        <v>0</v>
      </c>
      <c r="J11" s="204"/>
      <c r="M11" s="437"/>
      <c r="N11" s="437"/>
      <c r="O11" s="418">
        <f t="shared" ref="O11:O22" si="6">I11</f>
        <v>0</v>
      </c>
      <c r="P11" s="418"/>
      <c r="Q11" s="418"/>
      <c r="R11" s="437"/>
      <c r="S11" s="437"/>
    </row>
    <row r="12" spans="1:19" ht="44.55">
      <c r="A12" s="407"/>
      <c r="B12" s="407" t="s">
        <v>539</v>
      </c>
      <c r="C12" s="408" t="s">
        <v>987</v>
      </c>
      <c r="D12" s="407" t="s">
        <v>543</v>
      </c>
      <c r="E12" s="408" t="s">
        <v>544</v>
      </c>
      <c r="F12" s="409">
        <f t="shared" si="3"/>
        <v>0.65666000000000002</v>
      </c>
      <c r="G12" s="410"/>
      <c r="H12" s="409">
        <f t="shared" si="4"/>
        <v>0.65666000000000002</v>
      </c>
      <c r="I12" s="409">
        <f t="shared" si="5"/>
        <v>0</v>
      </c>
      <c r="J12" s="204"/>
      <c r="M12" s="437"/>
      <c r="N12" s="437"/>
      <c r="O12" s="418">
        <f t="shared" si="6"/>
        <v>0</v>
      </c>
      <c r="P12" s="418"/>
      <c r="Q12" s="418"/>
      <c r="R12" s="437"/>
      <c r="S12" s="437"/>
    </row>
    <row r="13" spans="1:19" ht="22.25">
      <c r="A13" s="407">
        <v>20</v>
      </c>
      <c r="B13" s="407" t="s">
        <v>522</v>
      </c>
      <c r="C13" s="408" t="s">
        <v>1074</v>
      </c>
      <c r="D13" s="407"/>
      <c r="E13" s="408" t="s">
        <v>1079</v>
      </c>
      <c r="F13" s="409">
        <v>1.3</v>
      </c>
      <c r="G13" s="410"/>
      <c r="H13" s="409">
        <f t="shared" si="4"/>
        <v>1.3</v>
      </c>
      <c r="I13" s="409">
        <f t="shared" si="5"/>
        <v>26</v>
      </c>
      <c r="J13" s="204"/>
      <c r="M13" s="437"/>
      <c r="N13" s="437"/>
      <c r="O13" s="418">
        <f t="shared" si="6"/>
        <v>26</v>
      </c>
      <c r="P13" s="437"/>
      <c r="Q13" s="437"/>
      <c r="R13" s="418"/>
      <c r="S13" s="437"/>
    </row>
    <row r="14" spans="1:19" ht="22.25">
      <c r="A14" s="407">
        <v>20</v>
      </c>
      <c r="B14" s="407" t="s">
        <v>522</v>
      </c>
      <c r="C14" s="408" t="s">
        <v>1074</v>
      </c>
      <c r="D14" s="407"/>
      <c r="E14" s="408" t="s">
        <v>1080</v>
      </c>
      <c r="F14" s="409">
        <v>0.98</v>
      </c>
      <c r="G14" s="410"/>
      <c r="H14" s="409">
        <f t="shared" si="4"/>
        <v>0.98</v>
      </c>
      <c r="I14" s="409">
        <f t="shared" si="5"/>
        <v>19.600000000000001</v>
      </c>
      <c r="J14" s="204"/>
      <c r="M14" s="437"/>
      <c r="N14" s="437"/>
      <c r="O14" s="418">
        <f t="shared" si="6"/>
        <v>19.600000000000001</v>
      </c>
      <c r="P14" s="437"/>
      <c r="Q14" s="437"/>
      <c r="R14" s="418"/>
      <c r="S14" s="437"/>
    </row>
    <row r="15" spans="1:19" ht="44.55">
      <c r="A15" s="407">
        <v>1</v>
      </c>
      <c r="B15" s="407" t="s">
        <v>522</v>
      </c>
      <c r="C15" s="408" t="s">
        <v>987</v>
      </c>
      <c r="D15" s="407" t="s">
        <v>821</v>
      </c>
      <c r="E15" s="408" t="s">
        <v>822</v>
      </c>
      <c r="F15" s="409">
        <v>2175.1999999999998</v>
      </c>
      <c r="G15" s="410"/>
      <c r="H15" s="409">
        <f t="shared" si="4"/>
        <v>2175.1999999999998</v>
      </c>
      <c r="I15" s="409">
        <f t="shared" si="5"/>
        <v>2175.1999999999998</v>
      </c>
      <c r="J15" s="204"/>
      <c r="M15" s="437"/>
      <c r="N15" s="418">
        <f t="shared" ref="N15:N17" si="7">I15</f>
        <v>2175.1999999999998</v>
      </c>
      <c r="O15" s="437"/>
      <c r="P15" s="437"/>
      <c r="Q15" s="437"/>
      <c r="R15" s="437"/>
      <c r="S15" s="437"/>
    </row>
    <row r="16" spans="1:19" ht="22.25">
      <c r="A16" s="407">
        <v>1</v>
      </c>
      <c r="B16" s="407" t="s">
        <v>530</v>
      </c>
      <c r="C16" s="408" t="s">
        <v>969</v>
      </c>
      <c r="D16" s="407" t="s">
        <v>556</v>
      </c>
      <c r="E16" s="408" t="s">
        <v>1969</v>
      </c>
      <c r="F16" s="409">
        <v>905.34</v>
      </c>
      <c r="G16" s="410"/>
      <c r="H16" s="409">
        <f t="shared" si="4"/>
        <v>905.34</v>
      </c>
      <c r="I16" s="409">
        <f t="shared" si="5"/>
        <v>905.34</v>
      </c>
      <c r="J16" s="204"/>
      <c r="M16" s="437"/>
      <c r="N16" s="418">
        <f t="shared" si="7"/>
        <v>905.34</v>
      </c>
      <c r="O16" s="437"/>
      <c r="P16" s="437"/>
      <c r="Q16" s="437"/>
      <c r="R16" s="437"/>
      <c r="S16" s="437"/>
    </row>
    <row r="17" spans="1:19" ht="44.55">
      <c r="A17" s="407">
        <v>1</v>
      </c>
      <c r="B17" s="407" t="s">
        <v>522</v>
      </c>
      <c r="C17" s="408" t="s">
        <v>987</v>
      </c>
      <c r="D17" s="407" t="s">
        <v>990</v>
      </c>
      <c r="E17" s="408" t="s">
        <v>991</v>
      </c>
      <c r="F17" s="409">
        <v>33.43</v>
      </c>
      <c r="G17" s="410"/>
      <c r="H17" s="409">
        <f t="shared" si="4"/>
        <v>33.43</v>
      </c>
      <c r="I17" s="409">
        <f t="shared" si="5"/>
        <v>33.43</v>
      </c>
      <c r="J17" s="204"/>
      <c r="M17" s="437"/>
      <c r="N17" s="418">
        <f t="shared" si="7"/>
        <v>33.43</v>
      </c>
      <c r="O17" s="437"/>
      <c r="P17" s="437"/>
      <c r="Q17" s="437"/>
      <c r="R17" s="437"/>
      <c r="S17" s="437"/>
    </row>
    <row r="18" spans="1:19" ht="44.55">
      <c r="A18" s="407">
        <v>10</v>
      </c>
      <c r="B18" s="407" t="s">
        <v>522</v>
      </c>
      <c r="C18" s="408" t="s">
        <v>987</v>
      </c>
      <c r="D18" s="407" t="s">
        <v>761</v>
      </c>
      <c r="E18" s="408" t="s">
        <v>762</v>
      </c>
      <c r="F18" s="409">
        <v>2.5</v>
      </c>
      <c r="G18" s="410"/>
      <c r="H18" s="409">
        <f t="shared" si="4"/>
        <v>2.5</v>
      </c>
      <c r="I18" s="409">
        <f t="shared" si="5"/>
        <v>25</v>
      </c>
      <c r="J18" s="204"/>
      <c r="M18" s="437"/>
      <c r="N18" s="437"/>
      <c r="O18" s="437"/>
      <c r="P18" s="437"/>
      <c r="Q18" s="437"/>
      <c r="R18" s="418">
        <f t="shared" ref="R18:R19" si="8">I18</f>
        <v>25</v>
      </c>
      <c r="S18" s="437"/>
    </row>
    <row r="19" spans="1:19" ht="47" customHeight="1">
      <c r="A19" s="407">
        <v>1</v>
      </c>
      <c r="B19" s="407" t="s">
        <v>522</v>
      </c>
      <c r="C19" s="408" t="s">
        <v>1479</v>
      </c>
      <c r="D19" s="407"/>
      <c r="E19" s="408" t="s">
        <v>803</v>
      </c>
      <c r="F19" s="409">
        <v>564.44000000000005</v>
      </c>
      <c r="G19" s="410"/>
      <c r="H19" s="409">
        <f t="shared" si="4"/>
        <v>564.44000000000005</v>
      </c>
      <c r="I19" s="409">
        <f t="shared" si="5"/>
        <v>564.44000000000005</v>
      </c>
      <c r="J19" s="1054" t="s">
        <v>1970</v>
      </c>
      <c r="K19" s="1054"/>
      <c r="L19" s="1054"/>
      <c r="M19" s="437"/>
      <c r="N19" s="437"/>
      <c r="O19" s="437"/>
      <c r="P19" s="437"/>
      <c r="Q19" s="437"/>
      <c r="R19" s="418">
        <f t="shared" si="8"/>
        <v>564.44000000000005</v>
      </c>
      <c r="S19" s="437"/>
    </row>
    <row r="20" spans="1:19" ht="22.25">
      <c r="A20" s="407">
        <v>1</v>
      </c>
      <c r="B20" s="407" t="s">
        <v>522</v>
      </c>
      <c r="C20" s="408"/>
      <c r="D20" s="407"/>
      <c r="E20" s="408" t="s">
        <v>695</v>
      </c>
      <c r="F20" s="409">
        <v>100</v>
      </c>
      <c r="G20" s="410"/>
      <c r="H20" s="409">
        <f t="shared" si="4"/>
        <v>100</v>
      </c>
      <c r="I20" s="409">
        <f t="shared" si="5"/>
        <v>100</v>
      </c>
      <c r="J20" s="204" t="s">
        <v>696</v>
      </c>
      <c r="M20" s="437"/>
      <c r="N20" s="437"/>
      <c r="O20" s="418">
        <f t="shared" si="6"/>
        <v>100</v>
      </c>
      <c r="P20" s="437"/>
      <c r="Q20" s="437"/>
      <c r="R20" s="418"/>
      <c r="S20" s="437"/>
    </row>
    <row r="21" spans="1:19" ht="44.55">
      <c r="A21" s="407">
        <v>1</v>
      </c>
      <c r="B21" s="407"/>
      <c r="C21" s="408" t="s">
        <v>987</v>
      </c>
      <c r="D21" s="407" t="s">
        <v>769</v>
      </c>
      <c r="E21" s="407" t="s">
        <v>567</v>
      </c>
      <c r="F21" s="409">
        <v>750</v>
      </c>
      <c r="G21" s="410"/>
      <c r="H21" s="409">
        <f t="shared" si="4"/>
        <v>750</v>
      </c>
      <c r="I21" s="409">
        <f t="shared" si="5"/>
        <v>750</v>
      </c>
      <c r="J21" s="204"/>
      <c r="M21" s="418">
        <f>F21</f>
        <v>750</v>
      </c>
      <c r="N21" s="437"/>
      <c r="O21" s="437"/>
      <c r="P21" s="437"/>
      <c r="Q21" s="437"/>
      <c r="R21" s="437"/>
      <c r="S21" s="437"/>
    </row>
    <row r="22" spans="1:19" ht="22.25">
      <c r="A22" s="407"/>
      <c r="B22" s="413" t="s">
        <v>539</v>
      </c>
      <c r="C22" s="420" t="s">
        <v>1445</v>
      </c>
      <c r="D22" s="413"/>
      <c r="E22" s="413" t="s">
        <v>691</v>
      </c>
      <c r="F22" s="421">
        <f>7.58/1.2</f>
        <v>6.3166666666666673</v>
      </c>
      <c r="G22" s="428"/>
      <c r="H22" s="430">
        <f t="shared" si="4"/>
        <v>6.3166666666666673</v>
      </c>
      <c r="I22" s="430">
        <f t="shared" si="5"/>
        <v>0</v>
      </c>
      <c r="J22" s="719"/>
      <c r="K22" s="728"/>
      <c r="L22" s="728"/>
      <c r="M22" s="418"/>
      <c r="N22" s="437"/>
      <c r="O22" s="418">
        <f t="shared" si="6"/>
        <v>0</v>
      </c>
      <c r="P22" s="437"/>
      <c r="Q22" s="437"/>
      <c r="R22" s="437"/>
      <c r="S22" s="437"/>
    </row>
    <row r="23" spans="1:19" ht="44.55">
      <c r="A23" s="407">
        <v>1</v>
      </c>
      <c r="B23" s="407" t="s">
        <v>517</v>
      </c>
      <c r="C23" s="408" t="s">
        <v>569</v>
      </c>
      <c r="D23" s="407" t="s">
        <v>570</v>
      </c>
      <c r="E23" s="408" t="s">
        <v>571</v>
      </c>
      <c r="F23" s="409">
        <v>1040</v>
      </c>
      <c r="G23" s="429">
        <v>0.48</v>
      </c>
      <c r="H23" s="430">
        <f t="shared" si="4"/>
        <v>540.80000000000007</v>
      </c>
      <c r="I23" s="430">
        <f t="shared" si="5"/>
        <v>540.80000000000007</v>
      </c>
      <c r="J23" s="719"/>
      <c r="M23" s="418"/>
      <c r="N23" s="437"/>
      <c r="O23" s="437"/>
      <c r="P23" s="437"/>
      <c r="Q23" s="437"/>
      <c r="R23" s="437"/>
      <c r="S23" s="418">
        <f t="shared" ref="S23:S25" si="9">I23</f>
        <v>540.80000000000007</v>
      </c>
    </row>
    <row r="24" spans="1:19">
      <c r="A24" s="407">
        <v>5</v>
      </c>
      <c r="B24" s="407" t="s">
        <v>517</v>
      </c>
      <c r="C24" s="408" t="s">
        <v>574</v>
      </c>
      <c r="D24" s="407"/>
      <c r="E24" s="407" t="s">
        <v>1008</v>
      </c>
      <c r="F24" s="409">
        <v>75</v>
      </c>
      <c r="G24" s="410"/>
      <c r="H24" s="409">
        <f t="shared" si="4"/>
        <v>75</v>
      </c>
      <c r="I24" s="409">
        <f t="shared" si="5"/>
        <v>375</v>
      </c>
      <c r="J24" s="204"/>
      <c r="M24" s="418"/>
      <c r="N24" s="437"/>
      <c r="O24" s="437"/>
      <c r="P24" s="437"/>
      <c r="Q24" s="437"/>
      <c r="R24" s="437"/>
      <c r="S24" s="418">
        <f t="shared" si="9"/>
        <v>375</v>
      </c>
    </row>
    <row r="25" spans="1:19">
      <c r="A25" s="407">
        <v>1</v>
      </c>
      <c r="B25" s="407" t="s">
        <v>517</v>
      </c>
      <c r="C25" s="408" t="s">
        <v>574</v>
      </c>
      <c r="D25" s="407"/>
      <c r="E25" s="407" t="s">
        <v>567</v>
      </c>
      <c r="F25" s="409">
        <f>35/4</f>
        <v>8.75</v>
      </c>
      <c r="G25" s="410"/>
      <c r="H25" s="409">
        <f t="shared" si="4"/>
        <v>8.75</v>
      </c>
      <c r="I25" s="409">
        <f t="shared" si="5"/>
        <v>8.75</v>
      </c>
      <c r="J25" s="204"/>
      <c r="M25" s="418"/>
      <c r="N25" s="437"/>
      <c r="O25" s="437"/>
      <c r="P25" s="437"/>
      <c r="Q25" s="437"/>
      <c r="R25" s="437"/>
      <c r="S25" s="418">
        <f t="shared" si="9"/>
        <v>8.75</v>
      </c>
    </row>
    <row r="26" spans="1:19" ht="12.45">
      <c r="A26" s="407"/>
      <c r="B26" s="407"/>
      <c r="C26" s="408"/>
      <c r="D26" s="407"/>
      <c r="E26" s="431"/>
      <c r="F26" s="409"/>
      <c r="G26" s="410"/>
      <c r="H26" s="409"/>
      <c r="I26" s="409"/>
      <c r="J26" s="204"/>
      <c r="M26" s="418"/>
      <c r="N26" s="437"/>
      <c r="O26" s="437"/>
      <c r="P26" s="437"/>
      <c r="Q26" s="437"/>
      <c r="R26" s="437"/>
      <c r="S26" s="437"/>
    </row>
    <row r="27" spans="1:19">
      <c r="A27" s="407"/>
      <c r="B27" s="407"/>
      <c r="C27" s="408"/>
      <c r="D27" s="407"/>
      <c r="E27" s="407"/>
      <c r="F27" s="409"/>
      <c r="G27" s="410"/>
      <c r="H27" s="409"/>
      <c r="I27" s="409"/>
      <c r="J27" s="204"/>
      <c r="M27" s="437"/>
      <c r="N27" s="437"/>
      <c r="O27" s="437"/>
      <c r="P27" s="437"/>
      <c r="Q27" s="437"/>
      <c r="R27" s="437"/>
      <c r="S27" s="437"/>
    </row>
    <row r="28" spans="1:19">
      <c r="A28" s="407"/>
      <c r="B28" s="407"/>
      <c r="C28" s="408"/>
      <c r="D28" s="407"/>
      <c r="E28" s="432" t="s">
        <v>580</v>
      </c>
      <c r="F28" s="409"/>
      <c r="G28" s="410"/>
      <c r="H28" s="409"/>
      <c r="I28" s="421">
        <f>SUM(I4:I26)</f>
        <v>21933.96</v>
      </c>
      <c r="J28" s="204"/>
      <c r="M28" s="418">
        <f>SUM(M4:M26)</f>
        <v>16031.84</v>
      </c>
      <c r="N28" s="418">
        <f>SUM(N4:N26)</f>
        <v>3113.97</v>
      </c>
      <c r="O28" s="418">
        <f>SUM(O4:O26)</f>
        <v>145.6</v>
      </c>
      <c r="P28" s="418"/>
      <c r="Q28" s="418"/>
      <c r="R28" s="418">
        <f>SUM(R4:R26)</f>
        <v>1718</v>
      </c>
      <c r="S28" s="437"/>
    </row>
    <row r="29" spans="1:19">
      <c r="A29" s="407"/>
      <c r="B29" s="407"/>
      <c r="C29" s="408"/>
      <c r="D29" s="407"/>
      <c r="E29" s="413" t="s">
        <v>581</v>
      </c>
      <c r="F29" s="409"/>
      <c r="G29" s="410">
        <v>0.25</v>
      </c>
      <c r="H29" s="409"/>
      <c r="I29" s="421"/>
      <c r="J29" s="204"/>
      <c r="M29" s="418"/>
      <c r="N29" s="418"/>
      <c r="O29" s="418"/>
      <c r="P29" s="418"/>
      <c r="Q29" s="418"/>
      <c r="R29" s="418"/>
      <c r="S29" s="437"/>
    </row>
    <row r="30" spans="1:19" ht="15.75">
      <c r="E30" s="433" t="s">
        <v>582</v>
      </c>
      <c r="F30" s="418"/>
      <c r="G30" s="434"/>
      <c r="H30" s="418"/>
      <c r="I30" s="435">
        <f>I28*(1+$G$29)</f>
        <v>27417.449999999997</v>
      </c>
      <c r="J30" s="436"/>
      <c r="K30" s="437"/>
      <c r="L30" s="437"/>
      <c r="M30" s="165">
        <f>M28*(1+$G$29)</f>
        <v>20039.8</v>
      </c>
      <c r="N30" s="165">
        <f>N28*(1+$G$29)</f>
        <v>3892.4624999999996</v>
      </c>
      <c r="O30" s="165">
        <f>O28*(1+$G$29)</f>
        <v>182</v>
      </c>
      <c r="P30" s="418"/>
      <c r="Q30" s="418"/>
      <c r="R30" s="165">
        <f>R28*(1+$G$29)</f>
        <v>2147.5</v>
      </c>
      <c r="S30" s="165">
        <f>SUM(S4:S29)</f>
        <v>924.55000000000007</v>
      </c>
    </row>
    <row r="33" spans="1:10">
      <c r="E33" s="439" t="s">
        <v>585</v>
      </c>
    </row>
    <row r="34" spans="1:10">
      <c r="A34" s="441">
        <v>8</v>
      </c>
      <c r="B34" s="17" t="s">
        <v>619</v>
      </c>
      <c r="E34" s="17" t="s">
        <v>586</v>
      </c>
      <c r="F34" s="403">
        <f t="shared" ref="F34:F48" si="10">F$52</f>
        <v>55</v>
      </c>
      <c r="H34" s="403">
        <f t="shared" si="4"/>
        <v>55</v>
      </c>
      <c r="I34" s="403">
        <f t="shared" ref="I34:I54" si="11">A34*H34</f>
        <v>440</v>
      </c>
    </row>
    <row r="35" spans="1:10">
      <c r="A35" s="441">
        <f>8*2</f>
        <v>16</v>
      </c>
      <c r="B35" s="17" t="s">
        <v>619</v>
      </c>
      <c r="E35" s="17" t="s">
        <v>589</v>
      </c>
      <c r="F35" s="403">
        <f t="shared" si="10"/>
        <v>55</v>
      </c>
      <c r="H35" s="403">
        <f t="shared" si="4"/>
        <v>55</v>
      </c>
      <c r="I35" s="403">
        <f t="shared" si="11"/>
        <v>880</v>
      </c>
      <c r="J35" s="17" t="s">
        <v>1981</v>
      </c>
    </row>
    <row r="36" spans="1:10">
      <c r="A36" s="441">
        <v>4</v>
      </c>
      <c r="B36" s="17" t="s">
        <v>619</v>
      </c>
      <c r="E36" s="17" t="s">
        <v>1426</v>
      </c>
      <c r="F36" s="403">
        <f t="shared" si="10"/>
        <v>55</v>
      </c>
      <c r="H36" s="403">
        <f t="shared" si="4"/>
        <v>55</v>
      </c>
      <c r="I36" s="403">
        <f t="shared" si="11"/>
        <v>220</v>
      </c>
    </row>
    <row r="37" spans="1:10">
      <c r="A37" s="441">
        <f>16*2</f>
        <v>32</v>
      </c>
      <c r="B37" s="17" t="s">
        <v>619</v>
      </c>
      <c r="E37" s="17" t="s">
        <v>591</v>
      </c>
      <c r="F37" s="403">
        <f t="shared" si="10"/>
        <v>55</v>
      </c>
      <c r="H37" s="403">
        <f t="shared" si="4"/>
        <v>55</v>
      </c>
      <c r="I37" s="403">
        <f t="shared" si="11"/>
        <v>1760</v>
      </c>
      <c r="J37" s="17" t="s">
        <v>1981</v>
      </c>
    </row>
    <row r="38" spans="1:10">
      <c r="A38" s="441">
        <v>4</v>
      </c>
      <c r="B38" s="17" t="s">
        <v>619</v>
      </c>
      <c r="E38" s="17" t="s">
        <v>1428</v>
      </c>
      <c r="F38" s="403">
        <f t="shared" si="10"/>
        <v>55</v>
      </c>
      <c r="H38" s="403">
        <f t="shared" si="4"/>
        <v>55</v>
      </c>
      <c r="I38" s="403">
        <f t="shared" si="11"/>
        <v>220</v>
      </c>
    </row>
    <row r="39" spans="1:10">
      <c r="A39" s="441">
        <v>4</v>
      </c>
      <c r="B39" s="17" t="s">
        <v>619</v>
      </c>
      <c r="E39" s="17" t="s">
        <v>1429</v>
      </c>
      <c r="F39" s="403">
        <f t="shared" si="10"/>
        <v>55</v>
      </c>
      <c r="H39" s="403">
        <f t="shared" si="4"/>
        <v>55</v>
      </c>
      <c r="I39" s="403">
        <f t="shared" si="11"/>
        <v>220</v>
      </c>
    </row>
    <row r="40" spans="1:10">
      <c r="A40" s="441">
        <v>2</v>
      </c>
      <c r="B40" s="17" t="s">
        <v>619</v>
      </c>
      <c r="E40" s="17" t="s">
        <v>605</v>
      </c>
      <c r="F40" s="403">
        <f t="shared" si="10"/>
        <v>55</v>
      </c>
      <c r="H40" s="403">
        <f t="shared" si="4"/>
        <v>55</v>
      </c>
      <c r="I40" s="403">
        <f t="shared" si="11"/>
        <v>110</v>
      </c>
    </row>
    <row r="41" spans="1:10">
      <c r="A41" s="441">
        <v>2</v>
      </c>
      <c r="B41" s="17" t="s">
        <v>619</v>
      </c>
      <c r="E41" s="17" t="s">
        <v>607</v>
      </c>
      <c r="F41" s="403">
        <f t="shared" si="10"/>
        <v>55</v>
      </c>
      <c r="H41" s="403">
        <f t="shared" si="4"/>
        <v>55</v>
      </c>
      <c r="I41" s="403">
        <f t="shared" si="11"/>
        <v>110</v>
      </c>
    </row>
    <row r="42" spans="1:10">
      <c r="A42" s="441">
        <v>0.5</v>
      </c>
      <c r="B42" s="17" t="s">
        <v>619</v>
      </c>
      <c r="E42" s="17" t="s">
        <v>609</v>
      </c>
      <c r="F42" s="403">
        <f t="shared" si="10"/>
        <v>55</v>
      </c>
      <c r="H42" s="403">
        <f t="shared" si="4"/>
        <v>55</v>
      </c>
      <c r="I42" s="403">
        <f t="shared" si="11"/>
        <v>27.5</v>
      </c>
    </row>
    <row r="43" spans="1:10">
      <c r="A43" s="441">
        <v>4</v>
      </c>
      <c r="B43" s="17" t="s">
        <v>619</v>
      </c>
      <c r="E43" s="17" t="s">
        <v>1997</v>
      </c>
      <c r="F43" s="403">
        <f t="shared" si="10"/>
        <v>55</v>
      </c>
      <c r="H43" s="403">
        <f t="shared" si="4"/>
        <v>55</v>
      </c>
      <c r="I43" s="403">
        <f t="shared" si="11"/>
        <v>220</v>
      </c>
    </row>
    <row r="44" spans="1:10">
      <c r="A44" s="441">
        <v>0.5</v>
      </c>
      <c r="B44" s="17" t="s">
        <v>619</v>
      </c>
      <c r="E44" s="17" t="s">
        <v>611</v>
      </c>
      <c r="F44" s="403">
        <f t="shared" si="10"/>
        <v>55</v>
      </c>
      <c r="H44" s="403">
        <f t="shared" si="4"/>
        <v>55</v>
      </c>
      <c r="I44" s="403">
        <f t="shared" si="11"/>
        <v>27.5</v>
      </c>
    </row>
    <row r="45" spans="1:10">
      <c r="A45" s="441">
        <v>1</v>
      </c>
      <c r="B45" s="17" t="s">
        <v>619</v>
      </c>
      <c r="E45" s="17" t="s">
        <v>1431</v>
      </c>
      <c r="F45" s="403">
        <f t="shared" si="10"/>
        <v>55</v>
      </c>
      <c r="H45" s="403">
        <f t="shared" si="4"/>
        <v>55</v>
      </c>
      <c r="I45" s="403">
        <f t="shared" si="11"/>
        <v>55</v>
      </c>
    </row>
    <row r="46" spans="1:10">
      <c r="A46" s="441">
        <v>3</v>
      </c>
      <c r="B46" s="17" t="s">
        <v>619</v>
      </c>
      <c r="E46" s="17" t="s">
        <v>612</v>
      </c>
      <c r="F46" s="403">
        <f t="shared" si="10"/>
        <v>55</v>
      </c>
      <c r="H46" s="403">
        <f t="shared" si="4"/>
        <v>55</v>
      </c>
      <c r="I46" s="403">
        <f t="shared" si="11"/>
        <v>165</v>
      </c>
    </row>
    <row r="47" spans="1:10">
      <c r="A47" s="441">
        <v>8</v>
      </c>
      <c r="B47" s="17" t="s">
        <v>619</v>
      </c>
      <c r="E47" s="17" t="s">
        <v>614</v>
      </c>
      <c r="F47" s="403">
        <f t="shared" si="10"/>
        <v>55</v>
      </c>
      <c r="H47" s="403">
        <f t="shared" si="4"/>
        <v>55</v>
      </c>
      <c r="I47" s="403">
        <f t="shared" si="11"/>
        <v>440</v>
      </c>
    </row>
    <row r="48" spans="1:10">
      <c r="A48" s="441">
        <v>4</v>
      </c>
      <c r="B48" s="17" t="s">
        <v>619</v>
      </c>
      <c r="E48" s="17" t="s">
        <v>616</v>
      </c>
      <c r="F48" s="403">
        <f t="shared" si="10"/>
        <v>55</v>
      </c>
      <c r="H48" s="403">
        <f t="shared" si="4"/>
        <v>55</v>
      </c>
      <c r="I48" s="403">
        <f t="shared" si="11"/>
        <v>220</v>
      </c>
    </row>
    <row r="50" spans="1:17">
      <c r="A50" s="17">
        <f>SUM(A34:A49)</f>
        <v>93</v>
      </c>
      <c r="B50" s="17" t="s">
        <v>619</v>
      </c>
      <c r="E50" s="17" t="s">
        <v>620</v>
      </c>
    </row>
    <row r="51" spans="1:17">
      <c r="A51" s="441">
        <v>3</v>
      </c>
      <c r="B51" s="17" t="s">
        <v>517</v>
      </c>
      <c r="E51" s="17" t="s">
        <v>621</v>
      </c>
    </row>
    <row r="52" spans="1:17">
      <c r="A52" s="17">
        <v>1</v>
      </c>
      <c r="B52" s="17" t="s">
        <v>517</v>
      </c>
      <c r="E52" s="17" t="s">
        <v>622</v>
      </c>
      <c r="F52" s="445">
        <v>55</v>
      </c>
      <c r="H52" s="403">
        <f t="shared" si="4"/>
        <v>55</v>
      </c>
      <c r="I52" s="403">
        <f t="shared" si="11"/>
        <v>55</v>
      </c>
      <c r="J52" s="17" t="s">
        <v>623</v>
      </c>
    </row>
    <row r="53" spans="1:17">
      <c r="A53" s="17">
        <f>ROUNDUP(A50/8/A51,0)</f>
        <v>4</v>
      </c>
      <c r="B53" s="17" t="s">
        <v>624</v>
      </c>
      <c r="E53" s="17" t="s">
        <v>625</v>
      </c>
      <c r="F53" s="403">
        <f>A51*8*F52</f>
        <v>1320</v>
      </c>
      <c r="H53" s="403">
        <f t="shared" si="4"/>
        <v>1320</v>
      </c>
      <c r="I53" s="403">
        <f t="shared" si="11"/>
        <v>5280</v>
      </c>
    </row>
    <row r="54" spans="1:17">
      <c r="A54" s="441">
        <v>1</v>
      </c>
      <c r="B54" s="17" t="s">
        <v>517</v>
      </c>
      <c r="E54" s="17" t="s">
        <v>626</v>
      </c>
      <c r="F54" s="447"/>
      <c r="H54" s="403">
        <f t="shared" si="4"/>
        <v>0</v>
      </c>
      <c r="I54" s="403">
        <f t="shared" si="11"/>
        <v>0</v>
      </c>
    </row>
    <row r="55" spans="1:17">
      <c r="A55" s="441"/>
      <c r="F55" s="447"/>
      <c r="H55" s="403"/>
      <c r="I55" s="403"/>
    </row>
    <row r="56" spans="1:17">
      <c r="A56" s="441"/>
      <c r="F56" s="447"/>
      <c r="H56" s="403"/>
      <c r="I56" s="403"/>
    </row>
    <row r="57" spans="1:17" ht="15.75">
      <c r="E57" s="439" t="s">
        <v>628</v>
      </c>
      <c r="I57" s="443">
        <f>SUM(I53:I56)</f>
        <v>5280</v>
      </c>
      <c r="P57" s="165">
        <f>I57</f>
        <v>5280</v>
      </c>
    </row>
    <row r="60" spans="1:17">
      <c r="E60" s="449" t="s">
        <v>630</v>
      </c>
    </row>
    <row r="61" spans="1:17">
      <c r="A61" s="441">
        <v>1</v>
      </c>
      <c r="B61" s="17" t="s">
        <v>517</v>
      </c>
      <c r="E61" s="17" t="s">
        <v>668</v>
      </c>
      <c r="F61" s="445">
        <f>1796*0.6</f>
        <v>1077.5999999999999</v>
      </c>
      <c r="H61" s="403">
        <f t="shared" si="4"/>
        <v>1077.5999999999999</v>
      </c>
      <c r="I61" s="403">
        <f t="shared" ref="I61:I63" si="12">A61*H61</f>
        <v>1077.5999999999999</v>
      </c>
      <c r="J61" s="17" t="s">
        <v>1460</v>
      </c>
    </row>
    <row r="62" spans="1:17">
      <c r="A62" s="441">
        <v>0</v>
      </c>
      <c r="B62" s="17" t="s">
        <v>539</v>
      </c>
      <c r="E62" s="17" t="s">
        <v>1461</v>
      </c>
      <c r="F62" s="445">
        <v>80</v>
      </c>
      <c r="H62" s="403">
        <f t="shared" si="4"/>
        <v>80</v>
      </c>
      <c r="I62" s="403">
        <f t="shared" si="12"/>
        <v>0</v>
      </c>
    </row>
    <row r="63" spans="1:17">
      <c r="A63" s="441">
        <v>0</v>
      </c>
      <c r="B63" s="17" t="s">
        <v>517</v>
      </c>
      <c r="E63" s="17" t="s">
        <v>1463</v>
      </c>
      <c r="F63" s="445">
        <v>2493</v>
      </c>
      <c r="H63" s="403">
        <f t="shared" si="4"/>
        <v>2493</v>
      </c>
      <c r="I63" s="403">
        <f t="shared" si="12"/>
        <v>0</v>
      </c>
    </row>
    <row r="64" spans="1:17" ht="15.75">
      <c r="E64" s="439" t="s">
        <v>676</v>
      </c>
      <c r="I64" s="443">
        <f>SUM(I61:I63)</f>
        <v>1077.5999999999999</v>
      </c>
      <c r="Q64" s="165">
        <f>I64</f>
        <v>1077.5999999999999</v>
      </c>
    </row>
    <row r="66" spans="1:10" ht="13.75" customHeight="1">
      <c r="A66" s="986" t="s">
        <v>100</v>
      </c>
      <c r="B66" s="986"/>
      <c r="C66" s="986"/>
      <c r="D66" s="986"/>
      <c r="E66" s="986"/>
    </row>
    <row r="75" spans="1:10" ht="15.05" customHeight="1">
      <c r="A75" s="1002" t="s">
        <v>90</v>
      </c>
      <c r="B75" s="1002"/>
      <c r="C75" s="1002"/>
      <c r="D75" s="1002"/>
      <c r="E75" s="1002"/>
    </row>
    <row r="77" spans="1:10" ht="13.75">
      <c r="A77" s="17">
        <v>1</v>
      </c>
      <c r="B77" s="17" t="s">
        <v>517</v>
      </c>
      <c r="E77" s="17" t="s">
        <v>1464</v>
      </c>
      <c r="F77" s="403">
        <v>860</v>
      </c>
      <c r="H77" s="403">
        <f t="shared" ref="H77:H88" si="13">F77*(1-G77)</f>
        <v>860</v>
      </c>
      <c r="I77" s="403">
        <f t="shared" ref="I77:I81" si="14">A77*H77</f>
        <v>860</v>
      </c>
      <c r="J77" s="494" t="s">
        <v>1465</v>
      </c>
    </row>
    <row r="78" spans="1:10">
      <c r="A78" s="17">
        <v>0</v>
      </c>
      <c r="B78" s="17" t="s">
        <v>517</v>
      </c>
      <c r="E78" s="17" t="s">
        <v>707</v>
      </c>
      <c r="F78" s="403">
        <v>1500</v>
      </c>
      <c r="H78" s="403">
        <f t="shared" si="13"/>
        <v>1500</v>
      </c>
      <c r="I78" s="403">
        <f t="shared" si="14"/>
        <v>0</v>
      </c>
      <c r="J78" s="17" t="s">
        <v>1998</v>
      </c>
    </row>
    <row r="79" spans="1:10" ht="55.65">
      <c r="A79" s="17">
        <v>0</v>
      </c>
      <c r="B79" s="17" t="s">
        <v>517</v>
      </c>
      <c r="C79" s="204" t="s">
        <v>708</v>
      </c>
      <c r="E79" s="204" t="s">
        <v>709</v>
      </c>
      <c r="F79" s="403">
        <v>460</v>
      </c>
      <c r="H79" s="403">
        <f t="shared" si="13"/>
        <v>460</v>
      </c>
      <c r="I79" s="403">
        <f t="shared" si="14"/>
        <v>0</v>
      </c>
    </row>
    <row r="80" spans="1:10" ht="55.65">
      <c r="A80" s="17">
        <v>1</v>
      </c>
      <c r="B80" s="17" t="s">
        <v>517</v>
      </c>
      <c r="C80" s="204" t="s">
        <v>711</v>
      </c>
      <c r="E80" s="204" t="s">
        <v>712</v>
      </c>
      <c r="F80" s="403">
        <v>320</v>
      </c>
      <c r="H80" s="403">
        <f t="shared" si="13"/>
        <v>320</v>
      </c>
      <c r="I80" s="403">
        <f t="shared" si="14"/>
        <v>320</v>
      </c>
    </row>
    <row r="81" spans="1:10" ht="55.65">
      <c r="A81" s="17">
        <v>0</v>
      </c>
      <c r="B81" s="17" t="s">
        <v>517</v>
      </c>
      <c r="C81" s="17" t="s">
        <v>713</v>
      </c>
      <c r="D81" s="17" t="s">
        <v>714</v>
      </c>
      <c r="E81" s="204" t="s">
        <v>715</v>
      </c>
      <c r="F81" s="403">
        <v>2725</v>
      </c>
      <c r="H81" s="403">
        <f t="shared" si="13"/>
        <v>2725</v>
      </c>
      <c r="I81" s="403">
        <f t="shared" si="14"/>
        <v>0</v>
      </c>
    </row>
    <row r="83" spans="1:10" ht="15.75">
      <c r="E83" s="439" t="s">
        <v>729</v>
      </c>
      <c r="I83" s="168">
        <f>SUM(I75:I82)</f>
        <v>1180</v>
      </c>
    </row>
    <row r="85" spans="1:10" ht="13.75" customHeight="1">
      <c r="A85" s="997" t="s">
        <v>68</v>
      </c>
      <c r="B85" s="997"/>
      <c r="C85" s="997"/>
      <c r="D85" s="997"/>
      <c r="E85" s="997"/>
    </row>
    <row r="86" spans="1:10">
      <c r="A86" s="17">
        <v>1</v>
      </c>
      <c r="B86" s="17" t="s">
        <v>517</v>
      </c>
      <c r="E86" s="17" t="s">
        <v>730</v>
      </c>
      <c r="F86" s="403">
        <v>400</v>
      </c>
      <c r="H86" s="403">
        <f t="shared" si="13"/>
        <v>400</v>
      </c>
      <c r="I86" s="403">
        <f t="shared" ref="I86:I88" si="15">A86*H86</f>
        <v>400</v>
      </c>
      <c r="J86" s="17" t="s">
        <v>696</v>
      </c>
    </row>
    <row r="87" spans="1:10" ht="55.65">
      <c r="A87" s="17">
        <v>0</v>
      </c>
      <c r="B87" s="17" t="s">
        <v>517</v>
      </c>
      <c r="C87" s="204" t="s">
        <v>708</v>
      </c>
      <c r="E87" s="204" t="s">
        <v>731</v>
      </c>
      <c r="F87" s="403">
        <f>460/2</f>
        <v>230</v>
      </c>
      <c r="H87" s="403">
        <f t="shared" si="13"/>
        <v>230</v>
      </c>
      <c r="I87" s="403">
        <f t="shared" si="15"/>
        <v>0</v>
      </c>
    </row>
    <row r="88" spans="1:10" ht="55.65">
      <c r="A88" s="17">
        <v>1</v>
      </c>
      <c r="B88" s="17" t="s">
        <v>517</v>
      </c>
      <c r="C88" s="204" t="s">
        <v>711</v>
      </c>
      <c r="E88" s="204" t="s">
        <v>732</v>
      </c>
      <c r="F88" s="403">
        <f>320/2</f>
        <v>160</v>
      </c>
      <c r="H88" s="403">
        <f t="shared" si="13"/>
        <v>160</v>
      </c>
      <c r="I88" s="403">
        <f t="shared" si="15"/>
        <v>160</v>
      </c>
    </row>
    <row r="90" spans="1:10" ht="15.75">
      <c r="E90" s="439" t="s">
        <v>733</v>
      </c>
      <c r="I90" s="168">
        <f>SUM(I85:I89)</f>
        <v>560</v>
      </c>
    </row>
  </sheetData>
  <mergeCells count="6">
    <mergeCell ref="A85:E85"/>
    <mergeCell ref="B1:F1"/>
    <mergeCell ref="A2:G2"/>
    <mergeCell ref="J19:L19"/>
    <mergeCell ref="A66:E66"/>
    <mergeCell ref="A75:E7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1"/>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2.42578125" style="204" customWidth="1"/>
    <col min="4" max="4" width="17.85546875" style="17" customWidth="1"/>
    <col min="5" max="5" width="39" style="17" customWidth="1"/>
    <col min="6" max="6" width="10.140625" style="403"/>
    <col min="7" max="7" width="10.140625" style="404"/>
    <col min="8" max="9" width="10.140625" style="17"/>
    <col min="10" max="10" width="20.140625" style="17" customWidth="1"/>
    <col min="11" max="64" width="10.140625" style="17"/>
  </cols>
  <sheetData>
    <row r="1" spans="1:19" ht="15.05">
      <c r="B1" s="1058" t="s">
        <v>1999</v>
      </c>
      <c r="C1" s="1058"/>
      <c r="D1" s="1058"/>
      <c r="E1" s="1058"/>
      <c r="F1" s="1058"/>
      <c r="H1" s="405" t="s">
        <v>493</v>
      </c>
      <c r="I1" s="406">
        <v>310</v>
      </c>
      <c r="J1" s="17" t="s">
        <v>494</v>
      </c>
      <c r="K1" s="17" t="s">
        <v>495</v>
      </c>
      <c r="L1" s="58">
        <f>A4*I1</f>
        <v>33480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23">
        <v>108</v>
      </c>
      <c r="B4" s="423" t="s">
        <v>522</v>
      </c>
      <c r="C4" s="424" t="s">
        <v>817</v>
      </c>
      <c r="D4" s="423" t="s">
        <v>1066</v>
      </c>
      <c r="E4" s="424" t="s">
        <v>1067</v>
      </c>
      <c r="F4" s="421">
        <v>91.74</v>
      </c>
      <c r="G4" s="410"/>
      <c r="H4" s="409">
        <f t="shared" ref="H4:H9" si="0">F4*(1-G4)</f>
        <v>91.74</v>
      </c>
      <c r="I4" s="409">
        <f t="shared" ref="I4:I9" si="1">A4*H4</f>
        <v>9907.92</v>
      </c>
      <c r="J4" s="204"/>
      <c r="K4" s="403"/>
      <c r="L4" s="404"/>
      <c r="M4" s="418">
        <f t="shared" ref="M4:M5" si="2">I4</f>
        <v>9907.92</v>
      </c>
      <c r="N4" s="437"/>
      <c r="O4" s="437"/>
      <c r="P4" s="437"/>
      <c r="Q4" s="437"/>
      <c r="R4" s="437"/>
      <c r="S4" s="437"/>
    </row>
    <row r="5" spans="1:19" ht="44.55">
      <c r="A5" s="423">
        <v>1</v>
      </c>
      <c r="B5" s="487" t="s">
        <v>522</v>
      </c>
      <c r="C5" s="424" t="s">
        <v>1011</v>
      </c>
      <c r="D5" s="487" t="s">
        <v>556</v>
      </c>
      <c r="E5" s="424" t="s">
        <v>1014</v>
      </c>
      <c r="F5" s="425">
        <f>2623.01*A4/109</f>
        <v>2598.9456880733946</v>
      </c>
      <c r="G5" s="428"/>
      <c r="H5" s="430">
        <f t="shared" si="0"/>
        <v>2598.9456880733946</v>
      </c>
      <c r="I5" s="430">
        <f t="shared" si="1"/>
        <v>2598.9456880733946</v>
      </c>
      <c r="J5" s="722" t="s">
        <v>1886</v>
      </c>
      <c r="K5" s="728"/>
      <c r="L5" s="728"/>
      <c r="M5" s="418">
        <f t="shared" si="2"/>
        <v>2598.9456880733946</v>
      </c>
      <c r="N5" s="437"/>
      <c r="O5" s="437"/>
      <c r="P5" s="437"/>
      <c r="Q5" s="437"/>
      <c r="R5" s="437"/>
      <c r="S5" s="437"/>
    </row>
    <row r="6" spans="1:19" ht="22.25">
      <c r="A6" s="487">
        <v>2</v>
      </c>
      <c r="B6" s="487" t="s">
        <v>522</v>
      </c>
      <c r="C6" s="424" t="s">
        <v>531</v>
      </c>
      <c r="D6" s="487"/>
      <c r="E6" s="424" t="s">
        <v>1120</v>
      </c>
      <c r="F6" s="430">
        <v>500</v>
      </c>
      <c r="G6" s="428"/>
      <c r="H6" s="430">
        <f t="shared" si="0"/>
        <v>500</v>
      </c>
      <c r="I6" s="430">
        <f t="shared" si="1"/>
        <v>1000</v>
      </c>
      <c r="J6" s="719"/>
      <c r="K6" s="728"/>
      <c r="L6" s="728"/>
      <c r="M6" s="437"/>
      <c r="N6" s="437"/>
      <c r="O6" s="437"/>
      <c r="P6" s="437"/>
      <c r="Q6" s="437"/>
      <c r="R6" s="418">
        <f t="shared" ref="R6:R9" si="3">I6</f>
        <v>1000</v>
      </c>
      <c r="S6" s="437"/>
    </row>
    <row r="7" spans="1:19" ht="80.7" customHeight="1">
      <c r="A7" s="423">
        <v>2</v>
      </c>
      <c r="B7" s="423" t="s">
        <v>522</v>
      </c>
      <c r="C7" s="420" t="s">
        <v>987</v>
      </c>
      <c r="D7" s="413" t="s">
        <v>995</v>
      </c>
      <c r="E7" s="420" t="s">
        <v>996</v>
      </c>
      <c r="F7" s="421">
        <v>227.78</v>
      </c>
      <c r="G7" s="428"/>
      <c r="H7" s="430">
        <f t="shared" si="0"/>
        <v>227.78</v>
      </c>
      <c r="I7" s="430">
        <f t="shared" si="1"/>
        <v>455.56</v>
      </c>
      <c r="J7" s="719"/>
      <c r="K7" s="728"/>
      <c r="L7" s="728"/>
      <c r="M7" s="437"/>
      <c r="N7" s="437"/>
      <c r="O7" s="437"/>
      <c r="P7" s="437"/>
      <c r="Q7" s="437"/>
      <c r="R7" s="418">
        <f t="shared" si="3"/>
        <v>455.56</v>
      </c>
      <c r="S7" s="437"/>
    </row>
    <row r="8" spans="1:19">
      <c r="A8" s="487"/>
      <c r="B8" s="487"/>
      <c r="C8" s="492"/>
      <c r="D8" s="487"/>
      <c r="E8" s="487"/>
      <c r="F8" s="430"/>
      <c r="G8" s="428"/>
      <c r="H8" s="430">
        <f t="shared" si="0"/>
        <v>0</v>
      </c>
      <c r="I8" s="430">
        <f t="shared" si="1"/>
        <v>0</v>
      </c>
      <c r="J8" s="719"/>
      <c r="K8" s="728"/>
      <c r="L8" s="728"/>
      <c r="M8" s="437"/>
      <c r="N8" s="437"/>
      <c r="O8" s="437"/>
      <c r="P8" s="437"/>
      <c r="Q8" s="437"/>
      <c r="R8" s="418">
        <f t="shared" si="3"/>
        <v>0</v>
      </c>
      <c r="S8" s="437"/>
    </row>
    <row r="9" spans="1:19" ht="22.25">
      <c r="A9" s="423">
        <v>2</v>
      </c>
      <c r="B9" s="423" t="s">
        <v>522</v>
      </c>
      <c r="C9" s="424" t="s">
        <v>531</v>
      </c>
      <c r="D9" s="423"/>
      <c r="E9" s="424" t="s">
        <v>1102</v>
      </c>
      <c r="F9" s="425">
        <v>250</v>
      </c>
      <c r="G9" s="428"/>
      <c r="H9" s="430">
        <f t="shared" si="0"/>
        <v>250</v>
      </c>
      <c r="I9" s="430">
        <f t="shared" si="1"/>
        <v>500</v>
      </c>
      <c r="J9" s="719"/>
      <c r="K9" s="728"/>
      <c r="L9" s="728"/>
      <c r="M9" s="437"/>
      <c r="N9" s="437"/>
      <c r="O9" s="437"/>
      <c r="P9" s="437"/>
      <c r="Q9" s="437"/>
      <c r="R9" s="418">
        <f t="shared" si="3"/>
        <v>500</v>
      </c>
      <c r="S9" s="437"/>
    </row>
    <row r="10" spans="1:19">
      <c r="A10" s="487"/>
      <c r="B10" s="487"/>
      <c r="C10" s="492"/>
      <c r="D10" s="487"/>
      <c r="E10" s="492"/>
      <c r="F10" s="430"/>
      <c r="G10" s="428"/>
      <c r="H10" s="430">
        <f t="shared" ref="H10:H67" si="4">F10*(1-G10)</f>
        <v>0</v>
      </c>
      <c r="I10" s="430">
        <f t="shared" ref="I10:I27" si="5">A10*H10</f>
        <v>0</v>
      </c>
      <c r="J10" s="719"/>
      <c r="K10" s="728"/>
      <c r="L10" s="728"/>
      <c r="M10" s="437"/>
      <c r="N10" s="437"/>
      <c r="O10" s="437"/>
      <c r="P10" s="437"/>
      <c r="Q10" s="437"/>
      <c r="R10" s="418">
        <f>I10</f>
        <v>0</v>
      </c>
      <c r="S10" s="437"/>
    </row>
    <row r="11" spans="1:19" ht="33.4">
      <c r="A11" s="407">
        <v>100</v>
      </c>
      <c r="B11" s="407" t="s">
        <v>539</v>
      </c>
      <c r="C11" s="408" t="s">
        <v>987</v>
      </c>
      <c r="D11" s="407" t="s">
        <v>541</v>
      </c>
      <c r="E11" s="408" t="s">
        <v>542</v>
      </c>
      <c r="F11" s="409">
        <f t="shared" ref="F11:F12" si="6">328.33/500</f>
        <v>0.65666000000000002</v>
      </c>
      <c r="G11" s="428"/>
      <c r="H11" s="430">
        <f t="shared" si="4"/>
        <v>0.65666000000000002</v>
      </c>
      <c r="I11" s="430">
        <f t="shared" si="5"/>
        <v>65.665999999999997</v>
      </c>
      <c r="J11" s="719" t="s">
        <v>1877</v>
      </c>
      <c r="K11" s="728"/>
      <c r="L11" s="728"/>
      <c r="M11" s="437"/>
      <c r="N11" s="437"/>
      <c r="O11" s="418">
        <f t="shared" ref="O11:O23" si="7">I11</f>
        <v>65.665999999999997</v>
      </c>
      <c r="P11" s="418"/>
      <c r="Q11" s="418"/>
      <c r="R11" s="437"/>
      <c r="S11" s="437"/>
    </row>
    <row r="12" spans="1:19" ht="33.4">
      <c r="A12" s="407">
        <v>200</v>
      </c>
      <c r="B12" s="407" t="s">
        <v>539</v>
      </c>
      <c r="C12" s="408" t="s">
        <v>987</v>
      </c>
      <c r="D12" s="407" t="s">
        <v>543</v>
      </c>
      <c r="E12" s="408" t="s">
        <v>544</v>
      </c>
      <c r="F12" s="409">
        <f t="shared" si="6"/>
        <v>0.65666000000000002</v>
      </c>
      <c r="G12" s="428"/>
      <c r="H12" s="430">
        <f t="shared" si="4"/>
        <v>0.65666000000000002</v>
      </c>
      <c r="I12" s="430">
        <f t="shared" si="5"/>
        <v>131.33199999999999</v>
      </c>
      <c r="J12" s="719" t="s">
        <v>1877</v>
      </c>
      <c r="K12" s="728"/>
      <c r="L12" s="728"/>
      <c r="M12" s="437"/>
      <c r="N12" s="437"/>
      <c r="O12" s="418">
        <f t="shared" si="7"/>
        <v>131.33199999999999</v>
      </c>
      <c r="P12" s="418"/>
      <c r="Q12" s="418"/>
      <c r="R12" s="437"/>
      <c r="S12" s="437"/>
    </row>
    <row r="13" spans="1:19" ht="22.25">
      <c r="A13" s="423">
        <v>20</v>
      </c>
      <c r="B13" s="423" t="s">
        <v>522</v>
      </c>
      <c r="C13" s="424" t="s">
        <v>1074</v>
      </c>
      <c r="D13" s="423"/>
      <c r="E13" s="424" t="s">
        <v>1079</v>
      </c>
      <c r="F13" s="425">
        <v>1.3</v>
      </c>
      <c r="G13" s="428"/>
      <c r="H13" s="430">
        <f t="shared" si="4"/>
        <v>1.3</v>
      </c>
      <c r="I13" s="430">
        <f t="shared" si="5"/>
        <v>26</v>
      </c>
      <c r="J13" s="719"/>
      <c r="K13" s="728"/>
      <c r="L13" s="728"/>
      <c r="M13" s="437"/>
      <c r="N13" s="437"/>
      <c r="O13" s="418">
        <f t="shared" si="7"/>
        <v>26</v>
      </c>
      <c r="P13" s="437"/>
      <c r="Q13" s="437"/>
      <c r="R13" s="418"/>
      <c r="S13" s="437"/>
    </row>
    <row r="14" spans="1:19" ht="22.25">
      <c r="A14" s="423">
        <v>20</v>
      </c>
      <c r="B14" s="423" t="s">
        <v>522</v>
      </c>
      <c r="C14" s="424" t="s">
        <v>1074</v>
      </c>
      <c r="D14" s="423"/>
      <c r="E14" s="424" t="s">
        <v>1080</v>
      </c>
      <c r="F14" s="425">
        <v>0.98</v>
      </c>
      <c r="G14" s="428"/>
      <c r="H14" s="430">
        <f t="shared" si="4"/>
        <v>0.98</v>
      </c>
      <c r="I14" s="430">
        <f t="shared" si="5"/>
        <v>19.600000000000001</v>
      </c>
      <c r="J14" s="719"/>
      <c r="K14" s="728"/>
      <c r="L14" s="728"/>
      <c r="M14" s="437"/>
      <c r="N14" s="437"/>
      <c r="O14" s="418">
        <f t="shared" si="7"/>
        <v>19.600000000000001</v>
      </c>
      <c r="P14" s="437"/>
      <c r="Q14" s="437"/>
      <c r="R14" s="418"/>
      <c r="S14" s="437"/>
    </row>
    <row r="15" spans="1:19">
      <c r="A15" s="487"/>
      <c r="B15" s="487"/>
      <c r="C15" s="492"/>
      <c r="D15" s="487"/>
      <c r="E15" s="492"/>
      <c r="F15" s="430"/>
      <c r="G15" s="428"/>
      <c r="H15" s="430">
        <f t="shared" si="4"/>
        <v>0</v>
      </c>
      <c r="I15" s="430">
        <f t="shared" si="5"/>
        <v>0</v>
      </c>
      <c r="J15" s="719"/>
      <c r="K15" s="728"/>
      <c r="L15" s="728"/>
      <c r="M15" s="437"/>
      <c r="N15" s="418">
        <f t="shared" ref="N15:N17" si="8">I15</f>
        <v>0</v>
      </c>
      <c r="O15" s="437"/>
      <c r="P15" s="437"/>
      <c r="Q15" s="437"/>
      <c r="R15" s="437"/>
      <c r="S15" s="437"/>
    </row>
    <row r="16" spans="1:19" ht="44.55">
      <c r="A16" s="423">
        <v>2</v>
      </c>
      <c r="B16" s="423" t="s">
        <v>522</v>
      </c>
      <c r="C16" s="424" t="s">
        <v>987</v>
      </c>
      <c r="D16" s="423" t="s">
        <v>988</v>
      </c>
      <c r="E16" s="424" t="s">
        <v>989</v>
      </c>
      <c r="F16" s="425">
        <v>1961.49</v>
      </c>
      <c r="G16" s="428"/>
      <c r="H16" s="430">
        <f t="shared" si="4"/>
        <v>1961.49</v>
      </c>
      <c r="I16" s="430">
        <f t="shared" si="5"/>
        <v>3922.98</v>
      </c>
      <c r="J16" s="719"/>
      <c r="K16" s="728"/>
      <c r="L16" s="728"/>
      <c r="M16" s="437"/>
      <c r="N16" s="418">
        <f t="shared" si="8"/>
        <v>3922.98</v>
      </c>
      <c r="O16" s="437"/>
      <c r="P16" s="437"/>
      <c r="Q16" s="437"/>
      <c r="R16" s="437"/>
      <c r="S16" s="437"/>
    </row>
    <row r="17" spans="1:19" ht="44.55">
      <c r="A17" s="423">
        <v>2</v>
      </c>
      <c r="B17" s="423" t="s">
        <v>522</v>
      </c>
      <c r="C17" s="424" t="s">
        <v>987</v>
      </c>
      <c r="D17" s="423" t="s">
        <v>990</v>
      </c>
      <c r="E17" s="424" t="s">
        <v>991</v>
      </c>
      <c r="F17" s="425">
        <v>33.43</v>
      </c>
      <c r="G17" s="428"/>
      <c r="H17" s="430">
        <f t="shared" si="4"/>
        <v>33.43</v>
      </c>
      <c r="I17" s="430">
        <f t="shared" si="5"/>
        <v>66.86</v>
      </c>
      <c r="J17" s="719"/>
      <c r="K17" s="728"/>
      <c r="L17" s="728"/>
      <c r="M17" s="437"/>
      <c r="N17" s="418">
        <f t="shared" si="8"/>
        <v>66.86</v>
      </c>
      <c r="O17" s="437"/>
      <c r="P17" s="437"/>
      <c r="Q17" s="437"/>
      <c r="R17" s="437"/>
      <c r="S17" s="437"/>
    </row>
    <row r="18" spans="1:19" ht="44.55">
      <c r="A18" s="423">
        <v>8</v>
      </c>
      <c r="B18" s="423" t="s">
        <v>522</v>
      </c>
      <c r="C18" s="424" t="s">
        <v>987</v>
      </c>
      <c r="D18" s="423" t="s">
        <v>761</v>
      </c>
      <c r="E18" s="424" t="s">
        <v>762</v>
      </c>
      <c r="F18" s="425">
        <v>2.5</v>
      </c>
      <c r="G18" s="428"/>
      <c r="H18" s="430">
        <f t="shared" si="4"/>
        <v>2.5</v>
      </c>
      <c r="I18" s="430">
        <f t="shared" si="5"/>
        <v>20</v>
      </c>
      <c r="J18" s="719"/>
      <c r="K18" s="728"/>
      <c r="L18" s="728"/>
      <c r="M18" s="437"/>
      <c r="N18" s="437"/>
      <c r="O18" s="437"/>
      <c r="P18" s="437"/>
      <c r="Q18" s="437"/>
      <c r="R18" s="418">
        <f t="shared" ref="R18:R19" si="9">I18</f>
        <v>20</v>
      </c>
      <c r="S18" s="437"/>
    </row>
    <row r="19" spans="1:19" ht="33.4">
      <c r="A19" s="423">
        <v>2</v>
      </c>
      <c r="B19" s="423" t="s">
        <v>522</v>
      </c>
      <c r="C19" s="424" t="s">
        <v>1479</v>
      </c>
      <c r="D19" s="423"/>
      <c r="E19" s="424" t="s">
        <v>803</v>
      </c>
      <c r="F19" s="425">
        <v>564.44000000000005</v>
      </c>
      <c r="G19" s="428"/>
      <c r="H19" s="430">
        <f t="shared" si="4"/>
        <v>564.44000000000005</v>
      </c>
      <c r="I19" s="430">
        <f t="shared" si="5"/>
        <v>1128.8800000000001</v>
      </c>
      <c r="J19" s="1080"/>
      <c r="K19" s="1080"/>
      <c r="L19" s="1080"/>
      <c r="M19" s="437"/>
      <c r="N19" s="437"/>
      <c r="O19" s="437"/>
      <c r="P19" s="437"/>
      <c r="Q19" s="437"/>
      <c r="R19" s="418">
        <f t="shared" si="9"/>
        <v>1128.8800000000001</v>
      </c>
      <c r="S19" s="437"/>
    </row>
    <row r="20" spans="1:19" ht="22.25">
      <c r="A20" s="413">
        <v>1</v>
      </c>
      <c r="B20" s="413" t="s">
        <v>522</v>
      </c>
      <c r="C20" s="420"/>
      <c r="D20" s="413"/>
      <c r="E20" s="420" t="s">
        <v>695</v>
      </c>
      <c r="F20" s="421">
        <v>100</v>
      </c>
      <c r="G20" s="410"/>
      <c r="H20" s="409">
        <f t="shared" si="4"/>
        <v>100</v>
      </c>
      <c r="I20" s="409">
        <f t="shared" si="5"/>
        <v>100</v>
      </c>
      <c r="J20" s="204" t="s">
        <v>696</v>
      </c>
      <c r="M20" s="437"/>
      <c r="N20" s="437"/>
      <c r="O20" s="418">
        <f t="shared" si="7"/>
        <v>100</v>
      </c>
      <c r="P20" s="437"/>
      <c r="Q20" s="437"/>
      <c r="R20" s="418"/>
      <c r="S20" s="437"/>
    </row>
    <row r="21" spans="1:19" ht="44.55">
      <c r="A21" s="423">
        <v>1</v>
      </c>
      <c r="B21" s="423"/>
      <c r="C21" s="424" t="s">
        <v>1011</v>
      </c>
      <c r="D21" s="423" t="s">
        <v>769</v>
      </c>
      <c r="E21" s="423" t="s">
        <v>567</v>
      </c>
      <c r="F21" s="425">
        <v>343.75</v>
      </c>
      <c r="G21" s="428"/>
      <c r="H21" s="430">
        <f t="shared" si="4"/>
        <v>343.75</v>
      </c>
      <c r="I21" s="430">
        <f t="shared" si="5"/>
        <v>343.75</v>
      </c>
      <c r="J21" s="719"/>
      <c r="K21" s="728"/>
      <c r="L21" s="728"/>
      <c r="M21" s="418">
        <f>F21</f>
        <v>343.75</v>
      </c>
      <c r="N21" s="437"/>
      <c r="O21" s="437"/>
      <c r="P21" s="437"/>
      <c r="Q21" s="437"/>
      <c r="R21" s="437"/>
      <c r="S21" s="437"/>
    </row>
    <row r="22" spans="1:19" ht="22.25">
      <c r="A22" s="423">
        <v>130</v>
      </c>
      <c r="B22" s="413" t="s">
        <v>539</v>
      </c>
      <c r="C22" s="420" t="s">
        <v>1445</v>
      </c>
      <c r="D22" s="413"/>
      <c r="E22" s="413" t="s">
        <v>691</v>
      </c>
      <c r="F22" s="421">
        <f>7.58/1.2</f>
        <v>6.3166666666666673</v>
      </c>
      <c r="G22" s="428"/>
      <c r="H22" s="430">
        <f t="shared" si="4"/>
        <v>6.3166666666666673</v>
      </c>
      <c r="I22" s="430">
        <f t="shared" si="5"/>
        <v>821.16666666666674</v>
      </c>
      <c r="J22" s="719"/>
      <c r="K22" s="728"/>
      <c r="L22" s="728"/>
      <c r="M22" s="418"/>
      <c r="N22" s="437"/>
      <c r="O22" s="418">
        <f t="shared" si="7"/>
        <v>821.16666666666674</v>
      </c>
      <c r="P22" s="437"/>
      <c r="Q22" s="437"/>
      <c r="R22" s="437"/>
      <c r="S22" s="437"/>
    </row>
    <row r="23" spans="1:19">
      <c r="A23" s="487">
        <v>0</v>
      </c>
      <c r="B23" s="407" t="s">
        <v>539</v>
      </c>
      <c r="C23" s="408" t="s">
        <v>1445</v>
      </c>
      <c r="D23" s="407"/>
      <c r="E23" s="407" t="s">
        <v>1103</v>
      </c>
      <c r="F23" s="409">
        <v>11.45</v>
      </c>
      <c r="G23" s="428"/>
      <c r="H23" s="430">
        <f t="shared" si="4"/>
        <v>11.45</v>
      </c>
      <c r="I23" s="430">
        <f t="shared" si="5"/>
        <v>0</v>
      </c>
      <c r="J23" s="719"/>
      <c r="K23" s="728"/>
      <c r="L23" s="728"/>
      <c r="M23" s="418"/>
      <c r="N23" s="437"/>
      <c r="O23" s="418">
        <f t="shared" si="7"/>
        <v>0</v>
      </c>
      <c r="P23" s="437"/>
      <c r="Q23" s="437"/>
      <c r="R23" s="437"/>
      <c r="S23" s="437"/>
    </row>
    <row r="24" spans="1:19">
      <c r="A24" s="487"/>
      <c r="B24" s="487"/>
      <c r="C24" s="492"/>
      <c r="D24" s="487"/>
      <c r="E24" s="487"/>
      <c r="F24" s="430"/>
      <c r="G24" s="428"/>
      <c r="H24" s="430"/>
      <c r="I24" s="430"/>
      <c r="J24" s="719"/>
      <c r="K24" s="728"/>
      <c r="L24" s="728"/>
      <c r="M24" s="418"/>
      <c r="N24" s="437"/>
      <c r="O24" s="437"/>
      <c r="P24" s="437"/>
      <c r="Q24" s="437"/>
      <c r="R24" s="437"/>
      <c r="S24" s="437"/>
    </row>
    <row r="25" spans="1:19" ht="33.4">
      <c r="A25" s="413">
        <v>1</v>
      </c>
      <c r="B25" s="413" t="s">
        <v>517</v>
      </c>
      <c r="C25" s="408" t="s">
        <v>569</v>
      </c>
      <c r="D25" s="407" t="s">
        <v>570</v>
      </c>
      <c r="E25" s="408" t="s">
        <v>571</v>
      </c>
      <c r="F25" s="409">
        <v>1040</v>
      </c>
      <c r="G25" s="429">
        <v>0.48</v>
      </c>
      <c r="H25" s="430">
        <f t="shared" si="4"/>
        <v>540.80000000000007</v>
      </c>
      <c r="I25" s="430">
        <f t="shared" si="5"/>
        <v>540.80000000000007</v>
      </c>
      <c r="J25" s="719"/>
      <c r="K25" s="728"/>
      <c r="L25" s="728"/>
      <c r="M25" s="418"/>
      <c r="N25" s="437"/>
      <c r="O25" s="437"/>
      <c r="P25" s="437"/>
      <c r="Q25" s="437"/>
      <c r="R25" s="437"/>
      <c r="S25" s="418">
        <f t="shared" ref="S25:S27" si="10">I25</f>
        <v>540.80000000000007</v>
      </c>
    </row>
    <row r="26" spans="1:19">
      <c r="A26" s="413">
        <v>5</v>
      </c>
      <c r="B26" s="413" t="s">
        <v>517</v>
      </c>
      <c r="C26" s="420" t="s">
        <v>574</v>
      </c>
      <c r="D26" s="413"/>
      <c r="E26" s="413" t="s">
        <v>1008</v>
      </c>
      <c r="F26" s="421">
        <v>75</v>
      </c>
      <c r="G26" s="428"/>
      <c r="H26" s="430">
        <f t="shared" si="4"/>
        <v>75</v>
      </c>
      <c r="I26" s="430">
        <f t="shared" si="5"/>
        <v>375</v>
      </c>
      <c r="J26" s="719"/>
      <c r="K26" s="728"/>
      <c r="L26" s="728"/>
      <c r="M26" s="418"/>
      <c r="N26" s="437"/>
      <c r="O26" s="437"/>
      <c r="P26" s="437"/>
      <c r="Q26" s="437"/>
      <c r="R26" s="437"/>
      <c r="S26" s="418">
        <f t="shared" si="10"/>
        <v>375</v>
      </c>
    </row>
    <row r="27" spans="1:19">
      <c r="A27" s="413">
        <v>1</v>
      </c>
      <c r="B27" s="413" t="s">
        <v>517</v>
      </c>
      <c r="C27" s="420" t="s">
        <v>574</v>
      </c>
      <c r="D27" s="413"/>
      <c r="E27" s="413" t="s">
        <v>567</v>
      </c>
      <c r="F27" s="421">
        <f>35/4</f>
        <v>8.75</v>
      </c>
      <c r="G27" s="428"/>
      <c r="H27" s="430">
        <f t="shared" si="4"/>
        <v>8.75</v>
      </c>
      <c r="I27" s="430">
        <f t="shared" si="5"/>
        <v>8.75</v>
      </c>
      <c r="J27" s="719"/>
      <c r="K27" s="728"/>
      <c r="L27" s="728"/>
      <c r="M27" s="418"/>
      <c r="N27" s="437"/>
      <c r="O27" s="437"/>
      <c r="P27" s="437"/>
      <c r="Q27" s="437"/>
      <c r="R27" s="437"/>
      <c r="S27" s="418">
        <f t="shared" si="10"/>
        <v>8.75</v>
      </c>
    </row>
    <row r="28" spans="1:19" ht="12.45">
      <c r="A28" s="487"/>
      <c r="B28" s="487"/>
      <c r="C28" s="492"/>
      <c r="D28" s="487"/>
      <c r="E28" s="744"/>
      <c r="F28" s="430"/>
      <c r="G28" s="428"/>
      <c r="H28" s="430"/>
      <c r="I28" s="430"/>
      <c r="J28" s="719"/>
      <c r="K28" s="728"/>
      <c r="L28" s="728"/>
      <c r="M28" s="418"/>
      <c r="N28" s="437"/>
      <c r="O28" s="437"/>
      <c r="P28" s="437"/>
      <c r="Q28" s="437"/>
      <c r="R28" s="437"/>
      <c r="S28" s="437"/>
    </row>
    <row r="29" spans="1:19" ht="12.45">
      <c r="A29" s="487"/>
      <c r="B29" s="487"/>
      <c r="C29" s="492"/>
      <c r="D29" s="487"/>
      <c r="E29" s="744"/>
      <c r="F29" s="430"/>
      <c r="G29" s="428"/>
      <c r="H29" s="430"/>
      <c r="I29" s="430"/>
      <c r="J29" s="719"/>
      <c r="K29" s="728"/>
      <c r="L29" s="728"/>
      <c r="M29" s="418"/>
      <c r="N29" s="437"/>
      <c r="O29" s="437"/>
      <c r="P29" s="437"/>
      <c r="Q29" s="437"/>
      <c r="R29" s="437"/>
      <c r="S29" s="437"/>
    </row>
    <row r="30" spans="1:19">
      <c r="A30" s="407"/>
      <c r="B30" s="407"/>
      <c r="C30" s="408"/>
      <c r="D30" s="407"/>
      <c r="E30" s="407"/>
      <c r="F30" s="409"/>
      <c r="G30" s="410"/>
      <c r="H30" s="409"/>
      <c r="I30" s="409"/>
      <c r="J30" s="204"/>
      <c r="M30" s="437"/>
      <c r="N30" s="437"/>
      <c r="O30" s="437"/>
      <c r="P30" s="437"/>
      <c r="Q30" s="437"/>
      <c r="R30" s="437"/>
      <c r="S30" s="437"/>
    </row>
    <row r="31" spans="1:19">
      <c r="A31" s="407"/>
      <c r="B31" s="407"/>
      <c r="C31" s="408"/>
      <c r="D31" s="407"/>
      <c r="E31" s="917" t="s">
        <v>580</v>
      </c>
      <c r="F31" s="409"/>
      <c r="G31" s="410"/>
      <c r="H31" s="409"/>
      <c r="I31" s="409">
        <f>SUM(I4:I29)</f>
        <v>22033.210354740062</v>
      </c>
      <c r="J31" s="204"/>
      <c r="M31" s="418">
        <f>SUM(M4:M29)</f>
        <v>12850.615688073394</v>
      </c>
      <c r="N31" s="418">
        <f>SUM(N4:N29)</f>
        <v>3989.84</v>
      </c>
      <c r="O31" s="418">
        <f>SUM(O4:O29)</f>
        <v>1163.7646666666667</v>
      </c>
      <c r="P31" s="418"/>
      <c r="Q31" s="418"/>
      <c r="R31" s="418">
        <f>SUM(R4:R29)</f>
        <v>3104.44</v>
      </c>
      <c r="S31" s="437"/>
    </row>
    <row r="32" spans="1:19">
      <c r="A32" s="407"/>
      <c r="B32" s="407"/>
      <c r="C32" s="408"/>
      <c r="D32" s="407"/>
      <c r="E32" s="407" t="s">
        <v>581</v>
      </c>
      <c r="F32" s="409"/>
      <c r="G32" s="410">
        <v>0.25</v>
      </c>
      <c r="H32" s="409"/>
      <c r="I32" s="409"/>
      <c r="J32" s="204"/>
      <c r="M32" s="418"/>
      <c r="N32" s="418"/>
      <c r="O32" s="418"/>
      <c r="P32" s="418"/>
      <c r="Q32" s="418"/>
      <c r="R32" s="418"/>
      <c r="S32" s="437"/>
    </row>
    <row r="33" spans="1:19" ht="15.75">
      <c r="E33" s="918" t="s">
        <v>582</v>
      </c>
      <c r="F33" s="418"/>
      <c r="G33" s="434"/>
      <c r="H33" s="418"/>
      <c r="I33" s="418">
        <f>I31*(1+$G$32)</f>
        <v>27541.512943425078</v>
      </c>
      <c r="J33" s="436"/>
      <c r="K33" s="437"/>
      <c r="L33" s="437"/>
      <c r="M33" s="165">
        <f>M31*(1+$G$32)</f>
        <v>16063.269610091742</v>
      </c>
      <c r="N33" s="165">
        <f>N31*(1+$G$32)</f>
        <v>4987.3</v>
      </c>
      <c r="O33" s="165">
        <f>O31*(1+$G$32)</f>
        <v>1454.7058333333334</v>
      </c>
      <c r="P33" s="418"/>
      <c r="Q33" s="418"/>
      <c r="R33" s="165">
        <f>R31*(1+$G$32)</f>
        <v>3880.55</v>
      </c>
      <c r="S33" s="165">
        <f>SUM(S4:S32)</f>
        <v>924.55000000000007</v>
      </c>
    </row>
    <row r="36" spans="1:19">
      <c r="E36" s="439" t="s">
        <v>585</v>
      </c>
    </row>
    <row r="37" spans="1:19">
      <c r="A37" s="441">
        <v>8</v>
      </c>
      <c r="B37" s="17" t="s">
        <v>619</v>
      </c>
      <c r="E37" s="17" t="s">
        <v>586</v>
      </c>
      <c r="F37" s="403">
        <f t="shared" ref="F37:F52" si="11">F$56</f>
        <v>55</v>
      </c>
      <c r="H37" s="403">
        <f t="shared" si="4"/>
        <v>55</v>
      </c>
      <c r="I37" s="403">
        <f t="shared" ref="I37:I60" si="12">A37*H37</f>
        <v>440</v>
      </c>
      <c r="J37" s="17" t="s">
        <v>1983</v>
      </c>
    </row>
    <row r="38" spans="1:19">
      <c r="A38" s="441">
        <v>77</v>
      </c>
      <c r="B38" s="17" t="s">
        <v>619</v>
      </c>
      <c r="E38" s="17" t="s">
        <v>589</v>
      </c>
      <c r="F38" s="403">
        <f t="shared" si="11"/>
        <v>55</v>
      </c>
      <c r="H38" s="403">
        <f t="shared" si="4"/>
        <v>55</v>
      </c>
      <c r="I38" s="403">
        <f t="shared" si="12"/>
        <v>4235</v>
      </c>
      <c r="J38" s="17" t="s">
        <v>696</v>
      </c>
    </row>
    <row r="39" spans="1:19">
      <c r="A39" s="441">
        <f>3.3*6/2</f>
        <v>9.8999999999999986</v>
      </c>
      <c r="B39" s="17" t="s">
        <v>619</v>
      </c>
      <c r="E39" s="17" t="s">
        <v>1426</v>
      </c>
      <c r="F39" s="403">
        <f t="shared" si="11"/>
        <v>55</v>
      </c>
      <c r="H39" s="403">
        <f t="shared" si="4"/>
        <v>55</v>
      </c>
      <c r="I39" s="403">
        <f t="shared" si="12"/>
        <v>544.49999999999989</v>
      </c>
      <c r="J39" s="17" t="s">
        <v>1450</v>
      </c>
    </row>
    <row r="40" spans="1:19">
      <c r="A40" s="441">
        <f>7.75*A4/30</f>
        <v>27.9</v>
      </c>
      <c r="B40" s="17" t="s">
        <v>619</v>
      </c>
      <c r="E40" s="17" t="s">
        <v>591</v>
      </c>
      <c r="F40" s="403">
        <f t="shared" si="11"/>
        <v>55</v>
      </c>
      <c r="H40" s="403">
        <f t="shared" si="4"/>
        <v>55</v>
      </c>
      <c r="I40" s="403">
        <f t="shared" si="12"/>
        <v>1534.5</v>
      </c>
      <c r="J40" s="17" t="s">
        <v>1451</v>
      </c>
    </row>
    <row r="41" spans="1:19">
      <c r="A41" s="441">
        <v>0</v>
      </c>
      <c r="B41" s="17" t="s">
        <v>619</v>
      </c>
      <c r="E41" s="17" t="s">
        <v>1428</v>
      </c>
      <c r="F41" s="403">
        <f t="shared" si="11"/>
        <v>55</v>
      </c>
      <c r="H41" s="403">
        <f t="shared" si="4"/>
        <v>55</v>
      </c>
      <c r="I41" s="403">
        <f t="shared" si="12"/>
        <v>0</v>
      </c>
      <c r="J41" s="17" t="s">
        <v>1452</v>
      </c>
    </row>
    <row r="42" spans="1:19">
      <c r="A42" s="441">
        <v>0</v>
      </c>
      <c r="B42" s="17" t="s">
        <v>619</v>
      </c>
      <c r="E42" s="17" t="s">
        <v>1429</v>
      </c>
      <c r="F42" s="403">
        <f t="shared" si="11"/>
        <v>55</v>
      </c>
      <c r="H42" s="403">
        <f t="shared" si="4"/>
        <v>55</v>
      </c>
      <c r="I42" s="403">
        <f t="shared" si="12"/>
        <v>0</v>
      </c>
      <c r="J42" s="17" t="s">
        <v>1452</v>
      </c>
    </row>
    <row r="43" spans="1:19">
      <c r="A43" s="441">
        <v>0</v>
      </c>
      <c r="B43" s="17" t="s">
        <v>619</v>
      </c>
      <c r="E43" s="17" t="s">
        <v>605</v>
      </c>
      <c r="F43" s="403">
        <f t="shared" si="11"/>
        <v>55</v>
      </c>
      <c r="H43" s="403">
        <f t="shared" si="4"/>
        <v>55</v>
      </c>
      <c r="I43" s="403">
        <f t="shared" si="12"/>
        <v>0</v>
      </c>
      <c r="J43" s="17" t="s">
        <v>1453</v>
      </c>
    </row>
    <row r="44" spans="1:19">
      <c r="A44" s="441">
        <v>8</v>
      </c>
      <c r="B44" s="17" t="s">
        <v>619</v>
      </c>
      <c r="E44" s="17" t="s">
        <v>607</v>
      </c>
      <c r="F44" s="403">
        <f t="shared" si="11"/>
        <v>55</v>
      </c>
      <c r="H44" s="403">
        <f t="shared" si="4"/>
        <v>55</v>
      </c>
      <c r="I44" s="403">
        <f t="shared" si="12"/>
        <v>440</v>
      </c>
    </row>
    <row r="45" spans="1:19">
      <c r="A45" s="441">
        <v>0</v>
      </c>
      <c r="B45" s="17" t="s">
        <v>619</v>
      </c>
      <c r="E45" s="17" t="s">
        <v>609</v>
      </c>
      <c r="F45" s="403">
        <f t="shared" si="11"/>
        <v>55</v>
      </c>
      <c r="H45" s="403">
        <f t="shared" si="4"/>
        <v>55</v>
      </c>
      <c r="I45" s="403">
        <f t="shared" si="12"/>
        <v>0</v>
      </c>
      <c r="J45" s="17" t="s">
        <v>1453</v>
      </c>
    </row>
    <row r="46" spans="1:19">
      <c r="A46" s="441">
        <v>0</v>
      </c>
      <c r="B46" s="17" t="s">
        <v>619</v>
      </c>
      <c r="E46" s="17" t="s">
        <v>610</v>
      </c>
      <c r="F46" s="403">
        <f t="shared" si="11"/>
        <v>55</v>
      </c>
      <c r="H46" s="403">
        <f t="shared" si="4"/>
        <v>55</v>
      </c>
      <c r="I46" s="403">
        <f t="shared" si="12"/>
        <v>0</v>
      </c>
      <c r="J46" s="17" t="s">
        <v>1453</v>
      </c>
    </row>
    <row r="47" spans="1:19">
      <c r="A47" s="441">
        <v>0</v>
      </c>
      <c r="B47" s="17" t="s">
        <v>619</v>
      </c>
      <c r="E47" s="17" t="s">
        <v>611</v>
      </c>
      <c r="F47" s="403">
        <f t="shared" si="11"/>
        <v>55</v>
      </c>
      <c r="H47" s="403">
        <f t="shared" si="4"/>
        <v>55</v>
      </c>
      <c r="I47" s="403">
        <f t="shared" si="12"/>
        <v>0</v>
      </c>
      <c r="J47" s="17" t="s">
        <v>1453</v>
      </c>
    </row>
    <row r="48" spans="1:19">
      <c r="A48" s="441">
        <v>1.5</v>
      </c>
      <c r="B48" s="17" t="s">
        <v>619</v>
      </c>
      <c r="E48" s="17" t="s">
        <v>1431</v>
      </c>
      <c r="F48" s="403">
        <f t="shared" si="11"/>
        <v>55</v>
      </c>
      <c r="H48" s="403">
        <f t="shared" si="4"/>
        <v>55</v>
      </c>
      <c r="I48" s="403">
        <f t="shared" si="12"/>
        <v>82.5</v>
      </c>
      <c r="J48" s="17" t="s">
        <v>1880</v>
      </c>
    </row>
    <row r="49" spans="1:16">
      <c r="A49" s="441">
        <v>6.5</v>
      </c>
      <c r="B49" s="17" t="s">
        <v>619</v>
      </c>
      <c r="E49" s="17" t="s">
        <v>612</v>
      </c>
      <c r="F49" s="403">
        <f t="shared" si="11"/>
        <v>55</v>
      </c>
      <c r="H49" s="403">
        <f t="shared" si="4"/>
        <v>55</v>
      </c>
      <c r="I49" s="403">
        <f t="shared" si="12"/>
        <v>357.5</v>
      </c>
      <c r="J49" s="17" t="s">
        <v>1881</v>
      </c>
    </row>
    <row r="50" spans="1:16">
      <c r="A50" s="441">
        <v>4</v>
      </c>
      <c r="B50" s="17" t="s">
        <v>619</v>
      </c>
      <c r="E50" s="17" t="s">
        <v>614</v>
      </c>
      <c r="F50" s="403">
        <f t="shared" si="11"/>
        <v>55</v>
      </c>
      <c r="H50" s="403">
        <f t="shared" si="4"/>
        <v>55</v>
      </c>
      <c r="I50" s="403">
        <f t="shared" si="12"/>
        <v>220</v>
      </c>
    </row>
    <row r="51" spans="1:16">
      <c r="A51" s="441">
        <v>8</v>
      </c>
      <c r="B51" s="17" t="s">
        <v>619</v>
      </c>
      <c r="E51" s="17" t="s">
        <v>617</v>
      </c>
      <c r="F51" s="403">
        <f t="shared" si="11"/>
        <v>55</v>
      </c>
      <c r="H51" s="403">
        <f t="shared" si="4"/>
        <v>55</v>
      </c>
      <c r="I51" s="403">
        <f t="shared" si="12"/>
        <v>440</v>
      </c>
      <c r="J51" s="17" t="s">
        <v>1984</v>
      </c>
    </row>
    <row r="52" spans="1:16">
      <c r="A52" s="441">
        <v>4</v>
      </c>
      <c r="B52" s="17" t="s">
        <v>619</v>
      </c>
      <c r="E52" s="17" t="s">
        <v>616</v>
      </c>
      <c r="F52" s="403">
        <f t="shared" si="11"/>
        <v>55</v>
      </c>
      <c r="H52" s="403">
        <f t="shared" si="4"/>
        <v>55</v>
      </c>
      <c r="I52" s="403">
        <f t="shared" si="12"/>
        <v>220</v>
      </c>
    </row>
    <row r="54" spans="1:16">
      <c r="A54" s="17">
        <f>SUM(A37:A53)</f>
        <v>154.80000000000001</v>
      </c>
      <c r="B54" s="17" t="s">
        <v>619</v>
      </c>
      <c r="E54" s="17" t="s">
        <v>620</v>
      </c>
    </row>
    <row r="55" spans="1:16">
      <c r="A55" s="441">
        <v>3</v>
      </c>
      <c r="B55" s="17" t="s">
        <v>517</v>
      </c>
      <c r="E55" s="17" t="s">
        <v>621</v>
      </c>
    </row>
    <row r="56" spans="1:16">
      <c r="B56" s="17" t="s">
        <v>517</v>
      </c>
      <c r="E56" s="17" t="s">
        <v>622</v>
      </c>
      <c r="F56" s="445">
        <v>55</v>
      </c>
      <c r="H56" s="403">
        <f t="shared" si="4"/>
        <v>55</v>
      </c>
      <c r="I56" s="403">
        <f t="shared" si="12"/>
        <v>0</v>
      </c>
      <c r="J56" s="17" t="s">
        <v>623</v>
      </c>
    </row>
    <row r="57" spans="1:16">
      <c r="A57" s="17">
        <f>ROUNDUP(A54/8/A55,0)</f>
        <v>7</v>
      </c>
      <c r="B57" s="17" t="s">
        <v>624</v>
      </c>
      <c r="E57" s="17" t="s">
        <v>625</v>
      </c>
      <c r="F57" s="403">
        <f>A55*8*F56</f>
        <v>1320</v>
      </c>
      <c r="H57" s="403">
        <f t="shared" si="4"/>
        <v>1320</v>
      </c>
      <c r="I57" s="403">
        <f t="shared" si="12"/>
        <v>9240</v>
      </c>
    </row>
    <row r="58" spans="1:16">
      <c r="A58" s="441">
        <v>2</v>
      </c>
      <c r="B58" s="17" t="s">
        <v>1455</v>
      </c>
      <c r="E58" s="17" t="s">
        <v>1883</v>
      </c>
      <c r="F58" s="447">
        <f>2000</f>
        <v>2000</v>
      </c>
      <c r="H58" s="403">
        <f t="shared" si="4"/>
        <v>2000</v>
      </c>
      <c r="I58" s="403">
        <f t="shared" si="12"/>
        <v>4000</v>
      </c>
    </row>
    <row r="59" spans="1:16">
      <c r="A59" s="441">
        <v>1</v>
      </c>
      <c r="B59" s="17" t="s">
        <v>517</v>
      </c>
      <c r="E59" s="17" t="s">
        <v>1458</v>
      </c>
      <c r="F59" s="447">
        <v>500</v>
      </c>
      <c r="H59" s="403">
        <f t="shared" si="4"/>
        <v>500</v>
      </c>
      <c r="I59" s="403">
        <f t="shared" si="12"/>
        <v>500</v>
      </c>
    </row>
    <row r="60" spans="1:16">
      <c r="A60" s="441">
        <v>1</v>
      </c>
      <c r="B60" s="17" t="s">
        <v>517</v>
      </c>
      <c r="E60" s="17" t="s">
        <v>1459</v>
      </c>
      <c r="F60" s="447">
        <v>1000</v>
      </c>
      <c r="H60" s="403">
        <f t="shared" si="4"/>
        <v>1000</v>
      </c>
      <c r="I60" s="403">
        <f t="shared" si="12"/>
        <v>1000</v>
      </c>
    </row>
    <row r="61" spans="1:16" ht="15.75">
      <c r="E61" s="439" t="s">
        <v>628</v>
      </c>
      <c r="I61" s="443">
        <f>SUM(I57:I60)</f>
        <v>14740</v>
      </c>
      <c r="P61" s="165">
        <f>I61</f>
        <v>14740</v>
      </c>
    </row>
    <row r="64" spans="1:16">
      <c r="E64" s="449" t="s">
        <v>630</v>
      </c>
    </row>
    <row r="65" spans="1:17">
      <c r="A65" s="441">
        <v>1</v>
      </c>
      <c r="B65" s="17" t="s">
        <v>517</v>
      </c>
      <c r="E65" s="17" t="s">
        <v>668</v>
      </c>
      <c r="F65" s="445">
        <f>1796*0.6</f>
        <v>1077.5999999999999</v>
      </c>
      <c r="H65" s="403">
        <f t="shared" si="4"/>
        <v>1077.5999999999999</v>
      </c>
      <c r="I65" s="403">
        <f t="shared" ref="I65:I67" si="13">A65*H65</f>
        <v>1077.5999999999999</v>
      </c>
      <c r="J65" s="17" t="s">
        <v>1460</v>
      </c>
    </row>
    <row r="66" spans="1:17">
      <c r="A66" s="441">
        <v>0</v>
      </c>
      <c r="B66" s="17" t="s">
        <v>539</v>
      </c>
      <c r="E66" s="17" t="s">
        <v>1461</v>
      </c>
      <c r="F66" s="445">
        <v>80</v>
      </c>
      <c r="H66" s="403">
        <f t="shared" si="4"/>
        <v>80</v>
      </c>
      <c r="I66" s="403">
        <f t="shared" si="13"/>
        <v>0</v>
      </c>
    </row>
    <row r="67" spans="1:17">
      <c r="A67" s="441">
        <v>0</v>
      </c>
      <c r="B67" s="17" t="s">
        <v>517</v>
      </c>
      <c r="E67" s="17" t="s">
        <v>1463</v>
      </c>
      <c r="F67" s="445">
        <v>2493</v>
      </c>
      <c r="H67" s="403">
        <f t="shared" si="4"/>
        <v>2493</v>
      </c>
      <c r="I67" s="403">
        <f t="shared" si="13"/>
        <v>0</v>
      </c>
    </row>
    <row r="68" spans="1:17" ht="15.75">
      <c r="E68" s="439" t="s">
        <v>676</v>
      </c>
      <c r="I68" s="443">
        <f>SUM(I65:I67)</f>
        <v>1077.5999999999999</v>
      </c>
      <c r="Q68" s="165">
        <f>I68</f>
        <v>1077.5999999999999</v>
      </c>
    </row>
    <row r="70" spans="1:17" ht="13.75" customHeight="1">
      <c r="A70" s="986" t="s">
        <v>100</v>
      </c>
      <c r="B70" s="986"/>
      <c r="C70" s="986"/>
      <c r="D70" s="986"/>
      <c r="E70" s="986"/>
    </row>
    <row r="76" spans="1:17" ht="15.05" customHeight="1">
      <c r="A76" s="1002" t="s">
        <v>90</v>
      </c>
      <c r="B76" s="1002"/>
      <c r="C76" s="1002"/>
      <c r="D76" s="1002"/>
      <c r="E76" s="1002"/>
    </row>
    <row r="78" spans="1:17" ht="13.75">
      <c r="B78" s="17" t="s">
        <v>517</v>
      </c>
      <c r="E78" s="17" t="s">
        <v>1464</v>
      </c>
      <c r="F78" s="403">
        <v>860</v>
      </c>
      <c r="H78" s="403">
        <f t="shared" ref="H78:H89" si="14">F78*(1-G78)</f>
        <v>860</v>
      </c>
      <c r="I78" s="403">
        <f t="shared" ref="I78:I82" si="15">A78*H78</f>
        <v>0</v>
      </c>
      <c r="J78" s="494" t="s">
        <v>1465</v>
      </c>
    </row>
    <row r="79" spans="1:17">
      <c r="A79" s="17">
        <v>1</v>
      </c>
      <c r="B79" s="17" t="s">
        <v>517</v>
      </c>
      <c r="E79" s="17" t="s">
        <v>707</v>
      </c>
      <c r="F79" s="403">
        <v>1500</v>
      </c>
      <c r="H79" s="403">
        <f t="shared" si="14"/>
        <v>1500</v>
      </c>
      <c r="I79" s="403">
        <f t="shared" si="15"/>
        <v>1500</v>
      </c>
    </row>
    <row r="80" spans="1:17" ht="44.55">
      <c r="A80" s="17">
        <v>1</v>
      </c>
      <c r="B80" s="17" t="s">
        <v>517</v>
      </c>
      <c r="C80" s="204" t="s">
        <v>708</v>
      </c>
      <c r="E80" s="204" t="s">
        <v>709</v>
      </c>
      <c r="F80" s="403">
        <v>460</v>
      </c>
      <c r="H80" s="403">
        <f t="shared" si="14"/>
        <v>460</v>
      </c>
      <c r="I80" s="403">
        <f t="shared" si="15"/>
        <v>460</v>
      </c>
    </row>
    <row r="81" spans="1:10" ht="44.55">
      <c r="A81" s="17">
        <v>0</v>
      </c>
      <c r="B81" s="17" t="s">
        <v>517</v>
      </c>
      <c r="C81" s="204" t="s">
        <v>711</v>
      </c>
      <c r="E81" s="204" t="s">
        <v>712</v>
      </c>
      <c r="F81" s="403">
        <v>320</v>
      </c>
      <c r="H81" s="403">
        <f t="shared" si="14"/>
        <v>320</v>
      </c>
      <c r="I81" s="403">
        <f t="shared" si="15"/>
        <v>0</v>
      </c>
    </row>
    <row r="82" spans="1:10" ht="55.65">
      <c r="A82" s="17">
        <v>0</v>
      </c>
      <c r="B82" s="17" t="s">
        <v>517</v>
      </c>
      <c r="C82" s="17" t="s">
        <v>713</v>
      </c>
      <c r="D82" s="17" t="s">
        <v>714</v>
      </c>
      <c r="E82" s="204" t="s">
        <v>715</v>
      </c>
      <c r="F82" s="403">
        <v>2725</v>
      </c>
      <c r="H82" s="403">
        <f t="shared" si="14"/>
        <v>2725</v>
      </c>
      <c r="I82" s="403">
        <f t="shared" si="15"/>
        <v>0</v>
      </c>
    </row>
    <row r="84" spans="1:10" ht="15.75">
      <c r="E84" s="439" t="s">
        <v>729</v>
      </c>
      <c r="I84" s="168">
        <f>SUM(I76:I83)</f>
        <v>1960</v>
      </c>
    </row>
    <row r="86" spans="1:10" ht="13.75" customHeight="1">
      <c r="A86" s="997" t="s">
        <v>68</v>
      </c>
      <c r="B86" s="997"/>
      <c r="C86" s="997"/>
      <c r="D86" s="997"/>
      <c r="E86" s="997"/>
    </row>
    <row r="87" spans="1:10">
      <c r="A87" s="17">
        <v>1</v>
      </c>
      <c r="B87" s="17" t="s">
        <v>517</v>
      </c>
      <c r="E87" s="17" t="s">
        <v>730</v>
      </c>
      <c r="F87" s="403">
        <v>350</v>
      </c>
      <c r="H87" s="403">
        <f t="shared" si="14"/>
        <v>350</v>
      </c>
      <c r="I87" s="403">
        <f t="shared" ref="I87:I89" si="16">A87*H87</f>
        <v>350</v>
      </c>
      <c r="J87" s="17" t="s">
        <v>1985</v>
      </c>
    </row>
    <row r="88" spans="1:10" ht="44.55">
      <c r="A88" s="17">
        <v>1</v>
      </c>
      <c r="B88" s="17" t="s">
        <v>517</v>
      </c>
      <c r="C88" s="204" t="s">
        <v>708</v>
      </c>
      <c r="E88" s="204" t="s">
        <v>731</v>
      </c>
      <c r="F88" s="403">
        <f>460/2</f>
        <v>230</v>
      </c>
      <c r="H88" s="403">
        <f t="shared" si="14"/>
        <v>230</v>
      </c>
      <c r="I88" s="403">
        <f t="shared" si="16"/>
        <v>230</v>
      </c>
    </row>
    <row r="89" spans="1:10" ht="44.55">
      <c r="A89" s="17">
        <v>0</v>
      </c>
      <c r="B89" s="17" t="s">
        <v>517</v>
      </c>
      <c r="C89" s="204" t="s">
        <v>711</v>
      </c>
      <c r="E89" s="204" t="s">
        <v>732</v>
      </c>
      <c r="F89" s="403">
        <f>320/2</f>
        <v>160</v>
      </c>
      <c r="H89" s="403">
        <f t="shared" si="14"/>
        <v>160</v>
      </c>
      <c r="I89" s="403">
        <f t="shared" si="16"/>
        <v>0</v>
      </c>
    </row>
    <row r="91" spans="1:10" ht="15.75">
      <c r="E91" s="439" t="s">
        <v>733</v>
      </c>
      <c r="I91" s="168">
        <f>SUM(I86:I90)</f>
        <v>580</v>
      </c>
    </row>
  </sheetData>
  <mergeCells count="6">
    <mergeCell ref="A86:E86"/>
    <mergeCell ref="B1:F1"/>
    <mergeCell ref="A2:G2"/>
    <mergeCell ref="J19:L19"/>
    <mergeCell ref="A70:E70"/>
    <mergeCell ref="A76:E76"/>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1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64" width="10.140625" style="17"/>
  </cols>
  <sheetData>
    <row r="1" spans="1:19" ht="15.75">
      <c r="B1" s="1053" t="s">
        <v>256</v>
      </c>
      <c r="C1" s="1053"/>
      <c r="D1" s="1053"/>
      <c r="E1" s="1053"/>
      <c r="F1" s="1053"/>
      <c r="H1" s="405" t="s">
        <v>493</v>
      </c>
      <c r="I1" s="406">
        <v>340</v>
      </c>
      <c r="J1" s="17" t="s">
        <v>494</v>
      </c>
      <c r="K1" s="17" t="s">
        <v>495</v>
      </c>
      <c r="L1" s="58">
        <f>A4*I1</f>
        <v>23800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13">
        <v>70</v>
      </c>
      <c r="B4" s="413" t="s">
        <v>505</v>
      </c>
      <c r="C4" s="420" t="s">
        <v>534</v>
      </c>
      <c r="D4" s="413"/>
      <c r="E4" s="420" t="s">
        <v>1088</v>
      </c>
      <c r="F4" s="421">
        <v>89.91</v>
      </c>
      <c r="G4" s="410"/>
      <c r="H4" s="409">
        <f t="shared" ref="H4:H9" si="0">F4*(1-G4)</f>
        <v>89.91</v>
      </c>
      <c r="I4" s="409">
        <f t="shared" ref="I4:I9" si="1">A4*H4</f>
        <v>6293.7</v>
      </c>
      <c r="J4" s="417">
        <f>F4/I1</f>
        <v>0.26444117647058824</v>
      </c>
      <c r="K4" s="403"/>
      <c r="L4" s="404"/>
      <c r="M4" s="437">
        <f>I4</f>
        <v>6293.7</v>
      </c>
      <c r="N4" s="437"/>
      <c r="O4" s="437"/>
      <c r="P4" s="437"/>
      <c r="Q4" s="437"/>
      <c r="R4" s="418"/>
      <c r="S4" s="437"/>
    </row>
    <row r="5" spans="1:19" ht="55.65">
      <c r="A5" s="413">
        <v>39</v>
      </c>
      <c r="B5" s="413" t="s">
        <v>505</v>
      </c>
      <c r="C5" s="420" t="s">
        <v>817</v>
      </c>
      <c r="D5" s="413" t="s">
        <v>818</v>
      </c>
      <c r="E5" s="420" t="s">
        <v>819</v>
      </c>
      <c r="F5" s="421">
        <v>267.5</v>
      </c>
      <c r="G5" s="410"/>
      <c r="H5" s="409">
        <f t="shared" si="0"/>
        <v>267.5</v>
      </c>
      <c r="I5" s="409">
        <f t="shared" si="1"/>
        <v>10432.5</v>
      </c>
      <c r="J5" s="417"/>
      <c r="K5" s="403"/>
      <c r="L5" s="404"/>
      <c r="M5" s="437"/>
      <c r="N5" s="437"/>
      <c r="O5" s="437"/>
      <c r="P5" s="437"/>
      <c r="Q5" s="437"/>
      <c r="R5" s="418"/>
      <c r="S5" s="437"/>
    </row>
    <row r="6" spans="1:19" ht="22.25">
      <c r="A6" s="413">
        <f>A4+A5</f>
        <v>109</v>
      </c>
      <c r="B6" s="407" t="s">
        <v>505</v>
      </c>
      <c r="C6" s="420" t="s">
        <v>1074</v>
      </c>
      <c r="D6" s="413"/>
      <c r="E6" s="420" t="s">
        <v>1076</v>
      </c>
      <c r="F6" s="421">
        <v>28.503799999999998</v>
      </c>
      <c r="G6" s="410"/>
      <c r="H6" s="409">
        <f t="shared" si="0"/>
        <v>28.503799999999998</v>
      </c>
      <c r="I6" s="409">
        <f t="shared" si="1"/>
        <v>3106.9141999999997</v>
      </c>
      <c r="J6" s="204"/>
      <c r="M6" s="437">
        <f>I6</f>
        <v>3106.9141999999997</v>
      </c>
      <c r="N6" s="437"/>
      <c r="O6" s="437"/>
      <c r="P6" s="437"/>
      <c r="Q6" s="437"/>
      <c r="R6" s="418"/>
      <c r="S6" s="437"/>
    </row>
    <row r="7" spans="1:19" ht="44.55">
      <c r="A7" s="413">
        <v>1</v>
      </c>
      <c r="B7" s="413" t="s">
        <v>522</v>
      </c>
      <c r="C7" s="420" t="s">
        <v>1074</v>
      </c>
      <c r="D7" s="413"/>
      <c r="E7" s="420" t="s">
        <v>1077</v>
      </c>
      <c r="F7" s="421">
        <v>440</v>
      </c>
      <c r="G7" s="422"/>
      <c r="H7" s="421">
        <f t="shared" si="0"/>
        <v>440</v>
      </c>
      <c r="I7" s="421">
        <f t="shared" si="1"/>
        <v>440</v>
      </c>
      <c r="J7" s="204" t="s">
        <v>1963</v>
      </c>
      <c r="M7" s="437"/>
      <c r="N7" s="437"/>
      <c r="O7" s="437"/>
      <c r="P7" s="437"/>
      <c r="Q7" s="437"/>
      <c r="R7" s="418">
        <f t="shared" ref="R7:R9" si="2">I7</f>
        <v>440</v>
      </c>
      <c r="S7" s="437"/>
    </row>
    <row r="8" spans="1:19" ht="22.25">
      <c r="A8" s="413">
        <v>1</v>
      </c>
      <c r="B8" s="413" t="s">
        <v>505</v>
      </c>
      <c r="C8" s="420" t="s">
        <v>534</v>
      </c>
      <c r="D8" s="413"/>
      <c r="E8" s="420" t="s">
        <v>1423</v>
      </c>
      <c r="F8" s="421">
        <v>275.56</v>
      </c>
      <c r="G8" s="422"/>
      <c r="H8" s="421">
        <f t="shared" si="0"/>
        <v>275.56</v>
      </c>
      <c r="I8" s="409">
        <f t="shared" si="1"/>
        <v>275.56</v>
      </c>
      <c r="J8" s="204"/>
      <c r="M8" s="437"/>
      <c r="N8" s="437"/>
      <c r="O8" s="437"/>
      <c r="P8" s="437"/>
      <c r="Q8" s="437"/>
      <c r="R8" s="418">
        <f t="shared" si="2"/>
        <v>275.56</v>
      </c>
      <c r="S8" s="437"/>
    </row>
    <row r="9" spans="1:19" ht="22.25">
      <c r="A9" s="407">
        <v>1</v>
      </c>
      <c r="B9" s="407" t="s">
        <v>530</v>
      </c>
      <c r="C9" s="408" t="s">
        <v>531</v>
      </c>
      <c r="D9" s="407"/>
      <c r="E9" s="407" t="s">
        <v>532</v>
      </c>
      <c r="F9" s="409">
        <v>500</v>
      </c>
      <c r="G9" s="410"/>
      <c r="H9" s="409">
        <f t="shared" si="0"/>
        <v>500</v>
      </c>
      <c r="I9" s="409">
        <f t="shared" si="1"/>
        <v>500</v>
      </c>
      <c r="J9" s="204"/>
      <c r="M9" s="437"/>
      <c r="N9" s="437"/>
      <c r="O9" s="437"/>
      <c r="P9" s="437"/>
      <c r="Q9" s="437"/>
      <c r="R9" s="418">
        <f t="shared" si="2"/>
        <v>500</v>
      </c>
      <c r="S9" s="437"/>
    </row>
    <row r="10" spans="1:19" ht="44.55">
      <c r="A10" s="413">
        <v>35</v>
      </c>
      <c r="B10" s="413" t="s">
        <v>505</v>
      </c>
      <c r="C10" s="420" t="s">
        <v>534</v>
      </c>
      <c r="D10" s="413"/>
      <c r="E10" s="420" t="s">
        <v>535</v>
      </c>
      <c r="F10" s="421">
        <v>3.71</v>
      </c>
      <c r="G10" s="410"/>
      <c r="H10" s="409">
        <f t="shared" ref="H10:H73" si="3">F10*(1-G10)</f>
        <v>3.71</v>
      </c>
      <c r="I10" s="409">
        <f t="shared" ref="I10:I30" si="4">A10*H10</f>
        <v>129.85</v>
      </c>
      <c r="J10" s="204" t="s">
        <v>1477</v>
      </c>
      <c r="M10" s="437"/>
      <c r="N10" s="437"/>
      <c r="O10" s="437"/>
      <c r="P10" s="437"/>
      <c r="Q10" s="437"/>
      <c r="R10" s="418">
        <f t="shared" ref="R10:R22" si="5">I10</f>
        <v>129.85</v>
      </c>
      <c r="S10" s="437"/>
    </row>
    <row r="11" spans="1:19" ht="22.25">
      <c r="A11" s="413">
        <v>35</v>
      </c>
      <c r="B11" s="413" t="s">
        <v>505</v>
      </c>
      <c r="C11" s="420" t="s">
        <v>534</v>
      </c>
      <c r="D11" s="413"/>
      <c r="E11" s="420" t="s">
        <v>537</v>
      </c>
      <c r="F11" s="421">
        <v>3.81</v>
      </c>
      <c r="G11" s="410"/>
      <c r="H11" s="409">
        <f t="shared" si="3"/>
        <v>3.81</v>
      </c>
      <c r="I11" s="409">
        <f t="shared" si="4"/>
        <v>133.35</v>
      </c>
      <c r="J11" s="204" t="s">
        <v>538</v>
      </c>
      <c r="M11" s="437"/>
      <c r="N11" s="437"/>
      <c r="O11" s="437"/>
      <c r="P11" s="437"/>
      <c r="Q11" s="437"/>
      <c r="R11" s="418">
        <f t="shared" si="5"/>
        <v>133.35</v>
      </c>
      <c r="S11" s="437"/>
    </row>
    <row r="12" spans="1:19" ht="55.65">
      <c r="A12" s="413">
        <v>90</v>
      </c>
      <c r="B12" s="413" t="s">
        <v>539</v>
      </c>
      <c r="C12" s="420" t="s">
        <v>987</v>
      </c>
      <c r="D12" s="413" t="s">
        <v>541</v>
      </c>
      <c r="E12" s="420" t="s">
        <v>542</v>
      </c>
      <c r="F12" s="421">
        <f t="shared" ref="F12:F13" si="6">328.33/500</f>
        <v>0.65666000000000002</v>
      </c>
      <c r="G12" s="422"/>
      <c r="H12" s="421">
        <f t="shared" si="3"/>
        <v>0.65666000000000002</v>
      </c>
      <c r="I12" s="421">
        <f t="shared" si="4"/>
        <v>59.099400000000003</v>
      </c>
      <c r="J12" s="204"/>
      <c r="M12" s="437"/>
      <c r="N12" s="437"/>
      <c r="O12" s="418">
        <f t="shared" ref="O12:O25" si="7">I12</f>
        <v>59.099400000000003</v>
      </c>
      <c r="P12" s="418"/>
      <c r="Q12" s="418"/>
      <c r="R12" s="437"/>
      <c r="S12" s="437"/>
    </row>
    <row r="13" spans="1:19" ht="55.65">
      <c r="A13" s="413">
        <f>A12+A6*1+4+10</f>
        <v>213</v>
      </c>
      <c r="B13" s="413" t="s">
        <v>539</v>
      </c>
      <c r="C13" s="420" t="s">
        <v>987</v>
      </c>
      <c r="D13" s="413" t="s">
        <v>543</v>
      </c>
      <c r="E13" s="420" t="s">
        <v>544</v>
      </c>
      <c r="F13" s="421">
        <f t="shared" si="6"/>
        <v>0.65666000000000002</v>
      </c>
      <c r="G13" s="422"/>
      <c r="H13" s="421">
        <f t="shared" si="3"/>
        <v>0.65666000000000002</v>
      </c>
      <c r="I13" s="421">
        <f t="shared" si="4"/>
        <v>139.86858000000001</v>
      </c>
      <c r="J13" s="204"/>
      <c r="M13" s="437"/>
      <c r="N13" s="437"/>
      <c r="O13" s="418">
        <f t="shared" si="7"/>
        <v>139.86858000000001</v>
      </c>
      <c r="P13" s="418"/>
      <c r="Q13" s="418"/>
      <c r="R13" s="437"/>
      <c r="S13" s="437"/>
    </row>
    <row r="14" spans="1:19" ht="22.25">
      <c r="A14" s="413">
        <v>24</v>
      </c>
      <c r="B14" s="413" t="s">
        <v>522</v>
      </c>
      <c r="C14" s="420" t="s">
        <v>1074</v>
      </c>
      <c r="D14" s="413"/>
      <c r="E14" s="420" t="s">
        <v>1079</v>
      </c>
      <c r="F14" s="421">
        <v>1.3</v>
      </c>
      <c r="G14" s="422"/>
      <c r="H14" s="421">
        <f t="shared" si="3"/>
        <v>1.3</v>
      </c>
      <c r="I14" s="421">
        <f t="shared" si="4"/>
        <v>31.200000000000003</v>
      </c>
      <c r="J14" s="204"/>
      <c r="M14" s="437"/>
      <c r="N14" s="437"/>
      <c r="O14" s="418">
        <f t="shared" si="7"/>
        <v>31.200000000000003</v>
      </c>
      <c r="P14" s="437"/>
      <c r="Q14" s="437"/>
      <c r="R14" s="418"/>
      <c r="S14" s="437"/>
    </row>
    <row r="15" spans="1:19" ht="22.25">
      <c r="A15" s="413">
        <v>24</v>
      </c>
      <c r="B15" s="413" t="s">
        <v>522</v>
      </c>
      <c r="C15" s="420" t="s">
        <v>1074</v>
      </c>
      <c r="D15" s="413"/>
      <c r="E15" s="420" t="s">
        <v>1080</v>
      </c>
      <c r="F15" s="421">
        <v>0.98</v>
      </c>
      <c r="G15" s="422"/>
      <c r="H15" s="421">
        <f t="shared" si="3"/>
        <v>0.98</v>
      </c>
      <c r="I15" s="421">
        <f t="shared" si="4"/>
        <v>23.52</v>
      </c>
      <c r="J15" s="204"/>
      <c r="M15" s="437"/>
      <c r="N15" s="437"/>
      <c r="O15" s="418">
        <f t="shared" si="7"/>
        <v>23.52</v>
      </c>
      <c r="P15" s="437"/>
      <c r="Q15" s="437"/>
      <c r="R15" s="418"/>
      <c r="S15" s="437"/>
    </row>
    <row r="16" spans="1:19" ht="55.65">
      <c r="A16" s="413">
        <v>1</v>
      </c>
      <c r="B16" s="413" t="s">
        <v>505</v>
      </c>
      <c r="C16" s="424" t="s">
        <v>1074</v>
      </c>
      <c r="D16" s="423"/>
      <c r="E16" s="424" t="s">
        <v>1024</v>
      </c>
      <c r="F16" s="425">
        <v>1674</v>
      </c>
      <c r="G16" s="426"/>
      <c r="H16" s="425">
        <f t="shared" si="3"/>
        <v>1674</v>
      </c>
      <c r="I16" s="421">
        <f t="shared" si="4"/>
        <v>1674</v>
      </c>
      <c r="J16" s="204" t="s">
        <v>2000</v>
      </c>
      <c r="M16" s="437"/>
      <c r="N16" s="418">
        <f t="shared" ref="N16:N19" si="8">I16</f>
        <v>1674</v>
      </c>
      <c r="O16" s="437"/>
      <c r="P16" s="437"/>
      <c r="Q16" s="437"/>
      <c r="R16" s="437"/>
      <c r="S16" s="437"/>
    </row>
    <row r="17" spans="1:19" ht="22.25">
      <c r="A17" s="413">
        <v>35</v>
      </c>
      <c r="B17" s="413" t="s">
        <v>505</v>
      </c>
      <c r="C17" s="420" t="s">
        <v>534</v>
      </c>
      <c r="D17" s="413"/>
      <c r="E17" s="420" t="s">
        <v>1081</v>
      </c>
      <c r="F17" s="421">
        <v>43.2</v>
      </c>
      <c r="G17" s="410"/>
      <c r="H17" s="409">
        <f t="shared" si="3"/>
        <v>43.2</v>
      </c>
      <c r="I17" s="409">
        <f t="shared" si="4"/>
        <v>1512</v>
      </c>
      <c r="J17" s="204"/>
      <c r="M17" s="437"/>
      <c r="N17" s="418">
        <f t="shared" si="8"/>
        <v>1512</v>
      </c>
      <c r="O17" s="437"/>
      <c r="P17" s="437"/>
      <c r="Q17" s="437"/>
      <c r="R17" s="437"/>
      <c r="S17" s="437"/>
    </row>
    <row r="18" spans="1:19" ht="22.25">
      <c r="A18" s="413">
        <v>34</v>
      </c>
      <c r="B18" s="413" t="s">
        <v>505</v>
      </c>
      <c r="C18" s="420" t="s">
        <v>786</v>
      </c>
      <c r="D18" s="413"/>
      <c r="E18" s="420" t="s">
        <v>1029</v>
      </c>
      <c r="F18" s="421">
        <v>40.799999999999997</v>
      </c>
      <c r="G18" s="410"/>
      <c r="H18" s="409">
        <f t="shared" si="3"/>
        <v>40.799999999999997</v>
      </c>
      <c r="I18" s="409">
        <f t="shared" si="4"/>
        <v>1387.1999999999998</v>
      </c>
      <c r="J18" s="204"/>
      <c r="M18" s="437"/>
      <c r="N18" s="418">
        <f t="shared" si="8"/>
        <v>1387.1999999999998</v>
      </c>
      <c r="O18" s="437"/>
      <c r="P18" s="437"/>
      <c r="Q18" s="437"/>
      <c r="R18" s="437"/>
      <c r="S18" s="437"/>
    </row>
    <row r="19" spans="1:19" ht="22.25">
      <c r="A19" s="413">
        <v>1</v>
      </c>
      <c r="B19" s="413" t="s">
        <v>505</v>
      </c>
      <c r="C19" s="420" t="s">
        <v>786</v>
      </c>
      <c r="D19" s="413"/>
      <c r="E19" s="420" t="s">
        <v>1036</v>
      </c>
      <c r="F19" s="421">
        <v>36.619999999999997</v>
      </c>
      <c r="G19" s="410"/>
      <c r="H19" s="409">
        <f t="shared" si="3"/>
        <v>36.619999999999997</v>
      </c>
      <c r="I19" s="409">
        <f t="shared" si="4"/>
        <v>36.619999999999997</v>
      </c>
      <c r="J19" s="204"/>
      <c r="M19" s="437"/>
      <c r="N19" s="418">
        <f t="shared" si="8"/>
        <v>36.619999999999997</v>
      </c>
      <c r="O19" s="437"/>
      <c r="P19" s="437"/>
      <c r="Q19" s="437"/>
      <c r="R19" s="437"/>
      <c r="S19" s="437"/>
    </row>
    <row r="20" spans="1:19" ht="55.65">
      <c r="A20" s="413">
        <v>6</v>
      </c>
      <c r="B20" s="413" t="s">
        <v>522</v>
      </c>
      <c r="C20" s="420" t="s">
        <v>987</v>
      </c>
      <c r="D20" s="413" t="s">
        <v>761</v>
      </c>
      <c r="E20" s="420" t="s">
        <v>762</v>
      </c>
      <c r="F20" s="421">
        <v>2.5</v>
      </c>
      <c r="G20" s="422"/>
      <c r="H20" s="421">
        <f t="shared" si="3"/>
        <v>2.5</v>
      </c>
      <c r="I20" s="421">
        <f t="shared" si="4"/>
        <v>15</v>
      </c>
      <c r="J20" s="204"/>
      <c r="M20" s="437"/>
      <c r="N20" s="437"/>
      <c r="O20" s="437"/>
      <c r="P20" s="437"/>
      <c r="Q20" s="437"/>
      <c r="R20" s="418">
        <f t="shared" si="5"/>
        <v>15</v>
      </c>
      <c r="S20" s="437"/>
    </row>
    <row r="21" spans="1:19" ht="33.4">
      <c r="A21" s="413">
        <v>1</v>
      </c>
      <c r="B21" s="413" t="s">
        <v>522</v>
      </c>
      <c r="C21" s="420" t="s">
        <v>1479</v>
      </c>
      <c r="D21" s="413"/>
      <c r="E21" s="420" t="s">
        <v>803</v>
      </c>
      <c r="F21" s="421">
        <v>564.44000000000005</v>
      </c>
      <c r="G21" s="422"/>
      <c r="H21" s="421">
        <f t="shared" si="3"/>
        <v>564.44000000000005</v>
      </c>
      <c r="I21" s="421">
        <f t="shared" si="4"/>
        <v>564.44000000000005</v>
      </c>
      <c r="J21" s="1054"/>
      <c r="K21" s="1054"/>
      <c r="L21" s="1054"/>
      <c r="M21" s="437"/>
      <c r="N21" s="437"/>
      <c r="O21" s="437"/>
      <c r="P21" s="437"/>
      <c r="Q21" s="437"/>
      <c r="R21" s="418">
        <f t="shared" si="5"/>
        <v>564.44000000000005</v>
      </c>
      <c r="S21" s="437"/>
    </row>
    <row r="22" spans="1:19">
      <c r="A22" s="407"/>
      <c r="B22" s="407"/>
      <c r="C22" s="408"/>
      <c r="D22" s="407"/>
      <c r="E22" s="408"/>
      <c r="F22" s="409"/>
      <c r="G22" s="410"/>
      <c r="H22" s="409">
        <f t="shared" si="3"/>
        <v>0</v>
      </c>
      <c r="I22" s="409">
        <f t="shared" si="4"/>
        <v>0</v>
      </c>
      <c r="J22" s="204"/>
      <c r="M22" s="437"/>
      <c r="N22" s="437"/>
      <c r="O22" s="437"/>
      <c r="P22" s="437"/>
      <c r="Q22" s="437"/>
      <c r="R22" s="418">
        <f t="shared" si="5"/>
        <v>0</v>
      </c>
      <c r="S22" s="437"/>
    </row>
    <row r="23" spans="1:19" ht="22.25">
      <c r="A23" s="407">
        <v>1</v>
      </c>
      <c r="B23" s="407" t="s">
        <v>522</v>
      </c>
      <c r="C23" s="408"/>
      <c r="D23" s="407"/>
      <c r="E23" s="408" t="s">
        <v>695</v>
      </c>
      <c r="F23" s="409">
        <v>100</v>
      </c>
      <c r="G23" s="410"/>
      <c r="H23" s="409">
        <f t="shared" si="3"/>
        <v>100</v>
      </c>
      <c r="I23" s="409">
        <f t="shared" si="4"/>
        <v>100</v>
      </c>
      <c r="J23" s="204" t="s">
        <v>696</v>
      </c>
      <c r="M23" s="437"/>
      <c r="N23" s="437"/>
      <c r="O23" s="418">
        <f t="shared" si="7"/>
        <v>100</v>
      </c>
      <c r="P23" s="437"/>
      <c r="Q23" s="437"/>
      <c r="R23" s="418"/>
      <c r="S23" s="437"/>
    </row>
    <row r="24" spans="1:19" ht="22.25">
      <c r="A24" s="413">
        <v>1</v>
      </c>
      <c r="B24" s="413" t="s">
        <v>505</v>
      </c>
      <c r="C24" s="420" t="s">
        <v>534</v>
      </c>
      <c r="D24" s="413"/>
      <c r="E24" s="420" t="s">
        <v>567</v>
      </c>
      <c r="F24" s="421">
        <v>375</v>
      </c>
      <c r="G24" s="410"/>
      <c r="H24" s="409">
        <f t="shared" si="3"/>
        <v>375</v>
      </c>
      <c r="I24" s="409">
        <f t="shared" si="4"/>
        <v>375</v>
      </c>
      <c r="J24" s="204"/>
      <c r="M24" s="418">
        <f>F24</f>
        <v>375</v>
      </c>
      <c r="N24" s="437"/>
      <c r="O24" s="437"/>
      <c r="P24" s="437"/>
      <c r="Q24" s="437"/>
      <c r="R24" s="437"/>
      <c r="S24" s="437"/>
    </row>
    <row r="25" spans="1:19" ht="44.55">
      <c r="A25" s="413">
        <v>100</v>
      </c>
      <c r="B25" s="413" t="s">
        <v>539</v>
      </c>
      <c r="C25" s="420" t="s">
        <v>552</v>
      </c>
      <c r="D25" s="413"/>
      <c r="E25" s="413" t="s">
        <v>2001</v>
      </c>
      <c r="F25" s="421">
        <v>26.45</v>
      </c>
      <c r="G25" s="410"/>
      <c r="H25" s="409">
        <f t="shared" si="3"/>
        <v>26.45</v>
      </c>
      <c r="I25" s="409">
        <f t="shared" si="4"/>
        <v>2645</v>
      </c>
      <c r="J25" s="204"/>
      <c r="M25" s="418"/>
      <c r="N25" s="437"/>
      <c r="O25" s="418">
        <f t="shared" si="7"/>
        <v>2645</v>
      </c>
      <c r="P25" s="437"/>
      <c r="Q25" s="437"/>
      <c r="R25" s="437"/>
      <c r="S25" s="437"/>
    </row>
    <row r="26" spans="1:19" ht="44.55">
      <c r="A26" s="407">
        <v>1</v>
      </c>
      <c r="B26" s="407" t="s">
        <v>517</v>
      </c>
      <c r="C26" s="408" t="s">
        <v>569</v>
      </c>
      <c r="D26" s="407" t="s">
        <v>570</v>
      </c>
      <c r="E26" s="408" t="s">
        <v>571</v>
      </c>
      <c r="F26" s="409">
        <v>1040</v>
      </c>
      <c r="G26" s="429">
        <v>0.48</v>
      </c>
      <c r="H26" s="430">
        <f t="shared" si="3"/>
        <v>540.80000000000007</v>
      </c>
      <c r="I26" s="409">
        <f t="shared" si="4"/>
        <v>540.80000000000007</v>
      </c>
      <c r="J26" s="204"/>
      <c r="M26" s="418"/>
      <c r="N26" s="437"/>
      <c r="O26" s="437"/>
      <c r="P26" s="437"/>
      <c r="Q26" s="437"/>
      <c r="R26" s="437"/>
      <c r="S26" s="437">
        <f t="shared" ref="S26:S30" si="9">I26</f>
        <v>540.80000000000007</v>
      </c>
    </row>
    <row r="27" spans="1:19" ht="44.55">
      <c r="A27" s="407">
        <v>0</v>
      </c>
      <c r="B27" s="407" t="s">
        <v>517</v>
      </c>
      <c r="C27" s="492" t="s">
        <v>569</v>
      </c>
      <c r="D27" s="487" t="s">
        <v>572</v>
      </c>
      <c r="E27" s="492" t="s">
        <v>573</v>
      </c>
      <c r="F27" s="430">
        <v>1190</v>
      </c>
      <c r="G27" s="429">
        <v>0.48</v>
      </c>
      <c r="H27" s="430">
        <f t="shared" si="3"/>
        <v>618.80000000000007</v>
      </c>
      <c r="I27" s="409">
        <f t="shared" si="4"/>
        <v>0</v>
      </c>
      <c r="J27" s="204"/>
      <c r="M27" s="418"/>
      <c r="N27" s="437"/>
      <c r="O27" s="437"/>
      <c r="P27" s="437"/>
      <c r="Q27" s="437"/>
      <c r="R27" s="437"/>
      <c r="S27" s="437">
        <f t="shared" si="9"/>
        <v>0</v>
      </c>
    </row>
    <row r="28" spans="1:19">
      <c r="A28" s="407">
        <v>0</v>
      </c>
      <c r="B28" s="407" t="s">
        <v>517</v>
      </c>
      <c r="C28" s="408" t="s">
        <v>574</v>
      </c>
      <c r="D28" s="407" t="s">
        <v>575</v>
      </c>
      <c r="E28" s="407" t="s">
        <v>576</v>
      </c>
      <c r="F28" s="409">
        <v>36.700000000000003</v>
      </c>
      <c r="G28" s="410"/>
      <c r="H28" s="409">
        <f t="shared" si="3"/>
        <v>36.700000000000003</v>
      </c>
      <c r="I28" s="409">
        <f t="shared" si="4"/>
        <v>0</v>
      </c>
      <c r="J28" s="204"/>
      <c r="M28" s="418"/>
      <c r="N28" s="437"/>
      <c r="O28" s="437"/>
      <c r="P28" s="437"/>
      <c r="Q28" s="437"/>
      <c r="R28" s="437"/>
      <c r="S28" s="437">
        <f t="shared" si="9"/>
        <v>0</v>
      </c>
    </row>
    <row r="29" spans="1:19">
      <c r="A29" s="407">
        <v>5</v>
      </c>
      <c r="B29" s="407" t="s">
        <v>517</v>
      </c>
      <c r="C29" s="408" t="s">
        <v>574</v>
      </c>
      <c r="D29" s="407" t="s">
        <v>577</v>
      </c>
      <c r="E29" s="407" t="s">
        <v>578</v>
      </c>
      <c r="F29" s="409">
        <v>75</v>
      </c>
      <c r="G29" s="410"/>
      <c r="H29" s="409">
        <f t="shared" si="3"/>
        <v>75</v>
      </c>
      <c r="I29" s="409">
        <f t="shared" si="4"/>
        <v>375</v>
      </c>
      <c r="J29" s="204"/>
      <c r="M29" s="418"/>
      <c r="N29" s="437"/>
      <c r="O29" s="437"/>
      <c r="P29" s="437"/>
      <c r="Q29" s="437"/>
      <c r="R29" s="437"/>
      <c r="S29" s="437">
        <f t="shared" si="9"/>
        <v>375</v>
      </c>
    </row>
    <row r="30" spans="1:19">
      <c r="A30" s="407">
        <v>1</v>
      </c>
      <c r="B30" s="407" t="s">
        <v>517</v>
      </c>
      <c r="C30" s="408" t="s">
        <v>574</v>
      </c>
      <c r="D30" s="407"/>
      <c r="E30" s="407" t="s">
        <v>579</v>
      </c>
      <c r="F30" s="409">
        <f>35/4</f>
        <v>8.75</v>
      </c>
      <c r="G30" s="410"/>
      <c r="H30" s="409">
        <f t="shared" si="3"/>
        <v>8.75</v>
      </c>
      <c r="I30" s="409">
        <f t="shared" si="4"/>
        <v>8.75</v>
      </c>
      <c r="J30" s="204"/>
      <c r="M30" s="418"/>
      <c r="N30" s="437"/>
      <c r="O30" s="437"/>
      <c r="P30" s="437"/>
      <c r="Q30" s="437"/>
      <c r="R30" s="437"/>
      <c r="S30" s="437">
        <f t="shared" si="9"/>
        <v>8.75</v>
      </c>
    </row>
    <row r="31" spans="1:19" ht="12.45">
      <c r="A31" s="407"/>
      <c r="B31" s="407"/>
      <c r="C31" s="408"/>
      <c r="D31" s="407"/>
      <c r="E31" s="431"/>
      <c r="F31" s="409"/>
      <c r="G31" s="410"/>
      <c r="H31" s="409"/>
      <c r="I31" s="409"/>
      <c r="J31" s="204" t="s">
        <v>2002</v>
      </c>
      <c r="M31" s="418"/>
      <c r="N31" s="437"/>
      <c r="O31" s="437"/>
      <c r="P31" s="437"/>
      <c r="Q31" s="437"/>
      <c r="R31" s="437"/>
      <c r="S31" s="437"/>
    </row>
    <row r="32" spans="1:19">
      <c r="A32" s="407"/>
      <c r="B32" s="407"/>
      <c r="C32" s="408"/>
      <c r="D32" s="407"/>
      <c r="E32" s="407"/>
      <c r="F32" s="409"/>
      <c r="G32" s="410"/>
      <c r="H32" s="409"/>
      <c r="I32" s="409"/>
      <c r="J32" s="204"/>
      <c r="M32" s="437"/>
      <c r="N32" s="437"/>
      <c r="O32" s="437"/>
      <c r="P32" s="437"/>
      <c r="Q32" s="437"/>
      <c r="R32" s="437"/>
      <c r="S32" s="437"/>
    </row>
    <row r="33" spans="1:19">
      <c r="A33" s="407"/>
      <c r="B33" s="407"/>
      <c r="C33" s="408"/>
      <c r="D33" s="407"/>
      <c r="E33" s="432" t="s">
        <v>580</v>
      </c>
      <c r="F33" s="409"/>
      <c r="G33" s="410"/>
      <c r="H33" s="409"/>
      <c r="I33" s="421">
        <f>SUM(I4:I31)</f>
        <v>30799.372179999995</v>
      </c>
      <c r="J33" s="204"/>
      <c r="M33" s="418">
        <f>SUM(M4:M31)</f>
        <v>9775.6142</v>
      </c>
      <c r="N33" s="418">
        <f>SUM(N4:N31)</f>
        <v>4609.82</v>
      </c>
      <c r="O33" s="418">
        <f>SUM(O4:O31)</f>
        <v>2998.6879800000002</v>
      </c>
      <c r="P33" s="418"/>
      <c r="Q33" s="418"/>
      <c r="R33" s="418">
        <f>SUM(R4:R31)</f>
        <v>2058.1999999999998</v>
      </c>
      <c r="S33" s="418">
        <f>SUM(S4:S31)</f>
        <v>924.55000000000007</v>
      </c>
    </row>
    <row r="34" spans="1:19">
      <c r="A34" s="407"/>
      <c r="B34" s="407"/>
      <c r="C34" s="408"/>
      <c r="D34" s="407"/>
      <c r="E34" s="413" t="s">
        <v>581</v>
      </c>
      <c r="F34" s="409"/>
      <c r="G34" s="410">
        <v>0.25</v>
      </c>
      <c r="H34" s="409"/>
      <c r="I34" s="421"/>
      <c r="J34" s="204"/>
      <c r="M34" s="418"/>
      <c r="N34" s="418"/>
      <c r="O34" s="418"/>
      <c r="P34" s="418"/>
      <c r="Q34" s="418"/>
      <c r="R34" s="418"/>
      <c r="S34" s="418"/>
    </row>
    <row r="35" spans="1:19" ht="15.75">
      <c r="E35" s="433" t="s">
        <v>582</v>
      </c>
      <c r="F35" s="418"/>
      <c r="G35" s="434"/>
      <c r="H35" s="418"/>
      <c r="I35" s="435">
        <f>I33*(1+$G$34)</f>
        <v>38499.215224999993</v>
      </c>
      <c r="J35" s="436"/>
      <c r="K35" s="437"/>
      <c r="L35" s="437"/>
      <c r="M35" s="165">
        <f>M33*(1+$G$34)</f>
        <v>12219.517749999999</v>
      </c>
      <c r="N35" s="165">
        <f>N33*(1+$G$34)</f>
        <v>5762.2749999999996</v>
      </c>
      <c r="O35" s="165">
        <f>O33*(1+$G$34)</f>
        <v>3748.3599750000003</v>
      </c>
      <c r="P35" s="418"/>
      <c r="Q35" s="418"/>
      <c r="R35" s="165">
        <f>R33*(1+$G$34)</f>
        <v>2572.75</v>
      </c>
      <c r="S35" s="165">
        <f>S33*(1+$G$34)</f>
        <v>1155.6875</v>
      </c>
    </row>
    <row r="38" spans="1:19">
      <c r="E38" s="439" t="s">
        <v>585</v>
      </c>
    </row>
    <row r="39" spans="1:19">
      <c r="A39" s="441">
        <v>8</v>
      </c>
      <c r="B39" s="17" t="s">
        <v>619</v>
      </c>
      <c r="E39" s="17" t="s">
        <v>586</v>
      </c>
      <c r="F39" s="403">
        <f t="shared" ref="F39:F55" si="10">F$59</f>
        <v>55</v>
      </c>
      <c r="H39" s="403">
        <f t="shared" si="3"/>
        <v>55</v>
      </c>
      <c r="I39" s="403">
        <f t="shared" ref="I39:I61" si="11">A39*H39</f>
        <v>440</v>
      </c>
    </row>
    <row r="40" spans="1:19">
      <c r="A40" s="441">
        <f>A6/120*8*2</f>
        <v>14.533333333333333</v>
      </c>
      <c r="B40" s="17" t="s">
        <v>619</v>
      </c>
      <c r="E40" s="17" t="s">
        <v>589</v>
      </c>
      <c r="F40" s="403">
        <f t="shared" si="10"/>
        <v>55</v>
      </c>
      <c r="H40" s="403">
        <f t="shared" si="3"/>
        <v>55</v>
      </c>
      <c r="I40" s="403">
        <f t="shared" si="11"/>
        <v>799.33333333333337</v>
      </c>
      <c r="J40" s="17" t="s">
        <v>592</v>
      </c>
    </row>
    <row r="41" spans="1:19">
      <c r="A41" s="441">
        <v>4</v>
      </c>
      <c r="B41" s="17" t="s">
        <v>619</v>
      </c>
      <c r="E41" s="17" t="s">
        <v>1426</v>
      </c>
      <c r="F41" s="403">
        <f t="shared" si="10"/>
        <v>55</v>
      </c>
      <c r="H41" s="403">
        <f t="shared" si="3"/>
        <v>55</v>
      </c>
      <c r="I41" s="403">
        <f t="shared" si="11"/>
        <v>220</v>
      </c>
    </row>
    <row r="42" spans="1:19">
      <c r="A42" s="441">
        <f>A6/120*16*2</f>
        <v>29.066666666666666</v>
      </c>
      <c r="B42" s="17" t="s">
        <v>619</v>
      </c>
      <c r="E42" s="17" t="s">
        <v>591</v>
      </c>
      <c r="F42" s="403">
        <f t="shared" si="10"/>
        <v>55</v>
      </c>
      <c r="H42" s="403">
        <f t="shared" si="3"/>
        <v>55</v>
      </c>
      <c r="I42" s="403">
        <f t="shared" si="11"/>
        <v>1598.6666666666667</v>
      </c>
      <c r="J42" s="17" t="s">
        <v>592</v>
      </c>
    </row>
    <row r="43" spans="1:19">
      <c r="A43" s="441">
        <v>4</v>
      </c>
      <c r="B43" s="17" t="s">
        <v>619</v>
      </c>
      <c r="E43" s="17" t="s">
        <v>1428</v>
      </c>
      <c r="F43" s="403">
        <f t="shared" si="10"/>
        <v>55</v>
      </c>
      <c r="H43" s="403">
        <f t="shared" si="3"/>
        <v>55</v>
      </c>
      <c r="I43" s="403">
        <f t="shared" si="11"/>
        <v>220</v>
      </c>
    </row>
    <row r="44" spans="1:19">
      <c r="A44" s="441">
        <v>4</v>
      </c>
      <c r="B44" s="17" t="s">
        <v>619</v>
      </c>
      <c r="E44" s="17" t="s">
        <v>1429</v>
      </c>
      <c r="F44" s="403">
        <f t="shared" si="10"/>
        <v>55</v>
      </c>
      <c r="H44" s="403">
        <f t="shared" si="3"/>
        <v>55</v>
      </c>
      <c r="I44" s="403">
        <f t="shared" si="11"/>
        <v>220</v>
      </c>
    </row>
    <row r="45" spans="1:19">
      <c r="A45" s="441">
        <v>2</v>
      </c>
      <c r="B45" s="17" t="s">
        <v>619</v>
      </c>
      <c r="E45" s="17" t="s">
        <v>605</v>
      </c>
      <c r="F45" s="403">
        <f t="shared" si="10"/>
        <v>55</v>
      </c>
      <c r="H45" s="403">
        <f t="shared" si="3"/>
        <v>55</v>
      </c>
      <c r="I45" s="403">
        <f t="shared" si="11"/>
        <v>110</v>
      </c>
    </row>
    <row r="46" spans="1:19">
      <c r="A46" s="441">
        <v>2</v>
      </c>
      <c r="B46" s="17" t="s">
        <v>619</v>
      </c>
      <c r="E46" s="17" t="s">
        <v>607</v>
      </c>
      <c r="F46" s="403">
        <f t="shared" si="10"/>
        <v>55</v>
      </c>
      <c r="H46" s="403">
        <f t="shared" si="3"/>
        <v>55</v>
      </c>
      <c r="I46" s="403">
        <f t="shared" si="11"/>
        <v>110</v>
      </c>
    </row>
    <row r="47" spans="1:19">
      <c r="A47" s="441">
        <v>0.5</v>
      </c>
      <c r="B47" s="17" t="s">
        <v>619</v>
      </c>
      <c r="E47" s="17" t="s">
        <v>609</v>
      </c>
      <c r="F47" s="403">
        <f t="shared" si="10"/>
        <v>55</v>
      </c>
      <c r="H47" s="403">
        <f t="shared" si="3"/>
        <v>55</v>
      </c>
      <c r="I47" s="403">
        <f t="shared" si="11"/>
        <v>27.5</v>
      </c>
    </row>
    <row r="48" spans="1:19">
      <c r="A48" s="441">
        <v>8</v>
      </c>
      <c r="B48" s="17" t="s">
        <v>619</v>
      </c>
      <c r="E48" s="17" t="s">
        <v>610</v>
      </c>
      <c r="F48" s="403">
        <f t="shared" si="10"/>
        <v>55</v>
      </c>
      <c r="H48" s="403">
        <f t="shared" si="3"/>
        <v>55</v>
      </c>
      <c r="I48" s="403">
        <f t="shared" si="11"/>
        <v>440</v>
      </c>
    </row>
    <row r="49" spans="1:16">
      <c r="A49" s="441">
        <v>0.5</v>
      </c>
      <c r="B49" s="17" t="s">
        <v>619</v>
      </c>
      <c r="E49" s="17" t="s">
        <v>611</v>
      </c>
      <c r="F49" s="403">
        <f t="shared" si="10"/>
        <v>55</v>
      </c>
      <c r="H49" s="403">
        <f t="shared" si="3"/>
        <v>55</v>
      </c>
      <c r="I49" s="403">
        <f t="shared" si="11"/>
        <v>27.5</v>
      </c>
    </row>
    <row r="50" spans="1:16">
      <c r="A50" s="441">
        <v>1</v>
      </c>
      <c r="B50" s="17" t="s">
        <v>619</v>
      </c>
      <c r="E50" s="17" t="s">
        <v>1431</v>
      </c>
      <c r="F50" s="403">
        <f t="shared" si="10"/>
        <v>55</v>
      </c>
      <c r="H50" s="403">
        <f t="shared" si="3"/>
        <v>55</v>
      </c>
      <c r="I50" s="403">
        <f t="shared" si="11"/>
        <v>55</v>
      </c>
    </row>
    <row r="51" spans="1:16">
      <c r="A51" s="441">
        <f>3*2</f>
        <v>6</v>
      </c>
      <c r="B51" s="17" t="s">
        <v>619</v>
      </c>
      <c r="E51" s="17" t="s">
        <v>612</v>
      </c>
      <c r="F51" s="403">
        <f t="shared" si="10"/>
        <v>55</v>
      </c>
      <c r="H51" s="403">
        <f t="shared" si="3"/>
        <v>55</v>
      </c>
      <c r="I51" s="403">
        <f t="shared" si="11"/>
        <v>330</v>
      </c>
      <c r="J51" s="17" t="s">
        <v>613</v>
      </c>
    </row>
    <row r="52" spans="1:16">
      <c r="A52" s="441">
        <v>8</v>
      </c>
      <c r="B52" s="17" t="s">
        <v>619</v>
      </c>
      <c r="E52" s="17" t="s">
        <v>614</v>
      </c>
      <c r="F52" s="403">
        <f t="shared" si="10"/>
        <v>55</v>
      </c>
      <c r="H52" s="403">
        <f t="shared" si="3"/>
        <v>55</v>
      </c>
      <c r="I52" s="403">
        <f t="shared" si="11"/>
        <v>440</v>
      </c>
    </row>
    <row r="53" spans="1:16">
      <c r="A53" s="441">
        <v>4</v>
      </c>
      <c r="B53" s="17" t="s">
        <v>619</v>
      </c>
      <c r="E53" s="17" t="s">
        <v>615</v>
      </c>
      <c r="F53" s="403">
        <f t="shared" si="10"/>
        <v>55</v>
      </c>
      <c r="H53" s="403">
        <f t="shared" si="3"/>
        <v>55</v>
      </c>
      <c r="I53" s="403">
        <f t="shared" si="11"/>
        <v>220</v>
      </c>
    </row>
    <row r="54" spans="1:16">
      <c r="A54" s="441">
        <v>4</v>
      </c>
      <c r="B54" s="17" t="s">
        <v>619</v>
      </c>
      <c r="E54" s="17" t="s">
        <v>616</v>
      </c>
      <c r="F54" s="403">
        <f t="shared" si="10"/>
        <v>55</v>
      </c>
      <c r="H54" s="403">
        <f t="shared" si="3"/>
        <v>55</v>
      </c>
      <c r="I54" s="403">
        <f t="shared" si="11"/>
        <v>220</v>
      </c>
    </row>
    <row r="55" spans="1:16">
      <c r="A55" s="915">
        <f>65/25*12.5</f>
        <v>32.5</v>
      </c>
      <c r="B55" s="442" t="s">
        <v>619</v>
      </c>
      <c r="C55" s="446"/>
      <c r="D55" s="442"/>
      <c r="E55" s="442" t="s">
        <v>2003</v>
      </c>
      <c r="F55" s="443">
        <f t="shared" si="10"/>
        <v>55</v>
      </c>
      <c r="G55" s="444"/>
      <c r="H55" s="443">
        <f t="shared" si="3"/>
        <v>55</v>
      </c>
      <c r="I55" s="443">
        <f t="shared" si="11"/>
        <v>1787.5</v>
      </c>
      <c r="J55" s="442" t="s">
        <v>2004</v>
      </c>
    </row>
    <row r="57" spans="1:16">
      <c r="A57" s="17">
        <f>SUM(A39:A56)</f>
        <v>132.1</v>
      </c>
      <c r="B57" s="17" t="s">
        <v>619</v>
      </c>
      <c r="E57" s="17" t="s">
        <v>620</v>
      </c>
    </row>
    <row r="58" spans="1:16">
      <c r="A58" s="441">
        <v>3</v>
      </c>
      <c r="B58" s="17" t="s">
        <v>517</v>
      </c>
      <c r="E58" s="17" t="s">
        <v>621</v>
      </c>
    </row>
    <row r="59" spans="1:16">
      <c r="A59" s="17">
        <v>1</v>
      </c>
      <c r="B59" s="17" t="s">
        <v>517</v>
      </c>
      <c r="E59" s="17" t="s">
        <v>622</v>
      </c>
      <c r="F59" s="445">
        <v>55</v>
      </c>
      <c r="H59" s="403">
        <f t="shared" si="3"/>
        <v>55</v>
      </c>
      <c r="I59" s="403">
        <f t="shared" si="11"/>
        <v>55</v>
      </c>
      <c r="J59" s="17" t="s">
        <v>623</v>
      </c>
    </row>
    <row r="60" spans="1:16">
      <c r="A60" s="17">
        <f>ROUNDUP(A57/8/A58,0)</f>
        <v>6</v>
      </c>
      <c r="B60" s="17" t="s">
        <v>624</v>
      </c>
      <c r="E60" s="17" t="s">
        <v>625</v>
      </c>
      <c r="F60" s="403">
        <f>A58*8*F59</f>
        <v>1320</v>
      </c>
      <c r="H60" s="403">
        <f t="shared" si="3"/>
        <v>1320</v>
      </c>
      <c r="I60" s="403">
        <f t="shared" si="11"/>
        <v>7920</v>
      </c>
    </row>
    <row r="61" spans="1:16">
      <c r="A61" s="915">
        <v>2</v>
      </c>
      <c r="B61" s="442" t="s">
        <v>517</v>
      </c>
      <c r="C61" s="446"/>
      <c r="D61" s="442"/>
      <c r="E61" s="442" t="s">
        <v>626</v>
      </c>
      <c r="F61" s="921">
        <v>1500</v>
      </c>
      <c r="G61" s="444"/>
      <c r="H61" s="443">
        <f t="shared" si="3"/>
        <v>1500</v>
      </c>
      <c r="I61" s="443">
        <f t="shared" si="11"/>
        <v>3000</v>
      </c>
      <c r="J61" s="442" t="s">
        <v>2005</v>
      </c>
    </row>
    <row r="62" spans="1:16">
      <c r="A62" s="441"/>
      <c r="F62" s="447"/>
      <c r="H62" s="403"/>
      <c r="I62" s="403"/>
    </row>
    <row r="63" spans="1:16">
      <c r="A63" s="441"/>
      <c r="F63" s="447"/>
      <c r="H63" s="403"/>
      <c r="I63" s="403"/>
    </row>
    <row r="64" spans="1:16" ht="15.75">
      <c r="E64" s="439" t="s">
        <v>628</v>
      </c>
      <c r="I64" s="443">
        <f>SUM(I60:I63)</f>
        <v>10920</v>
      </c>
      <c r="P64" s="165">
        <f>I64</f>
        <v>10920</v>
      </c>
    </row>
    <row r="67" spans="1:11">
      <c r="E67" s="449" t="s">
        <v>630</v>
      </c>
    </row>
    <row r="68" spans="1:11">
      <c r="E68" s="449" t="s">
        <v>635</v>
      </c>
    </row>
    <row r="69" spans="1:11" ht="66.8">
      <c r="A69" s="915">
        <v>1</v>
      </c>
      <c r="B69" s="17" t="s">
        <v>517</v>
      </c>
      <c r="C69" s="204" t="s">
        <v>698</v>
      </c>
      <c r="D69" s="17" t="s">
        <v>636</v>
      </c>
      <c r="E69" s="17" t="s">
        <v>637</v>
      </c>
      <c r="F69" s="445">
        <v>1809</v>
      </c>
      <c r="G69" s="404">
        <v>0.4</v>
      </c>
      <c r="H69" s="403">
        <f t="shared" si="3"/>
        <v>1085.3999999999999</v>
      </c>
      <c r="I69" s="403">
        <f t="shared" ref="I69:I84" si="12">A69*H69</f>
        <v>1085.3999999999999</v>
      </c>
      <c r="J69" s="17" t="s">
        <v>638</v>
      </c>
      <c r="K69" s="17" t="s">
        <v>1892</v>
      </c>
    </row>
    <row r="70" spans="1:11">
      <c r="A70" s="915">
        <v>1</v>
      </c>
      <c r="B70" s="17" t="s">
        <v>517</v>
      </c>
      <c r="C70" s="204" t="s">
        <v>538</v>
      </c>
      <c r="D70" s="17" t="s">
        <v>640</v>
      </c>
      <c r="E70" s="17" t="s">
        <v>1893</v>
      </c>
      <c r="F70" s="445">
        <v>1949</v>
      </c>
      <c r="G70" s="404">
        <v>0.4</v>
      </c>
      <c r="H70" s="403">
        <f t="shared" si="3"/>
        <v>1169.3999999999999</v>
      </c>
      <c r="I70" s="403">
        <f t="shared" si="12"/>
        <v>1169.3999999999999</v>
      </c>
      <c r="J70" s="17" t="s">
        <v>638</v>
      </c>
      <c r="K70" s="17" t="s">
        <v>1894</v>
      </c>
    </row>
    <row r="71" spans="1:11">
      <c r="A71" s="441">
        <v>0</v>
      </c>
      <c r="B71" s="17" t="s">
        <v>517</v>
      </c>
      <c r="C71" s="204" t="s">
        <v>538</v>
      </c>
      <c r="D71" s="17" t="s">
        <v>640</v>
      </c>
      <c r="E71" s="17" t="s">
        <v>1895</v>
      </c>
      <c r="F71" s="445">
        <v>1949</v>
      </c>
      <c r="G71" s="404">
        <v>0.4</v>
      </c>
      <c r="H71" s="403">
        <f t="shared" si="3"/>
        <v>1169.3999999999999</v>
      </c>
      <c r="I71" s="403">
        <f t="shared" si="12"/>
        <v>0</v>
      </c>
      <c r="J71" s="17" t="s">
        <v>638</v>
      </c>
      <c r="K71" s="17" t="s">
        <v>1894</v>
      </c>
    </row>
    <row r="72" spans="1:11">
      <c r="A72" s="915">
        <v>1</v>
      </c>
      <c r="B72" s="17" t="s">
        <v>517</v>
      </c>
      <c r="C72" s="204" t="s">
        <v>538</v>
      </c>
      <c r="D72" s="17" t="s">
        <v>640</v>
      </c>
      <c r="E72" s="17" t="s">
        <v>1896</v>
      </c>
      <c r="F72" s="445">
        <v>2447</v>
      </c>
      <c r="G72" s="404">
        <v>0.4</v>
      </c>
      <c r="H72" s="403">
        <f t="shared" si="3"/>
        <v>1468.2</v>
      </c>
      <c r="I72" s="403">
        <f t="shared" si="12"/>
        <v>1468.2</v>
      </c>
      <c r="J72" s="17" t="s">
        <v>638</v>
      </c>
      <c r="K72" s="17" t="s">
        <v>1894</v>
      </c>
    </row>
    <row r="73" spans="1:11">
      <c r="A73" s="441">
        <v>0</v>
      </c>
      <c r="B73" s="17" t="s">
        <v>517</v>
      </c>
      <c r="C73" s="204" t="s">
        <v>538</v>
      </c>
      <c r="D73" s="17" t="s">
        <v>640</v>
      </c>
      <c r="E73" s="17" t="s">
        <v>1897</v>
      </c>
      <c r="F73" s="445">
        <v>4395</v>
      </c>
      <c r="G73" s="404">
        <v>0.4</v>
      </c>
      <c r="H73" s="403">
        <f t="shared" si="3"/>
        <v>2637</v>
      </c>
      <c r="I73" s="403">
        <f t="shared" si="12"/>
        <v>0</v>
      </c>
      <c r="J73" s="17" t="s">
        <v>638</v>
      </c>
      <c r="K73" s="17" t="s">
        <v>1894</v>
      </c>
    </row>
    <row r="74" spans="1:11">
      <c r="A74" s="441">
        <v>0</v>
      </c>
      <c r="B74" s="17" t="s">
        <v>517</v>
      </c>
      <c r="C74" s="204" t="s">
        <v>538</v>
      </c>
      <c r="D74" s="17" t="s">
        <v>640</v>
      </c>
      <c r="E74" s="17" t="s">
        <v>1898</v>
      </c>
      <c r="F74" s="445">
        <v>21206</v>
      </c>
      <c r="G74" s="404">
        <v>0.4</v>
      </c>
      <c r="H74" s="403">
        <f t="shared" ref="H74:H99" si="13">F74*(1-G74)</f>
        <v>12723.6</v>
      </c>
      <c r="I74" s="403">
        <f t="shared" si="12"/>
        <v>0</v>
      </c>
      <c r="J74" s="17" t="s">
        <v>638</v>
      </c>
      <c r="K74" s="17" t="s">
        <v>1894</v>
      </c>
    </row>
    <row r="75" spans="1:11">
      <c r="A75" s="915">
        <v>270</v>
      </c>
      <c r="B75" s="17" t="s">
        <v>539</v>
      </c>
      <c r="C75" s="204" t="s">
        <v>538</v>
      </c>
      <c r="D75" s="17" t="s">
        <v>643</v>
      </c>
      <c r="E75" s="17" t="s">
        <v>1899</v>
      </c>
      <c r="F75" s="445">
        <v>80</v>
      </c>
      <c r="G75" s="404">
        <v>0.4</v>
      </c>
      <c r="H75" s="403">
        <f t="shared" si="13"/>
        <v>48</v>
      </c>
      <c r="I75" s="403">
        <f t="shared" si="12"/>
        <v>12960</v>
      </c>
      <c r="J75" s="17" t="s">
        <v>638</v>
      </c>
      <c r="K75" s="17" t="s">
        <v>1894</v>
      </c>
    </row>
    <row r="76" spans="1:11">
      <c r="A76" s="441">
        <v>0</v>
      </c>
      <c r="B76" s="17" t="s">
        <v>539</v>
      </c>
      <c r="C76" s="204" t="s">
        <v>538</v>
      </c>
      <c r="D76" s="17" t="s">
        <v>643</v>
      </c>
      <c r="E76" s="17" t="s">
        <v>1900</v>
      </c>
      <c r="F76" s="445">
        <v>108</v>
      </c>
      <c r="G76" s="404">
        <v>0.4</v>
      </c>
      <c r="H76" s="403">
        <f t="shared" si="13"/>
        <v>64.8</v>
      </c>
      <c r="I76" s="403">
        <f t="shared" si="12"/>
        <v>0</v>
      </c>
      <c r="J76" s="17" t="s">
        <v>638</v>
      </c>
      <c r="K76" s="17" t="s">
        <v>1894</v>
      </c>
    </row>
    <row r="77" spans="1:11">
      <c r="A77" s="204"/>
      <c r="F77" s="445"/>
      <c r="H77" s="403"/>
      <c r="I77" s="403"/>
    </row>
    <row r="78" spans="1:11">
      <c r="A78" s="204"/>
      <c r="E78" s="449" t="s">
        <v>1901</v>
      </c>
      <c r="F78" s="445"/>
      <c r="H78" s="403"/>
      <c r="I78" s="403"/>
    </row>
    <row r="79" spans="1:11">
      <c r="A79" s="441">
        <v>0</v>
      </c>
      <c r="B79" s="17" t="s">
        <v>517</v>
      </c>
      <c r="C79" s="204" t="s">
        <v>1902</v>
      </c>
      <c r="D79" s="17" t="s">
        <v>636</v>
      </c>
      <c r="E79" s="17" t="s">
        <v>1903</v>
      </c>
      <c r="F79" s="445">
        <v>2507</v>
      </c>
      <c r="G79" s="404">
        <v>0.4</v>
      </c>
      <c r="H79" s="403">
        <f t="shared" si="13"/>
        <v>1504.2</v>
      </c>
      <c r="I79" s="403">
        <f t="shared" si="12"/>
        <v>0</v>
      </c>
      <c r="J79" s="17" t="s">
        <v>638</v>
      </c>
      <c r="K79" s="17" t="s">
        <v>1904</v>
      </c>
    </row>
    <row r="80" spans="1:11">
      <c r="A80" s="441">
        <v>0</v>
      </c>
      <c r="B80" s="17" t="s">
        <v>517</v>
      </c>
      <c r="C80" s="204" t="s">
        <v>1902</v>
      </c>
      <c r="D80" s="17" t="s">
        <v>636</v>
      </c>
      <c r="E80" s="17" t="s">
        <v>1905</v>
      </c>
      <c r="F80" s="445">
        <v>2913</v>
      </c>
      <c r="G80" s="404">
        <v>0.4</v>
      </c>
      <c r="H80" s="403">
        <f t="shared" si="13"/>
        <v>1747.8</v>
      </c>
      <c r="I80" s="403">
        <f t="shared" si="12"/>
        <v>0</v>
      </c>
      <c r="J80" s="17" t="s">
        <v>638</v>
      </c>
      <c r="K80" s="17" t="s">
        <v>1904</v>
      </c>
    </row>
    <row r="81" spans="1:17">
      <c r="A81" s="441">
        <v>0</v>
      </c>
      <c r="B81" s="17" t="s">
        <v>539</v>
      </c>
      <c r="C81" s="204" t="s">
        <v>1902</v>
      </c>
      <c r="D81" s="17" t="s">
        <v>670</v>
      </c>
      <c r="E81" s="17" t="s">
        <v>1906</v>
      </c>
      <c r="F81" s="445">
        <v>107</v>
      </c>
      <c r="G81" s="404">
        <v>0.4</v>
      </c>
      <c r="H81" s="403">
        <f t="shared" si="13"/>
        <v>64.2</v>
      </c>
      <c r="I81" s="403">
        <f t="shared" si="12"/>
        <v>0</v>
      </c>
      <c r="J81" s="17" t="s">
        <v>638</v>
      </c>
      <c r="K81" s="17" t="s">
        <v>1904</v>
      </c>
    </row>
    <row r="82" spans="1:17">
      <c r="A82" s="441">
        <v>0</v>
      </c>
      <c r="B82" s="17" t="s">
        <v>539</v>
      </c>
      <c r="C82" s="204" t="s">
        <v>1902</v>
      </c>
      <c r="D82" s="17" t="s">
        <v>670</v>
      </c>
      <c r="E82" s="17" t="s">
        <v>1907</v>
      </c>
      <c r="F82" s="445">
        <v>108</v>
      </c>
      <c r="G82" s="404">
        <v>0.4</v>
      </c>
      <c r="H82" s="403">
        <f t="shared" si="13"/>
        <v>64.8</v>
      </c>
      <c r="I82" s="403">
        <f t="shared" si="12"/>
        <v>0</v>
      </c>
      <c r="J82" s="17" t="s">
        <v>638</v>
      </c>
      <c r="K82" s="17" t="s">
        <v>1904</v>
      </c>
    </row>
    <row r="83" spans="1:17">
      <c r="A83" s="441">
        <v>0</v>
      </c>
      <c r="B83" s="17" t="s">
        <v>517</v>
      </c>
      <c r="C83" s="204" t="s">
        <v>1902</v>
      </c>
      <c r="D83" s="17" t="s">
        <v>640</v>
      </c>
      <c r="E83" s="17" t="s">
        <v>1908</v>
      </c>
      <c r="F83" s="445">
        <v>1965</v>
      </c>
      <c r="G83" s="404">
        <v>0.4</v>
      </c>
      <c r="H83" s="403">
        <f t="shared" si="13"/>
        <v>1179</v>
      </c>
      <c r="I83" s="403">
        <f t="shared" si="12"/>
        <v>0</v>
      </c>
      <c r="J83" s="17" t="s">
        <v>638</v>
      </c>
      <c r="K83" s="17" t="s">
        <v>1904</v>
      </c>
    </row>
    <row r="84" spans="1:17">
      <c r="A84" s="441">
        <v>0</v>
      </c>
      <c r="B84" s="17" t="s">
        <v>539</v>
      </c>
      <c r="C84" s="204" t="s">
        <v>1902</v>
      </c>
      <c r="D84" s="17" t="s">
        <v>643</v>
      </c>
      <c r="E84" s="17" t="s">
        <v>1909</v>
      </c>
      <c r="F84" s="445">
        <v>95</v>
      </c>
      <c r="G84" s="404">
        <v>0.4</v>
      </c>
      <c r="H84" s="403">
        <f t="shared" si="13"/>
        <v>57</v>
      </c>
      <c r="I84" s="403">
        <f t="shared" si="12"/>
        <v>0</v>
      </c>
      <c r="J84" s="17" t="s">
        <v>638</v>
      </c>
      <c r="K84" s="17" t="s">
        <v>1904</v>
      </c>
    </row>
    <row r="85" spans="1:17">
      <c r="A85" s="204"/>
      <c r="F85" s="485"/>
      <c r="H85" s="403"/>
      <c r="I85" s="403"/>
    </row>
    <row r="86" spans="1:17" ht="15.75">
      <c r="E86" s="439" t="s">
        <v>676</v>
      </c>
      <c r="I86" s="443">
        <f>SUM(I69:I85)</f>
        <v>16683</v>
      </c>
      <c r="Q86" s="165">
        <f>I86</f>
        <v>16683</v>
      </c>
    </row>
    <row r="88" spans="1:17" ht="13.75" customHeight="1">
      <c r="A88" s="986" t="s">
        <v>100</v>
      </c>
      <c r="B88" s="986"/>
      <c r="C88" s="986"/>
      <c r="D88" s="986"/>
      <c r="E88" s="986"/>
    </row>
    <row r="95" spans="1:17" ht="15.05" customHeight="1">
      <c r="A95" s="1002" t="s">
        <v>90</v>
      </c>
      <c r="B95" s="1002"/>
      <c r="C95" s="1002"/>
      <c r="D95" s="1002"/>
      <c r="E95" s="1002"/>
    </row>
    <row r="97" spans="1:10" ht="13.75">
      <c r="A97" s="17">
        <v>1</v>
      </c>
      <c r="B97" s="17" t="s">
        <v>517</v>
      </c>
      <c r="E97" s="17" t="s">
        <v>703</v>
      </c>
      <c r="F97" s="403">
        <f>2794.79/3</f>
        <v>931.59666666666669</v>
      </c>
      <c r="H97" s="403">
        <f t="shared" si="13"/>
        <v>931.59666666666669</v>
      </c>
      <c r="I97" s="403">
        <f t="shared" ref="I97:I99" si="14">A97*H97</f>
        <v>931.59666666666669</v>
      </c>
      <c r="J97" s="494" t="s">
        <v>2006</v>
      </c>
    </row>
    <row r="98" spans="1:10">
      <c r="A98" s="17">
        <v>1</v>
      </c>
      <c r="B98" s="17" t="s">
        <v>517</v>
      </c>
      <c r="E98" s="17" t="s">
        <v>705</v>
      </c>
      <c r="F98" s="403">
        <v>287.14999999999998</v>
      </c>
      <c r="H98" s="403">
        <f t="shared" si="13"/>
        <v>287.14999999999998</v>
      </c>
      <c r="I98" s="403">
        <f t="shared" si="14"/>
        <v>287.14999999999998</v>
      </c>
    </row>
    <row r="99" spans="1:10">
      <c r="A99" s="17">
        <v>1</v>
      </c>
      <c r="B99" s="17" t="s">
        <v>517</v>
      </c>
      <c r="E99" s="17" t="s">
        <v>707</v>
      </c>
      <c r="F99" s="403">
        <v>1500</v>
      </c>
      <c r="H99" s="403">
        <f t="shared" si="13"/>
        <v>1500</v>
      </c>
      <c r="I99" s="403">
        <f t="shared" si="14"/>
        <v>1500</v>
      </c>
      <c r="J99" s="17" t="s">
        <v>1483</v>
      </c>
    </row>
    <row r="100" spans="1:10" ht="55.65">
      <c r="A100" s="17">
        <v>1</v>
      </c>
      <c r="B100" s="17" t="s">
        <v>517</v>
      </c>
      <c r="C100" s="204" t="s">
        <v>708</v>
      </c>
      <c r="E100" s="204" t="s">
        <v>709</v>
      </c>
      <c r="F100" s="403">
        <v>460</v>
      </c>
      <c r="H100" s="403">
        <f t="shared" ref="H100:H109" si="15">F100*(1-G100)</f>
        <v>460</v>
      </c>
      <c r="I100" s="403">
        <f t="shared" ref="I100:I102" si="16">A100*H100</f>
        <v>460</v>
      </c>
      <c r="J100" s="17" t="s">
        <v>710</v>
      </c>
    </row>
    <row r="101" spans="1:10" ht="55.65">
      <c r="A101" s="17">
        <v>0</v>
      </c>
      <c r="B101" s="17" t="s">
        <v>517</v>
      </c>
      <c r="C101" s="204" t="s">
        <v>711</v>
      </c>
      <c r="E101" s="204" t="s">
        <v>712</v>
      </c>
      <c r="F101" s="403">
        <v>320</v>
      </c>
      <c r="H101" s="403">
        <f t="shared" si="15"/>
        <v>320</v>
      </c>
      <c r="I101" s="403">
        <f t="shared" si="16"/>
        <v>0</v>
      </c>
    </row>
    <row r="102" spans="1:10" ht="55.65">
      <c r="A102" s="17">
        <v>0</v>
      </c>
      <c r="B102" s="17" t="s">
        <v>517</v>
      </c>
      <c r="C102" s="17" t="s">
        <v>713</v>
      </c>
      <c r="D102" s="17" t="s">
        <v>714</v>
      </c>
      <c r="E102" s="204" t="s">
        <v>715</v>
      </c>
      <c r="F102" s="403">
        <v>2725</v>
      </c>
      <c r="H102" s="403">
        <f t="shared" si="15"/>
        <v>2725</v>
      </c>
      <c r="I102" s="403">
        <f t="shared" si="16"/>
        <v>0</v>
      </c>
    </row>
    <row r="104" spans="1:10" ht="15.75">
      <c r="E104" s="439" t="s">
        <v>729</v>
      </c>
      <c r="I104" s="168">
        <f>SUM(I95:I103)</f>
        <v>3178.7466666666669</v>
      </c>
    </row>
    <row r="106" spans="1:10" ht="13.75" customHeight="1">
      <c r="A106" s="997" t="s">
        <v>68</v>
      </c>
      <c r="B106" s="997"/>
      <c r="C106" s="997"/>
      <c r="D106" s="997"/>
      <c r="E106" s="997"/>
    </row>
    <row r="107" spans="1:10">
      <c r="A107" s="17">
        <v>1</v>
      </c>
      <c r="B107" s="17" t="s">
        <v>517</v>
      </c>
      <c r="E107" s="17" t="s">
        <v>730</v>
      </c>
      <c r="F107" s="403">
        <v>500</v>
      </c>
      <c r="H107" s="403">
        <f t="shared" si="15"/>
        <v>500</v>
      </c>
      <c r="I107" s="403">
        <f t="shared" ref="I107:I109" si="17">A107*H107</f>
        <v>500</v>
      </c>
      <c r="J107" s="17" t="s">
        <v>696</v>
      </c>
    </row>
    <row r="108" spans="1:10" ht="55.65">
      <c r="A108" s="17">
        <v>1</v>
      </c>
      <c r="B108" s="17" t="s">
        <v>517</v>
      </c>
      <c r="C108" s="204" t="s">
        <v>708</v>
      </c>
      <c r="E108" s="204" t="s">
        <v>731</v>
      </c>
      <c r="F108" s="403">
        <f>460/2</f>
        <v>230</v>
      </c>
      <c r="H108" s="403">
        <f t="shared" si="15"/>
        <v>230</v>
      </c>
      <c r="I108" s="403">
        <f t="shared" si="17"/>
        <v>230</v>
      </c>
    </row>
    <row r="109" spans="1:10" ht="55.65">
      <c r="A109" s="17">
        <v>0</v>
      </c>
      <c r="B109" s="17" t="s">
        <v>517</v>
      </c>
      <c r="C109" s="204" t="s">
        <v>711</v>
      </c>
      <c r="E109" s="204" t="s">
        <v>732</v>
      </c>
      <c r="F109" s="403">
        <f>320/2</f>
        <v>160</v>
      </c>
      <c r="H109" s="403">
        <f t="shared" si="15"/>
        <v>160</v>
      </c>
      <c r="I109" s="403">
        <f t="shared" si="17"/>
        <v>0</v>
      </c>
    </row>
    <row r="111" spans="1:10" ht="15.75">
      <c r="E111" s="439" t="s">
        <v>733</v>
      </c>
      <c r="I111" s="168">
        <f>SUM(I106:I110)</f>
        <v>730</v>
      </c>
    </row>
    <row r="112" spans="1:10">
      <c r="E112" s="439"/>
    </row>
  </sheetData>
  <mergeCells count="6">
    <mergeCell ref="A106:E106"/>
    <mergeCell ref="B1:F1"/>
    <mergeCell ref="A2:G2"/>
    <mergeCell ref="J21:L21"/>
    <mergeCell ref="A88:E88"/>
    <mergeCell ref="A95:E9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9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28515625" style="17" customWidth="1"/>
    <col min="2" max="2" width="3.5703125" style="17" customWidth="1"/>
    <col min="3" max="3" width="12.42578125" style="204" customWidth="1"/>
    <col min="4" max="4" width="17.85546875" style="17" customWidth="1"/>
    <col min="5" max="5" width="39" style="17" customWidth="1"/>
    <col min="6" max="6" width="10.140625" style="403"/>
    <col min="7" max="7" width="10.140625" style="404"/>
    <col min="8" max="9" width="10.140625" style="17"/>
    <col min="10" max="10" width="20.140625" style="17" customWidth="1"/>
    <col min="11" max="64" width="10.140625" style="17"/>
  </cols>
  <sheetData>
    <row r="1" spans="1:19" ht="15.05">
      <c r="B1" s="1058" t="s">
        <v>262</v>
      </c>
      <c r="C1" s="1058"/>
      <c r="D1" s="1058"/>
      <c r="E1" s="1058"/>
      <c r="F1" s="1058"/>
      <c r="H1" s="405" t="s">
        <v>493</v>
      </c>
      <c r="I1" s="406">
        <v>310</v>
      </c>
      <c r="J1" s="17" t="s">
        <v>494</v>
      </c>
      <c r="K1" s="17" t="s">
        <v>495</v>
      </c>
      <c r="L1" s="58">
        <f>A4*I1</f>
        <v>30690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44.55">
      <c r="A4" s="423">
        <v>99</v>
      </c>
      <c r="B4" s="423" t="s">
        <v>522</v>
      </c>
      <c r="C4" s="424" t="s">
        <v>817</v>
      </c>
      <c r="D4" s="423" t="s">
        <v>1066</v>
      </c>
      <c r="E4" s="424" t="s">
        <v>1067</v>
      </c>
      <c r="F4" s="421">
        <v>91.74</v>
      </c>
      <c r="G4" s="410"/>
      <c r="H4" s="409">
        <f t="shared" ref="H4:H9" si="0">F4*(1-G4)</f>
        <v>91.74</v>
      </c>
      <c r="I4" s="409">
        <f t="shared" ref="I4:I9" si="1">A4*H4</f>
        <v>9082.26</v>
      </c>
      <c r="J4" s="204"/>
      <c r="K4" s="403"/>
      <c r="L4" s="404"/>
      <c r="M4" s="418">
        <f t="shared" ref="M4:M6" si="2">I4</f>
        <v>9082.26</v>
      </c>
      <c r="N4" s="437"/>
      <c r="O4" s="437"/>
      <c r="P4" s="437"/>
      <c r="Q4" s="437"/>
      <c r="R4" s="437"/>
      <c r="S4" s="437"/>
    </row>
    <row r="5" spans="1:19" ht="44.55">
      <c r="A5" s="423">
        <f>A4</f>
        <v>99</v>
      </c>
      <c r="B5" s="487" t="s">
        <v>505</v>
      </c>
      <c r="C5" s="492" t="s">
        <v>1041</v>
      </c>
      <c r="D5" s="487" t="s">
        <v>556</v>
      </c>
      <c r="E5" s="408" t="s">
        <v>1050</v>
      </c>
      <c r="F5" s="409">
        <f>1609.69/34</f>
        <v>47.343823529411765</v>
      </c>
      <c r="G5" s="428"/>
      <c r="H5" s="430">
        <f t="shared" si="0"/>
        <v>47.343823529411765</v>
      </c>
      <c r="I5" s="430">
        <f t="shared" si="1"/>
        <v>4687.038529411765</v>
      </c>
      <c r="J5" s="722"/>
      <c r="K5" s="728" t="s">
        <v>2007</v>
      </c>
      <c r="L5" s="728"/>
      <c r="M5" s="418">
        <f t="shared" si="2"/>
        <v>4687.038529411765</v>
      </c>
      <c r="N5" s="437"/>
      <c r="O5" s="437"/>
      <c r="P5" s="437"/>
      <c r="Q5" s="437"/>
      <c r="R5" s="437"/>
      <c r="S5" s="437"/>
    </row>
    <row r="6" spans="1:19">
      <c r="A6" s="423"/>
      <c r="B6" s="487"/>
      <c r="C6" s="424"/>
      <c r="D6" s="487"/>
      <c r="E6" s="424"/>
      <c r="F6" s="425"/>
      <c r="G6" s="428"/>
      <c r="H6" s="430">
        <f t="shared" si="0"/>
        <v>0</v>
      </c>
      <c r="I6" s="430">
        <f t="shared" si="1"/>
        <v>0</v>
      </c>
      <c r="J6" s="719"/>
      <c r="K6" s="728"/>
      <c r="L6" s="728"/>
      <c r="M6" s="418">
        <f t="shared" si="2"/>
        <v>0</v>
      </c>
      <c r="N6" s="437"/>
      <c r="O6" s="437"/>
      <c r="P6" s="437"/>
      <c r="Q6" s="437"/>
      <c r="R6" s="437"/>
      <c r="S6" s="437"/>
    </row>
    <row r="7" spans="1:19" ht="66.8">
      <c r="A7" s="487">
        <v>1</v>
      </c>
      <c r="B7" s="487" t="s">
        <v>522</v>
      </c>
      <c r="C7" s="492" t="s">
        <v>1030</v>
      </c>
      <c r="D7" s="407" t="s">
        <v>1015</v>
      </c>
      <c r="E7" s="408" t="s">
        <v>1016</v>
      </c>
      <c r="F7" s="409">
        <v>466.67</v>
      </c>
      <c r="G7" s="428"/>
      <c r="H7" s="430">
        <f t="shared" si="0"/>
        <v>466.67</v>
      </c>
      <c r="I7" s="430">
        <f t="shared" si="1"/>
        <v>466.67</v>
      </c>
      <c r="J7" s="719"/>
      <c r="K7" s="728"/>
      <c r="L7" s="728"/>
      <c r="M7" s="437"/>
      <c r="N7" s="437"/>
      <c r="O7" s="437"/>
      <c r="P7" s="437"/>
      <c r="Q7" s="437"/>
      <c r="R7" s="418">
        <f t="shared" ref="R7:R9" si="3">I7</f>
        <v>466.67</v>
      </c>
      <c r="S7" s="437"/>
    </row>
    <row r="8" spans="1:19" ht="66.8">
      <c r="A8" s="407">
        <v>1</v>
      </c>
      <c r="B8" s="407" t="s">
        <v>522</v>
      </c>
      <c r="C8" s="408" t="s">
        <v>987</v>
      </c>
      <c r="D8" s="407" t="s">
        <v>995</v>
      </c>
      <c r="E8" s="408" t="s">
        <v>996</v>
      </c>
      <c r="F8" s="409">
        <v>227.78</v>
      </c>
      <c r="G8" s="428"/>
      <c r="H8" s="430">
        <f t="shared" si="0"/>
        <v>227.78</v>
      </c>
      <c r="I8" s="430">
        <f t="shared" si="1"/>
        <v>227.78</v>
      </c>
      <c r="J8" s="719"/>
      <c r="K8" s="728"/>
      <c r="L8" s="728"/>
      <c r="M8" s="437"/>
      <c r="N8" s="437"/>
      <c r="O8" s="437"/>
      <c r="P8" s="437"/>
      <c r="Q8" s="437"/>
      <c r="R8" s="418">
        <f t="shared" si="3"/>
        <v>227.78</v>
      </c>
      <c r="S8" s="437"/>
    </row>
    <row r="9" spans="1:19" ht="33.4">
      <c r="A9" s="423">
        <v>1</v>
      </c>
      <c r="B9" s="423" t="s">
        <v>522</v>
      </c>
      <c r="C9" s="424" t="s">
        <v>1479</v>
      </c>
      <c r="D9" s="423"/>
      <c r="E9" s="424" t="s">
        <v>803</v>
      </c>
      <c r="F9" s="425">
        <v>564.44000000000005</v>
      </c>
      <c r="G9" s="428"/>
      <c r="H9" s="430">
        <f t="shared" si="0"/>
        <v>564.44000000000005</v>
      </c>
      <c r="I9" s="430">
        <f t="shared" si="1"/>
        <v>564.44000000000005</v>
      </c>
      <c r="J9" s="719"/>
      <c r="K9" s="728"/>
      <c r="L9" s="728"/>
      <c r="M9" s="437"/>
      <c r="N9" s="437"/>
      <c r="O9" s="437"/>
      <c r="P9" s="437"/>
      <c r="Q9" s="437"/>
      <c r="R9" s="418">
        <f t="shared" si="3"/>
        <v>564.44000000000005</v>
      </c>
      <c r="S9" s="437"/>
    </row>
    <row r="10" spans="1:19">
      <c r="A10" s="423"/>
      <c r="B10" s="423"/>
      <c r="C10" s="424"/>
      <c r="D10" s="423"/>
      <c r="E10" s="424"/>
      <c r="F10" s="425"/>
      <c r="G10" s="428"/>
      <c r="H10" s="430">
        <f t="shared" ref="H10:H68" si="4">F10*(1-G10)</f>
        <v>0</v>
      </c>
      <c r="I10" s="430">
        <f t="shared" ref="I10:I28" si="5">A10*H10</f>
        <v>0</v>
      </c>
      <c r="J10" s="719"/>
      <c r="K10" s="728"/>
      <c r="L10" s="728"/>
      <c r="M10" s="437"/>
      <c r="N10" s="437"/>
      <c r="O10" s="437"/>
      <c r="P10" s="437"/>
      <c r="Q10" s="437"/>
      <c r="R10" s="418">
        <f>I10</f>
        <v>0</v>
      </c>
      <c r="S10" s="437"/>
    </row>
    <row r="11" spans="1:19">
      <c r="A11" s="487"/>
      <c r="B11" s="487"/>
      <c r="C11" s="492"/>
      <c r="D11" s="487"/>
      <c r="E11" s="492"/>
      <c r="F11" s="430"/>
      <c r="G11" s="428"/>
      <c r="H11" s="430">
        <f t="shared" si="4"/>
        <v>0</v>
      </c>
      <c r="I11" s="430">
        <f t="shared" si="5"/>
        <v>0</v>
      </c>
      <c r="J11" s="719"/>
      <c r="K11" s="728"/>
      <c r="L11" s="728"/>
      <c r="M11" s="437"/>
      <c r="N11" s="437"/>
      <c r="O11" s="437"/>
      <c r="P11" s="437"/>
      <c r="Q11" s="437"/>
      <c r="R11" s="418"/>
      <c r="S11" s="437"/>
    </row>
    <row r="12" spans="1:19" ht="44.55">
      <c r="A12" s="407">
        <v>50</v>
      </c>
      <c r="B12" s="413" t="s">
        <v>539</v>
      </c>
      <c r="C12" s="420" t="s">
        <v>987</v>
      </c>
      <c r="D12" s="413" t="s">
        <v>541</v>
      </c>
      <c r="E12" s="420" t="s">
        <v>542</v>
      </c>
      <c r="F12" s="421">
        <f t="shared" ref="F12:F13" si="6">328.33/500</f>
        <v>0.65666000000000002</v>
      </c>
      <c r="G12" s="428"/>
      <c r="H12" s="430">
        <f t="shared" si="4"/>
        <v>0.65666000000000002</v>
      </c>
      <c r="I12" s="430">
        <f t="shared" si="5"/>
        <v>32.832999999999998</v>
      </c>
      <c r="J12" s="719" t="s">
        <v>2008</v>
      </c>
      <c r="K12" s="728"/>
      <c r="L12" s="728"/>
      <c r="M12" s="437"/>
      <c r="N12" s="437"/>
      <c r="O12" s="418">
        <f t="shared" ref="O12:O23" si="7">I12</f>
        <v>32.832999999999998</v>
      </c>
      <c r="P12" s="418"/>
      <c r="Q12" s="418"/>
      <c r="R12" s="437"/>
      <c r="S12" s="437"/>
    </row>
    <row r="13" spans="1:19" ht="44.55">
      <c r="A13" s="407">
        <v>150</v>
      </c>
      <c r="B13" s="413" t="s">
        <v>539</v>
      </c>
      <c r="C13" s="420" t="s">
        <v>987</v>
      </c>
      <c r="D13" s="413" t="s">
        <v>543</v>
      </c>
      <c r="E13" s="420" t="s">
        <v>544</v>
      </c>
      <c r="F13" s="421">
        <f t="shared" si="6"/>
        <v>0.65666000000000002</v>
      </c>
      <c r="G13" s="428"/>
      <c r="H13" s="430">
        <f t="shared" si="4"/>
        <v>0.65666000000000002</v>
      </c>
      <c r="I13" s="430">
        <f t="shared" si="5"/>
        <v>98.499000000000009</v>
      </c>
      <c r="J13" s="719" t="s">
        <v>2008</v>
      </c>
      <c r="K13" s="728"/>
      <c r="L13" s="728"/>
      <c r="M13" s="437"/>
      <c r="N13" s="437"/>
      <c r="O13" s="418">
        <f t="shared" si="7"/>
        <v>98.499000000000009</v>
      </c>
      <c r="P13" s="418"/>
      <c r="Q13" s="418"/>
      <c r="R13" s="437"/>
      <c r="S13" s="437"/>
    </row>
    <row r="14" spans="1:19" ht="22.25">
      <c r="A14" s="487">
        <v>12</v>
      </c>
      <c r="B14" s="423" t="s">
        <v>522</v>
      </c>
      <c r="C14" s="424" t="s">
        <v>1074</v>
      </c>
      <c r="D14" s="423"/>
      <c r="E14" s="424" t="s">
        <v>1079</v>
      </c>
      <c r="F14" s="425">
        <v>1.3</v>
      </c>
      <c r="G14" s="428"/>
      <c r="H14" s="430">
        <f t="shared" si="4"/>
        <v>1.3</v>
      </c>
      <c r="I14" s="430">
        <f t="shared" si="5"/>
        <v>15.600000000000001</v>
      </c>
      <c r="J14" s="719" t="s">
        <v>2009</v>
      </c>
      <c r="K14" s="728"/>
      <c r="L14" s="728"/>
      <c r="M14" s="437"/>
      <c r="N14" s="437"/>
      <c r="O14" s="418">
        <f t="shared" si="7"/>
        <v>15.600000000000001</v>
      </c>
      <c r="P14" s="437"/>
      <c r="Q14" s="437"/>
      <c r="R14" s="418"/>
      <c r="S14" s="437"/>
    </row>
    <row r="15" spans="1:19" ht="22.25">
      <c r="A15" s="487">
        <v>12</v>
      </c>
      <c r="B15" s="423" t="s">
        <v>522</v>
      </c>
      <c r="C15" s="424" t="s">
        <v>1074</v>
      </c>
      <c r="D15" s="423"/>
      <c r="E15" s="424" t="s">
        <v>1080</v>
      </c>
      <c r="F15" s="425">
        <v>0.98</v>
      </c>
      <c r="G15" s="428"/>
      <c r="H15" s="430">
        <f t="shared" si="4"/>
        <v>0.98</v>
      </c>
      <c r="I15" s="430">
        <f t="shared" si="5"/>
        <v>11.76</v>
      </c>
      <c r="J15" s="719" t="s">
        <v>2009</v>
      </c>
      <c r="K15" s="728"/>
      <c r="L15" s="728"/>
      <c r="M15" s="437"/>
      <c r="N15" s="437"/>
      <c r="O15" s="418">
        <f t="shared" si="7"/>
        <v>11.76</v>
      </c>
      <c r="P15" s="437"/>
      <c r="Q15" s="437"/>
      <c r="R15" s="418"/>
      <c r="S15" s="437"/>
    </row>
    <row r="16" spans="1:19">
      <c r="A16" s="487"/>
      <c r="B16" s="487"/>
      <c r="C16" s="492"/>
      <c r="D16" s="487"/>
      <c r="E16" s="492"/>
      <c r="F16" s="430"/>
      <c r="G16" s="428"/>
      <c r="H16" s="430">
        <f t="shared" si="4"/>
        <v>0</v>
      </c>
      <c r="I16" s="430">
        <f t="shared" si="5"/>
        <v>0</v>
      </c>
      <c r="J16" s="719"/>
      <c r="K16" s="728"/>
      <c r="L16" s="728"/>
      <c r="M16" s="437"/>
      <c r="N16" s="418">
        <f t="shared" ref="N16:N19" si="8">I16</f>
        <v>0</v>
      </c>
      <c r="O16" s="437"/>
      <c r="P16" s="437"/>
      <c r="Q16" s="437"/>
      <c r="R16" s="437"/>
      <c r="S16" s="437"/>
    </row>
    <row r="17" spans="1:19" ht="44.55">
      <c r="A17" s="423">
        <v>1</v>
      </c>
      <c r="B17" s="423" t="s">
        <v>522</v>
      </c>
      <c r="C17" s="492" t="s">
        <v>987</v>
      </c>
      <c r="D17" s="487" t="s">
        <v>821</v>
      </c>
      <c r="E17" s="492" t="s">
        <v>822</v>
      </c>
      <c r="F17" s="430">
        <v>2175.1999999999998</v>
      </c>
      <c r="G17" s="426"/>
      <c r="H17" s="430">
        <f t="shared" si="4"/>
        <v>2175.1999999999998</v>
      </c>
      <c r="I17" s="430">
        <f t="shared" si="5"/>
        <v>2175.1999999999998</v>
      </c>
      <c r="J17" s="719"/>
      <c r="K17" s="728"/>
      <c r="L17" s="728"/>
      <c r="M17" s="437"/>
      <c r="N17" s="418">
        <f t="shared" si="8"/>
        <v>2175.1999999999998</v>
      </c>
      <c r="O17" s="437"/>
      <c r="P17" s="437"/>
      <c r="Q17" s="437"/>
      <c r="R17" s="437"/>
      <c r="S17" s="437"/>
    </row>
    <row r="18" spans="1:19">
      <c r="A18" s="423"/>
      <c r="B18" s="423"/>
      <c r="C18" s="424"/>
      <c r="D18" s="423"/>
      <c r="E18" s="424"/>
      <c r="F18" s="425"/>
      <c r="G18" s="428"/>
      <c r="H18" s="430">
        <f t="shared" si="4"/>
        <v>0</v>
      </c>
      <c r="I18" s="430">
        <f t="shared" si="5"/>
        <v>0</v>
      </c>
      <c r="J18" s="719"/>
      <c r="K18" s="728"/>
      <c r="L18" s="728"/>
      <c r="M18" s="437"/>
      <c r="N18" s="418">
        <f t="shared" si="8"/>
        <v>0</v>
      </c>
      <c r="O18" s="437"/>
      <c r="P18" s="437"/>
      <c r="Q18" s="437"/>
      <c r="R18" s="437"/>
      <c r="S18" s="437"/>
    </row>
    <row r="19" spans="1:19">
      <c r="A19" s="423"/>
      <c r="B19" s="423"/>
      <c r="C19" s="424"/>
      <c r="D19" s="423"/>
      <c r="E19" s="424"/>
      <c r="F19" s="425"/>
      <c r="G19" s="428"/>
      <c r="H19" s="430">
        <f t="shared" si="4"/>
        <v>0</v>
      </c>
      <c r="I19" s="430">
        <f t="shared" si="5"/>
        <v>0</v>
      </c>
      <c r="J19" s="719"/>
      <c r="K19" s="728"/>
      <c r="L19" s="728"/>
      <c r="M19" s="437"/>
      <c r="N19" s="418">
        <f t="shared" si="8"/>
        <v>0</v>
      </c>
      <c r="O19" s="437"/>
      <c r="P19" s="437"/>
      <c r="Q19" s="437"/>
      <c r="R19" s="418"/>
      <c r="S19" s="437"/>
    </row>
    <row r="20" spans="1:19">
      <c r="A20" s="487"/>
      <c r="B20" s="487"/>
      <c r="C20" s="492"/>
      <c r="D20" s="487"/>
      <c r="E20" s="492"/>
      <c r="F20" s="430"/>
      <c r="G20" s="428"/>
      <c r="H20" s="430">
        <f t="shared" si="4"/>
        <v>0</v>
      </c>
      <c r="I20" s="430">
        <f t="shared" si="5"/>
        <v>0</v>
      </c>
      <c r="J20" s="727"/>
      <c r="K20" s="727"/>
      <c r="L20" s="727"/>
      <c r="M20" s="437"/>
      <c r="N20" s="437"/>
      <c r="O20" s="437"/>
      <c r="P20" s="437"/>
      <c r="Q20" s="437"/>
      <c r="R20" s="418"/>
      <c r="S20" s="437"/>
    </row>
    <row r="21" spans="1:19" ht="22.25">
      <c r="A21" s="407">
        <v>1</v>
      </c>
      <c r="B21" s="407" t="s">
        <v>522</v>
      </c>
      <c r="C21" s="408"/>
      <c r="D21" s="407"/>
      <c r="E21" s="408" t="s">
        <v>695</v>
      </c>
      <c r="F21" s="409">
        <v>100</v>
      </c>
      <c r="G21" s="410"/>
      <c r="H21" s="409">
        <f t="shared" si="4"/>
        <v>100</v>
      </c>
      <c r="I21" s="409">
        <f t="shared" si="5"/>
        <v>100</v>
      </c>
      <c r="J21" s="204" t="s">
        <v>696</v>
      </c>
      <c r="M21" s="437"/>
      <c r="N21" s="437"/>
      <c r="O21" s="418">
        <f t="shared" si="7"/>
        <v>100</v>
      </c>
      <c r="P21" s="437"/>
      <c r="Q21" s="437"/>
      <c r="R21" s="418"/>
      <c r="S21" s="437"/>
    </row>
    <row r="22" spans="1:19" ht="44.55">
      <c r="A22" s="487">
        <v>1</v>
      </c>
      <c r="B22" s="423"/>
      <c r="C22" s="424" t="s">
        <v>1011</v>
      </c>
      <c r="D22" s="423" t="s">
        <v>769</v>
      </c>
      <c r="E22" s="423" t="s">
        <v>567</v>
      </c>
      <c r="F22" s="425">
        <v>343.75</v>
      </c>
      <c r="G22" s="428"/>
      <c r="H22" s="430">
        <f t="shared" si="4"/>
        <v>343.75</v>
      </c>
      <c r="I22" s="430">
        <f t="shared" si="5"/>
        <v>343.75</v>
      </c>
      <c r="J22" s="719"/>
      <c r="K22" s="728"/>
      <c r="L22" s="728"/>
      <c r="M22" s="418">
        <f>F22</f>
        <v>343.75</v>
      </c>
      <c r="N22" s="437"/>
      <c r="O22" s="437"/>
      <c r="P22" s="437"/>
      <c r="Q22" s="437"/>
      <c r="R22" s="437"/>
      <c r="S22" s="437"/>
    </row>
    <row r="23" spans="1:19" ht="33.4">
      <c r="A23" s="423">
        <v>20</v>
      </c>
      <c r="B23" s="413" t="s">
        <v>539</v>
      </c>
      <c r="C23" s="408" t="s">
        <v>690</v>
      </c>
      <c r="D23" s="407"/>
      <c r="E23" s="407" t="s">
        <v>1056</v>
      </c>
      <c r="F23" s="409">
        <v>6.04</v>
      </c>
      <c r="G23" s="428"/>
      <c r="H23" s="430">
        <f t="shared" si="4"/>
        <v>6.04</v>
      </c>
      <c r="I23" s="430">
        <f t="shared" si="5"/>
        <v>120.8</v>
      </c>
      <c r="J23" s="719" t="s">
        <v>2010</v>
      </c>
      <c r="K23" s="728"/>
      <c r="L23" s="728"/>
      <c r="M23" s="418"/>
      <c r="N23" s="437"/>
      <c r="O23" s="418">
        <f t="shared" si="7"/>
        <v>120.8</v>
      </c>
      <c r="P23" s="437"/>
      <c r="Q23" s="437"/>
      <c r="R23" s="437"/>
      <c r="S23" s="437"/>
    </row>
    <row r="24" spans="1:19">
      <c r="A24" s="423"/>
      <c r="B24" s="413"/>
      <c r="C24" s="420"/>
      <c r="D24" s="413"/>
      <c r="E24" s="413"/>
      <c r="F24" s="421"/>
      <c r="G24" s="428"/>
      <c r="H24" s="430">
        <f t="shared" si="4"/>
        <v>0</v>
      </c>
      <c r="I24" s="430">
        <f t="shared" si="5"/>
        <v>0</v>
      </c>
      <c r="J24" s="719" t="s">
        <v>2009</v>
      </c>
      <c r="K24" s="728" t="s">
        <v>2011</v>
      </c>
      <c r="L24" s="728"/>
      <c r="M24" s="418"/>
      <c r="N24" s="437"/>
      <c r="O24" s="418"/>
      <c r="P24" s="437"/>
      <c r="Q24" s="437"/>
      <c r="R24" s="418">
        <f t="shared" ref="R24:R25" si="9">I24</f>
        <v>0</v>
      </c>
      <c r="S24" s="437"/>
    </row>
    <row r="25" spans="1:19">
      <c r="A25" s="487"/>
      <c r="B25" s="487"/>
      <c r="C25" s="492"/>
      <c r="D25" s="487"/>
      <c r="E25" s="487"/>
      <c r="F25" s="430"/>
      <c r="G25" s="428"/>
      <c r="H25" s="430">
        <f t="shared" si="4"/>
        <v>0</v>
      </c>
      <c r="I25" s="430">
        <f t="shared" si="5"/>
        <v>0</v>
      </c>
      <c r="J25" s="719" t="s">
        <v>2009</v>
      </c>
      <c r="K25" s="728"/>
      <c r="L25" s="728"/>
      <c r="M25" s="418"/>
      <c r="N25" s="437"/>
      <c r="O25" s="437"/>
      <c r="P25" s="437"/>
      <c r="Q25" s="437"/>
      <c r="R25" s="418">
        <f t="shared" si="9"/>
        <v>0</v>
      </c>
      <c r="S25" s="437"/>
    </row>
    <row r="26" spans="1:19" ht="33.4">
      <c r="A26" s="413">
        <v>1</v>
      </c>
      <c r="B26" s="413" t="s">
        <v>517</v>
      </c>
      <c r="C26" s="408" t="s">
        <v>569</v>
      </c>
      <c r="D26" s="407" t="s">
        <v>570</v>
      </c>
      <c r="E26" s="408" t="s">
        <v>571</v>
      </c>
      <c r="F26" s="409">
        <v>1040</v>
      </c>
      <c r="G26" s="429">
        <v>0.48</v>
      </c>
      <c r="H26" s="430">
        <f t="shared" si="4"/>
        <v>540.80000000000007</v>
      </c>
      <c r="I26" s="430">
        <f t="shared" si="5"/>
        <v>540.80000000000007</v>
      </c>
      <c r="J26" s="719"/>
      <c r="K26" s="728"/>
      <c r="L26" s="728"/>
      <c r="M26" s="418"/>
      <c r="N26" s="437"/>
      <c r="O26" s="437"/>
      <c r="P26" s="437"/>
      <c r="Q26" s="437"/>
      <c r="R26" s="437"/>
      <c r="S26" s="418">
        <f t="shared" ref="S26:S28" si="10">I26</f>
        <v>540.80000000000007</v>
      </c>
    </row>
    <row r="27" spans="1:19">
      <c r="A27" s="413">
        <v>5</v>
      </c>
      <c r="B27" s="413" t="s">
        <v>517</v>
      </c>
      <c r="C27" s="420" t="s">
        <v>574</v>
      </c>
      <c r="D27" s="413"/>
      <c r="E27" s="413" t="s">
        <v>1008</v>
      </c>
      <c r="F27" s="421">
        <v>75</v>
      </c>
      <c r="G27" s="428"/>
      <c r="H27" s="430">
        <f t="shared" si="4"/>
        <v>75</v>
      </c>
      <c r="I27" s="430">
        <f t="shared" si="5"/>
        <v>375</v>
      </c>
      <c r="J27" s="719"/>
      <c r="K27" s="728"/>
      <c r="L27" s="728"/>
      <c r="M27" s="418"/>
      <c r="N27" s="437"/>
      <c r="O27" s="437"/>
      <c r="P27" s="437"/>
      <c r="Q27" s="437"/>
      <c r="R27" s="437"/>
      <c r="S27" s="418">
        <f t="shared" si="10"/>
        <v>375</v>
      </c>
    </row>
    <row r="28" spans="1:19">
      <c r="A28" s="413">
        <v>1</v>
      </c>
      <c r="B28" s="413" t="s">
        <v>517</v>
      </c>
      <c r="C28" s="420" t="s">
        <v>574</v>
      </c>
      <c r="D28" s="413"/>
      <c r="E28" s="413" t="s">
        <v>567</v>
      </c>
      <c r="F28" s="421">
        <f>35/4</f>
        <v>8.75</v>
      </c>
      <c r="G28" s="428"/>
      <c r="H28" s="430">
        <f t="shared" si="4"/>
        <v>8.75</v>
      </c>
      <c r="I28" s="430">
        <f t="shared" si="5"/>
        <v>8.75</v>
      </c>
      <c r="J28" s="719"/>
      <c r="K28" s="728"/>
      <c r="L28" s="728"/>
      <c r="M28" s="418"/>
      <c r="N28" s="437"/>
      <c r="O28" s="437"/>
      <c r="P28" s="437"/>
      <c r="Q28" s="437"/>
      <c r="R28" s="437"/>
      <c r="S28" s="418">
        <f t="shared" si="10"/>
        <v>8.75</v>
      </c>
    </row>
    <row r="29" spans="1:19" ht="12.45">
      <c r="A29" s="487"/>
      <c r="B29" s="487"/>
      <c r="C29" s="492"/>
      <c r="D29" s="487"/>
      <c r="E29" s="744"/>
      <c r="F29" s="430"/>
      <c r="G29" s="428"/>
      <c r="H29" s="430"/>
      <c r="I29" s="430"/>
      <c r="J29" s="719"/>
      <c r="K29" s="728"/>
      <c r="L29" s="728"/>
      <c r="M29" s="418"/>
      <c r="N29" s="437"/>
      <c r="O29" s="437"/>
      <c r="P29" s="437"/>
      <c r="Q29" s="437"/>
      <c r="R29" s="437"/>
      <c r="S29" s="437"/>
    </row>
    <row r="30" spans="1:19" ht="12.45">
      <c r="A30" s="487"/>
      <c r="B30" s="487"/>
      <c r="C30" s="492"/>
      <c r="D30" s="487"/>
      <c r="E30" s="744"/>
      <c r="F30" s="430"/>
      <c r="G30" s="428"/>
      <c r="H30" s="430"/>
      <c r="I30" s="430"/>
      <c r="J30" s="719"/>
      <c r="K30" s="728"/>
      <c r="L30" s="728"/>
      <c r="M30" s="418"/>
      <c r="N30" s="437"/>
      <c r="O30" s="437"/>
      <c r="P30" s="437"/>
      <c r="Q30" s="437"/>
      <c r="R30" s="437"/>
      <c r="S30" s="437"/>
    </row>
    <row r="31" spans="1:19">
      <c r="A31" s="407"/>
      <c r="B31" s="407"/>
      <c r="C31" s="408"/>
      <c r="D31" s="407"/>
      <c r="E31" s="407"/>
      <c r="F31" s="409"/>
      <c r="G31" s="410"/>
      <c r="H31" s="409"/>
      <c r="I31" s="409"/>
      <c r="J31" s="204"/>
      <c r="M31" s="437"/>
      <c r="N31" s="437"/>
      <c r="O31" s="437"/>
      <c r="P31" s="437"/>
      <c r="Q31" s="437"/>
      <c r="R31" s="437"/>
      <c r="S31" s="437"/>
    </row>
    <row r="32" spans="1:19">
      <c r="A32" s="407"/>
      <c r="B32" s="407"/>
      <c r="C32" s="408"/>
      <c r="D32" s="407"/>
      <c r="E32" s="917" t="s">
        <v>580</v>
      </c>
      <c r="F32" s="409"/>
      <c r="G32" s="410"/>
      <c r="H32" s="409"/>
      <c r="I32" s="409">
        <f>SUM(I4:I30)</f>
        <v>18851.180529411766</v>
      </c>
      <c r="J32" s="204"/>
      <c r="M32" s="418">
        <f>SUM(M4:M30)</f>
        <v>14113.048529411764</v>
      </c>
      <c r="N32" s="418">
        <f>SUM(N4:N30)</f>
        <v>2175.1999999999998</v>
      </c>
      <c r="O32" s="418">
        <f>SUM(O4:O30)</f>
        <v>379.49200000000002</v>
      </c>
      <c r="P32" s="418"/>
      <c r="Q32" s="418"/>
      <c r="R32" s="418">
        <f>SUM(R4:R30)</f>
        <v>1258.8900000000001</v>
      </c>
      <c r="S32" s="437"/>
    </row>
    <row r="33" spans="1:19">
      <c r="A33" s="407"/>
      <c r="B33" s="407"/>
      <c r="C33" s="408"/>
      <c r="D33" s="407"/>
      <c r="E33" s="407" t="s">
        <v>581</v>
      </c>
      <c r="F33" s="409"/>
      <c r="G33" s="410">
        <v>0.25</v>
      </c>
      <c r="H33" s="409"/>
      <c r="I33" s="409"/>
      <c r="J33" s="204"/>
      <c r="M33" s="418"/>
      <c r="N33" s="418"/>
      <c r="O33" s="418"/>
      <c r="P33" s="418"/>
      <c r="Q33" s="418"/>
      <c r="R33" s="418"/>
      <c r="S33" s="437"/>
    </row>
    <row r="34" spans="1:19" ht="15.75">
      <c r="E34" s="918" t="s">
        <v>582</v>
      </c>
      <c r="F34" s="418"/>
      <c r="G34" s="434"/>
      <c r="H34" s="418"/>
      <c r="I34" s="418">
        <f>I32*(1+$G$33)</f>
        <v>23563.975661764707</v>
      </c>
      <c r="J34" s="436"/>
      <c r="K34" s="437"/>
      <c r="L34" s="437"/>
      <c r="M34" s="165">
        <f>M32*(1+$G$33)</f>
        <v>17641.310661764706</v>
      </c>
      <c r="N34" s="165">
        <f>N32*(1+$G$33)</f>
        <v>2719</v>
      </c>
      <c r="O34" s="165">
        <f>O32*(1+$G$33)</f>
        <v>474.36500000000001</v>
      </c>
      <c r="P34" s="418"/>
      <c r="Q34" s="418"/>
      <c r="R34" s="165">
        <f>R32*(1+$G$33)</f>
        <v>1573.6125000000002</v>
      </c>
      <c r="S34" s="165">
        <f>SUM(S4:S33)</f>
        <v>924.55000000000007</v>
      </c>
    </row>
    <row r="37" spans="1:19">
      <c r="E37" s="439" t="s">
        <v>585</v>
      </c>
    </row>
    <row r="38" spans="1:19">
      <c r="A38" s="441">
        <v>6</v>
      </c>
      <c r="B38" s="17" t="s">
        <v>619</v>
      </c>
      <c r="E38" s="17" t="s">
        <v>586</v>
      </c>
      <c r="F38" s="403">
        <f>F$57</f>
        <v>55</v>
      </c>
      <c r="H38" s="403">
        <f t="shared" si="4"/>
        <v>55</v>
      </c>
      <c r="I38" s="403">
        <f t="shared" ref="I38:I61" si="11">A38*H38</f>
        <v>330</v>
      </c>
      <c r="J38" s="17" t="s">
        <v>2012</v>
      </c>
    </row>
    <row r="39" spans="1:19">
      <c r="A39" s="441">
        <f>3150/50*99/30</f>
        <v>207.9</v>
      </c>
      <c r="B39" s="17" t="s">
        <v>619</v>
      </c>
      <c r="E39" s="17" t="s">
        <v>589</v>
      </c>
      <c r="F39" s="403">
        <f t="shared" ref="F39:F40" si="12">F$56</f>
        <v>0</v>
      </c>
      <c r="H39" s="403">
        <f t="shared" si="4"/>
        <v>0</v>
      </c>
      <c r="I39" s="403">
        <f t="shared" si="11"/>
        <v>0</v>
      </c>
      <c r="J39" s="17" t="s">
        <v>2013</v>
      </c>
    </row>
    <row r="40" spans="1:19">
      <c r="A40" s="441">
        <f>3.3*4/2</f>
        <v>6.6</v>
      </c>
      <c r="B40" s="17" t="s">
        <v>619</v>
      </c>
      <c r="E40" s="17" t="s">
        <v>1426</v>
      </c>
      <c r="F40" s="403">
        <f t="shared" si="12"/>
        <v>0</v>
      </c>
      <c r="H40" s="403">
        <f t="shared" si="4"/>
        <v>0</v>
      </c>
      <c r="I40" s="403">
        <f t="shared" si="11"/>
        <v>0</v>
      </c>
      <c r="J40" s="17" t="s">
        <v>1450</v>
      </c>
    </row>
    <row r="41" spans="1:19">
      <c r="A41" s="441">
        <f>7.75*A4/30</f>
        <v>25.574999999999999</v>
      </c>
      <c r="B41" s="17" t="s">
        <v>619</v>
      </c>
      <c r="E41" s="17" t="s">
        <v>591</v>
      </c>
      <c r="F41" s="403">
        <f t="shared" ref="F41:F53" si="13">F$57</f>
        <v>55</v>
      </c>
      <c r="H41" s="403">
        <f t="shared" si="4"/>
        <v>55</v>
      </c>
      <c r="I41" s="403">
        <f t="shared" si="11"/>
        <v>1406.625</v>
      </c>
      <c r="J41" s="17" t="s">
        <v>1451</v>
      </c>
    </row>
    <row r="42" spans="1:19">
      <c r="A42" s="441">
        <v>0</v>
      </c>
      <c r="B42" s="17" t="s">
        <v>619</v>
      </c>
      <c r="E42" s="17" t="s">
        <v>1428</v>
      </c>
      <c r="F42" s="403">
        <f t="shared" si="13"/>
        <v>55</v>
      </c>
      <c r="H42" s="403">
        <f t="shared" si="4"/>
        <v>55</v>
      </c>
      <c r="I42" s="403">
        <f t="shared" si="11"/>
        <v>0</v>
      </c>
      <c r="J42" s="17" t="s">
        <v>1452</v>
      </c>
    </row>
    <row r="43" spans="1:19">
      <c r="A43" s="441">
        <v>0</v>
      </c>
      <c r="B43" s="17" t="s">
        <v>619</v>
      </c>
      <c r="E43" s="17" t="s">
        <v>1429</v>
      </c>
      <c r="F43" s="403">
        <f t="shared" si="13"/>
        <v>55</v>
      </c>
      <c r="H43" s="403">
        <f t="shared" si="4"/>
        <v>55</v>
      </c>
      <c r="I43" s="403">
        <f t="shared" si="11"/>
        <v>0</v>
      </c>
      <c r="J43" s="17" t="s">
        <v>1452</v>
      </c>
    </row>
    <row r="44" spans="1:19">
      <c r="A44" s="441">
        <v>0</v>
      </c>
      <c r="B44" s="17" t="s">
        <v>619</v>
      </c>
      <c r="E44" s="17" t="s">
        <v>605</v>
      </c>
      <c r="F44" s="403">
        <f t="shared" si="13"/>
        <v>55</v>
      </c>
      <c r="H44" s="403">
        <f t="shared" si="4"/>
        <v>55</v>
      </c>
      <c r="I44" s="403">
        <f t="shared" si="11"/>
        <v>0</v>
      </c>
      <c r="J44" s="17" t="s">
        <v>1453</v>
      </c>
    </row>
    <row r="45" spans="1:19">
      <c r="A45" s="441">
        <v>4</v>
      </c>
      <c r="B45" s="17" t="s">
        <v>619</v>
      </c>
      <c r="E45" s="17" t="s">
        <v>2014</v>
      </c>
      <c r="F45" s="403">
        <f t="shared" si="13"/>
        <v>55</v>
      </c>
      <c r="H45" s="403">
        <f t="shared" si="4"/>
        <v>55</v>
      </c>
      <c r="I45" s="403">
        <f t="shared" si="11"/>
        <v>220</v>
      </c>
    </row>
    <row r="46" spans="1:19">
      <c r="A46" s="441">
        <v>0</v>
      </c>
      <c r="B46" s="17" t="s">
        <v>619</v>
      </c>
      <c r="E46" s="17" t="s">
        <v>609</v>
      </c>
      <c r="F46" s="403">
        <f t="shared" si="13"/>
        <v>55</v>
      </c>
      <c r="H46" s="403">
        <f t="shared" si="4"/>
        <v>55</v>
      </c>
      <c r="I46" s="403">
        <f t="shared" si="11"/>
        <v>0</v>
      </c>
      <c r="J46" s="17" t="s">
        <v>1453</v>
      </c>
    </row>
    <row r="47" spans="1:19">
      <c r="A47" s="441">
        <v>0</v>
      </c>
      <c r="B47" s="17" t="s">
        <v>619</v>
      </c>
      <c r="E47" s="17" t="s">
        <v>610</v>
      </c>
      <c r="F47" s="403">
        <f t="shared" si="13"/>
        <v>55</v>
      </c>
      <c r="H47" s="403">
        <f t="shared" si="4"/>
        <v>55</v>
      </c>
      <c r="I47" s="403">
        <f t="shared" si="11"/>
        <v>0</v>
      </c>
      <c r="J47" s="17" t="s">
        <v>1453</v>
      </c>
    </row>
    <row r="48" spans="1:19">
      <c r="A48" s="441">
        <v>0</v>
      </c>
      <c r="B48" s="17" t="s">
        <v>619</v>
      </c>
      <c r="E48" s="17" t="s">
        <v>611</v>
      </c>
      <c r="F48" s="403">
        <f t="shared" si="13"/>
        <v>55</v>
      </c>
      <c r="H48" s="403">
        <f t="shared" si="4"/>
        <v>55</v>
      </c>
      <c r="I48" s="403">
        <f t="shared" si="11"/>
        <v>0</v>
      </c>
      <c r="J48" s="17" t="s">
        <v>1453</v>
      </c>
    </row>
    <row r="49" spans="1:16">
      <c r="A49" s="441">
        <v>1.5</v>
      </c>
      <c r="B49" s="17" t="s">
        <v>619</v>
      </c>
      <c r="E49" s="17" t="s">
        <v>1431</v>
      </c>
      <c r="F49" s="403">
        <f t="shared" si="13"/>
        <v>55</v>
      </c>
      <c r="H49" s="403">
        <f t="shared" si="4"/>
        <v>55</v>
      </c>
      <c r="I49" s="403">
        <f t="shared" si="11"/>
        <v>82.5</v>
      </c>
      <c r="J49" s="17" t="s">
        <v>1880</v>
      </c>
    </row>
    <row r="50" spans="1:16">
      <c r="A50" s="441">
        <v>2</v>
      </c>
      <c r="B50" s="17" t="s">
        <v>619</v>
      </c>
      <c r="E50" s="17" t="s">
        <v>612</v>
      </c>
      <c r="F50" s="403">
        <f t="shared" si="13"/>
        <v>55</v>
      </c>
      <c r="H50" s="403">
        <f t="shared" si="4"/>
        <v>55</v>
      </c>
      <c r="I50" s="403">
        <f t="shared" si="11"/>
        <v>110</v>
      </c>
    </row>
    <row r="51" spans="1:16">
      <c r="A51" s="441">
        <v>4</v>
      </c>
      <c r="B51" s="17" t="s">
        <v>619</v>
      </c>
      <c r="E51" s="17" t="s">
        <v>614</v>
      </c>
      <c r="F51" s="403">
        <f t="shared" si="13"/>
        <v>55</v>
      </c>
      <c r="H51" s="403">
        <f t="shared" si="4"/>
        <v>55</v>
      </c>
      <c r="I51" s="403">
        <f t="shared" si="11"/>
        <v>220</v>
      </c>
    </row>
    <row r="52" spans="1:16">
      <c r="A52" s="441">
        <f>12</f>
        <v>12</v>
      </c>
      <c r="B52" s="17" t="s">
        <v>619</v>
      </c>
      <c r="E52" s="17" t="s">
        <v>617</v>
      </c>
      <c r="F52" s="403">
        <f t="shared" si="13"/>
        <v>55</v>
      </c>
      <c r="H52" s="403">
        <f t="shared" si="4"/>
        <v>55</v>
      </c>
      <c r="I52" s="403">
        <f t="shared" si="11"/>
        <v>660</v>
      </c>
      <c r="J52" s="17" t="s">
        <v>2015</v>
      </c>
    </row>
    <row r="53" spans="1:16">
      <c r="A53" s="441">
        <v>4</v>
      </c>
      <c r="B53" s="17" t="s">
        <v>619</v>
      </c>
      <c r="E53" s="17" t="s">
        <v>616</v>
      </c>
      <c r="F53" s="403">
        <f t="shared" si="13"/>
        <v>55</v>
      </c>
      <c r="H53" s="403">
        <f t="shared" si="4"/>
        <v>55</v>
      </c>
      <c r="I53" s="403">
        <f t="shared" si="11"/>
        <v>220</v>
      </c>
    </row>
    <row r="55" spans="1:16">
      <c r="A55" s="17">
        <f>SUM(A38:A54)</f>
        <v>273.57499999999999</v>
      </c>
      <c r="B55" s="17" t="s">
        <v>619</v>
      </c>
      <c r="E55" s="17" t="s">
        <v>620</v>
      </c>
    </row>
    <row r="56" spans="1:16">
      <c r="A56" s="441">
        <v>3</v>
      </c>
      <c r="B56" s="17" t="s">
        <v>517</v>
      </c>
      <c r="E56" s="17" t="s">
        <v>621</v>
      </c>
    </row>
    <row r="57" spans="1:16">
      <c r="B57" s="17" t="s">
        <v>517</v>
      </c>
      <c r="E57" s="17" t="s">
        <v>622</v>
      </c>
      <c r="F57" s="445">
        <v>55</v>
      </c>
      <c r="H57" s="403">
        <f t="shared" si="4"/>
        <v>55</v>
      </c>
      <c r="I57" s="403">
        <f t="shared" si="11"/>
        <v>0</v>
      </c>
      <c r="J57" s="17" t="s">
        <v>623</v>
      </c>
    </row>
    <row r="58" spans="1:16">
      <c r="A58" s="17">
        <f>ROUNDUP(A55/8/A56,0)</f>
        <v>12</v>
      </c>
      <c r="B58" s="17" t="s">
        <v>624</v>
      </c>
      <c r="E58" s="17" t="s">
        <v>625</v>
      </c>
      <c r="F58" s="403">
        <f>A56*8*F57</f>
        <v>1320</v>
      </c>
      <c r="H58" s="403">
        <f t="shared" si="4"/>
        <v>1320</v>
      </c>
      <c r="I58" s="403">
        <f t="shared" si="11"/>
        <v>15840</v>
      </c>
    </row>
    <row r="59" spans="1:16">
      <c r="A59" s="441">
        <v>2</v>
      </c>
      <c r="B59" s="17" t="s">
        <v>1455</v>
      </c>
      <c r="E59" s="17" t="s">
        <v>1883</v>
      </c>
      <c r="F59" s="447">
        <f>2000</f>
        <v>2000</v>
      </c>
      <c r="H59" s="403">
        <f t="shared" si="4"/>
        <v>2000</v>
      </c>
      <c r="I59" s="403">
        <f t="shared" si="11"/>
        <v>4000</v>
      </c>
    </row>
    <row r="60" spans="1:16">
      <c r="A60" s="441">
        <v>1</v>
      </c>
      <c r="B60" s="17" t="s">
        <v>517</v>
      </c>
      <c r="E60" s="17" t="s">
        <v>1458</v>
      </c>
      <c r="F60" s="447">
        <v>500</v>
      </c>
      <c r="H60" s="403">
        <f t="shared" si="4"/>
        <v>500</v>
      </c>
      <c r="I60" s="403">
        <f t="shared" si="11"/>
        <v>500</v>
      </c>
    </row>
    <row r="61" spans="1:16">
      <c r="A61" s="441">
        <v>1</v>
      </c>
      <c r="B61" s="17" t="s">
        <v>624</v>
      </c>
      <c r="E61" s="17" t="s">
        <v>1459</v>
      </c>
      <c r="F61" s="447">
        <v>1000</v>
      </c>
      <c r="H61" s="403">
        <f t="shared" si="4"/>
        <v>1000</v>
      </c>
      <c r="I61" s="403">
        <f t="shared" si="11"/>
        <v>1000</v>
      </c>
    </row>
    <row r="62" spans="1:16" ht="15.75">
      <c r="E62" s="439" t="s">
        <v>628</v>
      </c>
      <c r="I62" s="443">
        <f>SUM(I58:I61)</f>
        <v>21340</v>
      </c>
      <c r="P62" s="165">
        <f>I62</f>
        <v>21340</v>
      </c>
    </row>
    <row r="65" spans="1:17">
      <c r="E65" s="449" t="s">
        <v>630</v>
      </c>
    </row>
    <row r="66" spans="1:17">
      <c r="A66" s="441">
        <v>1</v>
      </c>
      <c r="B66" s="17" t="s">
        <v>517</v>
      </c>
      <c r="E66" s="17" t="s">
        <v>668</v>
      </c>
      <c r="F66" s="445">
        <f>1796*0.6</f>
        <v>1077.5999999999999</v>
      </c>
      <c r="H66" s="403">
        <f t="shared" si="4"/>
        <v>1077.5999999999999</v>
      </c>
      <c r="I66" s="403">
        <f t="shared" ref="I66:I68" si="14">A66*H66</f>
        <v>1077.5999999999999</v>
      </c>
      <c r="J66" s="17" t="s">
        <v>1460</v>
      </c>
    </row>
    <row r="67" spans="1:17">
      <c r="A67" s="441">
        <v>0</v>
      </c>
      <c r="B67" s="17" t="s">
        <v>539</v>
      </c>
      <c r="E67" s="17" t="s">
        <v>1461</v>
      </c>
      <c r="F67" s="445">
        <v>80</v>
      </c>
      <c r="H67" s="403">
        <f t="shared" si="4"/>
        <v>80</v>
      </c>
      <c r="I67" s="403">
        <f t="shared" si="14"/>
        <v>0</v>
      </c>
    </row>
    <row r="68" spans="1:17">
      <c r="A68" s="441">
        <v>0</v>
      </c>
      <c r="B68" s="17" t="s">
        <v>517</v>
      </c>
      <c r="E68" s="17" t="s">
        <v>1463</v>
      </c>
      <c r="F68" s="445">
        <v>2493</v>
      </c>
      <c r="H68" s="403">
        <f t="shared" si="4"/>
        <v>2493</v>
      </c>
      <c r="I68" s="403">
        <f t="shared" si="14"/>
        <v>0</v>
      </c>
    </row>
    <row r="69" spans="1:17" ht="15.75">
      <c r="E69" s="439" t="s">
        <v>676</v>
      </c>
      <c r="I69" s="443">
        <f>SUM(I66:I68)</f>
        <v>1077.5999999999999</v>
      </c>
      <c r="Q69" s="165">
        <f>I69</f>
        <v>1077.5999999999999</v>
      </c>
    </row>
    <row r="71" spans="1:17" ht="13.75" customHeight="1">
      <c r="A71" s="986" t="s">
        <v>100</v>
      </c>
      <c r="B71" s="986"/>
      <c r="C71" s="986"/>
      <c r="D71" s="986"/>
      <c r="E71" s="986"/>
    </row>
    <row r="77" spans="1:17" ht="15.05" customHeight="1">
      <c r="A77" s="1002" t="s">
        <v>90</v>
      </c>
      <c r="B77" s="1002"/>
      <c r="C77" s="1002"/>
      <c r="D77" s="1002"/>
      <c r="E77" s="1002"/>
    </row>
    <row r="79" spans="1:17" ht="13.75">
      <c r="A79" s="17">
        <v>1</v>
      </c>
      <c r="B79" s="17" t="s">
        <v>517</v>
      </c>
      <c r="E79" s="17" t="s">
        <v>1464</v>
      </c>
      <c r="F79" s="403">
        <v>860</v>
      </c>
      <c r="H79" s="403">
        <f t="shared" ref="H79:H90" si="15">F79*(1-G79)</f>
        <v>860</v>
      </c>
      <c r="I79" s="403">
        <f t="shared" ref="I79:I83" si="16">A79*H79</f>
        <v>860</v>
      </c>
      <c r="J79" s="494" t="s">
        <v>1465</v>
      </c>
    </row>
    <row r="80" spans="1:17">
      <c r="A80" s="17">
        <v>0</v>
      </c>
      <c r="B80" s="17" t="s">
        <v>517</v>
      </c>
      <c r="E80" s="17" t="s">
        <v>707</v>
      </c>
      <c r="F80" s="403">
        <v>1500</v>
      </c>
      <c r="H80" s="403">
        <f t="shared" si="15"/>
        <v>1500</v>
      </c>
      <c r="I80" s="403">
        <f t="shared" si="16"/>
        <v>0</v>
      </c>
    </row>
    <row r="81" spans="1:10" ht="44.55">
      <c r="A81" s="17">
        <v>0</v>
      </c>
      <c r="B81" s="17" t="s">
        <v>517</v>
      </c>
      <c r="C81" s="204" t="s">
        <v>708</v>
      </c>
      <c r="E81" s="204" t="s">
        <v>709</v>
      </c>
      <c r="F81" s="403">
        <v>460</v>
      </c>
      <c r="H81" s="403">
        <f t="shared" si="15"/>
        <v>460</v>
      </c>
      <c r="I81" s="403">
        <f t="shared" si="16"/>
        <v>0</v>
      </c>
    </row>
    <row r="82" spans="1:10" ht="44.55">
      <c r="A82" s="17">
        <v>0</v>
      </c>
      <c r="B82" s="17" t="s">
        <v>517</v>
      </c>
      <c r="C82" s="204" t="s">
        <v>711</v>
      </c>
      <c r="E82" s="204" t="s">
        <v>712</v>
      </c>
      <c r="F82" s="403">
        <v>320</v>
      </c>
      <c r="H82" s="403">
        <f t="shared" si="15"/>
        <v>320</v>
      </c>
      <c r="I82" s="403">
        <f t="shared" si="16"/>
        <v>0</v>
      </c>
    </row>
    <row r="83" spans="1:10" ht="55.65">
      <c r="A83" s="17">
        <v>1</v>
      </c>
      <c r="B83" s="17" t="s">
        <v>517</v>
      </c>
      <c r="C83" s="17" t="s">
        <v>713</v>
      </c>
      <c r="D83" s="17" t="s">
        <v>714</v>
      </c>
      <c r="E83" s="204" t="s">
        <v>715</v>
      </c>
      <c r="F83" s="403">
        <v>2725</v>
      </c>
      <c r="H83" s="403">
        <f t="shared" si="15"/>
        <v>2725</v>
      </c>
      <c r="I83" s="403">
        <f t="shared" si="16"/>
        <v>2725</v>
      </c>
    </row>
    <row r="85" spans="1:10" ht="15.75">
      <c r="E85" s="439" t="s">
        <v>729</v>
      </c>
      <c r="I85" s="168">
        <f>SUM(I77:I84)</f>
        <v>3585</v>
      </c>
    </row>
    <row r="87" spans="1:10" ht="13.75" customHeight="1">
      <c r="A87" s="997" t="s">
        <v>68</v>
      </c>
      <c r="B87" s="997"/>
      <c r="C87" s="997"/>
      <c r="D87" s="997"/>
      <c r="E87" s="997"/>
    </row>
    <row r="88" spans="1:10">
      <c r="A88" s="17">
        <v>1</v>
      </c>
      <c r="B88" s="17" t="s">
        <v>517</v>
      </c>
      <c r="E88" s="17" t="s">
        <v>730</v>
      </c>
      <c r="F88" s="403">
        <v>200</v>
      </c>
      <c r="H88" s="403">
        <f t="shared" si="15"/>
        <v>200</v>
      </c>
      <c r="I88" s="403">
        <f t="shared" ref="I88:I90" si="17">A88*H88</f>
        <v>200</v>
      </c>
      <c r="J88" s="17" t="s">
        <v>696</v>
      </c>
    </row>
    <row r="89" spans="1:10" ht="44.55">
      <c r="A89" s="17">
        <v>0</v>
      </c>
      <c r="B89" s="17" t="s">
        <v>517</v>
      </c>
      <c r="C89" s="204" t="s">
        <v>708</v>
      </c>
      <c r="E89" s="204" t="s">
        <v>731</v>
      </c>
      <c r="F89" s="403">
        <f>460/2</f>
        <v>230</v>
      </c>
      <c r="H89" s="403">
        <f t="shared" si="15"/>
        <v>230</v>
      </c>
      <c r="I89" s="403">
        <f t="shared" si="17"/>
        <v>0</v>
      </c>
    </row>
    <row r="90" spans="1:10" ht="44.55">
      <c r="A90" s="17">
        <v>0</v>
      </c>
      <c r="B90" s="17" t="s">
        <v>517</v>
      </c>
      <c r="C90" s="204" t="s">
        <v>711</v>
      </c>
      <c r="E90" s="204" t="s">
        <v>732</v>
      </c>
      <c r="F90" s="403">
        <f>320/2</f>
        <v>160</v>
      </c>
      <c r="H90" s="403">
        <f t="shared" si="15"/>
        <v>160</v>
      </c>
      <c r="I90" s="403">
        <f t="shared" si="17"/>
        <v>0</v>
      </c>
    </row>
    <row r="92" spans="1:10" ht="15.75">
      <c r="E92" s="439" t="s">
        <v>733</v>
      </c>
      <c r="I92" s="168">
        <f>SUM(I87:I91)</f>
        <v>200</v>
      </c>
    </row>
  </sheetData>
  <mergeCells count="5">
    <mergeCell ref="B1:F1"/>
    <mergeCell ref="A2:G2"/>
    <mergeCell ref="A71:E71"/>
    <mergeCell ref="A77:E77"/>
    <mergeCell ref="A87:E87"/>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2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64" width="10.140625" style="17"/>
  </cols>
  <sheetData>
    <row r="1" spans="1:19" ht="15.75">
      <c r="B1" s="1053" t="s">
        <v>267</v>
      </c>
      <c r="C1" s="1053"/>
      <c r="D1" s="1053"/>
      <c r="E1" s="1053"/>
      <c r="F1" s="1053"/>
      <c r="H1" s="405" t="s">
        <v>493</v>
      </c>
      <c r="I1" s="406">
        <v>375</v>
      </c>
      <c r="J1" s="17" t="s">
        <v>494</v>
      </c>
      <c r="K1" s="17" t="s">
        <v>495</v>
      </c>
      <c r="L1" s="58">
        <f>A4*I1</f>
        <v>25125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13">
        <v>67</v>
      </c>
      <c r="B4" s="413" t="s">
        <v>505</v>
      </c>
      <c r="C4" s="413" t="s">
        <v>1306</v>
      </c>
      <c r="D4" s="413"/>
      <c r="E4" s="420" t="s">
        <v>1307</v>
      </c>
      <c r="F4" s="421">
        <v>116.88</v>
      </c>
      <c r="G4" s="410"/>
      <c r="H4" s="409">
        <f t="shared" ref="H4:H9" si="0">F4*(1-G4)</f>
        <v>116.88</v>
      </c>
      <c r="I4" s="409">
        <f t="shared" ref="I4:I9" si="1">A4*H4</f>
        <v>7830.96</v>
      </c>
      <c r="J4" s="417">
        <f>F4/I1</f>
        <v>0.31168000000000001</v>
      </c>
      <c r="K4" s="403"/>
      <c r="L4" s="404"/>
      <c r="M4" s="437">
        <f>I4</f>
        <v>7830.96</v>
      </c>
      <c r="N4" s="437"/>
      <c r="O4" s="437"/>
      <c r="P4" s="437"/>
      <c r="Q4" s="437"/>
      <c r="R4" s="418"/>
      <c r="S4" s="437"/>
    </row>
    <row r="5" spans="1:19">
      <c r="A5" s="413">
        <v>0</v>
      </c>
      <c r="B5" s="413"/>
      <c r="C5" s="420"/>
      <c r="D5" s="413"/>
      <c r="E5" s="420"/>
      <c r="F5" s="421"/>
      <c r="G5" s="422"/>
      <c r="H5" s="409">
        <f t="shared" si="0"/>
        <v>0</v>
      </c>
      <c r="I5" s="409">
        <f t="shared" si="1"/>
        <v>0</v>
      </c>
      <c r="J5" s="417"/>
      <c r="K5" s="403"/>
      <c r="L5" s="404"/>
      <c r="M5" s="437"/>
      <c r="N5" s="437"/>
      <c r="O5" s="437"/>
      <c r="P5" s="437"/>
      <c r="Q5" s="437"/>
      <c r="R5" s="418"/>
      <c r="S5" s="437"/>
    </row>
    <row r="6" spans="1:19" ht="66.8">
      <c r="A6" s="413">
        <f>A4+A5</f>
        <v>67</v>
      </c>
      <c r="B6" s="413" t="s">
        <v>505</v>
      </c>
      <c r="C6" s="420" t="s">
        <v>1074</v>
      </c>
      <c r="D6" s="413"/>
      <c r="E6" s="420" t="s">
        <v>1076</v>
      </c>
      <c r="F6" s="421">
        <f>712.32/A6*1.1</f>
        <v>11.694805970149256</v>
      </c>
      <c r="G6" s="422"/>
      <c r="H6" s="409">
        <f t="shared" si="0"/>
        <v>11.694805970149256</v>
      </c>
      <c r="I6" s="409">
        <f t="shared" si="1"/>
        <v>783.55200000000013</v>
      </c>
      <c r="J6" s="417">
        <f>F6/$I$1</f>
        <v>3.1186149253731348E-2</v>
      </c>
      <c r="K6" s="417" t="s">
        <v>2016</v>
      </c>
      <c r="M6" s="437">
        <f>I6</f>
        <v>783.55200000000013</v>
      </c>
      <c r="N6" s="437"/>
      <c r="O6" s="437"/>
      <c r="P6" s="437"/>
      <c r="Q6" s="437"/>
      <c r="R6" s="418"/>
      <c r="S6" s="437"/>
    </row>
    <row r="7" spans="1:19" ht="22.25">
      <c r="A7" s="413">
        <v>1</v>
      </c>
      <c r="B7" s="413" t="s">
        <v>522</v>
      </c>
      <c r="C7" s="420" t="s">
        <v>531</v>
      </c>
      <c r="D7" s="413"/>
      <c r="E7" s="420" t="s">
        <v>2017</v>
      </c>
      <c r="F7" s="421">
        <v>550</v>
      </c>
      <c r="G7" s="422"/>
      <c r="H7" s="409">
        <f t="shared" si="0"/>
        <v>550</v>
      </c>
      <c r="I7" s="409">
        <f t="shared" si="1"/>
        <v>550</v>
      </c>
      <c r="J7" s="204"/>
      <c r="M7" s="437"/>
      <c r="N7" s="437"/>
      <c r="O7" s="437"/>
      <c r="P7" s="437"/>
      <c r="Q7" s="437"/>
      <c r="R7" s="418">
        <f t="shared" ref="R7:R9" si="2">I7</f>
        <v>550</v>
      </c>
      <c r="S7" s="437"/>
    </row>
    <row r="8" spans="1:19" ht="66.8">
      <c r="A8" s="413">
        <v>2</v>
      </c>
      <c r="B8" s="413" t="s">
        <v>522</v>
      </c>
      <c r="C8" s="420" t="s">
        <v>987</v>
      </c>
      <c r="D8" s="413" t="s">
        <v>995</v>
      </c>
      <c r="E8" s="420" t="s">
        <v>996</v>
      </c>
      <c r="F8" s="421">
        <v>227.78</v>
      </c>
      <c r="G8" s="422"/>
      <c r="H8" s="409">
        <f t="shared" si="0"/>
        <v>227.78</v>
      </c>
      <c r="I8" s="409">
        <f t="shared" si="1"/>
        <v>455.56</v>
      </c>
      <c r="J8" s="204"/>
      <c r="M8" s="437"/>
      <c r="N8" s="437"/>
      <c r="O8" s="437"/>
      <c r="P8" s="437"/>
      <c r="Q8" s="437"/>
      <c r="R8" s="418">
        <f t="shared" si="2"/>
        <v>455.56</v>
      </c>
      <c r="S8" s="437"/>
    </row>
    <row r="9" spans="1:19" ht="22.25">
      <c r="A9" s="413">
        <v>1</v>
      </c>
      <c r="B9" s="413" t="s">
        <v>530</v>
      </c>
      <c r="C9" s="420" t="s">
        <v>531</v>
      </c>
      <c r="D9" s="413"/>
      <c r="E9" s="413" t="s">
        <v>532</v>
      </c>
      <c r="F9" s="421">
        <v>500</v>
      </c>
      <c r="G9" s="422"/>
      <c r="H9" s="409">
        <f t="shared" si="0"/>
        <v>500</v>
      </c>
      <c r="I9" s="409">
        <f t="shared" si="1"/>
        <v>500</v>
      </c>
      <c r="J9" s="204"/>
      <c r="M9" s="437"/>
      <c r="N9" s="437"/>
      <c r="O9" s="437"/>
      <c r="P9" s="437"/>
      <c r="Q9" s="437"/>
      <c r="R9" s="418">
        <f t="shared" si="2"/>
        <v>500</v>
      </c>
      <c r="S9" s="437"/>
    </row>
    <row r="10" spans="1:19" ht="22.25">
      <c r="A10" s="413">
        <v>0</v>
      </c>
      <c r="B10" s="413" t="s">
        <v>505</v>
      </c>
      <c r="C10" s="420" t="s">
        <v>534</v>
      </c>
      <c r="D10" s="413"/>
      <c r="E10" s="420" t="s">
        <v>535</v>
      </c>
      <c r="F10" s="421">
        <v>3.71</v>
      </c>
      <c r="G10" s="422"/>
      <c r="H10" s="409">
        <f t="shared" ref="H10:H73" si="3">F10*(1-G10)</f>
        <v>3.71</v>
      </c>
      <c r="I10" s="409">
        <f t="shared" ref="I10:I30" si="4">A10*H10</f>
        <v>0</v>
      </c>
      <c r="J10" s="204" t="s">
        <v>2018</v>
      </c>
      <c r="M10" s="437"/>
      <c r="N10" s="437"/>
      <c r="O10" s="437"/>
      <c r="P10" s="437"/>
      <c r="Q10" s="437"/>
      <c r="R10" s="418">
        <f t="shared" ref="R10:R22" si="5">I10</f>
        <v>0</v>
      </c>
      <c r="S10" s="437"/>
    </row>
    <row r="11" spans="1:19" ht="22.25">
      <c r="A11" s="413">
        <f>A10</f>
        <v>0</v>
      </c>
      <c r="B11" s="413" t="s">
        <v>505</v>
      </c>
      <c r="C11" s="420" t="s">
        <v>534</v>
      </c>
      <c r="D11" s="413"/>
      <c r="E11" s="420" t="s">
        <v>537</v>
      </c>
      <c r="F11" s="421">
        <v>3.81</v>
      </c>
      <c r="G11" s="422"/>
      <c r="H11" s="409">
        <f t="shared" si="3"/>
        <v>3.81</v>
      </c>
      <c r="I11" s="409">
        <f t="shared" si="4"/>
        <v>0</v>
      </c>
      <c r="J11" s="204" t="s">
        <v>538</v>
      </c>
      <c r="M11" s="437"/>
      <c r="N11" s="437"/>
      <c r="O11" s="437"/>
      <c r="P11" s="437"/>
      <c r="Q11" s="437"/>
      <c r="R11" s="418">
        <f t="shared" si="5"/>
        <v>0</v>
      </c>
      <c r="S11" s="437"/>
    </row>
    <row r="12" spans="1:19" ht="55.65">
      <c r="A12" s="413">
        <v>10</v>
      </c>
      <c r="B12" s="413" t="s">
        <v>539</v>
      </c>
      <c r="C12" s="420" t="s">
        <v>987</v>
      </c>
      <c r="D12" s="413" t="s">
        <v>541</v>
      </c>
      <c r="E12" s="420" t="s">
        <v>542</v>
      </c>
      <c r="F12" s="421">
        <f t="shared" ref="F12:F13" si="6">328.33/500</f>
        <v>0.65666000000000002</v>
      </c>
      <c r="G12" s="422"/>
      <c r="H12" s="409">
        <f t="shared" si="3"/>
        <v>0.65666000000000002</v>
      </c>
      <c r="I12" s="409">
        <f t="shared" si="4"/>
        <v>6.5666000000000002</v>
      </c>
      <c r="J12" s="491" t="s">
        <v>2019</v>
      </c>
      <c r="M12" s="437"/>
      <c r="N12" s="437"/>
      <c r="O12" s="418">
        <f t="shared" ref="O12:O25" si="7">I12</f>
        <v>6.5666000000000002</v>
      </c>
      <c r="P12" s="418"/>
      <c r="Q12" s="418"/>
      <c r="R12" s="437"/>
      <c r="S12" s="437"/>
    </row>
    <row r="13" spans="1:19" ht="55.65">
      <c r="A13" s="413">
        <f>A12+A6*1+4+10</f>
        <v>91</v>
      </c>
      <c r="B13" s="413" t="s">
        <v>539</v>
      </c>
      <c r="C13" s="420" t="s">
        <v>987</v>
      </c>
      <c r="D13" s="413" t="s">
        <v>543</v>
      </c>
      <c r="E13" s="420" t="s">
        <v>544</v>
      </c>
      <c r="F13" s="421">
        <f t="shared" si="6"/>
        <v>0.65666000000000002</v>
      </c>
      <c r="G13" s="422"/>
      <c r="H13" s="409">
        <f t="shared" si="3"/>
        <v>0.65666000000000002</v>
      </c>
      <c r="I13" s="409">
        <f t="shared" si="4"/>
        <v>59.756060000000005</v>
      </c>
      <c r="J13" s="204"/>
      <c r="M13" s="437"/>
      <c r="N13" s="437"/>
      <c r="O13" s="418">
        <f t="shared" si="7"/>
        <v>59.756060000000005</v>
      </c>
      <c r="P13" s="418"/>
      <c r="Q13" s="418"/>
      <c r="R13" s="437"/>
      <c r="S13" s="437"/>
    </row>
    <row r="14" spans="1:19" ht="22.25">
      <c r="A14" s="413">
        <v>24</v>
      </c>
      <c r="B14" s="413" t="s">
        <v>522</v>
      </c>
      <c r="C14" s="420" t="s">
        <v>1074</v>
      </c>
      <c r="D14" s="413"/>
      <c r="E14" s="420" t="s">
        <v>1079</v>
      </c>
      <c r="F14" s="421">
        <v>1.3</v>
      </c>
      <c r="G14" s="422"/>
      <c r="H14" s="409">
        <f t="shared" si="3"/>
        <v>1.3</v>
      </c>
      <c r="I14" s="409">
        <f t="shared" si="4"/>
        <v>31.200000000000003</v>
      </c>
      <c r="J14" s="204"/>
      <c r="M14" s="437"/>
      <c r="N14" s="437"/>
      <c r="O14" s="418">
        <f t="shared" si="7"/>
        <v>31.200000000000003</v>
      </c>
      <c r="P14" s="437"/>
      <c r="Q14" s="437"/>
      <c r="R14" s="418"/>
      <c r="S14" s="437"/>
    </row>
    <row r="15" spans="1:19" ht="22.25">
      <c r="A15" s="413">
        <v>24</v>
      </c>
      <c r="B15" s="413" t="s">
        <v>522</v>
      </c>
      <c r="C15" s="420" t="s">
        <v>1074</v>
      </c>
      <c r="D15" s="413"/>
      <c r="E15" s="420" t="s">
        <v>1080</v>
      </c>
      <c r="F15" s="421">
        <v>0.98</v>
      </c>
      <c r="G15" s="422"/>
      <c r="H15" s="409">
        <f t="shared" si="3"/>
        <v>0.98</v>
      </c>
      <c r="I15" s="409">
        <f t="shared" si="4"/>
        <v>23.52</v>
      </c>
      <c r="J15" s="204"/>
      <c r="M15" s="437"/>
      <c r="N15" s="437"/>
      <c r="O15" s="418">
        <f t="shared" si="7"/>
        <v>23.52</v>
      </c>
      <c r="P15" s="437"/>
      <c r="Q15" s="437"/>
      <c r="R15" s="418"/>
      <c r="S15" s="437"/>
    </row>
    <row r="16" spans="1:19" ht="22.25">
      <c r="A16" s="413">
        <v>1</v>
      </c>
      <c r="B16" s="413" t="s">
        <v>522</v>
      </c>
      <c r="C16" s="420" t="s">
        <v>531</v>
      </c>
      <c r="D16" s="413"/>
      <c r="E16" s="420" t="s">
        <v>1184</v>
      </c>
      <c r="F16" s="421">
        <v>1603.88956601172</v>
      </c>
      <c r="G16" s="426"/>
      <c r="H16" s="430">
        <v>1603.88956601172</v>
      </c>
      <c r="I16" s="409">
        <f t="shared" si="4"/>
        <v>1603.88956601172</v>
      </c>
      <c r="J16" s="204"/>
      <c r="M16" s="437"/>
      <c r="N16" s="418">
        <f t="shared" ref="N16:N19" si="8">I16</f>
        <v>1603.88956601172</v>
      </c>
      <c r="O16" s="437"/>
      <c r="P16" s="437"/>
      <c r="Q16" s="437"/>
      <c r="R16" s="437"/>
      <c r="S16" s="437"/>
    </row>
    <row r="17" spans="1:19" ht="22.25">
      <c r="A17" s="413">
        <f>ROUNDUP(A4/2,0)</f>
        <v>34</v>
      </c>
      <c r="B17" s="413" t="s">
        <v>505</v>
      </c>
      <c r="C17" s="420" t="s">
        <v>534</v>
      </c>
      <c r="D17" s="413"/>
      <c r="E17" s="420" t="s">
        <v>1081</v>
      </c>
      <c r="F17" s="421">
        <v>43.2</v>
      </c>
      <c r="G17" s="422"/>
      <c r="H17" s="409">
        <f t="shared" si="3"/>
        <v>43.2</v>
      </c>
      <c r="I17" s="409">
        <f t="shared" si="4"/>
        <v>1468.8000000000002</v>
      </c>
      <c r="J17" s="204"/>
      <c r="M17" s="437"/>
      <c r="N17" s="418">
        <f t="shared" si="8"/>
        <v>1468.8000000000002</v>
      </c>
      <c r="O17" s="437"/>
      <c r="P17" s="437"/>
      <c r="Q17" s="437"/>
      <c r="R17" s="437"/>
      <c r="S17" s="437"/>
    </row>
    <row r="18" spans="1:19" ht="22.25">
      <c r="A18" s="413">
        <v>0</v>
      </c>
      <c r="B18" s="413" t="s">
        <v>505</v>
      </c>
      <c r="C18" s="420" t="s">
        <v>786</v>
      </c>
      <c r="D18" s="413"/>
      <c r="E18" s="420" t="s">
        <v>1029</v>
      </c>
      <c r="F18" s="421">
        <v>40.799999999999997</v>
      </c>
      <c r="G18" s="422"/>
      <c r="H18" s="409">
        <f t="shared" si="3"/>
        <v>40.799999999999997</v>
      </c>
      <c r="I18" s="409">
        <f t="shared" si="4"/>
        <v>0</v>
      </c>
      <c r="J18" s="204"/>
      <c r="M18" s="437"/>
      <c r="N18" s="418">
        <f t="shared" si="8"/>
        <v>0</v>
      </c>
      <c r="O18" s="437"/>
      <c r="P18" s="437"/>
      <c r="Q18" s="437"/>
      <c r="R18" s="437"/>
      <c r="S18" s="437"/>
    </row>
    <row r="19" spans="1:19" ht="22.25">
      <c r="A19" s="413">
        <v>0</v>
      </c>
      <c r="B19" s="413" t="s">
        <v>505</v>
      </c>
      <c r="C19" s="420" t="s">
        <v>786</v>
      </c>
      <c r="D19" s="413"/>
      <c r="E19" s="420" t="s">
        <v>1036</v>
      </c>
      <c r="F19" s="421">
        <v>36.619999999999997</v>
      </c>
      <c r="G19" s="422"/>
      <c r="H19" s="409">
        <f t="shared" si="3"/>
        <v>36.619999999999997</v>
      </c>
      <c r="I19" s="409">
        <f t="shared" si="4"/>
        <v>0</v>
      </c>
      <c r="J19" s="204"/>
      <c r="M19" s="437"/>
      <c r="N19" s="418">
        <f t="shared" si="8"/>
        <v>0</v>
      </c>
      <c r="O19" s="437"/>
      <c r="P19" s="437"/>
      <c r="Q19" s="437"/>
      <c r="R19" s="437"/>
      <c r="S19" s="437"/>
    </row>
    <row r="20" spans="1:19" ht="55.65">
      <c r="A20" s="413">
        <v>0</v>
      </c>
      <c r="B20" s="413" t="s">
        <v>522</v>
      </c>
      <c r="C20" s="420" t="s">
        <v>987</v>
      </c>
      <c r="D20" s="413" t="s">
        <v>761</v>
      </c>
      <c r="E20" s="420" t="s">
        <v>762</v>
      </c>
      <c r="F20" s="421">
        <v>2.5</v>
      </c>
      <c r="G20" s="422"/>
      <c r="H20" s="409">
        <f t="shared" si="3"/>
        <v>2.5</v>
      </c>
      <c r="I20" s="409">
        <f t="shared" si="4"/>
        <v>0</v>
      </c>
      <c r="J20" s="204"/>
      <c r="M20" s="437"/>
      <c r="N20" s="437"/>
      <c r="O20" s="437"/>
      <c r="P20" s="437"/>
      <c r="Q20" s="437"/>
      <c r="R20" s="418">
        <f t="shared" si="5"/>
        <v>0</v>
      </c>
      <c r="S20" s="437"/>
    </row>
    <row r="21" spans="1:19" ht="33.4">
      <c r="A21" s="413">
        <v>1</v>
      </c>
      <c r="B21" s="413" t="s">
        <v>522</v>
      </c>
      <c r="C21" s="420" t="s">
        <v>1479</v>
      </c>
      <c r="D21" s="413"/>
      <c r="E21" s="420" t="s">
        <v>803</v>
      </c>
      <c r="F21" s="421">
        <v>564.44000000000005</v>
      </c>
      <c r="G21" s="422"/>
      <c r="H21" s="409">
        <f t="shared" si="3"/>
        <v>564.44000000000005</v>
      </c>
      <c r="I21" s="409">
        <f t="shared" si="4"/>
        <v>564.44000000000005</v>
      </c>
      <c r="J21" s="1054"/>
      <c r="K21" s="1054"/>
      <c r="L21" s="1054"/>
      <c r="M21" s="437"/>
      <c r="N21" s="437"/>
      <c r="O21" s="437"/>
      <c r="P21" s="437"/>
      <c r="Q21" s="437"/>
      <c r="R21" s="418">
        <f t="shared" si="5"/>
        <v>564.44000000000005</v>
      </c>
      <c r="S21" s="437"/>
    </row>
    <row r="22" spans="1:19">
      <c r="A22" s="413"/>
      <c r="B22" s="413"/>
      <c r="C22" s="420"/>
      <c r="D22" s="413"/>
      <c r="E22" s="420"/>
      <c r="F22" s="421"/>
      <c r="G22" s="422"/>
      <c r="H22" s="409">
        <f t="shared" si="3"/>
        <v>0</v>
      </c>
      <c r="I22" s="409">
        <f t="shared" si="4"/>
        <v>0</v>
      </c>
      <c r="J22" s="204"/>
      <c r="M22" s="437"/>
      <c r="N22" s="437"/>
      <c r="O22" s="437"/>
      <c r="P22" s="437"/>
      <c r="Q22" s="437"/>
      <c r="R22" s="418">
        <f t="shared" si="5"/>
        <v>0</v>
      </c>
      <c r="S22" s="437"/>
    </row>
    <row r="23" spans="1:19" ht="22.25">
      <c r="A23" s="413">
        <v>1</v>
      </c>
      <c r="B23" s="413" t="s">
        <v>522</v>
      </c>
      <c r="C23" s="420"/>
      <c r="D23" s="413"/>
      <c r="E23" s="420" t="s">
        <v>695</v>
      </c>
      <c r="F23" s="421">
        <v>100</v>
      </c>
      <c r="G23" s="422"/>
      <c r="H23" s="409">
        <f t="shared" si="3"/>
        <v>100</v>
      </c>
      <c r="I23" s="409">
        <f t="shared" si="4"/>
        <v>100</v>
      </c>
      <c r="J23" s="204" t="s">
        <v>696</v>
      </c>
      <c r="M23" s="437"/>
      <c r="N23" s="437"/>
      <c r="O23" s="418">
        <f t="shared" si="7"/>
        <v>100</v>
      </c>
      <c r="P23" s="437"/>
      <c r="Q23" s="437"/>
      <c r="R23" s="418"/>
      <c r="S23" s="437"/>
    </row>
    <row r="24" spans="1:19" ht="22.25">
      <c r="A24" s="413">
        <v>1</v>
      </c>
      <c r="B24" s="413" t="s">
        <v>505</v>
      </c>
      <c r="C24" s="420" t="s">
        <v>534</v>
      </c>
      <c r="D24" s="413"/>
      <c r="E24" s="420" t="s">
        <v>567</v>
      </c>
      <c r="F24" s="421">
        <v>375</v>
      </c>
      <c r="G24" s="422"/>
      <c r="H24" s="409">
        <f t="shared" si="3"/>
        <v>375</v>
      </c>
      <c r="I24" s="409">
        <f t="shared" si="4"/>
        <v>375</v>
      </c>
      <c r="J24" s="204"/>
      <c r="M24" s="418">
        <f>F24</f>
        <v>375</v>
      </c>
      <c r="N24" s="437"/>
      <c r="O24" s="437"/>
      <c r="P24" s="437"/>
      <c r="Q24" s="437"/>
      <c r="R24" s="437"/>
      <c r="S24" s="437"/>
    </row>
    <row r="25" spans="1:19" ht="44.55">
      <c r="A25" s="423">
        <v>40</v>
      </c>
      <c r="B25" s="413" t="s">
        <v>539</v>
      </c>
      <c r="C25" s="420" t="s">
        <v>690</v>
      </c>
      <c r="D25" s="413"/>
      <c r="E25" s="413" t="s">
        <v>835</v>
      </c>
      <c r="F25" s="421">
        <v>9.32</v>
      </c>
      <c r="G25" s="422"/>
      <c r="H25" s="409">
        <f t="shared" si="3"/>
        <v>9.32</v>
      </c>
      <c r="I25" s="409">
        <f t="shared" si="4"/>
        <v>372.8</v>
      </c>
      <c r="J25" s="204" t="s">
        <v>2020</v>
      </c>
      <c r="M25" s="418"/>
      <c r="N25" s="437"/>
      <c r="O25" s="418">
        <f t="shared" si="7"/>
        <v>372.8</v>
      </c>
      <c r="P25" s="437"/>
      <c r="Q25" s="437"/>
      <c r="R25" s="437"/>
      <c r="S25" s="437"/>
    </row>
    <row r="26" spans="1:19" ht="44.55">
      <c r="A26" s="413">
        <v>1</v>
      </c>
      <c r="B26" s="413" t="s">
        <v>517</v>
      </c>
      <c r="C26" s="420" t="s">
        <v>569</v>
      </c>
      <c r="D26" s="413" t="s">
        <v>570</v>
      </c>
      <c r="E26" s="420" t="s">
        <v>571</v>
      </c>
      <c r="F26" s="421">
        <v>1040</v>
      </c>
      <c r="G26" s="495">
        <v>0.48</v>
      </c>
      <c r="H26" s="430">
        <f t="shared" si="3"/>
        <v>540.80000000000007</v>
      </c>
      <c r="I26" s="409">
        <f t="shared" si="4"/>
        <v>540.80000000000007</v>
      </c>
      <c r="J26" s="204"/>
      <c r="M26" s="418"/>
      <c r="N26" s="437"/>
      <c r="O26" s="437"/>
      <c r="P26" s="437"/>
      <c r="Q26" s="437"/>
      <c r="R26" s="437"/>
      <c r="S26" s="437">
        <f t="shared" ref="S26:S30" si="9">I26</f>
        <v>540.80000000000007</v>
      </c>
    </row>
    <row r="27" spans="1:19" ht="55.65">
      <c r="A27" s="413">
        <v>0</v>
      </c>
      <c r="B27" s="413" t="s">
        <v>517</v>
      </c>
      <c r="C27" s="424" t="s">
        <v>569</v>
      </c>
      <c r="D27" s="423" t="s">
        <v>572</v>
      </c>
      <c r="E27" s="424" t="s">
        <v>573</v>
      </c>
      <c r="F27" s="425">
        <v>1190</v>
      </c>
      <c r="G27" s="495">
        <v>0.48</v>
      </c>
      <c r="H27" s="430">
        <f t="shared" si="3"/>
        <v>618.80000000000007</v>
      </c>
      <c r="I27" s="409">
        <f t="shared" si="4"/>
        <v>0</v>
      </c>
      <c r="J27" s="204"/>
      <c r="M27" s="418"/>
      <c r="N27" s="437"/>
      <c r="O27" s="437"/>
      <c r="P27" s="437"/>
      <c r="Q27" s="437"/>
      <c r="R27" s="437"/>
      <c r="S27" s="437">
        <f t="shared" si="9"/>
        <v>0</v>
      </c>
    </row>
    <row r="28" spans="1:19">
      <c r="A28" s="413">
        <v>0</v>
      </c>
      <c r="B28" s="413" t="s">
        <v>517</v>
      </c>
      <c r="C28" s="420" t="s">
        <v>574</v>
      </c>
      <c r="D28" s="413" t="s">
        <v>575</v>
      </c>
      <c r="E28" s="413" t="s">
        <v>576</v>
      </c>
      <c r="F28" s="421">
        <v>36.700000000000003</v>
      </c>
      <c r="G28" s="422"/>
      <c r="H28" s="409">
        <f t="shared" si="3"/>
        <v>36.700000000000003</v>
      </c>
      <c r="I28" s="409">
        <f t="shared" si="4"/>
        <v>0</v>
      </c>
      <c r="J28" s="204"/>
      <c r="M28" s="418"/>
      <c r="N28" s="437"/>
      <c r="O28" s="437"/>
      <c r="P28" s="437"/>
      <c r="Q28" s="437"/>
      <c r="R28" s="437"/>
      <c r="S28" s="437">
        <f t="shared" si="9"/>
        <v>0</v>
      </c>
    </row>
    <row r="29" spans="1:19">
      <c r="A29" s="413">
        <v>5</v>
      </c>
      <c r="B29" s="413" t="s">
        <v>517</v>
      </c>
      <c r="C29" s="420" t="s">
        <v>574</v>
      </c>
      <c r="D29" s="413" t="s">
        <v>577</v>
      </c>
      <c r="E29" s="413" t="s">
        <v>578</v>
      </c>
      <c r="F29" s="421">
        <v>75</v>
      </c>
      <c r="G29" s="422"/>
      <c r="H29" s="409">
        <f t="shared" si="3"/>
        <v>75</v>
      </c>
      <c r="I29" s="409">
        <f t="shared" si="4"/>
        <v>375</v>
      </c>
      <c r="J29" s="204"/>
      <c r="M29" s="418"/>
      <c r="N29" s="437"/>
      <c r="O29" s="437"/>
      <c r="P29" s="437"/>
      <c r="Q29" s="437"/>
      <c r="R29" s="437"/>
      <c r="S29" s="437">
        <f t="shared" si="9"/>
        <v>375</v>
      </c>
    </row>
    <row r="30" spans="1:19">
      <c r="A30" s="413">
        <v>1</v>
      </c>
      <c r="B30" s="413" t="s">
        <v>517</v>
      </c>
      <c r="C30" s="420" t="s">
        <v>574</v>
      </c>
      <c r="D30" s="413"/>
      <c r="E30" s="413" t="s">
        <v>579</v>
      </c>
      <c r="F30" s="421">
        <f>35/4</f>
        <v>8.75</v>
      </c>
      <c r="G30" s="422"/>
      <c r="H30" s="409">
        <f t="shared" si="3"/>
        <v>8.75</v>
      </c>
      <c r="I30" s="409">
        <f t="shared" si="4"/>
        <v>8.75</v>
      </c>
      <c r="J30" s="204"/>
      <c r="M30" s="418"/>
      <c r="N30" s="437"/>
      <c r="O30" s="437"/>
      <c r="P30" s="437"/>
      <c r="Q30" s="437"/>
      <c r="R30" s="437"/>
      <c r="S30" s="437">
        <f t="shared" si="9"/>
        <v>8.75</v>
      </c>
    </row>
    <row r="31" spans="1:19" ht="12.45">
      <c r="A31" s="407"/>
      <c r="B31" s="407"/>
      <c r="C31" s="408"/>
      <c r="D31" s="407"/>
      <c r="E31" s="431"/>
      <c r="F31" s="409"/>
      <c r="G31" s="410"/>
      <c r="H31" s="409"/>
      <c r="I31" s="409"/>
      <c r="J31" s="204"/>
      <c r="M31" s="418"/>
      <c r="N31" s="437"/>
      <c r="O31" s="437"/>
      <c r="P31" s="437"/>
      <c r="Q31" s="437"/>
      <c r="R31" s="437"/>
      <c r="S31" s="437"/>
    </row>
    <row r="32" spans="1:19">
      <c r="A32" s="407"/>
      <c r="B32" s="407"/>
      <c r="C32" s="408"/>
      <c r="D32" s="407"/>
      <c r="E32" s="407"/>
      <c r="F32" s="409"/>
      <c r="G32" s="410"/>
      <c r="H32" s="409"/>
      <c r="I32" s="409"/>
      <c r="J32" s="204"/>
      <c r="M32" s="437"/>
      <c r="N32" s="437"/>
      <c r="O32" s="437"/>
      <c r="P32" s="437"/>
      <c r="Q32" s="437"/>
      <c r="R32" s="437"/>
      <c r="S32" s="437"/>
    </row>
    <row r="33" spans="1:19">
      <c r="A33" s="407"/>
      <c r="B33" s="407"/>
      <c r="C33" s="408"/>
      <c r="D33" s="407"/>
      <c r="E33" s="432" t="s">
        <v>580</v>
      </c>
      <c r="F33" s="409"/>
      <c r="G33" s="410"/>
      <c r="H33" s="409"/>
      <c r="I33" s="421">
        <f>SUM(I4:I31)</f>
        <v>15650.594226011721</v>
      </c>
      <c r="J33" s="204"/>
      <c r="M33" s="418">
        <f>SUM(M4:M31)</f>
        <v>8989.5120000000006</v>
      </c>
      <c r="N33" s="418">
        <f>SUM(N4:N31)</f>
        <v>3072.6895660117202</v>
      </c>
      <c r="O33" s="418">
        <f>SUM(O4:O31)</f>
        <v>593.84266000000002</v>
      </c>
      <c r="P33" s="418"/>
      <c r="Q33" s="418"/>
      <c r="R33" s="418">
        <f>SUM(R4:R31)</f>
        <v>2070</v>
      </c>
      <c r="S33" s="418">
        <f>SUM(S4:S31)</f>
        <v>924.55000000000007</v>
      </c>
    </row>
    <row r="34" spans="1:19">
      <c r="A34" s="407"/>
      <c r="B34" s="407"/>
      <c r="C34" s="408"/>
      <c r="D34" s="407"/>
      <c r="E34" s="413" t="s">
        <v>581</v>
      </c>
      <c r="F34" s="409"/>
      <c r="G34" s="410">
        <v>0.25</v>
      </c>
      <c r="H34" s="409"/>
      <c r="I34" s="421"/>
      <c r="J34" s="204"/>
      <c r="M34" s="418"/>
      <c r="N34" s="418"/>
      <c r="O34" s="418"/>
      <c r="P34" s="418"/>
      <c r="Q34" s="418"/>
      <c r="R34" s="418"/>
      <c r="S34" s="418"/>
    </row>
    <row r="35" spans="1:19" ht="15.75">
      <c r="E35" s="433" t="s">
        <v>582</v>
      </c>
      <c r="F35" s="418"/>
      <c r="G35" s="434"/>
      <c r="H35" s="418"/>
      <c r="I35" s="435">
        <f>I33*(1+$G$34)</f>
        <v>19563.242782514651</v>
      </c>
      <c r="J35" s="436"/>
      <c r="K35" s="437"/>
      <c r="L35" s="437"/>
      <c r="M35" s="165">
        <f>M33*(1+$G$34)</f>
        <v>11236.890000000001</v>
      </c>
      <c r="N35" s="165">
        <f>N33*(1+$G$34)</f>
        <v>3840.8619575146504</v>
      </c>
      <c r="O35" s="165">
        <f>O33*(1+$G$34)</f>
        <v>742.30332500000009</v>
      </c>
      <c r="P35" s="418"/>
      <c r="Q35" s="418"/>
      <c r="R35" s="165">
        <f>R33*(1+$G$34)</f>
        <v>2587.5</v>
      </c>
      <c r="S35" s="165">
        <f>S33*(1+$G$34)</f>
        <v>1155.6875</v>
      </c>
    </row>
    <row r="38" spans="1:19">
      <c r="E38" s="439" t="s">
        <v>585</v>
      </c>
    </row>
    <row r="39" spans="1:19">
      <c r="A39" s="441">
        <v>8</v>
      </c>
      <c r="B39" s="17" t="s">
        <v>619</v>
      </c>
      <c r="E39" s="17" t="s">
        <v>586</v>
      </c>
      <c r="F39" s="403">
        <f t="shared" ref="F39:F55" si="10">F$59</f>
        <v>55</v>
      </c>
      <c r="H39" s="403">
        <f t="shared" si="3"/>
        <v>55</v>
      </c>
      <c r="I39" s="403">
        <f t="shared" ref="I39:I61" si="11">A39*H39</f>
        <v>440</v>
      </c>
    </row>
    <row r="40" spans="1:19">
      <c r="A40" s="441">
        <f>A6/120*8*2</f>
        <v>8.9333333333333336</v>
      </c>
      <c r="B40" s="17" t="s">
        <v>619</v>
      </c>
      <c r="E40" s="17" t="s">
        <v>589</v>
      </c>
      <c r="F40" s="403">
        <f t="shared" si="10"/>
        <v>55</v>
      </c>
      <c r="H40" s="403">
        <f t="shared" si="3"/>
        <v>55</v>
      </c>
      <c r="I40" s="403">
        <f t="shared" si="11"/>
        <v>491.33333333333337</v>
      </c>
      <c r="J40" s="17" t="s">
        <v>592</v>
      </c>
    </row>
    <row r="41" spans="1:19">
      <c r="A41" s="441">
        <v>4</v>
      </c>
      <c r="B41" s="17" t="s">
        <v>619</v>
      </c>
      <c r="E41" s="17" t="s">
        <v>1426</v>
      </c>
      <c r="F41" s="403">
        <f t="shared" si="10"/>
        <v>55</v>
      </c>
      <c r="H41" s="403">
        <f t="shared" si="3"/>
        <v>55</v>
      </c>
      <c r="I41" s="403">
        <f t="shared" si="11"/>
        <v>220</v>
      </c>
    </row>
    <row r="42" spans="1:19">
      <c r="A42" s="441">
        <f>A6/120*16*2</f>
        <v>17.866666666666667</v>
      </c>
      <c r="B42" s="17" t="s">
        <v>619</v>
      </c>
      <c r="E42" s="17" t="s">
        <v>591</v>
      </c>
      <c r="F42" s="403">
        <f t="shared" si="10"/>
        <v>55</v>
      </c>
      <c r="H42" s="403">
        <f t="shared" si="3"/>
        <v>55</v>
      </c>
      <c r="I42" s="403">
        <f t="shared" si="11"/>
        <v>982.66666666666674</v>
      </c>
      <c r="J42" s="17" t="s">
        <v>592</v>
      </c>
    </row>
    <row r="43" spans="1:19">
      <c r="A43" s="441">
        <v>4</v>
      </c>
      <c r="B43" s="17" t="s">
        <v>619</v>
      </c>
      <c r="E43" s="17" t="s">
        <v>1428</v>
      </c>
      <c r="F43" s="403">
        <f t="shared" si="10"/>
        <v>55</v>
      </c>
      <c r="H43" s="403">
        <f t="shared" si="3"/>
        <v>55</v>
      </c>
      <c r="I43" s="403">
        <f t="shared" si="11"/>
        <v>220</v>
      </c>
    </row>
    <row r="44" spans="1:19">
      <c r="A44" s="441">
        <v>4</v>
      </c>
      <c r="B44" s="17" t="s">
        <v>619</v>
      </c>
      <c r="E44" s="17" t="s">
        <v>1429</v>
      </c>
      <c r="F44" s="403">
        <f t="shared" si="10"/>
        <v>55</v>
      </c>
      <c r="H44" s="403">
        <f t="shared" si="3"/>
        <v>55</v>
      </c>
      <c r="I44" s="403">
        <f t="shared" si="11"/>
        <v>220</v>
      </c>
    </row>
    <row r="45" spans="1:19">
      <c r="A45" s="441">
        <v>2</v>
      </c>
      <c r="B45" s="17" t="s">
        <v>619</v>
      </c>
      <c r="E45" s="17" t="s">
        <v>605</v>
      </c>
      <c r="F45" s="403">
        <f t="shared" si="10"/>
        <v>55</v>
      </c>
      <c r="H45" s="403">
        <f t="shared" si="3"/>
        <v>55</v>
      </c>
      <c r="I45" s="403">
        <f t="shared" si="11"/>
        <v>110</v>
      </c>
    </row>
    <row r="46" spans="1:19">
      <c r="A46" s="441">
        <v>2</v>
      </c>
      <c r="B46" s="17" t="s">
        <v>619</v>
      </c>
      <c r="E46" s="17" t="s">
        <v>607</v>
      </c>
      <c r="F46" s="403">
        <f t="shared" si="10"/>
        <v>55</v>
      </c>
      <c r="H46" s="403">
        <f t="shared" si="3"/>
        <v>55</v>
      </c>
      <c r="I46" s="403">
        <f t="shared" si="11"/>
        <v>110</v>
      </c>
    </row>
    <row r="47" spans="1:19">
      <c r="A47" s="441">
        <v>0.5</v>
      </c>
      <c r="B47" s="17" t="s">
        <v>619</v>
      </c>
      <c r="E47" s="17" t="s">
        <v>609</v>
      </c>
      <c r="F47" s="403">
        <f t="shared" si="10"/>
        <v>55</v>
      </c>
      <c r="H47" s="403">
        <f t="shared" si="3"/>
        <v>55</v>
      </c>
      <c r="I47" s="403">
        <f t="shared" si="11"/>
        <v>27.5</v>
      </c>
    </row>
    <row r="48" spans="1:19">
      <c r="A48" s="441">
        <v>8</v>
      </c>
      <c r="B48" s="17" t="s">
        <v>619</v>
      </c>
      <c r="E48" s="17" t="s">
        <v>610</v>
      </c>
      <c r="F48" s="403">
        <f t="shared" si="10"/>
        <v>55</v>
      </c>
      <c r="H48" s="403">
        <f t="shared" si="3"/>
        <v>55</v>
      </c>
      <c r="I48" s="403">
        <f t="shared" si="11"/>
        <v>440</v>
      </c>
    </row>
    <row r="49" spans="1:16">
      <c r="A49" s="441">
        <v>0.5</v>
      </c>
      <c r="B49" s="17" t="s">
        <v>619</v>
      </c>
      <c r="E49" s="17" t="s">
        <v>611</v>
      </c>
      <c r="F49" s="403">
        <f t="shared" si="10"/>
        <v>55</v>
      </c>
      <c r="H49" s="403">
        <f t="shared" si="3"/>
        <v>55</v>
      </c>
      <c r="I49" s="403">
        <f t="shared" si="11"/>
        <v>27.5</v>
      </c>
    </row>
    <row r="50" spans="1:16">
      <c r="A50" s="441">
        <v>1</v>
      </c>
      <c r="B50" s="17" t="s">
        <v>619</v>
      </c>
      <c r="E50" s="17" t="s">
        <v>1431</v>
      </c>
      <c r="F50" s="403">
        <f t="shared" si="10"/>
        <v>55</v>
      </c>
      <c r="H50" s="403">
        <f t="shared" si="3"/>
        <v>55</v>
      </c>
      <c r="I50" s="403">
        <f t="shared" si="11"/>
        <v>55</v>
      </c>
    </row>
    <row r="51" spans="1:16">
      <c r="A51" s="441">
        <f>3*2</f>
        <v>6</v>
      </c>
      <c r="B51" s="17" t="s">
        <v>619</v>
      </c>
      <c r="E51" s="17" t="s">
        <v>612</v>
      </c>
      <c r="F51" s="403">
        <f t="shared" si="10"/>
        <v>55</v>
      </c>
      <c r="H51" s="403">
        <f t="shared" si="3"/>
        <v>55</v>
      </c>
      <c r="I51" s="403">
        <f t="shared" si="11"/>
        <v>330</v>
      </c>
      <c r="J51" s="17" t="s">
        <v>613</v>
      </c>
    </row>
    <row r="52" spans="1:16">
      <c r="A52" s="441">
        <v>8</v>
      </c>
      <c r="B52" s="17" t="s">
        <v>619</v>
      </c>
      <c r="E52" s="17" t="s">
        <v>614</v>
      </c>
      <c r="F52" s="403">
        <f t="shared" si="10"/>
        <v>55</v>
      </c>
      <c r="H52" s="403">
        <f t="shared" si="3"/>
        <v>55</v>
      </c>
      <c r="I52" s="403">
        <f t="shared" si="11"/>
        <v>440</v>
      </c>
    </row>
    <row r="53" spans="1:16">
      <c r="A53" s="441">
        <v>4</v>
      </c>
      <c r="B53" s="17" t="s">
        <v>619</v>
      </c>
      <c r="E53" s="17" t="s">
        <v>615</v>
      </c>
      <c r="F53" s="403">
        <f t="shared" si="10"/>
        <v>55</v>
      </c>
      <c r="H53" s="403">
        <f t="shared" si="3"/>
        <v>55</v>
      </c>
      <c r="I53" s="403">
        <f t="shared" si="11"/>
        <v>220</v>
      </c>
    </row>
    <row r="54" spans="1:16">
      <c r="A54" s="441">
        <v>4</v>
      </c>
      <c r="B54" s="17" t="s">
        <v>619</v>
      </c>
      <c r="E54" s="17" t="s">
        <v>616</v>
      </c>
      <c r="F54" s="403">
        <f t="shared" si="10"/>
        <v>55</v>
      </c>
      <c r="H54" s="403">
        <f t="shared" si="3"/>
        <v>55</v>
      </c>
      <c r="I54" s="403">
        <f t="shared" si="11"/>
        <v>220</v>
      </c>
    </row>
    <row r="55" spans="1:16">
      <c r="A55" s="915">
        <v>0</v>
      </c>
      <c r="B55" s="442" t="s">
        <v>619</v>
      </c>
      <c r="C55" s="446"/>
      <c r="D55" s="442"/>
      <c r="E55" s="442" t="s">
        <v>617</v>
      </c>
      <c r="F55" s="443">
        <f t="shared" si="10"/>
        <v>55</v>
      </c>
      <c r="G55" s="444"/>
      <c r="H55" s="443">
        <f t="shared" si="3"/>
        <v>55</v>
      </c>
      <c r="I55" s="443">
        <f t="shared" si="11"/>
        <v>0</v>
      </c>
      <c r="J55" s="17" t="s">
        <v>618</v>
      </c>
    </row>
    <row r="57" spans="1:16">
      <c r="A57" s="17">
        <f>SUM(A39:A56)</f>
        <v>82.8</v>
      </c>
      <c r="B57" s="17" t="s">
        <v>619</v>
      </c>
      <c r="E57" s="17" t="s">
        <v>620</v>
      </c>
    </row>
    <row r="58" spans="1:16">
      <c r="A58" s="441">
        <v>3</v>
      </c>
      <c r="B58" s="17" t="s">
        <v>517</v>
      </c>
      <c r="E58" s="17" t="s">
        <v>621</v>
      </c>
    </row>
    <row r="59" spans="1:16">
      <c r="A59" s="17">
        <v>1</v>
      </c>
      <c r="B59" s="17" t="s">
        <v>517</v>
      </c>
      <c r="E59" s="17" t="s">
        <v>622</v>
      </c>
      <c r="F59" s="445">
        <v>55</v>
      </c>
      <c r="H59" s="403">
        <f t="shared" si="3"/>
        <v>55</v>
      </c>
      <c r="I59" s="403">
        <f t="shared" si="11"/>
        <v>55</v>
      </c>
      <c r="J59" s="17" t="s">
        <v>623</v>
      </c>
    </row>
    <row r="60" spans="1:16">
      <c r="A60" s="17">
        <f>ROUNDUP(A57/8/A58,0)</f>
        <v>4</v>
      </c>
      <c r="B60" s="17" t="s">
        <v>624</v>
      </c>
      <c r="E60" s="17" t="s">
        <v>625</v>
      </c>
      <c r="F60" s="403">
        <f>A58*8*F59</f>
        <v>1320</v>
      </c>
      <c r="H60" s="403">
        <f t="shared" si="3"/>
        <v>1320</v>
      </c>
      <c r="I60" s="403">
        <f t="shared" si="11"/>
        <v>5280</v>
      </c>
    </row>
    <row r="61" spans="1:16">
      <c r="A61" s="915">
        <v>0</v>
      </c>
      <c r="B61" s="442" t="s">
        <v>517</v>
      </c>
      <c r="C61" s="446"/>
      <c r="D61" s="442"/>
      <c r="E61" s="442" t="s">
        <v>626</v>
      </c>
      <c r="F61" s="921">
        <v>0</v>
      </c>
      <c r="G61" s="444"/>
      <c r="H61" s="443">
        <f t="shared" si="3"/>
        <v>0</v>
      </c>
      <c r="I61" s="443">
        <f t="shared" si="11"/>
        <v>0</v>
      </c>
      <c r="J61" s="442"/>
    </row>
    <row r="62" spans="1:16">
      <c r="A62" s="441"/>
      <c r="F62" s="447"/>
      <c r="H62" s="403"/>
      <c r="I62" s="403"/>
    </row>
    <row r="63" spans="1:16">
      <c r="A63" s="441"/>
      <c r="F63" s="447"/>
      <c r="H63" s="403"/>
      <c r="I63" s="403"/>
    </row>
    <row r="64" spans="1:16" ht="15.75">
      <c r="E64" s="439" t="s">
        <v>628</v>
      </c>
      <c r="I64" s="443">
        <f>SUM(I60:I63)</f>
        <v>5280</v>
      </c>
      <c r="P64" s="165">
        <f>I64</f>
        <v>5280</v>
      </c>
    </row>
    <row r="67" spans="1:11">
      <c r="E67" s="449" t="s">
        <v>630</v>
      </c>
    </row>
    <row r="68" spans="1:11">
      <c r="E68" s="449" t="s">
        <v>635</v>
      </c>
    </row>
    <row r="69" spans="1:11" ht="66.8">
      <c r="A69" s="915">
        <v>1</v>
      </c>
      <c r="B69" s="17" t="s">
        <v>517</v>
      </c>
      <c r="C69" s="204" t="s">
        <v>698</v>
      </c>
      <c r="D69" s="17" t="s">
        <v>636</v>
      </c>
      <c r="E69" s="17" t="s">
        <v>637</v>
      </c>
      <c r="F69" s="445">
        <v>1809</v>
      </c>
      <c r="G69" s="404">
        <v>0.4</v>
      </c>
      <c r="H69" s="403">
        <f t="shared" si="3"/>
        <v>1085.3999999999999</v>
      </c>
      <c r="I69" s="403">
        <f t="shared" ref="I69:I84" si="12">A69*H69</f>
        <v>1085.3999999999999</v>
      </c>
      <c r="J69" s="17" t="s">
        <v>638</v>
      </c>
      <c r="K69" s="17" t="s">
        <v>1892</v>
      </c>
    </row>
    <row r="70" spans="1:11">
      <c r="A70" s="915">
        <v>0</v>
      </c>
      <c r="B70" s="17" t="s">
        <v>517</v>
      </c>
      <c r="C70" s="204" t="s">
        <v>538</v>
      </c>
      <c r="D70" s="17" t="s">
        <v>640</v>
      </c>
      <c r="E70" s="17" t="s">
        <v>1893</v>
      </c>
      <c r="F70" s="445">
        <v>1949</v>
      </c>
      <c r="G70" s="404">
        <v>0.4</v>
      </c>
      <c r="H70" s="403">
        <f t="shared" si="3"/>
        <v>1169.3999999999999</v>
      </c>
      <c r="I70" s="403">
        <f t="shared" si="12"/>
        <v>0</v>
      </c>
      <c r="J70" s="17" t="s">
        <v>638</v>
      </c>
      <c r="K70" s="17" t="s">
        <v>1894</v>
      </c>
    </row>
    <row r="71" spans="1:11">
      <c r="A71" s="441">
        <v>0</v>
      </c>
      <c r="B71" s="17" t="s">
        <v>517</v>
      </c>
      <c r="C71" s="204" t="s">
        <v>538</v>
      </c>
      <c r="D71" s="17" t="s">
        <v>640</v>
      </c>
      <c r="E71" s="17" t="s">
        <v>1895</v>
      </c>
      <c r="F71" s="445">
        <v>1949</v>
      </c>
      <c r="G71" s="404">
        <v>0.4</v>
      </c>
      <c r="H71" s="403">
        <f t="shared" si="3"/>
        <v>1169.3999999999999</v>
      </c>
      <c r="I71" s="403">
        <f t="shared" si="12"/>
        <v>0</v>
      </c>
      <c r="J71" s="17" t="s">
        <v>638</v>
      </c>
      <c r="K71" s="17" t="s">
        <v>1894</v>
      </c>
    </row>
    <row r="72" spans="1:11">
      <c r="A72" s="915">
        <v>0</v>
      </c>
      <c r="B72" s="17" t="s">
        <v>517</v>
      </c>
      <c r="C72" s="204" t="s">
        <v>538</v>
      </c>
      <c r="D72" s="17" t="s">
        <v>640</v>
      </c>
      <c r="E72" s="17" t="s">
        <v>1896</v>
      </c>
      <c r="F72" s="445">
        <v>2447</v>
      </c>
      <c r="G72" s="404">
        <v>0.4</v>
      </c>
      <c r="H72" s="403">
        <f t="shared" si="3"/>
        <v>1468.2</v>
      </c>
      <c r="I72" s="403">
        <f t="shared" si="12"/>
        <v>0</v>
      </c>
      <c r="J72" s="17" t="s">
        <v>638</v>
      </c>
      <c r="K72" s="17" t="s">
        <v>1894</v>
      </c>
    </row>
    <row r="73" spans="1:11">
      <c r="A73" s="441">
        <v>0</v>
      </c>
      <c r="B73" s="17" t="s">
        <v>517</v>
      </c>
      <c r="C73" s="204" t="s">
        <v>538</v>
      </c>
      <c r="D73" s="17" t="s">
        <v>640</v>
      </c>
      <c r="E73" s="17" t="s">
        <v>1897</v>
      </c>
      <c r="F73" s="445">
        <v>4395</v>
      </c>
      <c r="G73" s="404">
        <v>0.4</v>
      </c>
      <c r="H73" s="403">
        <f t="shared" si="3"/>
        <v>2637</v>
      </c>
      <c r="I73" s="403">
        <f t="shared" si="12"/>
        <v>0</v>
      </c>
      <c r="J73" s="17" t="s">
        <v>638</v>
      </c>
      <c r="K73" s="17" t="s">
        <v>1894</v>
      </c>
    </row>
    <row r="74" spans="1:11">
      <c r="A74" s="441">
        <v>0</v>
      </c>
      <c r="B74" s="17" t="s">
        <v>517</v>
      </c>
      <c r="C74" s="204" t="s">
        <v>538</v>
      </c>
      <c r="D74" s="17" t="s">
        <v>640</v>
      </c>
      <c r="E74" s="17" t="s">
        <v>1898</v>
      </c>
      <c r="F74" s="445">
        <v>21206</v>
      </c>
      <c r="G74" s="404">
        <v>0.4</v>
      </c>
      <c r="H74" s="403">
        <f t="shared" ref="H74:H99" si="13">F74*(1-G74)</f>
        <v>12723.6</v>
      </c>
      <c r="I74" s="403">
        <f t="shared" si="12"/>
        <v>0</v>
      </c>
      <c r="J74" s="17" t="s">
        <v>638</v>
      </c>
      <c r="K74" s="17" t="s">
        <v>1894</v>
      </c>
    </row>
    <row r="75" spans="1:11">
      <c r="A75" s="915">
        <v>0</v>
      </c>
      <c r="B75" s="17" t="s">
        <v>539</v>
      </c>
      <c r="C75" s="204" t="s">
        <v>538</v>
      </c>
      <c r="D75" s="17" t="s">
        <v>643</v>
      </c>
      <c r="E75" s="17" t="s">
        <v>1899</v>
      </c>
      <c r="F75" s="445">
        <v>80</v>
      </c>
      <c r="G75" s="404">
        <v>0.4</v>
      </c>
      <c r="H75" s="403">
        <f t="shared" si="13"/>
        <v>48</v>
      </c>
      <c r="I75" s="403">
        <f t="shared" si="12"/>
        <v>0</v>
      </c>
      <c r="J75" s="17" t="s">
        <v>638</v>
      </c>
      <c r="K75" s="17" t="s">
        <v>1894</v>
      </c>
    </row>
    <row r="76" spans="1:11">
      <c r="A76" s="441">
        <v>0</v>
      </c>
      <c r="B76" s="17" t="s">
        <v>539</v>
      </c>
      <c r="C76" s="204" t="s">
        <v>538</v>
      </c>
      <c r="D76" s="17" t="s">
        <v>643</v>
      </c>
      <c r="E76" s="17" t="s">
        <v>1900</v>
      </c>
      <c r="F76" s="445">
        <v>108</v>
      </c>
      <c r="G76" s="404">
        <v>0.4</v>
      </c>
      <c r="H76" s="403">
        <f t="shared" si="13"/>
        <v>64.8</v>
      </c>
      <c r="I76" s="403">
        <f t="shared" si="12"/>
        <v>0</v>
      </c>
      <c r="J76" s="17" t="s">
        <v>638</v>
      </c>
      <c r="K76" s="17" t="s">
        <v>1894</v>
      </c>
    </row>
    <row r="77" spans="1:11">
      <c r="A77" s="204"/>
      <c r="F77" s="445"/>
      <c r="H77" s="403"/>
      <c r="I77" s="403"/>
    </row>
    <row r="78" spans="1:11">
      <c r="A78" s="204"/>
      <c r="E78" s="449" t="s">
        <v>1901</v>
      </c>
      <c r="F78" s="445"/>
      <c r="H78" s="403"/>
      <c r="I78" s="403"/>
    </row>
    <row r="79" spans="1:11">
      <c r="A79" s="441">
        <v>0</v>
      </c>
      <c r="B79" s="17" t="s">
        <v>517</v>
      </c>
      <c r="C79" s="204" t="s">
        <v>1902</v>
      </c>
      <c r="D79" s="17" t="s">
        <v>636</v>
      </c>
      <c r="E79" s="17" t="s">
        <v>1903</v>
      </c>
      <c r="F79" s="445">
        <v>2507</v>
      </c>
      <c r="G79" s="404">
        <v>0.4</v>
      </c>
      <c r="H79" s="403">
        <f t="shared" si="13"/>
        <v>1504.2</v>
      </c>
      <c r="I79" s="403">
        <f t="shared" si="12"/>
        <v>0</v>
      </c>
      <c r="J79" s="17" t="s">
        <v>638</v>
      </c>
      <c r="K79" s="17" t="s">
        <v>1904</v>
      </c>
    </row>
    <row r="80" spans="1:11">
      <c r="A80" s="441">
        <v>0</v>
      </c>
      <c r="B80" s="17" t="s">
        <v>517</v>
      </c>
      <c r="C80" s="204" t="s">
        <v>1902</v>
      </c>
      <c r="D80" s="17" t="s">
        <v>636</v>
      </c>
      <c r="E80" s="17" t="s">
        <v>1905</v>
      </c>
      <c r="F80" s="445">
        <v>2913</v>
      </c>
      <c r="G80" s="404">
        <v>0.4</v>
      </c>
      <c r="H80" s="403">
        <f t="shared" si="13"/>
        <v>1747.8</v>
      </c>
      <c r="I80" s="403">
        <f t="shared" si="12"/>
        <v>0</v>
      </c>
      <c r="J80" s="17" t="s">
        <v>638</v>
      </c>
      <c r="K80" s="17" t="s">
        <v>1904</v>
      </c>
    </row>
    <row r="81" spans="1:17">
      <c r="A81" s="441">
        <v>0</v>
      </c>
      <c r="B81" s="17" t="s">
        <v>539</v>
      </c>
      <c r="C81" s="204" t="s">
        <v>1902</v>
      </c>
      <c r="D81" s="17" t="s">
        <v>670</v>
      </c>
      <c r="E81" s="17" t="s">
        <v>1906</v>
      </c>
      <c r="F81" s="445">
        <v>107</v>
      </c>
      <c r="G81" s="404">
        <v>0.4</v>
      </c>
      <c r="H81" s="403">
        <f t="shared" si="13"/>
        <v>64.2</v>
      </c>
      <c r="I81" s="403">
        <f t="shared" si="12"/>
        <v>0</v>
      </c>
      <c r="J81" s="17" t="s">
        <v>638</v>
      </c>
      <c r="K81" s="17" t="s">
        <v>1904</v>
      </c>
    </row>
    <row r="82" spans="1:17">
      <c r="A82" s="441">
        <v>0</v>
      </c>
      <c r="B82" s="17" t="s">
        <v>539</v>
      </c>
      <c r="C82" s="204" t="s">
        <v>1902</v>
      </c>
      <c r="D82" s="17" t="s">
        <v>670</v>
      </c>
      <c r="E82" s="17" t="s">
        <v>1907</v>
      </c>
      <c r="F82" s="445">
        <v>108</v>
      </c>
      <c r="G82" s="404">
        <v>0.4</v>
      </c>
      <c r="H82" s="403">
        <f t="shared" si="13"/>
        <v>64.8</v>
      </c>
      <c r="I82" s="403">
        <f t="shared" si="12"/>
        <v>0</v>
      </c>
      <c r="J82" s="17" t="s">
        <v>638</v>
      </c>
      <c r="K82" s="17" t="s">
        <v>1904</v>
      </c>
    </row>
    <row r="83" spans="1:17">
      <c r="A83" s="441">
        <v>0</v>
      </c>
      <c r="B83" s="17" t="s">
        <v>517</v>
      </c>
      <c r="C83" s="204" t="s">
        <v>1902</v>
      </c>
      <c r="D83" s="17" t="s">
        <v>640</v>
      </c>
      <c r="E83" s="17" t="s">
        <v>1908</v>
      </c>
      <c r="F83" s="445">
        <v>1965</v>
      </c>
      <c r="G83" s="404">
        <v>0.4</v>
      </c>
      <c r="H83" s="403">
        <f t="shared" si="13"/>
        <v>1179</v>
      </c>
      <c r="I83" s="403">
        <f t="shared" si="12"/>
        <v>0</v>
      </c>
      <c r="J83" s="17" t="s">
        <v>638</v>
      </c>
      <c r="K83" s="17" t="s">
        <v>1904</v>
      </c>
    </row>
    <row r="84" spans="1:17">
      <c r="A84" s="441">
        <v>0</v>
      </c>
      <c r="B84" s="17" t="s">
        <v>539</v>
      </c>
      <c r="C84" s="204" t="s">
        <v>1902</v>
      </c>
      <c r="D84" s="17" t="s">
        <v>643</v>
      </c>
      <c r="E84" s="17" t="s">
        <v>1909</v>
      </c>
      <c r="F84" s="445">
        <v>95</v>
      </c>
      <c r="G84" s="404">
        <v>0.4</v>
      </c>
      <c r="H84" s="403">
        <f t="shared" si="13"/>
        <v>57</v>
      </c>
      <c r="I84" s="403">
        <f t="shared" si="12"/>
        <v>0</v>
      </c>
      <c r="J84" s="17" t="s">
        <v>638</v>
      </c>
      <c r="K84" s="17" t="s">
        <v>1904</v>
      </c>
    </row>
    <row r="85" spans="1:17">
      <c r="A85" s="204"/>
      <c r="F85" s="485"/>
      <c r="H85" s="403"/>
      <c r="I85" s="403"/>
    </row>
    <row r="86" spans="1:17" ht="15.75">
      <c r="E86" s="439" t="s">
        <v>676</v>
      </c>
      <c r="I86" s="443">
        <f>SUM(I69:I85)</f>
        <v>1085.3999999999999</v>
      </c>
      <c r="Q86" s="165">
        <f>I86</f>
        <v>1085.3999999999999</v>
      </c>
    </row>
    <row r="88" spans="1:17" ht="13.75" customHeight="1">
      <c r="A88" s="986" t="s">
        <v>100</v>
      </c>
      <c r="B88" s="986"/>
      <c r="C88" s="986"/>
      <c r="D88" s="986"/>
      <c r="E88" s="986"/>
    </row>
    <row r="95" spans="1:17" ht="15.05" customHeight="1">
      <c r="A95" s="1002" t="s">
        <v>90</v>
      </c>
      <c r="B95" s="1002"/>
      <c r="C95" s="1002"/>
      <c r="D95" s="1002"/>
      <c r="E95" s="1002"/>
    </row>
    <row r="97" spans="1:10" ht="13.75">
      <c r="A97" s="17">
        <v>1</v>
      </c>
      <c r="B97" s="17" t="s">
        <v>517</v>
      </c>
      <c r="E97" s="17" t="s">
        <v>703</v>
      </c>
      <c r="F97" s="403">
        <f>2794.79/3</f>
        <v>931.59666666666669</v>
      </c>
      <c r="H97" s="403">
        <f t="shared" si="13"/>
        <v>931.59666666666669</v>
      </c>
      <c r="I97" s="403">
        <f t="shared" ref="I97:I99" si="14">A97*H97</f>
        <v>931.59666666666669</v>
      </c>
      <c r="J97" s="494" t="s">
        <v>2006</v>
      </c>
    </row>
    <row r="98" spans="1:10">
      <c r="A98" s="17">
        <v>0</v>
      </c>
      <c r="B98" s="17" t="s">
        <v>517</v>
      </c>
      <c r="E98" s="17" t="s">
        <v>705</v>
      </c>
      <c r="F98" s="403">
        <v>287.14999999999998</v>
      </c>
      <c r="H98" s="403">
        <f t="shared" si="13"/>
        <v>287.14999999999998</v>
      </c>
      <c r="I98" s="403">
        <f t="shared" si="14"/>
        <v>0</v>
      </c>
    </row>
    <row r="99" spans="1:10">
      <c r="A99" s="17">
        <v>1</v>
      </c>
      <c r="B99" s="17" t="s">
        <v>517</v>
      </c>
      <c r="E99" s="17" t="s">
        <v>706</v>
      </c>
      <c r="F99" s="403">
        <v>40</v>
      </c>
      <c r="H99" s="403">
        <f t="shared" si="13"/>
        <v>40</v>
      </c>
      <c r="I99" s="403">
        <f t="shared" si="14"/>
        <v>40</v>
      </c>
    </row>
    <row r="100" spans="1:10">
      <c r="A100" s="17">
        <v>1</v>
      </c>
      <c r="B100" s="17" t="s">
        <v>517</v>
      </c>
      <c r="E100" s="17" t="s">
        <v>707</v>
      </c>
      <c r="F100" s="403">
        <v>1500</v>
      </c>
      <c r="H100" s="403">
        <f t="shared" ref="H100:H118" si="15">F100*(1-G100)</f>
        <v>1500</v>
      </c>
      <c r="I100" s="403">
        <f t="shared" ref="I100:I103" si="16">A100*H100</f>
        <v>1500</v>
      </c>
    </row>
    <row r="101" spans="1:10" ht="55.65">
      <c r="A101" s="17">
        <v>0</v>
      </c>
      <c r="B101" s="17" t="s">
        <v>517</v>
      </c>
      <c r="C101" s="204" t="s">
        <v>708</v>
      </c>
      <c r="E101" s="204" t="s">
        <v>709</v>
      </c>
      <c r="F101" s="403">
        <v>460</v>
      </c>
      <c r="H101" s="403">
        <f t="shared" si="15"/>
        <v>460</v>
      </c>
      <c r="I101" s="403">
        <f t="shared" si="16"/>
        <v>0</v>
      </c>
      <c r="J101" s="17" t="s">
        <v>710</v>
      </c>
    </row>
    <row r="102" spans="1:10" ht="55.65">
      <c r="A102" s="17">
        <v>0</v>
      </c>
      <c r="B102" s="17" t="s">
        <v>517</v>
      </c>
      <c r="C102" s="204" t="s">
        <v>711</v>
      </c>
      <c r="E102" s="204" t="s">
        <v>712</v>
      </c>
      <c r="F102" s="403">
        <v>320</v>
      </c>
      <c r="H102" s="403">
        <f t="shared" si="15"/>
        <v>320</v>
      </c>
      <c r="I102" s="403">
        <f t="shared" si="16"/>
        <v>0</v>
      </c>
    </row>
    <row r="103" spans="1:10" ht="66.8">
      <c r="A103" s="17">
        <v>1</v>
      </c>
      <c r="B103" s="17" t="s">
        <v>517</v>
      </c>
      <c r="C103" s="17" t="s">
        <v>713</v>
      </c>
      <c r="D103" s="17" t="s">
        <v>714</v>
      </c>
      <c r="E103" s="204" t="s">
        <v>2021</v>
      </c>
      <c r="F103" s="403">
        <v>2725</v>
      </c>
      <c r="H103" s="403">
        <f t="shared" si="15"/>
        <v>2725</v>
      </c>
      <c r="I103" s="403">
        <f t="shared" si="16"/>
        <v>2725</v>
      </c>
      <c r="J103" s="17" t="s">
        <v>2022</v>
      </c>
    </row>
    <row r="104" spans="1:10">
      <c r="C104" s="17"/>
      <c r="E104" s="204"/>
      <c r="H104" s="403"/>
      <c r="I104" s="403"/>
    </row>
    <row r="106" spans="1:10" ht="15.75">
      <c r="E106" s="439" t="s">
        <v>729</v>
      </c>
      <c r="I106" s="168">
        <f>SUM(I95:I105)</f>
        <v>5196.5966666666664</v>
      </c>
    </row>
    <row r="108" spans="1:10" ht="13.75" customHeight="1">
      <c r="A108" s="997" t="s">
        <v>68</v>
      </c>
      <c r="B108" s="997"/>
      <c r="C108" s="997"/>
      <c r="D108" s="997"/>
      <c r="E108" s="997"/>
    </row>
    <row r="109" spans="1:10">
      <c r="A109" s="17">
        <v>1</v>
      </c>
      <c r="B109" s="17" t="s">
        <v>517</v>
      </c>
      <c r="E109" s="17" t="s">
        <v>730</v>
      </c>
      <c r="F109" s="403">
        <v>250</v>
      </c>
      <c r="H109" s="403">
        <f t="shared" si="15"/>
        <v>250</v>
      </c>
      <c r="I109" s="403">
        <f t="shared" ref="I109:I111" si="17">A109*H109</f>
        <v>250</v>
      </c>
      <c r="J109" s="17" t="s">
        <v>2023</v>
      </c>
    </row>
    <row r="110" spans="1:10" ht="55.65">
      <c r="A110" s="17">
        <v>0</v>
      </c>
      <c r="B110" s="17" t="s">
        <v>517</v>
      </c>
      <c r="C110" s="204" t="s">
        <v>708</v>
      </c>
      <c r="E110" s="204" t="s">
        <v>731</v>
      </c>
      <c r="F110" s="403">
        <f>460/2</f>
        <v>230</v>
      </c>
      <c r="H110" s="403">
        <f t="shared" si="15"/>
        <v>230</v>
      </c>
      <c r="I110" s="403">
        <f t="shared" si="17"/>
        <v>0</v>
      </c>
    </row>
    <row r="111" spans="1:10" ht="55.65">
      <c r="A111" s="17">
        <v>0</v>
      </c>
      <c r="B111" s="17" t="s">
        <v>517</v>
      </c>
      <c r="C111" s="204" t="s">
        <v>711</v>
      </c>
      <c r="E111" s="204" t="s">
        <v>732</v>
      </c>
      <c r="F111" s="403">
        <f>320/2</f>
        <v>160</v>
      </c>
      <c r="H111" s="403">
        <f t="shared" si="15"/>
        <v>160</v>
      </c>
      <c r="I111" s="403">
        <f t="shared" si="17"/>
        <v>0</v>
      </c>
    </row>
    <row r="113" spans="1:10" ht="15.75">
      <c r="E113" s="439" t="s">
        <v>733</v>
      </c>
      <c r="I113" s="168">
        <f>SUM(I108:I112)</f>
        <v>250</v>
      </c>
      <c r="J113" s="404">
        <f>I113/(I35+I64+I86+I106)</f>
        <v>8.0320667221911359E-3</v>
      </c>
    </row>
    <row r="114" spans="1:10">
      <c r="E114" s="439"/>
    </row>
    <row r="116" spans="1:10" ht="15.05" customHeight="1">
      <c r="A116" s="1002" t="s">
        <v>107</v>
      </c>
      <c r="B116" s="1002"/>
      <c r="C116" s="1002"/>
      <c r="D116" s="1002"/>
      <c r="E116" s="1002"/>
    </row>
    <row r="117" spans="1:10" ht="22.25">
      <c r="A117" s="17">
        <v>1</v>
      </c>
      <c r="B117" s="17" t="s">
        <v>517</v>
      </c>
      <c r="C117" s="204" t="s">
        <v>2024</v>
      </c>
      <c r="E117" s="17" t="s">
        <v>2025</v>
      </c>
      <c r="F117" s="403">
        <v>2000</v>
      </c>
      <c r="H117" s="403">
        <f t="shared" si="15"/>
        <v>2000</v>
      </c>
      <c r="I117" s="403">
        <f t="shared" ref="I117:I118" si="18">A117*H117</f>
        <v>2000</v>
      </c>
    </row>
    <row r="118" spans="1:10" ht="22.25">
      <c r="A118" s="17">
        <v>1</v>
      </c>
      <c r="B118" s="17" t="s">
        <v>517</v>
      </c>
      <c r="C118" s="204" t="s">
        <v>531</v>
      </c>
      <c r="E118" s="17" t="s">
        <v>2026</v>
      </c>
      <c r="F118" s="403">
        <v>2000</v>
      </c>
      <c r="H118" s="403">
        <f t="shared" si="15"/>
        <v>2000</v>
      </c>
      <c r="I118" s="403">
        <f t="shared" si="18"/>
        <v>2000</v>
      </c>
    </row>
    <row r="120" spans="1:10" ht="15.75">
      <c r="I120" s="168">
        <f>SUM(I116:I119)</f>
        <v>4000</v>
      </c>
    </row>
  </sheetData>
  <mergeCells count="7">
    <mergeCell ref="A108:E108"/>
    <mergeCell ref="A116:E116"/>
    <mergeCell ref="B1:F1"/>
    <mergeCell ref="A2:G2"/>
    <mergeCell ref="J21:L21"/>
    <mergeCell ref="A88:E88"/>
    <mergeCell ref="A95:E9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EDCE6"/>
  </sheetPr>
  <dimension ref="A1:BL63"/>
  <sheetViews>
    <sheetView showGridLines="0" zoomScale="95" workbookViewId="0">
      <pane xSplit="2" ySplit="6" topLeftCell="J7" activePane="bottomRight" state="frozen"/>
      <selection activeCellId="1" sqref="G16 A1"/>
      <selection pane="topRight"/>
      <selection pane="bottomLeft"/>
      <selection pane="bottomRight" activeCell="X9" sqref="X9"/>
    </sheetView>
  </sheetViews>
  <sheetFormatPr baseColWidth="10" defaultColWidth="10.140625" defaultRowHeight="14.4"/>
  <cols>
    <col min="1" max="1" width="0.5703125" style="497" customWidth="1"/>
    <col min="2" max="2" width="44.42578125" style="497" customWidth="1"/>
    <col min="3" max="4" width="10" style="497" customWidth="1"/>
    <col min="5" max="5" width="11.7109375" style="497" customWidth="1"/>
    <col min="6" max="25" width="10" style="497" customWidth="1"/>
    <col min="26" max="26" width="11.140625" style="497" customWidth="1"/>
    <col min="27" max="27" width="11.7109375" style="497" customWidth="1"/>
    <col min="28" max="35" width="11.140625" style="497" customWidth="1"/>
    <col min="36" max="36" width="11.28515625" style="497" customWidth="1"/>
    <col min="37" max="37" width="11.28515625" customWidth="1"/>
    <col min="38" max="41" width="11.28515625" style="497" customWidth="1"/>
    <col min="42" max="42" width="20" style="497" customWidth="1"/>
    <col min="43" max="44" width="11.28515625" style="497" customWidth="1"/>
    <col min="45" max="45" width="10.85546875" style="497" customWidth="1"/>
    <col min="46" max="64" width="11.28515625" style="497" customWidth="1"/>
  </cols>
  <sheetData>
    <row r="1" spans="1:64" ht="15.75" customHeight="1">
      <c r="A1" s="1055" t="s">
        <v>839</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498"/>
      <c r="AC1" s="499"/>
      <c r="AL1" s="500"/>
      <c r="AM1" s="500"/>
      <c r="AN1" s="501"/>
      <c r="AO1" s="501"/>
      <c r="AP1" s="501"/>
      <c r="AQ1" s="501"/>
      <c r="AR1" s="501"/>
      <c r="AS1" s="499"/>
    </row>
    <row r="2" spans="1:64" ht="13.95" customHeight="1">
      <c r="A2" s="1055"/>
      <c r="B2" s="1055"/>
      <c r="C2" s="1055"/>
      <c r="D2" s="1055"/>
      <c r="E2" s="1055"/>
      <c r="F2" s="1055"/>
      <c r="G2" s="1055"/>
      <c r="H2" s="1055"/>
      <c r="I2" s="1055"/>
      <c r="J2" s="1055"/>
      <c r="K2" s="1055"/>
      <c r="L2" s="1055"/>
      <c r="M2" s="1055"/>
      <c r="N2" s="1055"/>
      <c r="O2" s="1055"/>
      <c r="P2" s="1055"/>
      <c r="Q2" s="1055"/>
      <c r="R2" s="1055"/>
      <c r="S2" s="1055"/>
      <c r="T2" s="1055"/>
      <c r="U2" s="1055"/>
      <c r="V2" s="1055"/>
      <c r="W2" s="1055"/>
      <c r="X2" s="1055"/>
      <c r="Y2" s="498"/>
      <c r="AC2" s="499"/>
      <c r="AS2" s="499"/>
    </row>
    <row r="3" spans="1:64" ht="12.45">
      <c r="A3" s="500"/>
      <c r="B3" s="500"/>
      <c r="C3" s="500"/>
      <c r="D3" s="500"/>
      <c r="E3" s="500"/>
      <c r="F3" s="500"/>
      <c r="G3" s="500"/>
      <c r="H3" s="500"/>
      <c r="I3" s="500"/>
      <c r="J3" s="500"/>
      <c r="K3" s="500"/>
      <c r="L3" s="502" t="s">
        <v>1</v>
      </c>
      <c r="M3" s="500"/>
      <c r="N3" s="500"/>
      <c r="O3" s="500"/>
      <c r="P3" s="500"/>
      <c r="Q3" s="500"/>
      <c r="R3" s="500"/>
      <c r="S3" s="500"/>
      <c r="T3" s="500"/>
      <c r="U3" s="500"/>
      <c r="V3" s="500"/>
      <c r="W3" s="500"/>
      <c r="X3" s="500"/>
      <c r="Y3" s="500"/>
      <c r="Z3" s="500"/>
      <c r="AA3" s="500"/>
      <c r="AB3" s="500"/>
      <c r="AC3" s="503"/>
      <c r="AD3" s="500"/>
      <c r="AE3" s="500"/>
      <c r="AF3" s="500"/>
      <c r="AG3" s="500"/>
      <c r="AH3" s="500"/>
      <c r="AI3" s="504"/>
      <c r="AJ3" s="500"/>
      <c r="AL3" s="500"/>
      <c r="AM3" s="500"/>
      <c r="AN3" s="500"/>
      <c r="AO3" s="500"/>
      <c r="AP3" s="500"/>
      <c r="AQ3" s="500"/>
      <c r="AR3" s="500"/>
      <c r="AS3" s="503"/>
      <c r="AT3" s="500"/>
      <c r="AU3" s="500"/>
      <c r="AV3" s="500"/>
      <c r="AW3" s="500"/>
      <c r="AX3" s="500"/>
      <c r="AY3" s="500"/>
      <c r="AZ3" s="500"/>
      <c r="BA3" s="500"/>
      <c r="BB3" s="500"/>
      <c r="BC3" s="500"/>
      <c r="BD3" s="500"/>
      <c r="BE3" s="500"/>
      <c r="BF3" s="500"/>
      <c r="BG3" s="500"/>
      <c r="BH3" s="500"/>
      <c r="BI3" s="500"/>
      <c r="BJ3" s="500"/>
      <c r="BK3" s="500"/>
      <c r="BL3" s="500"/>
    </row>
    <row r="4" spans="1:64">
      <c r="B4" s="505"/>
      <c r="C4" s="506"/>
      <c r="D4" s="506"/>
      <c r="E4" s="506">
        <v>0</v>
      </c>
      <c r="F4" s="507">
        <f t="shared" ref="F4:F5" si="0">E4+1</f>
        <v>1</v>
      </c>
      <c r="G4" s="507">
        <f t="shared" ref="G4:G5" si="1">F4+1</f>
        <v>2</v>
      </c>
      <c r="H4" s="507">
        <f t="shared" ref="H4:H5" si="2">G4+1</f>
        <v>3</v>
      </c>
      <c r="I4" s="507">
        <f t="shared" ref="I4:I5" si="3">H4+1</f>
        <v>4</v>
      </c>
      <c r="J4" s="507">
        <f t="shared" ref="J4:J5" si="4">I4+1</f>
        <v>5</v>
      </c>
      <c r="K4" s="507">
        <f t="shared" ref="K4:K5" si="5">J4+1</f>
        <v>6</v>
      </c>
      <c r="L4" s="507">
        <f t="shared" ref="L4:L5" si="6">K4+1</f>
        <v>7</v>
      </c>
      <c r="M4" s="507">
        <f t="shared" ref="M4:M5" si="7">L4+1</f>
        <v>8</v>
      </c>
      <c r="N4" s="507">
        <f t="shared" ref="N4:N5" si="8">M4+1</f>
        <v>9</v>
      </c>
      <c r="O4" s="507">
        <f t="shared" ref="O4:O5" si="9">N4+1</f>
        <v>10</v>
      </c>
      <c r="P4" s="507">
        <f t="shared" ref="P4:P5" si="10">O4+1</f>
        <v>11</v>
      </c>
      <c r="Q4" s="507">
        <f t="shared" ref="Q4:Q5" si="11">P4+1</f>
        <v>12</v>
      </c>
      <c r="R4" s="507">
        <f t="shared" ref="R4:R5" si="12">Q4+1</f>
        <v>13</v>
      </c>
      <c r="S4" s="507">
        <f t="shared" ref="S4:S5" si="13">R4+1</f>
        <v>14</v>
      </c>
      <c r="T4" s="507">
        <f t="shared" ref="T4:T5" si="14">S4+1</f>
        <v>15</v>
      </c>
      <c r="U4" s="507">
        <f t="shared" ref="U4:U5" si="15">T4+1</f>
        <v>16</v>
      </c>
      <c r="V4" s="507">
        <f t="shared" ref="V4:V5" si="16">U4+1</f>
        <v>17</v>
      </c>
      <c r="W4" s="507">
        <f t="shared" ref="W4:W5" si="17">V4+1</f>
        <v>18</v>
      </c>
      <c r="X4" s="507">
        <f t="shared" ref="X4:X5" si="18">W4+1</f>
        <v>19</v>
      </c>
      <c r="Y4" s="507">
        <f t="shared" ref="Y4:Y5" si="19">X4+1</f>
        <v>20</v>
      </c>
      <c r="Z4" s="64"/>
      <c r="AA4" s="508" t="s">
        <v>840</v>
      </c>
      <c r="AB4" s="64"/>
      <c r="AC4" s="64"/>
      <c r="AD4" s="64"/>
      <c r="AE4" s="64"/>
      <c r="AF4" s="64"/>
      <c r="AG4" s="64"/>
      <c r="AH4" s="64"/>
      <c r="AI4" s="64"/>
      <c r="AK4" s="64"/>
      <c r="AS4" s="499"/>
    </row>
    <row r="5" spans="1:64">
      <c r="B5" s="505"/>
      <c r="C5" s="509">
        <v>2019</v>
      </c>
      <c r="D5" s="510">
        <f>C5+1</f>
        <v>2020</v>
      </c>
      <c r="E5" s="510">
        <f>D5+1</f>
        <v>2021</v>
      </c>
      <c r="F5" s="510">
        <f t="shared" si="0"/>
        <v>2022</v>
      </c>
      <c r="G5" s="510">
        <f t="shared" si="1"/>
        <v>2023</v>
      </c>
      <c r="H5" s="510">
        <f t="shared" si="2"/>
        <v>2024</v>
      </c>
      <c r="I5" s="510">
        <f t="shared" si="3"/>
        <v>2025</v>
      </c>
      <c r="J5" s="510">
        <f t="shared" si="4"/>
        <v>2026</v>
      </c>
      <c r="K5" s="510">
        <f t="shared" si="5"/>
        <v>2027</v>
      </c>
      <c r="L5" s="510">
        <f t="shared" si="6"/>
        <v>2028</v>
      </c>
      <c r="M5" s="510">
        <f t="shared" si="7"/>
        <v>2029</v>
      </c>
      <c r="N5" s="510">
        <f t="shared" si="8"/>
        <v>2030</v>
      </c>
      <c r="O5" s="510">
        <f t="shared" si="9"/>
        <v>2031</v>
      </c>
      <c r="P5" s="510">
        <f t="shared" si="10"/>
        <v>2032</v>
      </c>
      <c r="Q5" s="510">
        <f t="shared" si="11"/>
        <v>2033</v>
      </c>
      <c r="R5" s="510">
        <f t="shared" si="12"/>
        <v>2034</v>
      </c>
      <c r="S5" s="510">
        <f t="shared" si="13"/>
        <v>2035</v>
      </c>
      <c r="T5" s="510">
        <f t="shared" si="14"/>
        <v>2036</v>
      </c>
      <c r="U5" s="510">
        <f t="shared" si="15"/>
        <v>2037</v>
      </c>
      <c r="V5" s="510">
        <f t="shared" si="16"/>
        <v>2038</v>
      </c>
      <c r="W5" s="510">
        <f t="shared" si="17"/>
        <v>2039</v>
      </c>
      <c r="X5" s="510">
        <f t="shared" si="18"/>
        <v>2040</v>
      </c>
      <c r="Y5" s="510">
        <f t="shared" si="19"/>
        <v>2041</v>
      </c>
      <c r="Z5" s="64"/>
      <c r="AA5" s="508"/>
      <c r="AB5" s="64"/>
      <c r="AC5" s="64"/>
      <c r="AD5" s="64"/>
      <c r="AE5" s="64"/>
      <c r="AF5" s="64"/>
      <c r="AG5" s="64"/>
      <c r="AH5" s="64"/>
      <c r="AI5" s="64"/>
      <c r="AK5" s="64"/>
      <c r="AS5" s="499"/>
    </row>
    <row r="6" spans="1:64">
      <c r="B6" s="511" t="s">
        <v>841</v>
      </c>
      <c r="C6" s="512"/>
      <c r="D6" s="512"/>
      <c r="E6" s="513"/>
      <c r="F6" s="514">
        <f>Installations!N90</f>
        <v>216211.68000000002</v>
      </c>
      <c r="G6" s="514">
        <f t="shared" ref="G6:Y6" si="20">$F$6*(1-perte_prod)^(G4-1)</f>
        <v>214698.19824000003</v>
      </c>
      <c r="H6" s="514">
        <f t="shared" si="20"/>
        <v>213195.31085232002</v>
      </c>
      <c r="I6" s="514">
        <f t="shared" si="20"/>
        <v>211702.94367635375</v>
      </c>
      <c r="J6" s="514">
        <f t="shared" si="20"/>
        <v>210221.0230706193</v>
      </c>
      <c r="K6" s="514">
        <f t="shared" si="20"/>
        <v>208749.47590912494</v>
      </c>
      <c r="L6" s="514">
        <f t="shared" si="20"/>
        <v>207288.22957776106</v>
      </c>
      <c r="M6" s="514">
        <f t="shared" si="20"/>
        <v>205837.21197071674</v>
      </c>
      <c r="N6" s="514">
        <f t="shared" si="20"/>
        <v>204396.35148692172</v>
      </c>
      <c r="O6" s="514">
        <f t="shared" si="20"/>
        <v>202965.57702651323</v>
      </c>
      <c r="P6" s="514">
        <f t="shared" si="20"/>
        <v>201544.81798732767</v>
      </c>
      <c r="Q6" s="514">
        <f t="shared" si="20"/>
        <v>200134.00426141635</v>
      </c>
      <c r="R6" s="514">
        <f t="shared" si="20"/>
        <v>198733.06623158645</v>
      </c>
      <c r="S6" s="514">
        <f t="shared" si="20"/>
        <v>197341.93476796531</v>
      </c>
      <c r="T6" s="514">
        <f t="shared" si="20"/>
        <v>195960.54122458957</v>
      </c>
      <c r="U6" s="514">
        <f t="shared" si="20"/>
        <v>194588.81743601745</v>
      </c>
      <c r="V6" s="514">
        <f t="shared" si="20"/>
        <v>193226.69571396531</v>
      </c>
      <c r="W6" s="514">
        <f t="shared" si="20"/>
        <v>191874.10884396752</v>
      </c>
      <c r="X6" s="514">
        <f t="shared" si="20"/>
        <v>190530.99008205975</v>
      </c>
      <c r="Y6" s="514">
        <f t="shared" si="20"/>
        <v>189197.27315148534</v>
      </c>
      <c r="Z6" s="64"/>
      <c r="AA6" s="515">
        <f>AVERAGE(E6:X6)</f>
        <v>203115.84096627505</v>
      </c>
      <c r="AB6" s="64"/>
      <c r="AC6" s="64"/>
      <c r="AD6" s="64"/>
      <c r="AE6" s="64"/>
      <c r="AF6" s="64"/>
      <c r="AG6" s="64"/>
      <c r="AH6" s="64"/>
      <c r="AI6" s="64"/>
      <c r="AK6" s="64"/>
      <c r="AS6" s="499"/>
    </row>
    <row r="7" spans="1:64" ht="9.5" customHeight="1">
      <c r="B7" s="516"/>
      <c r="C7" s="516"/>
      <c r="D7" s="516"/>
      <c r="E7" s="517"/>
      <c r="F7" s="517"/>
      <c r="G7" s="517"/>
      <c r="H7" s="517"/>
      <c r="I7" s="517"/>
      <c r="J7" s="517"/>
      <c r="K7" s="517"/>
      <c r="L7" s="517"/>
      <c r="M7" s="517"/>
      <c r="N7" s="517"/>
      <c r="O7" s="517"/>
      <c r="P7" s="517"/>
      <c r="Q7" s="517"/>
      <c r="R7" s="517"/>
      <c r="S7" s="517"/>
      <c r="T7" s="517"/>
      <c r="U7" s="517"/>
      <c r="V7" s="517"/>
      <c r="W7" s="517"/>
      <c r="X7" s="517"/>
      <c r="Y7" s="517"/>
      <c r="Z7" s="64"/>
      <c r="AA7" s="518"/>
      <c r="AB7" s="64"/>
      <c r="AC7" s="64"/>
      <c r="AD7" s="64"/>
      <c r="AE7" s="64"/>
      <c r="AF7" s="64"/>
      <c r="AG7" s="64"/>
      <c r="AH7" s="64"/>
      <c r="AI7" s="64"/>
      <c r="AK7" s="64"/>
      <c r="AS7" s="499"/>
    </row>
    <row r="8" spans="1:64">
      <c r="A8" s="519"/>
      <c r="B8" s="520" t="s">
        <v>842</v>
      </c>
      <c r="C8" s="521"/>
      <c r="D8" s="521"/>
      <c r="E8" s="522"/>
      <c r="F8" s="522">
        <f>Ana_eco!C22*Installations!AZ90</f>
        <v>20746.797600000002</v>
      </c>
      <c r="G8" s="522">
        <f t="shared" ref="G8:Y8" si="21">$F$8*(1-perte_prod)^(G4-1)*(1+tx_actualisation_tarif)^(G4-1)</f>
        <v>20704.577866883999</v>
      </c>
      <c r="H8" s="522">
        <f t="shared" si="21"/>
        <v>20662.444050924885</v>
      </c>
      <c r="I8" s="522">
        <f t="shared" si="21"/>
        <v>20620.395977281249</v>
      </c>
      <c r="J8" s="522">
        <f t="shared" si="21"/>
        <v>20578.433471467477</v>
      </c>
      <c r="K8" s="522">
        <f t="shared" si="21"/>
        <v>20536.556359353039</v>
      </c>
      <c r="L8" s="522">
        <f t="shared" si="21"/>
        <v>20494.764467161753</v>
      </c>
      <c r="M8" s="522">
        <f t="shared" si="21"/>
        <v>20453.057621471075</v>
      </c>
      <c r="N8" s="522">
        <f t="shared" si="21"/>
        <v>20411.435649211377</v>
      </c>
      <c r="O8" s="522">
        <f t="shared" si="21"/>
        <v>20369.898377665228</v>
      </c>
      <c r="P8" s="522">
        <f t="shared" si="21"/>
        <v>20328.445634466676</v>
      </c>
      <c r="Q8" s="522">
        <f t="shared" si="21"/>
        <v>20287.077247600537</v>
      </c>
      <c r="R8" s="522">
        <f t="shared" si="21"/>
        <v>20245.79304540166</v>
      </c>
      <c r="S8" s="522">
        <f t="shared" si="21"/>
        <v>20204.592856554267</v>
      </c>
      <c r="T8" s="522">
        <f t="shared" si="21"/>
        <v>20163.476510091175</v>
      </c>
      <c r="U8" s="522">
        <f t="shared" si="21"/>
        <v>20122.443835393133</v>
      </c>
      <c r="V8" s="522">
        <f t="shared" si="21"/>
        <v>20081.494662188106</v>
      </c>
      <c r="W8" s="522">
        <f t="shared" si="21"/>
        <v>20040.628820550552</v>
      </c>
      <c r="X8" s="522">
        <f t="shared" si="21"/>
        <v>19999.846140900725</v>
      </c>
      <c r="Y8" s="522">
        <f t="shared" si="21"/>
        <v>19959.146454003989</v>
      </c>
      <c r="Z8" s="64"/>
      <c r="AA8" s="523">
        <f>AVERAGE(E8:X8)</f>
        <v>20371.166326029837</v>
      </c>
      <c r="AB8" s="64"/>
      <c r="AC8" s="64"/>
      <c r="AD8" s="64"/>
      <c r="AE8" s="64"/>
      <c r="AF8" s="64"/>
      <c r="AG8" s="64"/>
      <c r="AH8" s="64"/>
      <c r="AI8" s="64"/>
      <c r="AK8" s="64"/>
      <c r="AS8" s="499"/>
    </row>
    <row r="9" spans="1:64">
      <c r="A9" s="519"/>
      <c r="B9" s="520" t="s">
        <v>843</v>
      </c>
      <c r="C9" s="524">
        <f>7985</f>
        <v>7985</v>
      </c>
      <c r="D9" s="524">
        <v>8058.76</v>
      </c>
      <c r="E9" s="524">
        <v>8059</v>
      </c>
      <c r="F9" s="524">
        <v>7142.9748613260099</v>
      </c>
      <c r="G9" s="524">
        <v>7132.0282523510296</v>
      </c>
      <c r="H9" s="524">
        <v>7121.0984190543004</v>
      </c>
      <c r="I9" s="524">
        <v>7110.1853357271002</v>
      </c>
      <c r="J9" s="524">
        <v>7099.2889767000897</v>
      </c>
      <c r="K9" s="524">
        <v>7088.4093163432999</v>
      </c>
      <c r="L9" s="524">
        <v>7077.546329066</v>
      </c>
      <c r="M9" s="524">
        <v>7066.6999893167103</v>
      </c>
      <c r="N9" s="524">
        <v>7055.8702715830796</v>
      </c>
      <c r="O9" s="524">
        <v>7045.05715039188</v>
      </c>
      <c r="P9" s="524">
        <v>7034.2606003089104</v>
      </c>
      <c r="Q9" s="524">
        <v>7023.4805959389296</v>
      </c>
      <c r="R9" s="524">
        <v>7012.71711192566</v>
      </c>
      <c r="S9" s="524">
        <v>7001.9701229516304</v>
      </c>
      <c r="T9" s="524">
        <v>6991.2396037381995</v>
      </c>
      <c r="U9" s="524">
        <v>6980.5255290454797</v>
      </c>
      <c r="V9" s="524">
        <v>6969.8278736722104</v>
      </c>
      <c r="W9" s="522"/>
      <c r="X9" s="525">
        <v>15000</v>
      </c>
      <c r="Y9" s="522"/>
      <c r="Z9" s="64"/>
      <c r="AA9" s="523"/>
      <c r="AB9" s="64"/>
      <c r="AC9" s="64"/>
      <c r="AD9" s="64"/>
      <c r="AE9" s="64"/>
      <c r="AF9" s="64"/>
      <c r="AG9" s="64"/>
      <c r="AH9" s="64"/>
      <c r="AI9" s="64"/>
      <c r="AK9" s="64"/>
      <c r="AS9" s="499"/>
    </row>
    <row r="10" spans="1:64">
      <c r="A10" s="526"/>
      <c r="B10" s="527" t="s">
        <v>844</v>
      </c>
      <c r="C10" s="528"/>
      <c r="D10" s="529"/>
      <c r="E10" s="529"/>
      <c r="F10" s="530">
        <f ca="1">Ana_eco!T24</f>
        <v>0</v>
      </c>
      <c r="G10" s="529"/>
      <c r="H10" s="529"/>
      <c r="I10" s="529"/>
      <c r="J10" s="529"/>
      <c r="K10" s="529"/>
      <c r="L10" s="529"/>
      <c r="M10" s="529"/>
      <c r="N10" s="529"/>
      <c r="O10" s="529"/>
      <c r="P10" s="529"/>
      <c r="Q10" s="529"/>
      <c r="R10" s="529"/>
      <c r="S10" s="529"/>
      <c r="T10" s="529"/>
      <c r="U10" s="529"/>
      <c r="V10" s="529"/>
      <c r="W10" s="531"/>
      <c r="X10" s="531"/>
      <c r="Y10" s="531"/>
      <c r="Z10" s="64"/>
      <c r="AA10" s="523">
        <f ca="1">AVERAGE(E10:X10)</f>
        <v>0</v>
      </c>
      <c r="AB10" s="64"/>
      <c r="AC10" s="64"/>
      <c r="AD10" s="64"/>
      <c r="AE10" s="64"/>
      <c r="AF10" s="64"/>
      <c r="AG10" s="64"/>
      <c r="AH10" s="64"/>
      <c r="AI10" s="64"/>
      <c r="AK10" s="64"/>
      <c r="AS10" s="499"/>
    </row>
    <row r="11" spans="1:64">
      <c r="A11" s="526"/>
      <c r="B11" s="527" t="s">
        <v>845</v>
      </c>
      <c r="C11" s="532">
        <v>146</v>
      </c>
      <c r="D11" s="533">
        <v>0</v>
      </c>
      <c r="E11" s="532">
        <v>0</v>
      </c>
      <c r="F11" s="533">
        <v>0</v>
      </c>
      <c r="G11" s="532">
        <v>0</v>
      </c>
      <c r="H11" s="533">
        <v>0</v>
      </c>
      <c r="I11" s="532">
        <v>0</v>
      </c>
      <c r="J11" s="533">
        <v>0</v>
      </c>
      <c r="K11" s="532">
        <v>0</v>
      </c>
      <c r="L11" s="533">
        <v>0</v>
      </c>
      <c r="M11" s="532">
        <v>0</v>
      </c>
      <c r="N11" s="533">
        <v>0</v>
      </c>
      <c r="O11" s="532">
        <v>0</v>
      </c>
      <c r="P11" s="532">
        <v>0</v>
      </c>
      <c r="Q11" s="532">
        <v>0</v>
      </c>
      <c r="R11" s="532">
        <v>0</v>
      </c>
      <c r="S11" s="532">
        <v>0</v>
      </c>
      <c r="T11" s="532">
        <v>0</v>
      </c>
      <c r="U11" s="532">
        <v>0</v>
      </c>
      <c r="V11" s="532">
        <v>0</v>
      </c>
      <c r="W11" s="531"/>
      <c r="X11" s="531"/>
      <c r="Y11" s="531"/>
      <c r="Z11" s="64"/>
      <c r="AA11" s="523"/>
      <c r="AB11" s="64"/>
      <c r="AC11" s="64"/>
      <c r="AD11" s="64"/>
      <c r="AE11" s="64"/>
      <c r="AF11" s="64"/>
      <c r="AG11" s="64"/>
      <c r="AH11" s="64"/>
      <c r="AI11" s="64"/>
      <c r="AK11" s="64"/>
      <c r="AS11" s="499"/>
    </row>
    <row r="12" spans="1:64">
      <c r="A12" s="526"/>
      <c r="B12" s="527" t="s">
        <v>846</v>
      </c>
      <c r="C12" s="528"/>
      <c r="D12" s="531"/>
      <c r="E12" s="531">
        <f>Ana_eco!$M$19*(1+i)^(D4-1)+Ana_eco!T18+MAIF!R36-MAIF!B24</f>
        <v>5573.4376325737994</v>
      </c>
      <c r="F12" s="531">
        <f>Ana_eco!$M$19*(1+i)^(E4-1)+Ana_eco!U18+MAIF!S36</f>
        <v>6101.8120843598499</v>
      </c>
      <c r="G12" s="528">
        <f>Ana_eco!$M$19*(1+i)^(G4-1)+MAIF!T36</f>
        <v>5918.4285072554831</v>
      </c>
      <c r="H12" s="528">
        <f>Ana_eco!$M$19*(1+i)^(H4-1)+MAIF!U36</f>
        <v>5977.6127923280383</v>
      </c>
      <c r="I12" s="528">
        <f>Ana_eco!$M$19*(1+i)^(I4-1)+MAIF!V36</f>
        <v>6037.3889202513183</v>
      </c>
      <c r="J12" s="528">
        <f>Ana_eco!$M$19*(1+i)^(J4-1)+MAIF!W36</f>
        <v>6097.7628094538313</v>
      </c>
      <c r="K12" s="528">
        <f>Ana_eco!$M$19*(1+i)^(K4-1)+MAIF!X36</f>
        <v>6158.7404375483693</v>
      </c>
      <c r="L12" s="528">
        <f>Ana_eco!$M$19*(1+i)^(L4-1)+MAIF!Y36</f>
        <v>6220.3278419238541</v>
      </c>
      <c r="M12" s="528">
        <f>Ana_eco!$M$19*(1+i)^(M4-1)+MAIF!Z36</f>
        <v>6282.5311203430911</v>
      </c>
      <c r="N12" s="528">
        <f>Ana_eco!$M$19*(1+i)^(N4-1)+MAIF!AA36</f>
        <v>6345.3564315465237</v>
      </c>
      <c r="O12" s="528">
        <f>Ana_eco!$M$19*(1+i)^(O4-1)+Ana_eco!$U$15/5+Ana_eco!U16+MAIF!AB36</f>
        <v>9355.86009586199</v>
      </c>
      <c r="P12" s="531">
        <f>Ana_eco!$M$19*(1+i)^(P4-1)+Ana_eco!$U$15/5+MAIF!AC36</f>
        <v>8669.9481958206088</v>
      </c>
      <c r="Q12" s="531">
        <f>Ana_eco!$M$19*(1+i)^(Q4-1)+Ana_eco!$U$15/5+MAIF!AD36</f>
        <v>8734.6771767788141</v>
      </c>
      <c r="R12" s="531">
        <f>Ana_eco!$M$19*(1+i)^(R4-1)+Ana_eco!$U$15/5+MAIF!AE36</f>
        <v>8800.0534475466029</v>
      </c>
      <c r="S12" s="531">
        <f>Ana_eco!$M$19*(1+i)^(S4-1)+Ana_eco!$U$15/5+MAIF!AF36</f>
        <v>8866.0834810220695</v>
      </c>
      <c r="T12" s="531">
        <f>Ana_eco!$M$19*(1+i)^(T4-1)+MAIF!AG36</f>
        <v>6735.7237148322902</v>
      </c>
      <c r="U12" s="531">
        <f>Ana_eco!$M$19*(1+i)^(U4-1)+MAIF!AH36</f>
        <v>6803.0809519806116</v>
      </c>
      <c r="V12" s="531">
        <f>Ana_eco!$M$19*(1+i)^(V4-1)+MAIF!AI36</f>
        <v>6871.1117615004196</v>
      </c>
      <c r="W12" s="531">
        <f>Ana_eco!$M$19*(1+i)^(W4-1)+MAIF!AJ36</f>
        <v>6939.8228791154243</v>
      </c>
      <c r="X12" s="531">
        <f>Ana_eco!$M$19*(1+i)^(X4-1)+MAIF!AK36</f>
        <v>7009.2211079065792</v>
      </c>
      <c r="Y12" s="531">
        <f>Ana_eco!$M$19*(1+i)^(Y4-1)+Ana_eco!$U$27*(1+i)^(Y4-1)+MAIF!AL36</f>
        <v>7079.3133189856426</v>
      </c>
      <c r="Z12" s="64"/>
      <c r="AA12" s="523">
        <f>AVERAGE(E12:X12)</f>
        <v>6974.9490694974766</v>
      </c>
      <c r="AB12" s="64"/>
      <c r="AC12" s="64"/>
      <c r="AD12" s="64"/>
      <c r="AE12" s="64"/>
      <c r="AF12" s="64"/>
      <c r="AG12" s="64"/>
      <c r="AH12" s="64"/>
      <c r="AI12" s="64"/>
      <c r="AK12" s="64"/>
      <c r="AS12" s="499"/>
    </row>
    <row r="13" spans="1:64">
      <c r="A13" s="526"/>
      <c r="B13" s="527" t="s">
        <v>847</v>
      </c>
      <c r="C13" s="534">
        <v>300</v>
      </c>
      <c r="D13" s="531">
        <f t="shared" ref="D13:Y13" si="22">MAX(150,IF(C36&gt;0,MIN(150+0.01*(C8+C9),0.1*C36),150))</f>
        <v>150</v>
      </c>
      <c r="E13" s="531">
        <f t="shared" si="22"/>
        <v>153.99200000000008</v>
      </c>
      <c r="F13" s="531">
        <f t="shared" si="22"/>
        <v>150</v>
      </c>
      <c r="G13" s="531">
        <f t="shared" ca="1" si="22"/>
        <v>159.09811767322765</v>
      </c>
      <c r="H13" s="531">
        <f t="shared" ca="1" si="22"/>
        <v>175.75019238886398</v>
      </c>
      <c r="I13" s="531">
        <f t="shared" ca="1" si="22"/>
        <v>216.33342908284109</v>
      </c>
      <c r="J13" s="531">
        <f t="shared" ca="1" si="22"/>
        <v>214.26289314124548</v>
      </c>
      <c r="K13" s="531">
        <f t="shared" ca="1" si="22"/>
        <v>211.49062403859068</v>
      </c>
      <c r="L13" s="531">
        <f t="shared" ca="1" si="22"/>
        <v>208.95942085147382</v>
      </c>
      <c r="M13" s="531">
        <f t="shared" ca="1" si="22"/>
        <v>206.420770941683</v>
      </c>
      <c r="N13" s="531">
        <f t="shared" ca="1" si="22"/>
        <v>150</v>
      </c>
      <c r="O13" s="531">
        <f t="shared" ca="1" si="22"/>
        <v>203.69818822310611</v>
      </c>
      <c r="P13" s="531">
        <f t="shared" ca="1" si="22"/>
        <v>150</v>
      </c>
      <c r="Q13" s="531">
        <f t="shared" ca="1" si="22"/>
        <v>150</v>
      </c>
      <c r="R13" s="531">
        <f t="shared" ca="1" si="22"/>
        <v>150</v>
      </c>
      <c r="S13" s="531">
        <f t="shared" ca="1" si="22"/>
        <v>196.5930357183928</v>
      </c>
      <c r="T13" s="531">
        <f t="shared" ca="1" si="22"/>
        <v>180.13956472209389</v>
      </c>
      <c r="U13" s="531">
        <f t="shared" ca="1" si="22"/>
        <v>355.74670630040583</v>
      </c>
      <c r="V13" s="531">
        <f t="shared" ca="1" si="22"/>
        <v>328.14626041042743</v>
      </c>
      <c r="W13" s="531">
        <f t="shared" ca="1" si="22"/>
        <v>317.85469907273676</v>
      </c>
      <c r="X13" s="531">
        <f t="shared" ca="1" si="22"/>
        <v>242.78443060330315</v>
      </c>
      <c r="Y13" s="531">
        <f t="shared" ca="1" si="22"/>
        <v>499.99846140900729</v>
      </c>
      <c r="Z13" s="64"/>
      <c r="AA13" s="523"/>
      <c r="AB13" s="64"/>
      <c r="AC13" s="64"/>
      <c r="AD13" s="64"/>
      <c r="AE13" s="64"/>
      <c r="AF13" s="64"/>
      <c r="AG13" s="64"/>
      <c r="AH13" s="64"/>
      <c r="AI13" s="64"/>
      <c r="AK13" s="64"/>
      <c r="AS13" s="499"/>
    </row>
    <row r="14" spans="1:64">
      <c r="A14" s="526"/>
      <c r="B14" s="527" t="s">
        <v>848</v>
      </c>
      <c r="C14" s="532">
        <v>6067</v>
      </c>
      <c r="D14" s="532">
        <f>2264-D13</f>
        <v>2114</v>
      </c>
      <c r="E14" s="532">
        <v>2525</v>
      </c>
      <c r="F14" s="532">
        <v>2550</v>
      </c>
      <c r="G14" s="532">
        <v>2576</v>
      </c>
      <c r="H14" s="532">
        <v>2601</v>
      </c>
      <c r="I14" s="532">
        <v>2627</v>
      </c>
      <c r="J14" s="532">
        <v>2654</v>
      </c>
      <c r="K14" s="532">
        <v>2680</v>
      </c>
      <c r="L14" s="532">
        <v>2707</v>
      </c>
      <c r="M14" s="532">
        <v>4425</v>
      </c>
      <c r="N14" s="532">
        <v>3652</v>
      </c>
      <c r="O14" s="532">
        <v>3680</v>
      </c>
      <c r="P14" s="532">
        <v>3708</v>
      </c>
      <c r="Q14" s="532">
        <v>3736</v>
      </c>
      <c r="R14" s="532">
        <v>2873</v>
      </c>
      <c r="S14" s="532">
        <v>2902</v>
      </c>
      <c r="T14" s="532">
        <v>2931</v>
      </c>
      <c r="U14" s="532">
        <v>2961</v>
      </c>
      <c r="V14" s="532">
        <v>2990</v>
      </c>
      <c r="W14" s="531"/>
      <c r="X14" s="531"/>
      <c r="Y14" s="531"/>
      <c r="Z14" s="64"/>
      <c r="AA14" s="523"/>
      <c r="AB14" s="64"/>
      <c r="AC14" s="64"/>
      <c r="AD14" s="64"/>
      <c r="AE14" s="64"/>
      <c r="AF14" s="64"/>
      <c r="AG14" s="64"/>
      <c r="AH14" s="64"/>
      <c r="AI14" s="64"/>
      <c r="AK14" s="64"/>
      <c r="AS14" s="499"/>
    </row>
    <row r="15" spans="1:64">
      <c r="A15" s="535"/>
      <c r="B15" s="536" t="s">
        <v>849</v>
      </c>
      <c r="C15" s="537">
        <f t="shared" ref="C15:Y15" si="23">SUM(C8:C11)-SUM(C12:C14)</f>
        <v>1764</v>
      </c>
      <c r="D15" s="537">
        <f t="shared" si="23"/>
        <v>5794.76</v>
      </c>
      <c r="E15" s="537">
        <f t="shared" si="23"/>
        <v>-193.42963257379961</v>
      </c>
      <c r="F15" s="537">
        <f t="shared" ca="1" si="23"/>
        <v>19087.960376966163</v>
      </c>
      <c r="G15" s="537">
        <f t="shared" ca="1" si="23"/>
        <v>19183.079494306316</v>
      </c>
      <c r="H15" s="537">
        <f t="shared" ca="1" si="23"/>
        <v>19029.179485262281</v>
      </c>
      <c r="I15" s="537">
        <f t="shared" ca="1" si="23"/>
        <v>18849.858963674189</v>
      </c>
      <c r="J15" s="537">
        <f t="shared" ca="1" si="23"/>
        <v>18711.696745572488</v>
      </c>
      <c r="K15" s="537">
        <f t="shared" ca="1" si="23"/>
        <v>18574.734614109377</v>
      </c>
      <c r="L15" s="537">
        <f t="shared" ca="1" si="23"/>
        <v>18436.023533452426</v>
      </c>
      <c r="M15" s="537">
        <f t="shared" ca="1" si="23"/>
        <v>16605.805719503009</v>
      </c>
      <c r="N15" s="537">
        <f t="shared" ca="1" si="23"/>
        <v>17319.949489247934</v>
      </c>
      <c r="O15" s="537">
        <f t="shared" ca="1" si="23"/>
        <v>14175.397243972011</v>
      </c>
      <c r="P15" s="537">
        <f t="shared" ca="1" si="23"/>
        <v>14834.758038954977</v>
      </c>
      <c r="Q15" s="537">
        <f t="shared" ca="1" si="23"/>
        <v>14689.880666760653</v>
      </c>
      <c r="R15" s="537">
        <f t="shared" ca="1" si="23"/>
        <v>15435.456709780718</v>
      </c>
      <c r="S15" s="537">
        <f t="shared" ca="1" si="23"/>
        <v>15241.886462765437</v>
      </c>
      <c r="T15" s="537">
        <f t="shared" ca="1" si="23"/>
        <v>17307.852834274989</v>
      </c>
      <c r="U15" s="537">
        <f t="shared" ca="1" si="23"/>
        <v>16983.141706157596</v>
      </c>
      <c r="V15" s="537">
        <f t="shared" ca="1" si="23"/>
        <v>16862.06451394947</v>
      </c>
      <c r="W15" s="537">
        <f t="shared" ca="1" si="23"/>
        <v>12782.951242362391</v>
      </c>
      <c r="X15" s="537">
        <f t="shared" ca="1" si="23"/>
        <v>27747.840602390846</v>
      </c>
      <c r="Y15" s="537">
        <f t="shared" ca="1" si="23"/>
        <v>12379.834673609339</v>
      </c>
      <c r="Z15" s="64"/>
      <c r="AA15" s="538">
        <f t="shared" ref="AA15:AA29" ca="1" si="24">AVERAGE(E15:X15)</f>
        <v>16583.304440544471</v>
      </c>
      <c r="AB15" s="64"/>
      <c r="AC15" s="64"/>
      <c r="AD15" s="64"/>
      <c r="AE15" s="64"/>
      <c r="AF15" s="64"/>
      <c r="AG15" s="64"/>
      <c r="AH15" s="64"/>
      <c r="AI15" s="64"/>
      <c r="AJ15" s="499"/>
      <c r="AK15" s="64"/>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row>
    <row r="16" spans="1:64">
      <c r="A16" s="526"/>
      <c r="B16" s="527" t="s">
        <v>850</v>
      </c>
      <c r="C16" s="539"/>
      <c r="D16" s="540"/>
      <c r="E16" s="540"/>
      <c r="F16" s="540">
        <f>IF(F8+F9&lt;5000,0,IF(F8+F9&lt;10000,516,1031))*Ana_eco!$H$25+Ana_eco!$H$27</f>
        <v>748.39272000000005</v>
      </c>
      <c r="G16" s="540">
        <f>IF(G8+G9&lt;5000,0,IF(G8+G9&lt;10000,516,1031))*Ana_eco!$H$25+Ana_eco!$H$27</f>
        <v>748.39272000000005</v>
      </c>
      <c r="H16" s="540">
        <f>IF(H8+H9&lt;5000,0,IF(H8+H9&lt;10000,516,1031))*Ana_eco!$H$25+Ana_eco!$H$27</f>
        <v>748.39272000000005</v>
      </c>
      <c r="I16" s="540">
        <f>IF(I8+I9&lt;5000,0,IF(I8+I9&lt;10000,516,1031))*Ana_eco!$H$25+Ana_eco!$H$27</f>
        <v>748.39272000000005</v>
      </c>
      <c r="J16" s="540">
        <f>IF(J8+J9&lt;5000,0,IF(J8+J9&lt;10000,516,1031))*Ana_eco!$H$25+Ana_eco!$H$27</f>
        <v>748.39272000000005</v>
      </c>
      <c r="K16" s="540">
        <f>IF(K8+K9&lt;5000,0,IF(K8+K9&lt;10000,516,1031))*Ana_eco!$H$25+Ana_eco!$H$27</f>
        <v>748.39272000000005</v>
      </c>
      <c r="L16" s="540">
        <f>IF(L8+L9&lt;5000,0,IF(L8+L9&lt;10000,516,1031))*Ana_eco!$H$25+Ana_eco!$H$27</f>
        <v>748.39272000000005</v>
      </c>
      <c r="M16" s="540">
        <f>IF(M8+M9&lt;5000,0,IF(M8+M9&lt;10000,516,1031))*Ana_eco!$H$25+Ana_eco!$H$27</f>
        <v>748.39272000000005</v>
      </c>
      <c r="N16" s="540">
        <f>IF(N8+N9&lt;5000,0,IF(N8+N9&lt;10000,516,1031))*Ana_eco!$H$25+Ana_eco!$H$27</f>
        <v>748.39272000000005</v>
      </c>
      <c r="O16" s="540">
        <f>IF(O8+O9&lt;5000,0,IF(O8+O9&lt;10000,516,1031))*Ana_eco!$H$25+Ana_eco!$H$27</f>
        <v>748.39272000000005</v>
      </c>
      <c r="P16" s="540">
        <f>IF(P8+P9&lt;5000,0,IF(P8+P9&lt;10000,516,1031))*Ana_eco!$H$25+Ana_eco!$H$27</f>
        <v>748.39272000000005</v>
      </c>
      <c r="Q16" s="540">
        <f>IF(Q8+Q9&lt;5000,0,IF(Q8+Q9&lt;10000,516,1031))*Ana_eco!$H$25+Ana_eco!$H$27</f>
        <v>748.39272000000005</v>
      </c>
      <c r="R16" s="540">
        <f>IF(R8+R9&lt;5000,0,IF(R8+R9&lt;10000,516,1031))*Ana_eco!$H$25+Ana_eco!$H$27</f>
        <v>748.39272000000005</v>
      </c>
      <c r="S16" s="540">
        <f>IF(S8+S9&lt;5000,0,IF(S8+S9&lt;10000,516,1031))*Ana_eco!$H$25+Ana_eco!$H$27</f>
        <v>748.39272000000005</v>
      </c>
      <c r="T16" s="540">
        <f>IF(T8+T9&lt;5000,0,IF(T8+T9&lt;10000,516,1031))*Ana_eco!$H$25+Ana_eco!$H$27</f>
        <v>748.39272000000005</v>
      </c>
      <c r="U16" s="540">
        <f>IF(U8+U9&lt;5000,0,IF(U8+U9&lt;10000,516,1031))*Ana_eco!$H$25+Ana_eco!$H$27</f>
        <v>748.39272000000005</v>
      </c>
      <c r="V16" s="540">
        <f>IF(V8+V9&lt;5000,0,IF(V8+V9&lt;10000,516,1031))*Ana_eco!$H$25+Ana_eco!$H$27</f>
        <v>748.39272000000005</v>
      </c>
      <c r="W16" s="540">
        <f>IF(W8+W9&lt;5000,0,IF(W8+W9&lt;10000,516,1031))*Ana_eco!$H$25+Ana_eco!$H$27</f>
        <v>748.39272000000005</v>
      </c>
      <c r="X16" s="540">
        <f>IF(X8+X9&lt;5000,0,IF(X8+X9&lt;10000,516,1031))*Ana_eco!$H$25+Ana_eco!$H$27</f>
        <v>748.39272000000005</v>
      </c>
      <c r="Y16" s="540">
        <f>IF(Y8+Y9&lt;5000,0,IF(Y8+Y9&lt;10000,516,1031))*Ana_eco!$H$25+Ana_eco!$H$27</f>
        <v>748.39272000000005</v>
      </c>
      <c r="Z16" s="64"/>
      <c r="AA16" s="541">
        <f t="shared" si="24"/>
        <v>748.39271999999994</v>
      </c>
      <c r="AB16" s="64"/>
      <c r="AC16" s="64"/>
      <c r="AD16" s="64"/>
      <c r="AE16" s="64"/>
      <c r="AF16" s="64"/>
      <c r="AG16" s="64"/>
      <c r="AH16" s="64"/>
      <c r="AI16" s="64"/>
      <c r="AK16" s="64"/>
      <c r="AS16" s="499"/>
    </row>
    <row r="17" spans="1:64">
      <c r="A17" s="526"/>
      <c r="B17" s="527" t="s">
        <v>851</v>
      </c>
      <c r="C17" s="542"/>
      <c r="D17" s="543"/>
      <c r="E17" s="531">
        <f>Ana_eco!M13</f>
        <v>0</v>
      </c>
      <c r="F17" s="531">
        <f>E17*(1+Ana_eco!$C$25)</f>
        <v>0</v>
      </c>
      <c r="G17" s="531">
        <f>F17*(1+Ana_eco!$C$25)</f>
        <v>0</v>
      </c>
      <c r="H17" s="531">
        <f>G17*(1+Ana_eco!$C$25)</f>
        <v>0</v>
      </c>
      <c r="I17" s="531">
        <f>H17*(1+Ana_eco!$C$25)</f>
        <v>0</v>
      </c>
      <c r="J17" s="531">
        <f>I17*(1+Ana_eco!$C$25)</f>
        <v>0</v>
      </c>
      <c r="K17" s="531">
        <f>J17*(1+Ana_eco!$C$25)</f>
        <v>0</v>
      </c>
      <c r="L17" s="531">
        <f>K17*(1+Ana_eco!$C$25)</f>
        <v>0</v>
      </c>
      <c r="M17" s="531">
        <f>L17*(1+Ana_eco!$C$25)</f>
        <v>0</v>
      </c>
      <c r="N17" s="531">
        <f>M17*(1+Ana_eco!$C$25)</f>
        <v>0</v>
      </c>
      <c r="O17" s="531">
        <f>N17*(1+Ana_eco!$C$25)</f>
        <v>0</v>
      </c>
      <c r="P17" s="531">
        <f>O17*(1+Ana_eco!$C$25)</f>
        <v>0</v>
      </c>
      <c r="Q17" s="531">
        <f>P17*(1+Ana_eco!$C$25)</f>
        <v>0</v>
      </c>
      <c r="R17" s="531">
        <f>Q17*(1+Ana_eco!$C$25)</f>
        <v>0</v>
      </c>
      <c r="S17" s="531">
        <f>R17*(1+Ana_eco!$C$25)</f>
        <v>0</v>
      </c>
      <c r="T17" s="531">
        <f>S17*(1+Ana_eco!$C$25)</f>
        <v>0</v>
      </c>
      <c r="U17" s="531">
        <f>T17*(1+Ana_eco!$C$25)</f>
        <v>0</v>
      </c>
      <c r="V17" s="531">
        <f>U17*(1+Ana_eco!$C$25)</f>
        <v>0</v>
      </c>
      <c r="W17" s="531">
        <f>V17*(1+Ana_eco!$C$25)</f>
        <v>0</v>
      </c>
      <c r="X17" s="531">
        <f>W17*(1+Ana_eco!$C$25)</f>
        <v>0</v>
      </c>
      <c r="Y17" s="531">
        <f>X17*(1+Ana_eco!$C$25)</f>
        <v>0</v>
      </c>
      <c r="Z17" s="64"/>
      <c r="AA17" s="523">
        <f t="shared" si="24"/>
        <v>0</v>
      </c>
      <c r="AB17" s="64"/>
      <c r="AC17" s="64"/>
      <c r="AD17" s="64"/>
      <c r="AE17" s="64"/>
      <c r="AF17" s="64"/>
      <c r="AG17" s="64"/>
      <c r="AH17" s="64"/>
      <c r="AI17" s="64"/>
      <c r="AK17" s="64"/>
      <c r="AS17" s="499"/>
    </row>
    <row r="18" spans="1:64">
      <c r="A18" s="535"/>
      <c r="B18" s="536" t="s">
        <v>852</v>
      </c>
      <c r="C18" s="544">
        <f>C15-C16-C17</f>
        <v>1764</v>
      </c>
      <c r="D18" s="537">
        <f>D15-D16-D17</f>
        <v>5794.76</v>
      </c>
      <c r="E18" s="537">
        <f>E15-E16-E17</f>
        <v>-193.42963257379961</v>
      </c>
      <c r="F18" s="537">
        <f t="shared" ref="F18:Y18" ca="1" si="25">F15-SUM(F16:F17)</f>
        <v>18339.567656966163</v>
      </c>
      <c r="G18" s="537">
        <f t="shared" ca="1" si="25"/>
        <v>18434.686774306316</v>
      </c>
      <c r="H18" s="537">
        <f t="shared" ca="1" si="25"/>
        <v>18280.786765262281</v>
      </c>
      <c r="I18" s="537">
        <f t="shared" ca="1" si="25"/>
        <v>18101.466243674189</v>
      </c>
      <c r="J18" s="537">
        <f t="shared" ca="1" si="25"/>
        <v>17963.304025572488</v>
      </c>
      <c r="K18" s="537">
        <f t="shared" ca="1" si="25"/>
        <v>17826.341894109377</v>
      </c>
      <c r="L18" s="537">
        <f t="shared" ca="1" si="25"/>
        <v>17687.630813452426</v>
      </c>
      <c r="M18" s="537">
        <f t="shared" ca="1" si="25"/>
        <v>15857.412999503009</v>
      </c>
      <c r="N18" s="537">
        <f t="shared" ca="1" si="25"/>
        <v>16571.556769247934</v>
      </c>
      <c r="O18" s="537">
        <f t="shared" ca="1" si="25"/>
        <v>13427.004523972011</v>
      </c>
      <c r="P18" s="537">
        <f t="shared" ca="1" si="25"/>
        <v>14086.365318954977</v>
      </c>
      <c r="Q18" s="537">
        <f t="shared" ca="1" si="25"/>
        <v>13941.487946760653</v>
      </c>
      <c r="R18" s="537">
        <f t="shared" ca="1" si="25"/>
        <v>14687.063989780718</v>
      </c>
      <c r="S18" s="537">
        <f t="shared" ca="1" si="25"/>
        <v>14493.493742765437</v>
      </c>
      <c r="T18" s="537">
        <f t="shared" ca="1" si="25"/>
        <v>16559.460114274989</v>
      </c>
      <c r="U18" s="537">
        <f t="shared" ca="1" si="25"/>
        <v>16234.748986157596</v>
      </c>
      <c r="V18" s="537">
        <f t="shared" ca="1" si="25"/>
        <v>16113.67179394947</v>
      </c>
      <c r="W18" s="537">
        <f t="shared" ca="1" si="25"/>
        <v>12034.558522362391</v>
      </c>
      <c r="X18" s="537">
        <f t="shared" ca="1" si="25"/>
        <v>26999.447882390847</v>
      </c>
      <c r="Y18" s="537">
        <f t="shared" ca="1" si="25"/>
        <v>11631.441953609339</v>
      </c>
      <c r="Z18" s="545"/>
      <c r="AA18" s="546">
        <f t="shared" ca="1" si="24"/>
        <v>15872.331356544475</v>
      </c>
      <c r="AB18" s="64"/>
      <c r="AC18" s="64"/>
      <c r="AD18" s="64"/>
      <c r="AE18" s="64"/>
      <c r="AF18" s="64"/>
      <c r="AG18" s="64"/>
      <c r="AH18" s="64"/>
      <c r="AI18" s="64"/>
      <c r="AJ18" s="499"/>
      <c r="AK18" s="64"/>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row>
    <row r="19" spans="1:64">
      <c r="A19" s="526"/>
      <c r="B19" s="527" t="s">
        <v>853</v>
      </c>
      <c r="C19" s="547"/>
      <c r="D19" s="543"/>
      <c r="E19" s="531"/>
      <c r="F19" s="531">
        <f>IF(Ana_eco!$E$7="Linéaire",cout_PV/durée_amortPV,DDB(cout_PV,0,durée_amortPV,F4))+IF(Ana_eco!$E$8="Linéaire",cout_pose/duree_amort_pose,DDB(cout_pose,0,duree_amort_pose,F4))+IF(F4&lt;=duree_amort_ond,IF(Ana_eco!$E$9="Linéaire",cout_ond/duree_amort_ond,DDB(cout_ond,0,duree_amort_ond,F4)),0)+IF(Ana_eco!$E$10="Linéaire",cout_cables/duree_amort_cables,DDB(cout_cables,0,duree_amort_cables,F4))+IF(Ana_eco!$E$11="Linéaire",cout_racco/duree_amort_racco,DDB(cout_racco,0,duree_amort_racco,F4))+IF(Ana_eco!$E$12="Linéaire",cout_coffrets/duree_amort_coff,DDB(cout_coffrets,0,duree_amort_coff,F4))+IF(F4&lt;=duree_amort_moni,IF(Ana_eco!$E$13="Linéaire",cout_monitoring/duree_amort_moni,DDB(cout_monitoring,0,duree_amort_moni,F4)),0)+IF(Ana_eco!$E$14="Linéaire",tvx_induitsPV/duree_amort_tvxPV,DDB(tvx_induitsPV,0,duree_amort_tvxPV,F4))+IF(Ana_eco!$E$15="Linéaire",tvx_proprios/duree_amort_tvxproprios,DDB(tvx_proprios,0,duree_amort_tvxproprios,F4))+IF(Ana_eco!$E$16="Linéaire",frais_notaire/duree_amort_notaire,DDB(frais_notaire,0,duree_amort_notaire,F4))+IF(Ana_eco!$E$17="Linéaire",autres_couts/duree_amort_autres_couts,DDB(autres_couts,0,duree_amort_autres_couts,F4))</f>
        <v>10979.1738535</v>
      </c>
      <c r="G19" s="531">
        <f>IF(Ana_eco!$E$7="Linéaire",cout_PV/durée_amortPV,DDB(cout_PV,0,durée_amortPV,G4))+IF(Ana_eco!$E$8="Linéaire",cout_pose/duree_amort_pose,DDB(cout_pose,0,duree_amort_pose,G4))+IF(G4&lt;=duree_amort_ond,IF(Ana_eco!$E$9="Linéaire",cout_ond/duree_amort_ond,DDB(cout_ond,0,duree_amort_ond,G4)),0)+IF(Ana_eco!$E$10="Linéaire",cout_cables/duree_amort_cables,DDB(cout_cables,0,duree_amort_cables,G4))+IF(Ana_eco!$E$11="Linéaire",cout_racco/duree_amort_racco,DDB(cout_racco,0,duree_amort_racco,G4))+IF(Ana_eco!$E$12="Linéaire",cout_coffrets/duree_amort_coff,DDB(cout_coffrets,0,duree_amort_coff,G4))+IF(G4&lt;=duree_amort_moni,IF(Ana_eco!$E$13="Linéaire",cout_monitoring/duree_amort_moni,DDB(cout_monitoring,0,duree_amort_moni,G4)),0)+IF(Ana_eco!$E$14="Linéaire",tvx_induitsPV/duree_amort_tvxPV,DDB(tvx_induitsPV,0,duree_amort_tvxPV,G4))+IF(Ana_eco!$E$15="Linéaire",tvx_proprios/duree_amort_tvxproprios,DDB(tvx_proprios,0,duree_amort_tvxproprios,G4))+IF(Ana_eco!$E$16="Linéaire",frais_notaire/duree_amort_notaire,DDB(frais_notaire,0,duree_amort_notaire,G4))+IF(Ana_eco!$E$17="Linéaire",autres_couts/duree_amort_autres_couts,DDB(autres_couts,0,duree_amort_autres_couts,G4))</f>
        <v>10979.1738535</v>
      </c>
      <c r="H19" s="531">
        <f>IF(Ana_eco!$E$7="Linéaire",cout_PV/durée_amortPV,DDB(cout_PV,0,durée_amortPV,H4))+IF(Ana_eco!$E$8="Linéaire",cout_pose/duree_amort_pose,DDB(cout_pose,0,duree_amort_pose,H4))+IF(H4&lt;=duree_amort_ond,IF(Ana_eco!$E$9="Linéaire",cout_ond/duree_amort_ond,DDB(cout_ond,0,duree_amort_ond,H4)),0)+IF(Ana_eco!$E$10="Linéaire",cout_cables/duree_amort_cables,DDB(cout_cables,0,duree_amort_cables,H4))+IF(Ana_eco!$E$11="Linéaire",cout_racco/duree_amort_racco,DDB(cout_racco,0,duree_amort_racco,H4))+IF(Ana_eco!$E$12="Linéaire",cout_coffrets/duree_amort_coff,DDB(cout_coffrets,0,duree_amort_coff,H4))+IF(H4&lt;=duree_amort_moni,IF(Ana_eco!$E$13="Linéaire",cout_monitoring/duree_amort_moni,DDB(cout_monitoring,0,duree_amort_moni,H4)),0)+IF(Ana_eco!$E$14="Linéaire",tvx_induitsPV/duree_amort_tvxPV,DDB(tvx_induitsPV,0,duree_amort_tvxPV,H4))+IF(Ana_eco!$E$15="Linéaire",tvx_proprios/duree_amort_tvxproprios,DDB(tvx_proprios,0,duree_amort_tvxproprios,H4))+IF(Ana_eco!$E$16="Linéaire",frais_notaire/duree_amort_notaire,DDB(frais_notaire,0,duree_amort_notaire,H4))+IF(Ana_eco!$E$17="Linéaire",autres_couts/duree_amort_autres_couts,DDB(autres_couts,0,duree_amort_autres_couts,H4))</f>
        <v>10979.1738535</v>
      </c>
      <c r="I19" s="531">
        <f>IF(Ana_eco!$E$7="Linéaire",cout_PV/durée_amortPV,DDB(cout_PV,0,durée_amortPV,I4))+IF(Ana_eco!$E$8="Linéaire",cout_pose/duree_amort_pose,DDB(cout_pose,0,duree_amort_pose,I4))+IF(I4&lt;=duree_amort_ond,IF(Ana_eco!$E$9="Linéaire",cout_ond/duree_amort_ond,DDB(cout_ond,0,duree_amort_ond,I4)),0)+IF(Ana_eco!$E$10="Linéaire",cout_cables/duree_amort_cables,DDB(cout_cables,0,duree_amort_cables,I4))+IF(Ana_eco!$E$11="Linéaire",cout_racco/duree_amort_racco,DDB(cout_racco,0,duree_amort_racco,I4))+IF(Ana_eco!$E$12="Linéaire",cout_coffrets/duree_amort_coff,DDB(cout_coffrets,0,duree_amort_coff,I4))+IF(I4&lt;=duree_amort_moni,IF(Ana_eco!$E$13="Linéaire",cout_monitoring/duree_amort_moni,DDB(cout_monitoring,0,duree_amort_moni,I4)),0)+IF(Ana_eco!$E$14="Linéaire",tvx_induitsPV/duree_amort_tvxPV,DDB(tvx_induitsPV,0,duree_amort_tvxPV,I4))+IF(Ana_eco!$E$15="Linéaire",tvx_proprios/duree_amort_tvxproprios,DDB(tvx_proprios,0,duree_amort_tvxproprios,I4))+IF(Ana_eco!$E$16="Linéaire",frais_notaire/duree_amort_notaire,DDB(frais_notaire,0,duree_amort_notaire,I4))+IF(Ana_eco!$E$17="Linéaire",autres_couts/duree_amort_autres_couts,DDB(autres_couts,0,duree_amort_autres_couts,I4))</f>
        <v>10979.1738535</v>
      </c>
      <c r="J19" s="531">
        <f>IF(Ana_eco!$E$7="Linéaire",cout_PV/durée_amortPV,DDB(cout_PV,0,durée_amortPV,J4))+IF(Ana_eco!$E$8="Linéaire",cout_pose/duree_amort_pose,DDB(cout_pose,0,duree_amort_pose,J4))+IF(J4&lt;=duree_amort_ond,IF(Ana_eco!$E$9="Linéaire",cout_ond/duree_amort_ond,DDB(cout_ond,0,duree_amort_ond,J4)),0)+IF(Ana_eco!$E$10="Linéaire",cout_cables/duree_amort_cables,DDB(cout_cables,0,duree_amort_cables,J4))+IF(Ana_eco!$E$11="Linéaire",cout_racco/duree_amort_racco,DDB(cout_racco,0,duree_amort_racco,J4))+IF(Ana_eco!$E$12="Linéaire",cout_coffrets/duree_amort_coff,DDB(cout_coffrets,0,duree_amort_coff,J4))+IF(J4&lt;=duree_amort_moni,IF(Ana_eco!$E$13="Linéaire",cout_monitoring/duree_amort_moni,DDB(cout_monitoring,0,duree_amort_moni,J4)),0)+IF(Ana_eco!$E$14="Linéaire",tvx_induitsPV/duree_amort_tvxPV,DDB(tvx_induitsPV,0,duree_amort_tvxPV,J4))+IF(Ana_eco!$E$15="Linéaire",tvx_proprios/duree_amort_tvxproprios,DDB(tvx_proprios,0,duree_amort_tvxproprios,J4))+IF(Ana_eco!$E$16="Linéaire",frais_notaire/duree_amort_notaire,DDB(frais_notaire,0,duree_amort_notaire,J4))+IF(Ana_eco!$E$17="Linéaire",autres_couts/duree_amort_autres_couts,DDB(autres_couts,0,duree_amort_autres_couts,J4))</f>
        <v>10979.1738535</v>
      </c>
      <c r="K19" s="531">
        <f>IF(Ana_eco!$E$7="Linéaire",cout_PV/durée_amortPV,DDB(cout_PV,0,durée_amortPV,K4))+IF(Ana_eco!$E$8="Linéaire",cout_pose/duree_amort_pose,DDB(cout_pose,0,duree_amort_pose,K4))+IF(K4&lt;=duree_amort_ond,IF(Ana_eco!$E$9="Linéaire",cout_ond/duree_amort_ond,DDB(cout_ond,0,duree_amort_ond,K4)),0)+IF(Ana_eco!$E$10="Linéaire",cout_cables/duree_amort_cables,DDB(cout_cables,0,duree_amort_cables,K4))+IF(Ana_eco!$E$11="Linéaire",cout_racco/duree_amort_racco,DDB(cout_racco,0,duree_amort_racco,K4))+IF(Ana_eco!$E$12="Linéaire",cout_coffrets/duree_amort_coff,DDB(cout_coffrets,0,duree_amort_coff,K4))+IF(K4&lt;=duree_amort_moni,IF(Ana_eco!$E$13="Linéaire",cout_monitoring/duree_amort_moni,DDB(cout_monitoring,0,duree_amort_moni,K4)),0)+IF(Ana_eco!$E$14="Linéaire",tvx_induitsPV/duree_amort_tvxPV,DDB(tvx_induitsPV,0,duree_amort_tvxPV,K4))+IF(Ana_eco!$E$15="Linéaire",tvx_proprios/duree_amort_tvxproprios,DDB(tvx_proprios,0,duree_amort_tvxproprios,K4))+IF(Ana_eco!$E$16="Linéaire",frais_notaire/duree_amort_notaire,DDB(frais_notaire,0,duree_amort_notaire,K4))+IF(Ana_eco!$E$17="Linéaire",autres_couts/duree_amort_autres_couts,DDB(autres_couts,0,duree_amort_autres_couts,K4))</f>
        <v>10979.1738535</v>
      </c>
      <c r="L19" s="531">
        <f>IF(Ana_eco!$E$7="Linéaire",cout_PV/durée_amortPV,DDB(cout_PV,0,durée_amortPV,L4))+IF(Ana_eco!$E$8="Linéaire",cout_pose/duree_amort_pose,DDB(cout_pose,0,duree_amort_pose,L4))+IF(L4&lt;=duree_amort_ond,IF(Ana_eco!$E$9="Linéaire",cout_ond/duree_amort_ond,DDB(cout_ond,0,duree_amort_ond,L4)),0)+IF(Ana_eco!$E$10="Linéaire",cout_cables/duree_amort_cables,DDB(cout_cables,0,duree_amort_cables,L4))+IF(Ana_eco!$E$11="Linéaire",cout_racco/duree_amort_racco,DDB(cout_racco,0,duree_amort_racco,L4))+IF(Ana_eco!$E$12="Linéaire",cout_coffrets/duree_amort_coff,DDB(cout_coffrets,0,duree_amort_coff,L4))+IF(L4&lt;=duree_amort_moni,IF(Ana_eco!$E$13="Linéaire",cout_monitoring/duree_amort_moni,DDB(cout_monitoring,0,duree_amort_moni,L4)),0)+IF(Ana_eco!$E$14="Linéaire",tvx_induitsPV/duree_amort_tvxPV,DDB(tvx_induitsPV,0,duree_amort_tvxPV,L4))+IF(Ana_eco!$E$15="Linéaire",tvx_proprios/duree_amort_tvxproprios,DDB(tvx_proprios,0,duree_amort_tvxproprios,L4))+IF(Ana_eco!$E$16="Linéaire",frais_notaire/duree_amort_notaire,DDB(frais_notaire,0,duree_amort_notaire,L4))+IF(Ana_eco!$E$17="Linéaire",autres_couts/duree_amort_autres_couts,DDB(autres_couts,0,duree_amort_autres_couts,L4))</f>
        <v>10979.1738535</v>
      </c>
      <c r="M19" s="531">
        <f>IF(Ana_eco!$E$7="Linéaire",cout_PV/durée_amortPV,DDB(cout_PV,0,durée_amortPV,M4))+IF(Ana_eco!$E$8="Linéaire",cout_pose/duree_amort_pose,DDB(cout_pose,0,duree_amort_pose,M4))+IF(M4&lt;=duree_amort_ond,IF(Ana_eco!$E$9="Linéaire",cout_ond/duree_amort_ond,DDB(cout_ond,0,duree_amort_ond,M4)),0)+IF(Ana_eco!$E$10="Linéaire",cout_cables/duree_amort_cables,DDB(cout_cables,0,duree_amort_cables,M4))+IF(Ana_eco!$E$11="Linéaire",cout_racco/duree_amort_racco,DDB(cout_racco,0,duree_amort_racco,M4))+IF(Ana_eco!$E$12="Linéaire",cout_coffrets/duree_amort_coff,DDB(cout_coffrets,0,duree_amort_coff,M4))+IF(M4&lt;=duree_amort_moni,IF(Ana_eco!$E$13="Linéaire",cout_monitoring/duree_amort_moni,DDB(cout_monitoring,0,duree_amort_moni,M4)),0)+IF(Ana_eco!$E$14="Linéaire",tvx_induitsPV/duree_amort_tvxPV,DDB(tvx_induitsPV,0,duree_amort_tvxPV,M4))+IF(Ana_eco!$E$15="Linéaire",tvx_proprios/duree_amort_tvxproprios,DDB(tvx_proprios,0,duree_amort_tvxproprios,M4))+IF(Ana_eco!$E$16="Linéaire",frais_notaire/duree_amort_notaire,DDB(frais_notaire,0,duree_amort_notaire,M4))+IF(Ana_eco!$E$17="Linéaire",autres_couts/duree_amort_autres_couts,DDB(autres_couts,0,duree_amort_autres_couts,M4))</f>
        <v>10979.1738535</v>
      </c>
      <c r="N19" s="531">
        <f>IF(Ana_eco!$E$7="Linéaire",cout_PV/durée_amortPV,DDB(cout_PV,0,durée_amortPV,N4))+IF(Ana_eco!$E$8="Linéaire",cout_pose/duree_amort_pose,DDB(cout_pose,0,duree_amort_pose,N4))+IF(N4&lt;=duree_amort_ond,IF(Ana_eco!$E$9="Linéaire",cout_ond/duree_amort_ond,DDB(cout_ond,0,duree_amort_ond,N4)),0)+IF(Ana_eco!$E$10="Linéaire",cout_cables/duree_amort_cables,DDB(cout_cables,0,duree_amort_cables,N4))+IF(Ana_eco!$E$11="Linéaire",cout_racco/duree_amort_racco,DDB(cout_racco,0,duree_amort_racco,N4))+IF(Ana_eco!$E$12="Linéaire",cout_coffrets/duree_amort_coff,DDB(cout_coffrets,0,duree_amort_coff,N4))+IF(N4&lt;=duree_amort_moni,IF(Ana_eco!$E$13="Linéaire",cout_monitoring/duree_amort_moni,DDB(cout_monitoring,0,duree_amort_moni,N4)),0)+IF(Ana_eco!$E$14="Linéaire",tvx_induitsPV/duree_amort_tvxPV,DDB(tvx_induitsPV,0,duree_amort_tvxPV,N4))+IF(Ana_eco!$E$15="Linéaire",tvx_proprios/duree_amort_tvxproprios,DDB(tvx_proprios,0,duree_amort_tvxproprios,N4))+IF(Ana_eco!$E$16="Linéaire",frais_notaire/duree_amort_notaire,DDB(frais_notaire,0,duree_amort_notaire,N4))+IF(Ana_eco!$E$17="Linéaire",autres_couts/duree_amort_autres_couts,DDB(autres_couts,0,duree_amort_autres_couts,N4))</f>
        <v>10979.1738535</v>
      </c>
      <c r="O19" s="531">
        <f>IF(Ana_eco!$E$7="Linéaire",cout_PV/durée_amortPV,DDB(cout_PV,0,durée_amortPV,O4))+IF(Ana_eco!$E$8="Linéaire",cout_pose/duree_amort_pose,DDB(cout_pose,0,duree_amort_pose,O4))+IF(O4&lt;=duree_amort_ond,IF(Ana_eco!$E$9="Linéaire",cout_ond/duree_amort_ond,DDB(cout_ond,0,duree_amort_ond,O4)),0)+IF(Ana_eco!$E$10="Linéaire",cout_cables/duree_amort_cables,DDB(cout_cables,0,duree_amort_cables,O4))+IF(Ana_eco!$E$11="Linéaire",cout_racco/duree_amort_racco,DDB(cout_racco,0,duree_amort_racco,O4))+IF(Ana_eco!$E$12="Linéaire",cout_coffrets/duree_amort_coff,DDB(cout_coffrets,0,duree_amort_coff,O4))+IF(O4&lt;=duree_amort_moni,IF(Ana_eco!$E$13="Linéaire",cout_monitoring/duree_amort_moni,DDB(cout_monitoring,0,duree_amort_moni,O4)),0)+IF(Ana_eco!$E$14="Linéaire",tvx_induitsPV/duree_amort_tvxPV,DDB(tvx_induitsPV,0,duree_amort_tvxPV,O4))+IF(Ana_eco!$E$15="Linéaire",tvx_proprios/duree_amort_tvxproprios,DDB(tvx_proprios,0,duree_amort_tvxproprios,O4))+IF(Ana_eco!$E$16="Linéaire",frais_notaire/duree_amort_notaire,DDB(frais_notaire,0,duree_amort_notaire,O4))+IF(Ana_eco!$E$17="Linéaire",autres_couts/duree_amort_autres_couts,DDB(autres_couts,0,duree_amort_autres_couts,O4))</f>
        <v>10979.1738535</v>
      </c>
      <c r="P19" s="531">
        <f>IF(Ana_eco!$E$7="Linéaire",cout_PV/durée_amortPV,DDB(cout_PV,0,durée_amortPV,P4))+IF(Ana_eco!$E$8="Linéaire",cout_pose/duree_amort_pose,DDB(cout_pose,0,duree_amort_pose,P4))+IF(P4&lt;=duree_amort_ond,IF(Ana_eco!$E$9="Linéaire",cout_ond/duree_amort_ond,DDB(cout_ond,0,duree_amort_ond,P4)),0)+IF(Ana_eco!$E$10="Linéaire",cout_cables/duree_amort_cables,DDB(cout_cables,0,duree_amort_cables,P4))+IF(Ana_eco!$E$11="Linéaire",cout_racco/duree_amort_racco,DDB(cout_racco,0,duree_amort_racco,P4))+IF(Ana_eco!$E$12="Linéaire",cout_coffrets/duree_amort_coff,DDB(cout_coffrets,0,duree_amort_coff,P4))+IF(P4&lt;=duree_amort_moni,IF(Ana_eco!$E$13="Linéaire",cout_monitoring/duree_amort_moni,DDB(cout_monitoring,0,duree_amort_moni,P4)),0)+IF(Ana_eco!$E$14="Linéaire",tvx_induitsPV/duree_amort_tvxPV,DDB(tvx_induitsPV,0,duree_amort_tvxPV,P4))+IF(Ana_eco!$E$15="Linéaire",tvx_proprios/duree_amort_tvxproprios,DDB(tvx_proprios,0,duree_amort_tvxproprios,P4))+IF(Ana_eco!$E$16="Linéaire",frais_notaire/duree_amort_notaire,DDB(frais_notaire,0,duree_amort_notaire,P4))+IF(Ana_eco!$E$17="Linéaire",autres_couts/duree_amort_autres_couts,DDB(autres_couts,0,duree_amort_autres_couts,P4))</f>
        <v>9178.2711035000011</v>
      </c>
      <c r="Q19" s="531">
        <f>IF(Ana_eco!$E$7="Linéaire",cout_PV/durée_amortPV,DDB(cout_PV,0,durée_amortPV,Q4))+IF(Ana_eco!$E$8="Linéaire",cout_pose/duree_amort_pose,DDB(cout_pose,0,duree_amort_pose,Q4))+IF(Q4&lt;=duree_amort_ond,IF(Ana_eco!$E$9="Linéaire",cout_ond/duree_amort_ond,DDB(cout_ond,0,duree_amort_ond,Q4)),0)+IF(Ana_eco!$E$10="Linéaire",cout_cables/duree_amort_cables,DDB(cout_cables,0,duree_amort_cables,Q4))+IF(Ana_eco!$E$11="Linéaire",cout_racco/duree_amort_racco,DDB(cout_racco,0,duree_amort_racco,Q4))+IF(Ana_eco!$E$12="Linéaire",cout_coffrets/duree_amort_coff,DDB(cout_coffrets,0,duree_amort_coff,Q4))+IF(Q4&lt;=duree_amort_moni,IF(Ana_eco!$E$13="Linéaire",cout_monitoring/duree_amort_moni,DDB(cout_monitoring,0,duree_amort_moni,Q4)),0)+IF(Ana_eco!$E$14="Linéaire",tvx_induitsPV/duree_amort_tvxPV,DDB(tvx_induitsPV,0,duree_amort_tvxPV,Q4))+IF(Ana_eco!$E$15="Linéaire",tvx_proprios/duree_amort_tvxproprios,DDB(tvx_proprios,0,duree_amort_tvxproprios,Q4))+IF(Ana_eco!$E$16="Linéaire",frais_notaire/duree_amort_notaire,DDB(frais_notaire,0,duree_amort_notaire,Q4))+IF(Ana_eco!$E$17="Linéaire",autres_couts/duree_amort_autres_couts,DDB(autres_couts,0,duree_amort_autres_couts,Q4))</f>
        <v>9178.2711035000011</v>
      </c>
      <c r="R19" s="531">
        <f>IF(Ana_eco!$E$7="Linéaire",cout_PV/durée_amortPV,DDB(cout_PV,0,durée_amortPV,R4))+IF(Ana_eco!$E$8="Linéaire",cout_pose/duree_amort_pose,DDB(cout_pose,0,duree_amort_pose,R4))+IF(R4&lt;=duree_amort_ond,IF(Ana_eco!$E$9="Linéaire",cout_ond/duree_amort_ond,DDB(cout_ond,0,duree_amort_ond,R4)),0)+IF(Ana_eco!$E$10="Linéaire",cout_cables/duree_amort_cables,DDB(cout_cables,0,duree_amort_cables,R4))+IF(Ana_eco!$E$11="Linéaire",cout_racco/duree_amort_racco,DDB(cout_racco,0,duree_amort_racco,R4))+IF(Ana_eco!$E$12="Linéaire",cout_coffrets/duree_amort_coff,DDB(cout_coffrets,0,duree_amort_coff,R4))+IF(R4&lt;=duree_amort_moni,IF(Ana_eco!$E$13="Linéaire",cout_monitoring/duree_amort_moni,DDB(cout_monitoring,0,duree_amort_moni,R4)),0)+IF(Ana_eco!$E$14="Linéaire",tvx_induitsPV/duree_amort_tvxPV,DDB(tvx_induitsPV,0,duree_amort_tvxPV,R4))+IF(Ana_eco!$E$15="Linéaire",tvx_proprios/duree_amort_tvxproprios,DDB(tvx_proprios,0,duree_amort_tvxproprios,R4))+IF(Ana_eco!$E$16="Linéaire",frais_notaire/duree_amort_notaire,DDB(frais_notaire,0,duree_amort_notaire,R4))+IF(Ana_eco!$E$17="Linéaire",autres_couts/duree_amort_autres_couts,DDB(autres_couts,0,duree_amort_autres_couts,R4))</f>
        <v>9178.2711035000011</v>
      </c>
      <c r="S19" s="531">
        <f>IF(Ana_eco!$E$7="Linéaire",cout_PV/durée_amortPV,DDB(cout_PV,0,durée_amortPV,S4))+IF(Ana_eco!$E$8="Linéaire",cout_pose/duree_amort_pose,DDB(cout_pose,0,duree_amort_pose,S4))+IF(S4&lt;=duree_amort_ond,IF(Ana_eco!$E$9="Linéaire",cout_ond/duree_amort_ond,DDB(cout_ond,0,duree_amort_ond,S4)),0)+IF(Ana_eco!$E$10="Linéaire",cout_cables/duree_amort_cables,DDB(cout_cables,0,duree_amort_cables,S4))+IF(Ana_eco!$E$11="Linéaire",cout_racco/duree_amort_racco,DDB(cout_racco,0,duree_amort_racco,S4))+IF(Ana_eco!$E$12="Linéaire",cout_coffrets/duree_amort_coff,DDB(cout_coffrets,0,duree_amort_coff,S4))+IF(S4&lt;=duree_amort_moni,IF(Ana_eco!$E$13="Linéaire",cout_monitoring/duree_amort_moni,DDB(cout_monitoring,0,duree_amort_moni,S4)),0)+IF(Ana_eco!$E$14="Linéaire",tvx_induitsPV/duree_amort_tvxPV,DDB(tvx_induitsPV,0,duree_amort_tvxPV,S4))+IF(Ana_eco!$E$15="Linéaire",tvx_proprios/duree_amort_tvxproprios,DDB(tvx_proprios,0,duree_amort_tvxproprios,S4))+IF(Ana_eco!$E$16="Linéaire",frais_notaire/duree_amort_notaire,DDB(frais_notaire,0,duree_amort_notaire,S4))+IF(Ana_eco!$E$17="Linéaire",autres_couts/duree_amort_autres_couts,DDB(autres_couts,0,duree_amort_autres_couts,S4))</f>
        <v>9178.2711035000011</v>
      </c>
      <c r="T19" s="531">
        <f>IF(Ana_eco!$E$7="Linéaire",cout_PV/durée_amortPV,DDB(cout_PV,0,durée_amortPV,T4))+IF(Ana_eco!$E$8="Linéaire",cout_pose/duree_amort_pose,DDB(cout_pose,0,duree_amort_pose,T4))+IF(T4&lt;=duree_amort_ond,IF(Ana_eco!$E$9="Linéaire",cout_ond/duree_amort_ond,DDB(cout_ond,0,duree_amort_ond,T4)),0)+IF(Ana_eco!$E$10="Linéaire",cout_cables/duree_amort_cables,DDB(cout_cables,0,duree_amort_cables,T4))+IF(Ana_eco!$E$11="Linéaire",cout_racco/duree_amort_racco,DDB(cout_racco,0,duree_amort_racco,T4))+IF(Ana_eco!$E$12="Linéaire",cout_coffrets/duree_amort_coff,DDB(cout_coffrets,0,duree_amort_coff,T4))+IF(T4&lt;=duree_amort_moni,IF(Ana_eco!$E$13="Linéaire",cout_monitoring/duree_amort_moni,DDB(cout_monitoring,0,duree_amort_moni,T4)),0)+IF(Ana_eco!$E$14="Linéaire",tvx_induitsPV/duree_amort_tvxPV,DDB(tvx_induitsPV,0,duree_amort_tvxPV,T4))+IF(Ana_eco!$E$15="Linéaire",tvx_proprios/duree_amort_tvxproprios,DDB(tvx_proprios,0,duree_amort_tvxproprios,T4))+IF(Ana_eco!$E$16="Linéaire",frais_notaire/duree_amort_notaire,DDB(frais_notaire,0,duree_amort_notaire,T4))+IF(Ana_eco!$E$17="Linéaire",autres_couts/duree_amort_autres_couts,DDB(autres_couts,0,duree_amort_autres_couts,T4))</f>
        <v>9178.2711035000011</v>
      </c>
      <c r="U19" s="531">
        <f>IF(Ana_eco!$E$7="Linéaire",cout_PV/durée_amortPV,DDB(cout_PV,0,durée_amortPV,U4))+IF(Ana_eco!$E$8="Linéaire",cout_pose/duree_amort_pose,DDB(cout_pose,0,duree_amort_pose,U4))+IF(U4&lt;=duree_amort_ond,IF(Ana_eco!$E$9="Linéaire",cout_ond/duree_amort_ond,DDB(cout_ond,0,duree_amort_ond,U4)),0)+IF(Ana_eco!$E$10="Linéaire",cout_cables/duree_amort_cables,DDB(cout_cables,0,duree_amort_cables,U4))+IF(Ana_eco!$E$11="Linéaire",cout_racco/duree_amort_racco,DDB(cout_racco,0,duree_amort_racco,U4))+IF(Ana_eco!$E$12="Linéaire",cout_coffrets/duree_amort_coff,DDB(cout_coffrets,0,duree_amort_coff,U4))+IF(U4&lt;=duree_amort_moni,IF(Ana_eco!$E$13="Linéaire",cout_monitoring/duree_amort_moni,DDB(cout_monitoring,0,duree_amort_moni,U4)),0)+IF(Ana_eco!$E$14="Linéaire",tvx_induitsPV/duree_amort_tvxPV,DDB(tvx_induitsPV,0,duree_amort_tvxPV,U4))+IF(Ana_eco!$E$15="Linéaire",tvx_proprios/duree_amort_tvxproprios,DDB(tvx_proprios,0,duree_amort_tvxproprios,U4))+IF(Ana_eco!$E$16="Linéaire",frais_notaire/duree_amort_notaire,DDB(frais_notaire,0,duree_amort_notaire,U4))+IF(Ana_eco!$E$17="Linéaire",autres_couts/duree_amort_autres_couts,DDB(autres_couts,0,duree_amort_autres_couts,U4))</f>
        <v>9178.2711035000011</v>
      </c>
      <c r="V19" s="531">
        <f>IF(Ana_eco!$E$7="Linéaire",cout_PV/durée_amortPV,DDB(cout_PV,0,durée_amortPV,V4))+IF(Ana_eco!$E$8="Linéaire",cout_pose/duree_amort_pose,DDB(cout_pose,0,duree_amort_pose,V4))+IF(V4&lt;=duree_amort_ond,IF(Ana_eco!$E$9="Linéaire",cout_ond/duree_amort_ond,DDB(cout_ond,0,duree_amort_ond,V4)),0)+IF(Ana_eco!$E$10="Linéaire",cout_cables/duree_amort_cables,DDB(cout_cables,0,duree_amort_cables,V4))+IF(Ana_eco!$E$11="Linéaire",cout_racco/duree_amort_racco,DDB(cout_racco,0,duree_amort_racco,V4))+IF(Ana_eco!$E$12="Linéaire",cout_coffrets/duree_amort_coff,DDB(cout_coffrets,0,duree_amort_coff,V4))+IF(V4&lt;=duree_amort_moni,IF(Ana_eco!$E$13="Linéaire",cout_monitoring/duree_amort_moni,DDB(cout_monitoring,0,duree_amort_moni,V4)),0)+IF(Ana_eco!$E$14="Linéaire",tvx_induitsPV/duree_amort_tvxPV,DDB(tvx_induitsPV,0,duree_amort_tvxPV,V4))+IF(Ana_eco!$E$15="Linéaire",tvx_proprios/duree_amort_tvxproprios,DDB(tvx_proprios,0,duree_amort_tvxproprios,V4))+IF(Ana_eco!$E$16="Linéaire",frais_notaire/duree_amort_notaire,DDB(frais_notaire,0,duree_amort_notaire,V4))+IF(Ana_eco!$E$17="Linéaire",autres_couts/duree_amort_autres_couts,DDB(autres_couts,0,duree_amort_autres_couts,V4))</f>
        <v>9178.2711035000011</v>
      </c>
      <c r="W19" s="531">
        <f>IF(Ana_eco!$E$7="Linéaire",cout_PV/durée_amortPV,DDB(cout_PV,0,durée_amortPV,W4))+IF(Ana_eco!$E$8="Linéaire",cout_pose/duree_amort_pose,DDB(cout_pose,0,duree_amort_pose,W4))+IF(W4&lt;=duree_amort_ond,IF(Ana_eco!$E$9="Linéaire",cout_ond/duree_amort_ond,DDB(cout_ond,0,duree_amort_ond,W4)),0)+IF(Ana_eco!$E$10="Linéaire",cout_cables/duree_amort_cables,DDB(cout_cables,0,duree_amort_cables,W4))+IF(Ana_eco!$E$11="Linéaire",cout_racco/duree_amort_racco,DDB(cout_racco,0,duree_amort_racco,W4))+IF(Ana_eco!$E$12="Linéaire",cout_coffrets/duree_amort_coff,DDB(cout_coffrets,0,duree_amort_coff,W4))+IF(W4&lt;=duree_amort_moni,IF(Ana_eco!$E$13="Linéaire",cout_monitoring/duree_amort_moni,DDB(cout_monitoring,0,duree_amort_moni,W4)),0)+IF(Ana_eco!$E$14="Linéaire",tvx_induitsPV/duree_amort_tvxPV,DDB(tvx_induitsPV,0,duree_amort_tvxPV,W4))+IF(Ana_eco!$E$15="Linéaire",tvx_proprios/duree_amort_tvxproprios,DDB(tvx_proprios,0,duree_amort_tvxproprios,W4))+IF(Ana_eco!$E$16="Linéaire",frais_notaire/duree_amort_notaire,DDB(frais_notaire,0,duree_amort_notaire,W4))+IF(Ana_eco!$E$17="Linéaire",autres_couts/duree_amort_autres_couts,DDB(autres_couts,0,duree_amort_autres_couts,W4))</f>
        <v>9178.2711035000011</v>
      </c>
      <c r="X19" s="531">
        <f>IF(Ana_eco!$E$7="Linéaire",cout_PV/durée_amortPV,DDB(cout_PV,0,durée_amortPV,X4))+IF(Ana_eco!$E$8="Linéaire",cout_pose/duree_amort_pose,DDB(cout_pose,0,duree_amort_pose,X4))+IF(X4&lt;=duree_amort_ond,IF(Ana_eco!$E$9="Linéaire",cout_ond/duree_amort_ond,DDB(cout_ond,0,duree_amort_ond,X4)),0)+IF(Ana_eco!$E$10="Linéaire",cout_cables/duree_amort_cables,DDB(cout_cables,0,duree_amort_cables,X4))+IF(Ana_eco!$E$11="Linéaire",cout_racco/duree_amort_racco,DDB(cout_racco,0,duree_amort_racco,X4))+IF(Ana_eco!$E$12="Linéaire",cout_coffrets/duree_amort_coff,DDB(cout_coffrets,0,duree_amort_coff,X4))+IF(X4&lt;=duree_amort_moni,IF(Ana_eco!$E$13="Linéaire",cout_monitoring/duree_amort_moni,DDB(cout_monitoring,0,duree_amort_moni,X4)),0)+IF(Ana_eco!$E$14="Linéaire",tvx_induitsPV/duree_amort_tvxPV,DDB(tvx_induitsPV,0,duree_amort_tvxPV,X4))+IF(Ana_eco!$E$15="Linéaire",tvx_proprios/duree_amort_tvxproprios,DDB(tvx_proprios,0,duree_amort_tvxproprios,X4))+IF(Ana_eco!$E$16="Linéaire",frais_notaire/duree_amort_notaire,DDB(frais_notaire,0,duree_amort_notaire,X4))+IF(Ana_eco!$E$17="Linéaire",autres_couts/duree_amort_autres_couts,DDB(autres_couts,0,duree_amort_autres_couts,X4))</f>
        <v>9178.2711035000011</v>
      </c>
      <c r="Y19" s="531">
        <f>IF(Ana_eco!$E$7="Linéaire",cout_PV/durée_amortPV,DDB(cout_PV,0,durée_amortPV,Y4))+IF(Ana_eco!$E$8="Linéaire",cout_pose/duree_amort_pose,DDB(cout_pose,0,duree_amort_pose,Y4))+IF(Y4&lt;=duree_amort_ond,IF(Ana_eco!$E$9="Linéaire",cout_ond/duree_amort_ond,DDB(cout_ond,0,duree_amort_ond,Y4)),0)+IF(Ana_eco!$E$10="Linéaire",cout_cables/duree_amort_cables,DDB(cout_cables,0,duree_amort_cables,Y4))+IF(Ana_eco!$E$11="Linéaire",cout_racco/duree_amort_racco,DDB(cout_racco,0,duree_amort_racco,Y4))+IF(Ana_eco!$E$12="Linéaire",cout_coffrets/duree_amort_coff,DDB(cout_coffrets,0,duree_amort_coff,Y4))+IF(Y4&lt;=duree_amort_moni,IF(Ana_eco!$E$13="Linéaire",cout_monitoring/duree_amort_moni,DDB(cout_monitoring,0,duree_amort_moni,Y4)),0)+IF(Ana_eco!$E$14="Linéaire",tvx_induitsPV/duree_amort_tvxPV,DDB(tvx_induitsPV,0,duree_amort_tvxPV,Y4))+IF(Ana_eco!$E$15="Linéaire",tvx_proprios/duree_amort_tvxproprios,DDB(tvx_proprios,0,duree_amort_tvxproprios,Y4))+IF(Ana_eco!$E$16="Linéaire",frais_notaire/duree_amort_notaire,DDB(frais_notaire,0,duree_amort_notaire,Y4))+IF(Ana_eco!$E$17="Linéaire",autres_couts/duree_amort_autres_couts,DDB(autres_couts,0,duree_amort_autres_couts,Y4))</f>
        <v>9178.2711035000011</v>
      </c>
      <c r="Z19" s="548"/>
      <c r="AA19" s="523">
        <f t="shared" si="24"/>
        <v>10126.114656131584</v>
      </c>
      <c r="AB19" s="64"/>
      <c r="AC19" s="64"/>
      <c r="AD19" s="64"/>
      <c r="AE19" s="64"/>
      <c r="AF19" s="64"/>
      <c r="AG19" s="64"/>
      <c r="AH19" s="64"/>
      <c r="AI19" s="64"/>
      <c r="AK19" s="64"/>
      <c r="AS19" s="499"/>
    </row>
    <row r="20" spans="1:64">
      <c r="A20" s="526"/>
      <c r="B20" s="527" t="s">
        <v>854</v>
      </c>
      <c r="C20" s="532">
        <v>4170</v>
      </c>
      <c r="D20" s="549">
        <v>4170.3599999999997</v>
      </c>
      <c r="E20" s="532">
        <v>4170.3599999999997</v>
      </c>
      <c r="F20" s="550">
        <v>4557.2006552196099</v>
      </c>
      <c r="G20" s="532">
        <v>4557.2006552196099</v>
      </c>
      <c r="H20" s="532">
        <v>4557.2006552196099</v>
      </c>
      <c r="I20" s="532">
        <v>4557.2006552196099</v>
      </c>
      <c r="J20" s="532">
        <v>4557.2006552196099</v>
      </c>
      <c r="K20" s="532">
        <v>4557.2006552196099</v>
      </c>
      <c r="L20" s="532">
        <v>4557.2006552196099</v>
      </c>
      <c r="M20" s="532">
        <v>3695.9336425349202</v>
      </c>
      <c r="N20" s="532">
        <v>3695.9336425349202</v>
      </c>
      <c r="O20" s="532">
        <v>3695.9336425349202</v>
      </c>
      <c r="P20" s="532">
        <v>3695.9336425349202</v>
      </c>
      <c r="Q20" s="532">
        <v>3695.9336425349202</v>
      </c>
      <c r="R20" s="532">
        <v>3695.9336425349202</v>
      </c>
      <c r="S20" s="532">
        <v>3695.9336425349202</v>
      </c>
      <c r="T20" s="532">
        <v>3695.9336425349202</v>
      </c>
      <c r="U20" s="532">
        <v>3695.9336425349202</v>
      </c>
      <c r="V20" s="532">
        <v>3695.9336425349202</v>
      </c>
      <c r="W20" s="531"/>
      <c r="X20" s="531"/>
      <c r="Y20" s="531"/>
      <c r="Z20" s="548"/>
      <c r="AA20" s="523"/>
      <c r="AB20" s="64"/>
      <c r="AC20" s="64"/>
      <c r="AD20" s="64"/>
      <c r="AE20" s="64"/>
      <c r="AF20" s="64"/>
      <c r="AG20" s="64"/>
      <c r="AH20" s="64"/>
      <c r="AI20" s="64"/>
      <c r="AK20" s="64"/>
      <c r="AS20" s="499"/>
    </row>
    <row r="21" spans="1:64">
      <c r="A21" s="526"/>
      <c r="B21" s="527" t="s">
        <v>855</v>
      </c>
      <c r="C21" s="534"/>
      <c r="D21" s="551"/>
      <c r="E21" s="531">
        <v>0</v>
      </c>
      <c r="F21" s="531">
        <v>0</v>
      </c>
      <c r="G21" s="531">
        <v>0</v>
      </c>
      <c r="H21" s="531">
        <v>0</v>
      </c>
      <c r="I21" s="531">
        <v>0</v>
      </c>
      <c r="J21" s="531">
        <v>0</v>
      </c>
      <c r="K21" s="531">
        <v>0</v>
      </c>
      <c r="L21" s="531">
        <v>0</v>
      </c>
      <c r="M21" s="531">
        <v>0</v>
      </c>
      <c r="N21" s="531">
        <v>0</v>
      </c>
      <c r="O21" s="531">
        <v>0</v>
      </c>
      <c r="P21" s="531">
        <v>0</v>
      </c>
      <c r="Q21" s="531">
        <v>0</v>
      </c>
      <c r="R21" s="531">
        <v>0</v>
      </c>
      <c r="S21" s="531">
        <v>0</v>
      </c>
      <c r="T21" s="531">
        <v>0</v>
      </c>
      <c r="U21" s="531">
        <v>0</v>
      </c>
      <c r="V21" s="531">
        <v>0</v>
      </c>
      <c r="W21" s="531">
        <v>0</v>
      </c>
      <c r="X21" s="531">
        <v>0</v>
      </c>
      <c r="Y21" s="531">
        <v>0</v>
      </c>
      <c r="Z21" s="548"/>
      <c r="AA21" s="523">
        <f t="shared" si="24"/>
        <v>0</v>
      </c>
      <c r="AB21" s="64"/>
      <c r="AC21" s="64"/>
      <c r="AD21" s="64"/>
      <c r="AE21" s="64"/>
      <c r="AF21" s="64"/>
      <c r="AG21" s="64"/>
      <c r="AH21" s="64"/>
      <c r="AI21" s="64"/>
      <c r="AK21" s="64"/>
      <c r="AS21" s="499"/>
    </row>
    <row r="22" spans="1:64">
      <c r="A22" s="526"/>
      <c r="B22" s="527" t="s">
        <v>856</v>
      </c>
      <c r="C22" s="532">
        <f>799</f>
        <v>799</v>
      </c>
      <c r="D22" s="532">
        <v>0</v>
      </c>
      <c r="E22" s="532">
        <v>0</v>
      </c>
      <c r="F22" s="532">
        <v>0</v>
      </c>
      <c r="G22" s="532">
        <v>0</v>
      </c>
      <c r="H22" s="532">
        <v>0</v>
      </c>
      <c r="I22" s="532">
        <v>0</v>
      </c>
      <c r="J22" s="532">
        <v>0</v>
      </c>
      <c r="K22" s="532">
        <v>0</v>
      </c>
      <c r="L22" s="532">
        <v>0</v>
      </c>
      <c r="M22" s="532">
        <v>0</v>
      </c>
      <c r="N22" s="532">
        <v>0</v>
      </c>
      <c r="O22" s="532">
        <v>0</v>
      </c>
      <c r="P22" s="532">
        <v>0</v>
      </c>
      <c r="Q22" s="532">
        <v>0</v>
      </c>
      <c r="R22" s="532">
        <v>0</v>
      </c>
      <c r="S22" s="532">
        <v>0</v>
      </c>
      <c r="T22" s="532">
        <v>0</v>
      </c>
      <c r="U22" s="532">
        <v>0</v>
      </c>
      <c r="V22" s="532">
        <v>0</v>
      </c>
      <c r="W22" s="531"/>
      <c r="X22" s="531"/>
      <c r="Y22" s="531"/>
      <c r="Z22" s="548"/>
      <c r="AA22" s="523"/>
      <c r="AB22" s="64"/>
      <c r="AC22" s="64"/>
      <c r="AD22" s="64"/>
      <c r="AE22" s="64"/>
      <c r="AF22" s="64"/>
      <c r="AG22" s="64"/>
      <c r="AH22" s="64"/>
      <c r="AI22" s="64"/>
      <c r="AK22" s="64"/>
      <c r="AS22" s="499"/>
    </row>
    <row r="23" spans="1:64">
      <c r="A23" s="535"/>
      <c r="B23" s="536" t="s">
        <v>857</v>
      </c>
      <c r="C23" s="544">
        <f t="shared" ref="C23:Y23" si="26">C18-SUM(C19:C22)</f>
        <v>-3205</v>
      </c>
      <c r="D23" s="537">
        <f t="shared" si="26"/>
        <v>1624.4000000000005</v>
      </c>
      <c r="E23" s="537">
        <f t="shared" si="26"/>
        <v>-4363.7896325737993</v>
      </c>
      <c r="F23" s="537">
        <f t="shared" ca="1" si="26"/>
        <v>2803.1931482465516</v>
      </c>
      <c r="G23" s="537">
        <f t="shared" ca="1" si="26"/>
        <v>2898.3122655867046</v>
      </c>
      <c r="H23" s="537">
        <f t="shared" ca="1" si="26"/>
        <v>2744.4122565426696</v>
      </c>
      <c r="I23" s="537">
        <f t="shared" ca="1" si="26"/>
        <v>2565.091734954578</v>
      </c>
      <c r="J23" s="537">
        <f t="shared" ca="1" si="26"/>
        <v>2426.929516852877</v>
      </c>
      <c r="K23" s="537">
        <f t="shared" ca="1" si="26"/>
        <v>2289.9673853897657</v>
      </c>
      <c r="L23" s="537">
        <f t="shared" ca="1" si="26"/>
        <v>2151.2563047328149</v>
      </c>
      <c r="M23" s="537">
        <f t="shared" ca="1" si="26"/>
        <v>1182.3055034680874</v>
      </c>
      <c r="N23" s="537">
        <f t="shared" ca="1" si="26"/>
        <v>1896.4492732130129</v>
      </c>
      <c r="O23" s="537">
        <f t="shared" ca="1" si="26"/>
        <v>-1248.1029720629103</v>
      </c>
      <c r="P23" s="537">
        <f t="shared" ca="1" si="26"/>
        <v>1212.1605729200564</v>
      </c>
      <c r="Q23" s="537">
        <f t="shared" ca="1" si="26"/>
        <v>1067.283200725733</v>
      </c>
      <c r="R23" s="537">
        <f t="shared" ca="1" si="26"/>
        <v>1812.8592437457974</v>
      </c>
      <c r="S23" s="537">
        <f t="shared" ca="1" si="26"/>
        <v>1619.2889967305164</v>
      </c>
      <c r="T23" s="537">
        <f t="shared" ca="1" si="26"/>
        <v>3685.2553682400685</v>
      </c>
      <c r="U23" s="537">
        <f t="shared" ca="1" si="26"/>
        <v>3360.5442401226755</v>
      </c>
      <c r="V23" s="537">
        <f t="shared" ca="1" si="26"/>
        <v>3239.4670479145498</v>
      </c>
      <c r="W23" s="537">
        <f t="shared" ca="1" si="26"/>
        <v>2856.28741886239</v>
      </c>
      <c r="X23" s="537">
        <f t="shared" ca="1" si="26"/>
        <v>17821.176778890847</v>
      </c>
      <c r="Y23" s="537">
        <f t="shared" ca="1" si="26"/>
        <v>2453.1708501093381</v>
      </c>
      <c r="Z23" s="548"/>
      <c r="AA23" s="546">
        <f t="shared" ca="1" si="24"/>
        <v>2601.0173826251494</v>
      </c>
      <c r="AB23" s="64"/>
      <c r="AC23" s="64"/>
      <c r="AD23" s="64"/>
      <c r="AE23" s="64"/>
      <c r="AF23" s="64"/>
      <c r="AG23" s="64"/>
      <c r="AH23" s="64"/>
      <c r="AI23" s="64"/>
      <c r="AJ23" s="499"/>
      <c r="AK23" s="64"/>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row>
    <row r="24" spans="1:64">
      <c r="A24" s="526"/>
      <c r="B24" s="527" t="s">
        <v>858</v>
      </c>
      <c r="C24" s="547"/>
      <c r="D24" s="543"/>
      <c r="E24" s="552"/>
      <c r="F24" s="552">
        <f ca="1">IF(F4&lt;durée_emprunt1+1,IF(Ana_eco!$E$42="Annuité constante",-IPMT(tx_emprunt1,F4,durée_emprunt1,emprunt1,0),-ISPMT(tx_emprunt1,F4,durée_emprunt1,emprunt1)),0)+IF(F4&lt;durée_emprunt2+1,IF(Ana_eco!$E$43="Annuité constante",-IPMT(tx_emprunt2,F4,durée_emprunt2,emprunt2,0),-ISPMT(tx_emprunt2,F4,durée_emprunt2,emprunt2)),0)+IF(F4&lt;Ana_eco!$D$45+1,IF(Ana_eco!$E$45="Annuité constante",-IPMT(tx_AR1,F4,Ana_eco!$D$45,avance_remb_1,0),-ISPMT(tx_AR1,F4,Ana_eco!$D$45,avance_remb_1)),0)+IF(F4&lt;Ana_eco!$D$46+1,IF(Ana_eco!$E$46="Annuité constante",-IPMT(tx_AR2,F4,Ana_eco!$D$46,avance_remb_2,0),-ISPMT(tx_AR2,F4,Ana_eco!$D$46,avance_remb_2)),0)+IF(Ana_eco!L42="Oui",SUM(Tresorerie_mensuelle!H55:AE55)-pret_relais_TVA,0)+Ana_eco!J42+Ana_eco!J43</f>
        <v>851.42558738504977</v>
      </c>
      <c r="G24" s="552">
        <f ca="1">IF(G4&lt;=durée_emprunt1,IF(Ana_eco!$E$42="Annuité constante",-IPMT(tx_emprunt1,G4,durée_emprunt1,emprunt1,0),-ISPMT(tx_emprunt1,G4,durée_emprunt1,emprunt1)),0)+IF(G4&lt;=durée_emprunt2,IF(Ana_eco!$E$43="Annuité constante",-IPMT(tx_emprunt2,G4,durée_emprunt2,emprunt2,0),-ISPMT(tx_emprunt2,G4,durée_emprunt2,emprunt2)),0)+IF(G4&lt;=Ana_eco!$D$45,IF(Ana_eco!$E$45="Annuité constante",-IPMT(tx_AR1,G4,Ana_eco!$D$45,avance_remb_1,0),-ISPMT(tx_AR1,G4,Ana_eco!$D$45,avance_remb_1)),0)+IF(G4&lt;=Ana_eco!$D$46,IF(Ana_eco!$E$46="Annuité constante",-IPMT(tx_AR2,G4,Ana_eco!$D$46,avance_remb_2,0),-ISPMT(tx_AR2,G4,Ana_eco!$D$46,avance_remb_2)),0)</f>
        <v>750.63794336477531</v>
      </c>
      <c r="H24" s="552">
        <f ca="1">IF(H4&lt;=durée_emprunt1,IF(Ana_eco!$E$42="Annuité constante",-IPMT(tx_emprunt1,H4,durée_emprunt1,emprunt1,0),-ISPMT(tx_emprunt1,H4,durée_emprunt1,emprunt1)),0)+IF(H4&lt;=durée_emprunt2,IF(Ana_eco!$E$43="Annuité constante",-IPMT(tx_emprunt2,H4,durée_emprunt2,emprunt2,0),-ISPMT(tx_emprunt2,H4,durée_emprunt2,emprunt2)),0)+IF(H4&lt;=Ana_eco!$D$45,IF(Ana_eco!$E$45="Annuité constante",-IPMT(tx_AR1,H4,Ana_eco!$D$45,avance_remb_1,0),-ISPMT(tx_AR1,H4,Ana_eco!$D$45,avance_remb_1)),0)+IF(H4&lt;=Ana_eco!$D$46,IF(Ana_eco!$E$46="Annuité constante",-IPMT(tx_AR2,H4,Ana_eco!$D$46,avance_remb_2,0),-ISPMT(tx_AR2,H4,Ana_eco!$D$46,avance_remb_2)),0)</f>
        <v>648.28809086218655</v>
      </c>
      <c r="I24" s="552">
        <f ca="1">IF(I4&lt;=durée_emprunt1,IF(Ana_eco!$E$42="Annuité constante",-IPMT(tx_emprunt1,I4,durée_emprunt1,emprunt1,0),-ISPMT(tx_emprunt1,I4,durée_emprunt1,emprunt1)),0)+IF(I4&lt;=durée_emprunt2,IF(Ana_eco!$E$43="Annuité constante",-IPMT(tx_emprunt2,I4,durée_emprunt2,emprunt2,0),-ISPMT(tx_emprunt2,I4,durée_emprunt2,emprunt2)),0)+IF(I4&lt;=Ana_eco!$D$45,IF(Ana_eco!$E$45="Annuité constante",-IPMT(tx_AR1,I4,Ana_eco!$D$45,avance_remb_1,0),-ISPMT(tx_AR1,I4,Ana_eco!$D$45,avance_remb_1)),0)+IF(I4&lt;=Ana_eco!$D$46,IF(Ana_eco!$E$46="Annuité constante",-IPMT(tx_AR2,I4,Ana_eco!$D$46,avance_remb_2,0),-ISPMT(tx_AR2,I4,Ana_eco!$D$46,avance_remb_2)),0)</f>
        <v>544.35181564580785</v>
      </c>
      <c r="J24" s="552">
        <f ca="1">IF(J4&lt;=durée_emprunt1,IF(Ana_eco!$E$42="Annuité constante",-IPMT(tx_emprunt1,J4,durée_emprunt1,emprunt1,0),-ISPMT(tx_emprunt1,J4,durée_emprunt1,emprunt1)),0)+IF(J4&lt;=durée_emprunt2,IF(Ana_eco!$E$43="Annuité constante",-IPMT(tx_emprunt2,J4,durée_emprunt2,emprunt2,0),-ISPMT(tx_emprunt2,J4,durée_emprunt2,emprunt2)),0)+IF(J4&lt;=Ana_eco!$D$45,IF(Ana_eco!$E$45="Annuité constante",-IPMT(tx_AR1,J4,Ana_eco!$D$45,avance_remb_1,0),-ISPMT(tx_AR1,J4,Ana_eco!$D$45,avance_remb_1)),0)+IF(J4&lt;=Ana_eco!$D$46,IF(Ana_eco!$E$46="Annuité constante",-IPMT(tx_AR2,J4,Ana_eco!$D$46,avance_remb_2,0),-ISPMT(tx_AR2,J4,Ana_eco!$D$46,avance_remb_2)),0)</f>
        <v>438.80452816357501</v>
      </c>
      <c r="K24" s="552">
        <f ca="1">IF(K4&lt;=durée_emprunt1,IF(Ana_eco!$E$42="Annuité constante",-IPMT(tx_emprunt1,K4,durée_emprunt1,emprunt1,0),-ISPMT(tx_emprunt1,K4,durée_emprunt1,emprunt1)),0)+IF(K4&lt;=durée_emprunt2,IF(Ana_eco!$E$43="Annuité constante",-IPMT(tx_emprunt2,K4,durée_emprunt2,emprunt2,0),-ISPMT(tx_emprunt2,K4,durée_emprunt2,emprunt2)),0)+IF(K4&lt;=Ana_eco!$D$45,IF(Ana_eco!$E$45="Annuité constante",-IPMT(tx_AR1,K4,Ana_eco!$D$45,avance_remb_1,0),-ISPMT(tx_AR1,K4,Ana_eco!$D$45,avance_remb_1)),0)+IF(K4&lt;=Ana_eco!$D$46,IF(Ana_eco!$E$46="Annuité constante",-IPMT(tx_AR2,K4,Ana_eco!$D$46,avance_remb_2,0),-ISPMT(tx_AR2,K4,Ana_eco!$D$46,avance_remb_2)),0)</f>
        <v>331.62125772536768</v>
      </c>
      <c r="L24" s="552">
        <f ca="1">IF(L4&lt;=durée_emprunt1,IF(Ana_eco!$E$42="Annuité constante",-IPMT(tx_emprunt1,L4,durée_emprunt1,emprunt1,0),-ISPMT(tx_emprunt1,L4,durée_emprunt1,emprunt1)),0)+IF(L4&lt;=durée_emprunt2,IF(Ana_eco!$E$43="Annuité constante",-IPMT(tx_emprunt2,L4,durée_emprunt2,emprunt2,0),-ISPMT(tx_emprunt2,L4,durée_emprunt2,emprunt2)),0)+IF(L4&lt;=Ana_eco!$D$45,IF(Ana_eco!$E$45="Annuité constante",-IPMT(tx_AR1,L4,Ana_eco!$D$45,avance_remb_1,0),-ISPMT(tx_AR1,L4,Ana_eco!$D$45,avance_remb_1)),0)+IF(L4&lt;=Ana_eco!$D$46,IF(Ana_eco!$E$46="Annuité constante",-IPMT(tx_AR2,L4,Ana_eco!$D$46,avance_remb_2,0),-ISPMT(tx_AR2,L4,Ana_eco!$D$46,avance_remb_2)),0)</f>
        <v>222.77664659536811</v>
      </c>
      <c r="M24" s="552">
        <f ca="1">IF(M4&lt;=durée_emprunt1,IF(Ana_eco!$E$42="Annuité constante",-IPMT(tx_emprunt1,M4,durée_emprunt1,emprunt1,0),-ISPMT(tx_emprunt1,M4,durée_emprunt1,emprunt1)),0)+IF(M4&lt;=durée_emprunt2,IF(Ana_eco!$E$43="Annuité constante",-IPMT(tx_emprunt2,M4,durée_emprunt2,emprunt2,0),-ISPMT(tx_emprunt2,M4,durée_emprunt2,emprunt2)),0)+IF(M4&lt;=Ana_eco!$D$45,IF(Ana_eco!$E$45="Annuité constante",-IPMT(tx_AR1,M4,Ana_eco!$D$45,avance_remb_1,0),-ISPMT(tx_AR1,M4,Ana_eco!$D$45,avance_remb_1)),0)+IF(M4&lt;=Ana_eco!$D$46,IF(Ana_eco!$E$46="Annuité constante",-IPMT(tx_AR2,M4,Ana_eco!$D$46,avance_remb_2,0),-ISPMT(tx_AR2,M4,Ana_eco!$D$46,avance_remb_2)),0)</f>
        <v>112.24494399285354</v>
      </c>
      <c r="N24" s="552">
        <f>IF(N4&lt;=durée_emprunt1,IF(Ana_eco!$E$42="Annuité constante",-IPMT(tx_emprunt1,N4,durée_emprunt1,emprunt1,0),-ISPMT(tx_emprunt1,N4,durée_emprunt1,emprunt1)),0)+IF(N4&lt;=durée_emprunt2,IF(Ana_eco!$E$43="Annuité constante",-IPMT(tx_emprunt2,N4,durée_emprunt2,emprunt2,0),-ISPMT(tx_emprunt2,N4,durée_emprunt2,emprunt2)),0)+IF(N4&lt;=Ana_eco!$D$45,IF(Ana_eco!$E$45="Annuité constante",-IPMT(tx_AR1,N4,Ana_eco!$D$45,avance_remb_1,0),-ISPMT(tx_AR1,N4,Ana_eco!$D$45,avance_remb_1)),0)+IF(N4&lt;=Ana_eco!$D$46,IF(Ana_eco!$E$46="Annuité constante",-IPMT(tx_AR2,N4,Ana_eco!$D$46,avance_remb_2,0),-ISPMT(tx_AR2,N4,Ana_eco!$D$46,avance_remb_2)),0)</f>
        <v>0</v>
      </c>
      <c r="O24" s="552">
        <f>IF(O4&lt;=durée_emprunt1,IF(Ana_eco!$E$42="Annuité constante",-IPMT(tx_emprunt1,O4,durée_emprunt1,emprunt1,0),-ISPMT(tx_emprunt1,O4,durée_emprunt1,emprunt1)),0)+IF(O4&lt;=durée_emprunt2,IF(Ana_eco!$E$43="Annuité constante",-IPMT(tx_emprunt2,O4,durée_emprunt2,emprunt2,0),-ISPMT(tx_emprunt2,O4,durée_emprunt2,emprunt2)),0)+IF(O4&lt;=Ana_eco!$D$45,IF(Ana_eco!$E$45="Annuité constante",-IPMT(tx_AR1,O4,Ana_eco!$D$45,avance_remb_1,0),-ISPMT(tx_AR1,O4,Ana_eco!$D$45,avance_remb_1)),0)+IF(O4&lt;=Ana_eco!$D$46,IF(Ana_eco!$E$46="Annuité constante",-IPMT(tx_AR2,O4,Ana_eco!$D$46,avance_remb_2,0),-ISPMT(tx_AR2,O4,Ana_eco!$D$46,avance_remb_2)),0)</f>
        <v>0</v>
      </c>
      <c r="P24" s="552">
        <f>IF(P4&lt;=durée_emprunt1,IF(Ana_eco!$E$42="Annuité constante",-IPMT(tx_emprunt1,P4,durée_emprunt1,emprunt1,0),-ISPMT(tx_emprunt1,P4,durée_emprunt1,emprunt1)),0)+IF(P4&lt;=durée_emprunt2,IF(Ana_eco!$E$43="Annuité constante",-IPMT(tx_emprunt2,P4,durée_emprunt2,emprunt2,0),-ISPMT(tx_emprunt2,P4,durée_emprunt2,emprunt2)),0)+IF(P4&lt;=Ana_eco!$D$45,IF(Ana_eco!$E$45="Annuité constante",-IPMT(tx_AR1,P4,Ana_eco!$D$45,avance_remb_1,0),-ISPMT(tx_AR1,P4,Ana_eco!$D$45,avance_remb_1)),0)+IF(P4&lt;=Ana_eco!$D$46,IF(Ana_eco!$E$46="Annuité constante",-IPMT(tx_AR2,P4,Ana_eco!$D$46,avance_remb_2,0),-ISPMT(tx_AR2,P4,Ana_eco!$D$46,avance_remb_2)),0)</f>
        <v>0</v>
      </c>
      <c r="Q24" s="552">
        <f>IF(Q4&lt;=durée_emprunt1,IF(Ana_eco!$E$42="Annuité constante",-IPMT(tx_emprunt1,Q4,durée_emprunt1,emprunt1,0),-ISPMT(tx_emprunt1,Q4,durée_emprunt1,emprunt1)),0)+IF(Q4&lt;=durée_emprunt2,IF(Ana_eco!$E$43="Annuité constante",-IPMT(tx_emprunt2,Q4,durée_emprunt2,emprunt2,0),-ISPMT(tx_emprunt2,Q4,durée_emprunt2,emprunt2)),0)+IF(Q4&lt;=Ana_eco!$D$45,IF(Ana_eco!$E$45="Annuité constante",-IPMT(tx_AR1,Q4,Ana_eco!$D$45,avance_remb_1,0),-ISPMT(tx_AR1,Q4,Ana_eco!$D$45,avance_remb_1)),0)+IF(Q4&lt;=Ana_eco!$D$46,IF(Ana_eco!$E$46="Annuité constante",-IPMT(tx_AR2,Q4,Ana_eco!$D$46,avance_remb_2,0),-ISPMT(tx_AR2,Q4,Ana_eco!$D$46,avance_remb_2)),0)</f>
        <v>0</v>
      </c>
      <c r="R24" s="552">
        <f>IF(R4&lt;=durée_emprunt1,IF(Ana_eco!$E$42="Annuité constante",-IPMT(tx_emprunt1,R4,durée_emprunt1,emprunt1,0),-ISPMT(tx_emprunt1,R4,durée_emprunt1,emprunt1)),0)+IF(R4&lt;=durée_emprunt2,IF(Ana_eco!$E$43="Annuité constante",-IPMT(tx_emprunt2,R4,durée_emprunt2,emprunt2,0),-ISPMT(tx_emprunt2,R4,durée_emprunt2,emprunt2)),0)+IF(R4&lt;=Ana_eco!$D$45,IF(Ana_eco!$E$45="Annuité constante",-IPMT(tx_AR1,R4,Ana_eco!$D$45,avance_remb_1,0),-ISPMT(tx_AR1,R4,Ana_eco!$D$45,avance_remb_1)),0)+IF(R4&lt;=Ana_eco!$D$46,IF(Ana_eco!$E$46="Annuité constante",-IPMT(tx_AR2,R4,Ana_eco!$D$46,avance_remb_2,0),-ISPMT(tx_AR2,R4,Ana_eco!$D$46,avance_remb_2)),0)</f>
        <v>0</v>
      </c>
      <c r="S24" s="552">
        <f>IF(S4&lt;=durée_emprunt1,IF(Ana_eco!$E$42="Annuité constante",-IPMT(tx_emprunt1,S4,durée_emprunt1,emprunt1,0),-ISPMT(tx_emprunt1,S4,durée_emprunt1,emprunt1)),0)+IF(S4&lt;=durée_emprunt2,IF(Ana_eco!$E$43="Annuité constante",-IPMT(tx_emprunt2,S4,durée_emprunt2,emprunt2,0),-ISPMT(tx_emprunt2,S4,durée_emprunt2,emprunt2)),0)+IF(S4&lt;=Ana_eco!$D$45,IF(Ana_eco!$E$45="Annuité constante",-IPMT(tx_AR1,S4,Ana_eco!$D$45,avance_remb_1,0),-ISPMT(tx_AR1,S4,Ana_eco!$D$45,avance_remb_1)),0)+IF(S4&lt;=Ana_eco!$D$46,IF(Ana_eco!$E$46="Annuité constante",-IPMT(tx_AR2,S4,Ana_eco!$D$46,avance_remb_2,0),-ISPMT(tx_AR2,S4,Ana_eco!$D$46,avance_remb_2)),0)</f>
        <v>0</v>
      </c>
      <c r="T24" s="552">
        <f>IF(T4&lt;=durée_emprunt1,IF(Ana_eco!$E$42="Annuité constante",-IPMT(tx_emprunt1,T4,durée_emprunt1,emprunt1,0),-ISPMT(tx_emprunt1,T4,durée_emprunt1,emprunt1)),0)+IF(T4&lt;=durée_emprunt2,IF(Ana_eco!$E$43="Annuité constante",-IPMT(tx_emprunt2,T4,durée_emprunt2,emprunt2,0),-ISPMT(tx_emprunt2,T4,durée_emprunt2,emprunt2)),0)+IF(T4&lt;=Ana_eco!$D$45,IF(Ana_eco!$E$45="Annuité constante",-IPMT(tx_AR1,T4,Ana_eco!$D$45,avance_remb_1,0),-ISPMT(tx_AR1,T4,Ana_eco!$D$45,avance_remb_1)),0)+IF(T4&lt;=Ana_eco!$D$46,IF(Ana_eco!$E$46="Annuité constante",-IPMT(tx_AR2,T4,Ana_eco!$D$46,avance_remb_2,0),-ISPMT(tx_AR2,T4,Ana_eco!$D$46,avance_remb_2)),0)</f>
        <v>0</v>
      </c>
      <c r="U24" s="552">
        <f>IF(U4&lt;=durée_emprunt1,IF(Ana_eco!$E$42="Annuité constante",-IPMT(tx_emprunt1,U4,durée_emprunt1,emprunt1,0),-ISPMT(tx_emprunt1,U4,durée_emprunt1,emprunt1)),0)+IF(U4&lt;=durée_emprunt2,IF(Ana_eco!$E$43="Annuité constante",-IPMT(tx_emprunt2,U4,durée_emprunt2,emprunt2,0),-ISPMT(tx_emprunt2,U4,durée_emprunt2,emprunt2)),0)+IF(U4&lt;=Ana_eco!$D$45,IF(Ana_eco!$E$45="Annuité constante",-IPMT(tx_AR1,U4,Ana_eco!$D$45,avance_remb_1,0),-ISPMT(tx_AR1,U4,Ana_eco!$D$45,avance_remb_1)),0)+IF(U4&lt;=Ana_eco!$D$46,IF(Ana_eco!$E$46="Annuité constante",-IPMT(tx_AR2,U4,Ana_eco!$D$46,avance_remb_2,0),-ISPMT(tx_AR2,U4,Ana_eco!$D$46,avance_remb_2)),0)</f>
        <v>0</v>
      </c>
      <c r="V24" s="552">
        <f>IF(V4&lt;=durée_emprunt1,IF(Ana_eco!$E$42="Annuité constante",-IPMT(tx_emprunt1,V4,durée_emprunt1,emprunt1,0),-ISPMT(tx_emprunt1,V4,durée_emprunt1,emprunt1)),0)+IF(V4&lt;=durée_emprunt2,IF(Ana_eco!$E$43="Annuité constante",-IPMT(tx_emprunt2,V4,durée_emprunt2,emprunt2,0),-ISPMT(tx_emprunt2,V4,durée_emprunt2,emprunt2)),0)+IF(V4&lt;=Ana_eco!$D$45,IF(Ana_eco!$E$45="Annuité constante",-IPMT(tx_AR1,V4,Ana_eco!$D$45,avance_remb_1,0),-ISPMT(tx_AR1,V4,Ana_eco!$D$45,avance_remb_1)),0)+IF(V4&lt;=Ana_eco!$D$46,IF(Ana_eco!$E$46="Annuité constante",-IPMT(tx_AR2,V4,Ana_eco!$D$46,avance_remb_2,0),-ISPMT(tx_AR2,V4,Ana_eco!$D$46,avance_remb_2)),0)</f>
        <v>0</v>
      </c>
      <c r="W24" s="552">
        <f>IF(W4&lt;=durée_emprunt1,IF(Ana_eco!$E$42="Annuité constante",-IPMT(tx_emprunt1,W4,durée_emprunt1,emprunt1,0),-ISPMT(tx_emprunt1,W4,durée_emprunt1,emprunt1)),0)+IF(W4&lt;=durée_emprunt2,IF(Ana_eco!$E$43="Annuité constante",-IPMT(tx_emprunt2,W4,durée_emprunt2,emprunt2,0),-ISPMT(tx_emprunt2,W4,durée_emprunt2,emprunt2)),0)+IF(W4&lt;=Ana_eco!$D$45,IF(Ana_eco!$E$45="Annuité constante",-IPMT(tx_AR1,W4,Ana_eco!$D$45,avance_remb_1,0),-ISPMT(tx_AR1,W4,Ana_eco!$D$45,avance_remb_1)),0)+IF(W4&lt;=Ana_eco!$D$46,IF(Ana_eco!$E$46="Annuité constante",-IPMT(tx_AR2,W4,Ana_eco!$D$46,avance_remb_2,0),-ISPMT(tx_AR2,W4,Ana_eco!$D$46,avance_remb_2)),0)</f>
        <v>0</v>
      </c>
      <c r="X24" s="552">
        <f>IF(X4&lt;=durée_emprunt1,IF(Ana_eco!$E$42="Annuité constante",-IPMT(tx_emprunt1,X4,durée_emprunt1,emprunt1,0),-ISPMT(tx_emprunt1,X4,durée_emprunt1,emprunt1)),0)+IF(X4&lt;=durée_emprunt2,IF(Ana_eco!$E$43="Annuité constante",-IPMT(tx_emprunt2,X4,durée_emprunt2,emprunt2,0),-ISPMT(tx_emprunt2,X4,durée_emprunt2,emprunt2)),0)+IF(X4&lt;=Ana_eco!$D$45,IF(Ana_eco!$E$45="Annuité constante",-IPMT(tx_AR1,X4,Ana_eco!$D$45,avance_remb_1,0),-ISPMT(tx_AR1,X4,Ana_eco!$D$45,avance_remb_1)),0)+IF(X4&lt;=Ana_eco!$D$46,IF(Ana_eco!$E$46="Annuité constante",-IPMT(tx_AR2,X4,Ana_eco!$D$46,avance_remb_2,0),-ISPMT(tx_AR2,X4,Ana_eco!$D$46,avance_remb_2)),0)</f>
        <v>0</v>
      </c>
      <c r="Y24" s="552">
        <f>IF(Y4&lt;=durée_emprunt1,IF(Ana_eco!$E$42="Annuité constante",-IPMT(tx_emprunt1,Y4,durée_emprunt1,emprunt1,0),-ISPMT(tx_emprunt1,Y4,durée_emprunt1,emprunt1)),0)+IF(Y4&lt;=durée_emprunt2,IF(Ana_eco!$E$43="Annuité constante",-IPMT(tx_emprunt2,Y4,durée_emprunt2,emprunt2,0),-ISPMT(tx_emprunt2,Y4,durée_emprunt2,emprunt2)),0)+IF(Y4&lt;=Ana_eco!$D$45,IF(Ana_eco!$E$45="Annuité constante",-IPMT(tx_AR1,Y4,Ana_eco!$D$45,avance_remb_1,0),-ISPMT(tx_AR1,Y4,Ana_eco!$D$45,avance_remb_1)),0)+IF(Y4&lt;=Ana_eco!$D$46,IF(Ana_eco!$E$46="Annuité constante",-IPMT(tx_AR2,Y4,Ana_eco!$D$46,avance_remb_2,0),-ISPMT(tx_AR2,Y4,Ana_eco!$D$46,avance_remb_2)),0)</f>
        <v>0</v>
      </c>
      <c r="Z24" s="545"/>
      <c r="AA24" s="515">
        <f t="shared" ca="1" si="24"/>
        <v>205.27109545973599</v>
      </c>
      <c r="AB24" s="64"/>
      <c r="AC24" s="64"/>
      <c r="AD24" s="64"/>
      <c r="AE24" s="64"/>
      <c r="AF24" s="64"/>
      <c r="AG24" s="64"/>
      <c r="AH24" s="64"/>
      <c r="AI24" s="64"/>
      <c r="AK24" s="64"/>
      <c r="AS24" s="499"/>
    </row>
    <row r="25" spans="1:64">
      <c r="A25" s="526"/>
      <c r="B25" s="527" t="s">
        <v>859</v>
      </c>
      <c r="C25" s="553">
        <v>0</v>
      </c>
      <c r="D25" s="553">
        <v>0</v>
      </c>
      <c r="E25" s="553">
        <v>0</v>
      </c>
      <c r="F25" s="553">
        <v>0</v>
      </c>
      <c r="G25" s="553">
        <v>0</v>
      </c>
      <c r="H25" s="553">
        <v>0</v>
      </c>
      <c r="I25" s="553">
        <v>0</v>
      </c>
      <c r="J25" s="553">
        <v>0</v>
      </c>
      <c r="K25" s="553">
        <v>0</v>
      </c>
      <c r="L25" s="553">
        <v>0</v>
      </c>
      <c r="M25" s="553">
        <v>0</v>
      </c>
      <c r="N25" s="553">
        <v>0</v>
      </c>
      <c r="O25" s="553">
        <v>0</v>
      </c>
      <c r="P25" s="553">
        <v>0</v>
      </c>
      <c r="Q25" s="553">
        <v>0</v>
      </c>
      <c r="R25" s="553">
        <v>0</v>
      </c>
      <c r="S25" s="553">
        <v>0</v>
      </c>
      <c r="T25" s="553">
        <v>0</v>
      </c>
      <c r="U25" s="553">
        <v>0</v>
      </c>
      <c r="V25" s="553">
        <v>0</v>
      </c>
      <c r="W25" s="552"/>
      <c r="X25" s="552"/>
      <c r="Y25" s="552"/>
      <c r="Z25" s="545"/>
      <c r="AA25" s="515"/>
      <c r="AB25" s="64"/>
      <c r="AC25" s="64"/>
      <c r="AD25" s="64"/>
      <c r="AE25" s="64"/>
      <c r="AF25" s="64"/>
      <c r="AG25" s="64"/>
      <c r="AH25" s="64"/>
      <c r="AI25" s="64"/>
      <c r="AK25" s="64"/>
      <c r="AS25" s="499"/>
    </row>
    <row r="26" spans="1:64">
      <c r="A26" s="526"/>
      <c r="B26" s="527" t="s">
        <v>860</v>
      </c>
      <c r="C26" s="547"/>
      <c r="D26" s="543"/>
      <c r="E26" s="552">
        <f t="shared" ref="E26:Y26" si="27">IF(E4&lt;=durée_CCA,tx_CCA*CCA_1,0)</f>
        <v>0</v>
      </c>
      <c r="F26" s="552">
        <f t="shared" si="27"/>
        <v>0</v>
      </c>
      <c r="G26" s="552">
        <f t="shared" si="27"/>
        <v>0</v>
      </c>
      <c r="H26" s="552">
        <f t="shared" si="27"/>
        <v>0</v>
      </c>
      <c r="I26" s="552">
        <f t="shared" si="27"/>
        <v>0</v>
      </c>
      <c r="J26" s="552">
        <f t="shared" si="27"/>
        <v>0</v>
      </c>
      <c r="K26" s="552">
        <f t="shared" si="27"/>
        <v>0</v>
      </c>
      <c r="L26" s="552">
        <f t="shared" si="27"/>
        <v>0</v>
      </c>
      <c r="M26" s="552">
        <f t="shared" si="27"/>
        <v>0</v>
      </c>
      <c r="N26" s="552">
        <f t="shared" si="27"/>
        <v>0</v>
      </c>
      <c r="O26" s="552">
        <f t="shared" si="27"/>
        <v>0</v>
      </c>
      <c r="P26" s="552">
        <f t="shared" si="27"/>
        <v>0</v>
      </c>
      <c r="Q26" s="552">
        <f t="shared" si="27"/>
        <v>0</v>
      </c>
      <c r="R26" s="552">
        <f t="shared" si="27"/>
        <v>0</v>
      </c>
      <c r="S26" s="552">
        <f t="shared" si="27"/>
        <v>0</v>
      </c>
      <c r="T26" s="552">
        <f t="shared" si="27"/>
        <v>0</v>
      </c>
      <c r="U26" s="552">
        <f t="shared" si="27"/>
        <v>0</v>
      </c>
      <c r="V26" s="552">
        <f t="shared" si="27"/>
        <v>0</v>
      </c>
      <c r="W26" s="552">
        <f t="shared" si="27"/>
        <v>0</v>
      </c>
      <c r="X26" s="552">
        <f t="shared" si="27"/>
        <v>0</v>
      </c>
      <c r="Y26" s="552">
        <f t="shared" si="27"/>
        <v>0</v>
      </c>
      <c r="Z26" s="548"/>
      <c r="AA26" s="515">
        <f t="shared" si="24"/>
        <v>0</v>
      </c>
      <c r="AB26" s="64"/>
      <c r="AC26" s="64"/>
      <c r="AD26" s="64"/>
      <c r="AE26" s="64"/>
      <c r="AF26" s="64"/>
      <c r="AG26" s="64"/>
      <c r="AH26" s="64"/>
      <c r="AI26" s="64"/>
      <c r="AK26" s="64"/>
      <c r="AS26" s="499"/>
    </row>
    <row r="27" spans="1:64">
      <c r="A27" s="526"/>
      <c r="B27" s="527" t="s">
        <v>861</v>
      </c>
      <c r="C27" s="553">
        <v>529</v>
      </c>
      <c r="D27" s="553">
        <v>584.48</v>
      </c>
      <c r="E27" s="553">
        <v>580.02499999999998</v>
      </c>
      <c r="F27" s="553">
        <v>580.02499999999998</v>
      </c>
      <c r="G27" s="553">
        <v>580.02499999999998</v>
      </c>
      <c r="H27" s="553">
        <v>51.024999999999999</v>
      </c>
      <c r="I27" s="553">
        <v>0</v>
      </c>
      <c r="J27" s="553">
        <v>0</v>
      </c>
      <c r="K27" s="553">
        <v>0</v>
      </c>
      <c r="L27" s="553">
        <v>0</v>
      </c>
      <c r="M27" s="553">
        <v>0</v>
      </c>
      <c r="N27" s="553">
        <v>0</v>
      </c>
      <c r="O27" s="553">
        <v>0</v>
      </c>
      <c r="P27" s="553">
        <v>0</v>
      </c>
      <c r="Q27" s="553">
        <v>0</v>
      </c>
      <c r="R27" s="553">
        <v>0</v>
      </c>
      <c r="S27" s="553">
        <v>0</v>
      </c>
      <c r="T27" s="553">
        <v>0</v>
      </c>
      <c r="U27" s="553">
        <v>0</v>
      </c>
      <c r="V27" s="553">
        <v>0</v>
      </c>
      <c r="W27" s="552"/>
      <c r="X27" s="552"/>
      <c r="Y27" s="552"/>
      <c r="Z27" s="548"/>
      <c r="AA27" s="515"/>
      <c r="AB27" s="64"/>
      <c r="AC27" s="64"/>
      <c r="AD27" s="64"/>
      <c r="AE27" s="64"/>
      <c r="AF27" s="64"/>
      <c r="AG27" s="64"/>
      <c r="AH27" s="64"/>
      <c r="AI27" s="64"/>
      <c r="AK27" s="64"/>
      <c r="AS27" s="499"/>
    </row>
    <row r="28" spans="1:64">
      <c r="A28" s="535"/>
      <c r="B28" s="536" t="s">
        <v>862</v>
      </c>
      <c r="C28" s="544">
        <f t="shared" ref="C28:Y28" si="28">+C23-SUM(C24:C27)</f>
        <v>-3734</v>
      </c>
      <c r="D28" s="537">
        <f t="shared" si="28"/>
        <v>1039.9200000000005</v>
      </c>
      <c r="E28" s="537">
        <f t="shared" si="28"/>
        <v>-4943.8146325737989</v>
      </c>
      <c r="F28" s="537">
        <f t="shared" ca="1" si="28"/>
        <v>1371.7425608615017</v>
      </c>
      <c r="G28" s="537">
        <f t="shared" ca="1" si="28"/>
        <v>1567.6493222219292</v>
      </c>
      <c r="H28" s="537">
        <f t="shared" ca="1" si="28"/>
        <v>2045.0991656804831</v>
      </c>
      <c r="I28" s="537">
        <f t="shared" ca="1" si="28"/>
        <v>2020.7399193087701</v>
      </c>
      <c r="J28" s="537">
        <f t="shared" ca="1" si="28"/>
        <v>1988.124988689302</v>
      </c>
      <c r="K28" s="537">
        <f t="shared" ca="1" si="28"/>
        <v>1958.346127664398</v>
      </c>
      <c r="L28" s="537">
        <f t="shared" ca="1" si="28"/>
        <v>1928.4796581374467</v>
      </c>
      <c r="M28" s="537">
        <f t="shared" ca="1" si="28"/>
        <v>1070.060559475234</v>
      </c>
      <c r="N28" s="537">
        <f t="shared" ca="1" si="28"/>
        <v>1896.4492732130129</v>
      </c>
      <c r="O28" s="537">
        <f t="shared" ca="1" si="28"/>
        <v>-1248.1029720629103</v>
      </c>
      <c r="P28" s="537">
        <f t="shared" ca="1" si="28"/>
        <v>1212.1605729200564</v>
      </c>
      <c r="Q28" s="537">
        <f t="shared" ca="1" si="28"/>
        <v>1067.283200725733</v>
      </c>
      <c r="R28" s="537">
        <f t="shared" ca="1" si="28"/>
        <v>1812.8592437457974</v>
      </c>
      <c r="S28" s="537">
        <f t="shared" ca="1" si="28"/>
        <v>1619.2889967305164</v>
      </c>
      <c r="T28" s="537">
        <f t="shared" ca="1" si="28"/>
        <v>3685.2553682400685</v>
      </c>
      <c r="U28" s="537">
        <f t="shared" ca="1" si="28"/>
        <v>3360.5442401226755</v>
      </c>
      <c r="V28" s="537">
        <f t="shared" ca="1" si="28"/>
        <v>3239.4670479145498</v>
      </c>
      <c r="W28" s="537">
        <f t="shared" ca="1" si="28"/>
        <v>2856.28741886239</v>
      </c>
      <c r="X28" s="537">
        <f t="shared" ca="1" si="28"/>
        <v>17821.176778890847</v>
      </c>
      <c r="Y28" s="537">
        <f t="shared" ca="1" si="28"/>
        <v>2453.1708501093381</v>
      </c>
      <c r="Z28" s="548"/>
      <c r="AA28" s="546">
        <f t="shared" ca="1" si="24"/>
        <v>2316.4548419384</v>
      </c>
      <c r="AB28" s="64"/>
      <c r="AC28" s="64"/>
      <c r="AD28" s="64"/>
      <c r="AE28" s="64"/>
      <c r="AF28" s="64"/>
      <c r="AG28" s="64"/>
      <c r="AH28" s="64"/>
      <c r="AI28" s="64"/>
      <c r="AJ28" s="499"/>
      <c r="AK28" s="64"/>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row>
    <row r="29" spans="1:64">
      <c r="A29" s="535"/>
      <c r="B29" s="527" t="s">
        <v>863</v>
      </c>
      <c r="C29" s="554">
        <f>IF(C28&lt;0,C28,0)</f>
        <v>-3734</v>
      </c>
      <c r="D29" s="531">
        <f t="shared" ref="D29:Y29" si="29">IF(C29+D28&lt;0,C29+D28,0)</f>
        <v>-2694.0799999999995</v>
      </c>
      <c r="E29" s="531">
        <f t="shared" si="29"/>
        <v>-7637.8946325737979</v>
      </c>
      <c r="F29" s="531">
        <f t="shared" ca="1" si="29"/>
        <v>-6266.1520717122967</v>
      </c>
      <c r="G29" s="531">
        <f t="shared" ca="1" si="29"/>
        <v>-4698.5027494903679</v>
      </c>
      <c r="H29" s="531">
        <f t="shared" ca="1" si="29"/>
        <v>-2653.4035838098848</v>
      </c>
      <c r="I29" s="531">
        <f t="shared" ca="1" si="29"/>
        <v>-632.66366450111468</v>
      </c>
      <c r="J29" s="531">
        <f t="shared" ca="1" si="29"/>
        <v>0</v>
      </c>
      <c r="K29" s="531">
        <f t="shared" ca="1" si="29"/>
        <v>0</v>
      </c>
      <c r="L29" s="531">
        <f t="shared" ca="1" si="29"/>
        <v>0</v>
      </c>
      <c r="M29" s="531">
        <f t="shared" ca="1" si="29"/>
        <v>0</v>
      </c>
      <c r="N29" s="531">
        <f t="shared" ca="1" si="29"/>
        <v>0</v>
      </c>
      <c r="O29" s="531">
        <f t="shared" ca="1" si="29"/>
        <v>-1248.1029720629103</v>
      </c>
      <c r="P29" s="531">
        <f t="shared" ca="1" si="29"/>
        <v>-35.942399142853901</v>
      </c>
      <c r="Q29" s="531">
        <f t="shared" ca="1" si="29"/>
        <v>0</v>
      </c>
      <c r="R29" s="531">
        <f t="shared" ca="1" si="29"/>
        <v>0</v>
      </c>
      <c r="S29" s="531">
        <f t="shared" ca="1" si="29"/>
        <v>0</v>
      </c>
      <c r="T29" s="531">
        <f t="shared" ca="1" si="29"/>
        <v>0</v>
      </c>
      <c r="U29" s="531">
        <f t="shared" ca="1" si="29"/>
        <v>0</v>
      </c>
      <c r="V29" s="531">
        <f t="shared" ca="1" si="29"/>
        <v>0</v>
      </c>
      <c r="W29" s="531">
        <f t="shared" ca="1" si="29"/>
        <v>0</v>
      </c>
      <c r="X29" s="531">
        <f t="shared" ca="1" si="29"/>
        <v>0</v>
      </c>
      <c r="Y29" s="531">
        <f t="shared" ca="1" si="29"/>
        <v>0</v>
      </c>
      <c r="Z29" s="548"/>
      <c r="AA29" s="523">
        <f t="shared" ca="1" si="24"/>
        <v>-1158.6331036646613</v>
      </c>
      <c r="AB29" s="64"/>
      <c r="AC29" s="64"/>
      <c r="AD29" s="64"/>
      <c r="AE29" s="64"/>
      <c r="AF29" s="64"/>
      <c r="AG29" s="64"/>
      <c r="AH29" s="64"/>
      <c r="AI29" s="64"/>
      <c r="AK29" s="64"/>
    </row>
    <row r="30" spans="1:64">
      <c r="A30" s="535"/>
      <c r="B30" s="527" t="s">
        <v>864</v>
      </c>
      <c r="C30" s="547"/>
      <c r="D30" s="543"/>
      <c r="E30" s="531"/>
      <c r="F30" s="531">
        <f ca="1">IF(ZRR="Oui",0,Ana_eco!$F$18/durée_amortPV)</f>
        <v>0</v>
      </c>
      <c r="G30" s="531">
        <f ca="1">IF(ZRR="Oui",0,Ana_eco!$F$18/durée_amortPV)</f>
        <v>0</v>
      </c>
      <c r="H30" s="531">
        <f ca="1">IF(ZRR="Oui",0,Ana_eco!$F$18/durée_amortPV)</f>
        <v>0</v>
      </c>
      <c r="I30" s="531">
        <f ca="1">IF(ZRR="Oui",0,Ana_eco!$F$18/durée_amortPV)</f>
        <v>0</v>
      </c>
      <c r="J30" s="531">
        <f ca="1">IF(ZRR="Oui",0,Ana_eco!$F$18/durée_amortPV)</f>
        <v>0</v>
      </c>
      <c r="K30" s="531">
        <f ca="1">IF(ZRR="Oui",0,Ana_eco!$F$18/durée_amortPV)</f>
        <v>0</v>
      </c>
      <c r="L30" s="531">
        <f ca="1">IF(ZRR="Oui",0,Ana_eco!$F$18/durée_amortPV)</f>
        <v>0</v>
      </c>
      <c r="M30" s="531">
        <f ca="1">IF(ZRR="Oui",0,Ana_eco!$F$18/durée_amortPV)</f>
        <v>0</v>
      </c>
      <c r="N30" s="531">
        <f ca="1">IF(ZRR="Oui",0,Ana_eco!$F$18/durée_amortPV)</f>
        <v>0</v>
      </c>
      <c r="O30" s="531">
        <f ca="1">IF(ZRR="Oui",0,Ana_eco!$F$18/durée_amortPV)</f>
        <v>0</v>
      </c>
      <c r="P30" s="531">
        <f ca="1">IF(ZRR="Oui",0,Ana_eco!$F$18/durée_amortPV)</f>
        <v>0</v>
      </c>
      <c r="Q30" s="531">
        <f ca="1">IF(ZRR="Oui",0,Ana_eco!$F$18/durée_amortPV)</f>
        <v>0</v>
      </c>
      <c r="R30" s="531">
        <f ca="1">IF(ZRR="Oui",0,Ana_eco!$F$18/durée_amortPV)</f>
        <v>0</v>
      </c>
      <c r="S30" s="531">
        <f ca="1">IF(ZRR="Oui",0,Ana_eco!$F$18/durée_amortPV)</f>
        <v>0</v>
      </c>
      <c r="T30" s="531">
        <f ca="1">IF(ZRR="Oui",0,Ana_eco!$F$18/durée_amortPV)</f>
        <v>0</v>
      </c>
      <c r="U30" s="531">
        <f ca="1">IF(ZRR="Oui",0,Ana_eco!$F$18/durée_amortPV)</f>
        <v>0</v>
      </c>
      <c r="V30" s="531">
        <f ca="1">IF(ZRR="Oui",0,Ana_eco!$F$18/durée_amortPV)</f>
        <v>0</v>
      </c>
      <c r="W30" s="531">
        <f ca="1">IF(ZRR="Oui",0,Ana_eco!$F$18/durée_amortPV)</f>
        <v>0</v>
      </c>
      <c r="X30" s="531">
        <f ca="1">IF(ZRR="Oui",0,Ana_eco!$F$18/durée_amortPV)</f>
        <v>0</v>
      </c>
      <c r="Y30" s="531">
        <f ca="1">IF(ZRR="Oui",0,Ana_eco!$F$18/durée_amortPV)</f>
        <v>0</v>
      </c>
      <c r="Z30" s="548"/>
      <c r="AA30" s="523"/>
      <c r="AB30" s="64"/>
      <c r="AC30" s="64"/>
      <c r="AD30" s="64"/>
      <c r="AE30" s="64"/>
      <c r="AF30" s="64"/>
      <c r="AG30" s="64"/>
      <c r="AH30" s="64"/>
      <c r="AI30" s="64"/>
      <c r="AK30" s="64"/>
    </row>
    <row r="31" spans="1:64">
      <c r="A31" s="535"/>
      <c r="B31" s="527" t="s">
        <v>865</v>
      </c>
      <c r="C31" s="532">
        <v>500</v>
      </c>
      <c r="D31" s="532">
        <v>500</v>
      </c>
      <c r="E31" s="532">
        <v>500</v>
      </c>
      <c r="F31" s="532">
        <v>500</v>
      </c>
      <c r="G31" s="532">
        <v>500</v>
      </c>
      <c r="H31" s="532">
        <v>500</v>
      </c>
      <c r="I31" s="532">
        <v>500</v>
      </c>
      <c r="J31" s="532">
        <v>500</v>
      </c>
      <c r="K31" s="532">
        <v>500</v>
      </c>
      <c r="L31" s="532">
        <v>500</v>
      </c>
      <c r="M31" s="532">
        <v>500</v>
      </c>
      <c r="N31" s="532">
        <v>500</v>
      </c>
      <c r="O31" s="532">
        <v>500</v>
      </c>
      <c r="P31" s="532">
        <v>500</v>
      </c>
      <c r="Q31" s="532">
        <v>500</v>
      </c>
      <c r="R31" s="532">
        <v>500</v>
      </c>
      <c r="S31" s="532">
        <v>500</v>
      </c>
      <c r="T31" s="532">
        <v>500</v>
      </c>
      <c r="U31" s="532">
        <v>500</v>
      </c>
      <c r="V31" s="532">
        <v>500</v>
      </c>
      <c r="W31" s="531"/>
      <c r="X31" s="531"/>
      <c r="Y31" s="531"/>
      <c r="Z31" s="548"/>
      <c r="AA31" s="523"/>
      <c r="AB31" s="64"/>
      <c r="AC31" s="64"/>
      <c r="AD31" s="64"/>
      <c r="AE31" s="64"/>
      <c r="AF31" s="64"/>
      <c r="AG31" s="64"/>
      <c r="AH31" s="64"/>
      <c r="AI31" s="64"/>
      <c r="AK31" s="64"/>
    </row>
    <row r="32" spans="1:64">
      <c r="A32" s="535"/>
      <c r="B32" s="527" t="s">
        <v>866</v>
      </c>
      <c r="C32" s="547"/>
      <c r="D32" s="543"/>
      <c r="E32" s="531"/>
      <c r="F32" s="531">
        <f t="shared" ref="F32:Y32" si="30">IF(F4&lt;=durée_CCA,ecart_tauxCCA*CCA_1,0)</f>
        <v>0</v>
      </c>
      <c r="G32" s="531">
        <f t="shared" si="30"/>
        <v>0</v>
      </c>
      <c r="H32" s="531">
        <f t="shared" si="30"/>
        <v>0</v>
      </c>
      <c r="I32" s="531">
        <f t="shared" si="30"/>
        <v>0</v>
      </c>
      <c r="J32" s="531">
        <f t="shared" si="30"/>
        <v>0</v>
      </c>
      <c r="K32" s="531">
        <f t="shared" si="30"/>
        <v>0</v>
      </c>
      <c r="L32" s="531">
        <f t="shared" si="30"/>
        <v>0</v>
      </c>
      <c r="M32" s="531">
        <f t="shared" si="30"/>
        <v>0</v>
      </c>
      <c r="N32" s="531">
        <f t="shared" si="30"/>
        <v>0</v>
      </c>
      <c r="O32" s="531">
        <f t="shared" si="30"/>
        <v>0</v>
      </c>
      <c r="P32" s="531">
        <f t="shared" si="30"/>
        <v>0</v>
      </c>
      <c r="Q32" s="531">
        <f t="shared" si="30"/>
        <v>0</v>
      </c>
      <c r="R32" s="531">
        <f t="shared" si="30"/>
        <v>0</v>
      </c>
      <c r="S32" s="531">
        <f t="shared" si="30"/>
        <v>0</v>
      </c>
      <c r="T32" s="531">
        <f t="shared" si="30"/>
        <v>0</v>
      </c>
      <c r="U32" s="531">
        <f t="shared" si="30"/>
        <v>0</v>
      </c>
      <c r="V32" s="531">
        <f t="shared" si="30"/>
        <v>0</v>
      </c>
      <c r="W32" s="531">
        <f t="shared" si="30"/>
        <v>0</v>
      </c>
      <c r="X32" s="531">
        <f t="shared" si="30"/>
        <v>0</v>
      </c>
      <c r="Y32" s="531">
        <f t="shared" si="30"/>
        <v>0</v>
      </c>
      <c r="Z32" s="548"/>
      <c r="AA32" s="523"/>
      <c r="AB32" s="64"/>
      <c r="AC32" s="64"/>
      <c r="AD32" s="64"/>
      <c r="AE32" s="64"/>
      <c r="AF32" s="64"/>
      <c r="AG32" s="64"/>
      <c r="AH32" s="64"/>
      <c r="AI32" s="64"/>
      <c r="AK32" s="64"/>
    </row>
    <row r="33" spans="1:64">
      <c r="A33" s="535"/>
      <c r="B33" s="527" t="s">
        <v>867</v>
      </c>
      <c r="C33" s="547"/>
      <c r="D33" s="543"/>
      <c r="E33" s="531">
        <f>IF(societe="SAS",0,(1-reservesL)*(1-reservesS)*(1-Ana_eco!$M$25)*E28)</f>
        <v>0</v>
      </c>
      <c r="F33" s="531">
        <f>IF(societe="SAS",0,(1-reservesL)*(1-reservesS)*(1-Ana_eco!$M$25)*F28)</f>
        <v>0</v>
      </c>
      <c r="G33" s="531">
        <f>IF(societe="SAS",0,(1-reservesL)*(1-reservesS)*(1-Ana_eco!$M$25)*G28)</f>
        <v>0</v>
      </c>
      <c r="H33" s="531">
        <f>IF(societe="SAS",0,(1-reservesL)*(1-reservesS)*(1-Ana_eco!$M$26)*H28)</f>
        <v>0</v>
      </c>
      <c r="I33" s="531">
        <f>IF(societe="SAS",0,(1-reservesL)*(1-reservesS)*(1-Ana_eco!$M$26)*I28)</f>
        <v>0</v>
      </c>
      <c r="J33" s="531">
        <f>IF(societe="SAS",0,(1-reservesL)*(1-reservesS)*(1-Ana_eco!$M$27)*J28)</f>
        <v>0</v>
      </c>
      <c r="K33" s="531">
        <f>IF(societe="SAS",0,(1-reservesL)*(1-reservesS)*(1-Ana_eco!$M$27)*K28)</f>
        <v>0</v>
      </c>
      <c r="L33" s="531">
        <f>IF(societe="SAS",0,(1-reservesL)*(1-reservesS)*(1-Ana_eco!$M$27)*L28)</f>
        <v>0</v>
      </c>
      <c r="M33" s="531">
        <f>IF(societe="SAS",0,(1-reservesL)*(1-reservesS)*(1-Ana_eco!$M$27)*M28)</f>
        <v>0</v>
      </c>
      <c r="N33" s="531">
        <f>IF(societe="SAS",0,(1-reservesL)*(1-reservesS)*(1-Ana_eco!$M$27)*N28)</f>
        <v>0</v>
      </c>
      <c r="O33" s="531">
        <f>IF(societe="SAS",0,(1-reservesL)*(1-reservesS)*(1-Ana_eco!$M$27)*O28)</f>
        <v>0</v>
      </c>
      <c r="P33" s="531">
        <f>IF(societe="SAS",0,(1-reservesL)*(1-reservesS)*(1-Ana_eco!$M$27)*P28)</f>
        <v>0</v>
      </c>
      <c r="Q33" s="531">
        <f>IF(societe="SAS",0,(1-reservesL)*(1-reservesS)*(1-Ana_eco!$M$27)*Q28)</f>
        <v>0</v>
      </c>
      <c r="R33" s="531">
        <f>IF(societe="SAS",0,(1-reservesL)*(1-reservesS)*(1-Ana_eco!$M$27)*R28)</f>
        <v>0</v>
      </c>
      <c r="S33" s="531">
        <f>IF(societe="SAS",0,(1-reservesL)*(1-reservesS)*(1-Ana_eco!$M$27)*S28)</f>
        <v>0</v>
      </c>
      <c r="T33" s="531">
        <f>IF(societe="SAS",0,(1-reservesL)*(1-reservesS)*(1-Ana_eco!$M$27)*T28)</f>
        <v>0</v>
      </c>
      <c r="U33" s="531">
        <f>IF(societe="SAS",0,(1-reservesL)*(1-reservesS)*(1-Ana_eco!$M$27)*U28)</f>
        <v>0</v>
      </c>
      <c r="V33" s="531">
        <f>IF(societe="SAS",0,(1-reservesL)*(1-reservesS)*(1-Ana_eco!$M$27)*V28)</f>
        <v>0</v>
      </c>
      <c r="W33" s="531">
        <f>IF(societe="SAS",0,(1-reservesL)*(1-reservesS)*(1-Ana_eco!$M$27)*W28)</f>
        <v>0</v>
      </c>
      <c r="X33" s="531">
        <f>IF(societe="SAS",0,(1-reservesL)*(1-reservesS)*(1-Ana_eco!$M$27)*X28)</f>
        <v>0</v>
      </c>
      <c r="Y33" s="531">
        <f>IF(societe="SAS",0,(1-reservesL)*(1-reservesS)*(1-Ana_eco!$M$27)*Y28)</f>
        <v>0</v>
      </c>
      <c r="Z33" s="548"/>
      <c r="AA33" s="523"/>
      <c r="AB33" s="64"/>
      <c r="AC33" s="64"/>
      <c r="AD33" s="64"/>
      <c r="AE33" s="64"/>
      <c r="AF33" s="64"/>
      <c r="AG33" s="64"/>
      <c r="AH33" s="64"/>
      <c r="AI33" s="64"/>
      <c r="AJ33" s="499"/>
      <c r="AK33" s="64"/>
      <c r="AL33" s="499"/>
      <c r="AM33" s="499"/>
      <c r="AS33" s="499"/>
      <c r="AT33" s="499"/>
      <c r="AU33" s="499"/>
      <c r="AV33" s="499"/>
      <c r="AW33" s="499"/>
      <c r="AX33" s="499"/>
      <c r="AY33" s="499"/>
      <c r="AZ33" s="499"/>
      <c r="BA33" s="499"/>
      <c r="BB33" s="499"/>
      <c r="BC33" s="499"/>
      <c r="BD33" s="499"/>
      <c r="BE33" s="499"/>
      <c r="BF33" s="499"/>
      <c r="BG33" s="499"/>
      <c r="BH33" s="499"/>
      <c r="BI33" s="499"/>
      <c r="BJ33" s="499"/>
      <c r="BK33" s="499"/>
      <c r="BL33" s="499"/>
    </row>
    <row r="34" spans="1:64">
      <c r="A34" s="535"/>
      <c r="B34" s="527" t="s">
        <v>868</v>
      </c>
      <c r="C34" s="547"/>
      <c r="D34" s="543"/>
      <c r="E34" s="531"/>
      <c r="F34" s="531">
        <f ca="1">IF(Recapitulatif!D4="SAS",F28-F10-F11+E30+F30+F31+F32,F28-F10-F11+E30+F30+F31+F32-F33)</f>
        <v>1871.7425608615017</v>
      </c>
      <c r="G34" s="531">
        <f ca="1">IF(Recapitulatif!E4="SAS",G28-G10-G11+F30+G30+G31+G32,G28-G10-G11+F30+G30+G31+G32-G33)</f>
        <v>2067.6493222219292</v>
      </c>
      <c r="H34" s="531">
        <f ca="1">IF(Recapitulatif!F4="SAS",H28-H10-H11+G30+H30+H31+H32,H28-H10-H11+G30+H30+H31+H32-H33)</f>
        <v>2545.0991656804831</v>
      </c>
      <c r="I34" s="531">
        <f ca="1">IF(Recapitulatif!G4="SAS",I28-I10-I11+H30+I30+I31+I32,I28-I10-I11+H30+I30+I31+I32-I33)</f>
        <v>2520.7399193087704</v>
      </c>
      <c r="J34" s="531">
        <f ca="1">IF(Recapitulatif!H4="SAS",J28-J10-J11+I30+J30+J31+J32,J28-J10-J11+I30+J30+J31+J32-J33)</f>
        <v>2488.124988689302</v>
      </c>
      <c r="K34" s="531">
        <f ca="1">IF(Recapitulatif!I4="SAS",K28-K10-K11+J30+K30+K31+K32,K28-K10-K11+J30+K30+K31+K32-K33)</f>
        <v>2458.346127664398</v>
      </c>
      <c r="L34" s="531">
        <f ca="1">IF(Recapitulatif!J4="SAS",L28-L10-L11+K30+L30+L31+L32,L28-L10-L11+K30+L30+L31+L32-L33)</f>
        <v>2428.4796581374467</v>
      </c>
      <c r="M34" s="531">
        <f ca="1">IF(Recapitulatif!K4="SAS",M28-M10-M11+L30+M30+M31+M32,M28-M10-M11+L30+M30+M31+M32-M33)</f>
        <v>1570.060559475234</v>
      </c>
      <c r="N34" s="531">
        <f ca="1">IF(Recapitulatif!L4="SAS",N28-N10-N11+M30+N30+N31+N32,N28-N10-N11+M30+N30+N31+N32-N33)</f>
        <v>2396.4492732130129</v>
      </c>
      <c r="O34" s="531">
        <f ca="1">IF(Recapitulatif!M4="SAS",O28-O10-O11+N30+O30+O31+O32,O28-O10-O11+N30+O30+O31+O32-O33)</f>
        <v>-748.10297206291034</v>
      </c>
      <c r="P34" s="531">
        <f ca="1">IF(Recapitulatif!N4="SAS",P28-P10-P11+O30+P30+P31+P32,P28-P10-P11+O30+P30+P31+P32-P33)</f>
        <v>1712.1605729200564</v>
      </c>
      <c r="Q34" s="531">
        <f ca="1">IF(Recapitulatif!O4="SAS",Q28-Q10-Q11+P30+Q30+Q31+Q32,Q28-Q10-Q11+P30+Q30+Q31+Q32-Q33)</f>
        <v>1567.283200725733</v>
      </c>
      <c r="R34" s="531">
        <f ca="1">IF(Recapitulatif!P4="SAS",R28-R10-R11+Q30+R30+R31+R32,R28-R10-R11+Q30+R30+R31+R32-R33)</f>
        <v>2312.8592437457974</v>
      </c>
      <c r="S34" s="531">
        <f ca="1">IF(Recapitulatif!Q4="SAS",S28-S10-S11+R30+S30+S31+S32,S28-S10-S11+R30+S30+S31+S32-S33)</f>
        <v>2119.2889967305164</v>
      </c>
      <c r="T34" s="531">
        <f ca="1">IF(Recapitulatif!R4="SAS",T28-T10-T11+S30+T30+T31+T32,T28-T10-T11+S30+T30+T31+T32-T33)</f>
        <v>4185.2553682400685</v>
      </c>
      <c r="U34" s="531">
        <f ca="1">IF(Recapitulatif!S4="SAS",U28-U10-U11+T30+U30+U31+U32,U28-U10-U11+T30+U30+U31+U32-U33)</f>
        <v>3860.5442401226755</v>
      </c>
      <c r="V34" s="531">
        <f ca="1">IF(Recapitulatif!T4="SAS",V28-V10-V11+U30+V30+V31+V32,V28-V10-V11+U30+V30+V31+V32-V33)</f>
        <v>3739.4670479145498</v>
      </c>
      <c r="W34" s="531">
        <f ca="1">IF(Recapitulatif!U4="SAS",W28-W10-W11+V30+W30+W31+W32,W28-W10-W11+V30+W30+W31+W32-W33)</f>
        <v>2856.28741886239</v>
      </c>
      <c r="X34" s="531">
        <f ca="1">IF(Recapitulatif!V4="SAS",X28-X10-X11+W30+X30+X31+X32,X28-X10-X11+W30+X30+X31+X32-X33)</f>
        <v>17821.176778890847</v>
      </c>
      <c r="Y34" s="531">
        <f ca="1">IF(Recapitulatif!W4="SAS",Y28-Y10-Y11+X30+Y30+Y31+Y32,Y28-Y10-Y11+X30+Y30+Y31+Y32-Y33)</f>
        <v>2453.1708501093381</v>
      </c>
      <c r="Z34" s="548"/>
      <c r="AA34" s="523"/>
      <c r="AB34" s="64"/>
      <c r="AC34" s="64"/>
      <c r="AD34" s="64"/>
      <c r="AE34" s="64"/>
      <c r="AF34" s="64"/>
      <c r="AG34" s="64"/>
      <c r="AH34" s="64"/>
      <c r="AI34" s="64"/>
      <c r="AJ34" s="499"/>
      <c r="AK34" s="64"/>
      <c r="AL34" s="499"/>
      <c r="AM34" s="499"/>
      <c r="AS34" s="499"/>
      <c r="AT34" s="499"/>
      <c r="AU34" s="499"/>
      <c r="AV34" s="499"/>
      <c r="AW34" s="499"/>
      <c r="AX34" s="499"/>
      <c r="AY34" s="499"/>
      <c r="AZ34" s="499"/>
      <c r="BA34" s="499"/>
      <c r="BB34" s="499"/>
      <c r="BC34" s="499"/>
      <c r="BD34" s="499"/>
      <c r="BE34" s="499"/>
      <c r="BF34" s="499"/>
      <c r="BG34" s="499"/>
      <c r="BH34" s="499"/>
      <c r="BI34" s="499"/>
      <c r="BJ34" s="499"/>
      <c r="BK34" s="499"/>
      <c r="BL34" s="499"/>
    </row>
    <row r="35" spans="1:64">
      <c r="A35" s="526"/>
      <c r="B35" s="527" t="s">
        <v>869</v>
      </c>
      <c r="C35" s="532">
        <v>75</v>
      </c>
      <c r="D35" s="532">
        <v>0</v>
      </c>
      <c r="E35" s="532">
        <v>0</v>
      </c>
      <c r="F35" s="531">
        <f ca="1">IF(F34&lt;0,0,IF(ratioPP&gt;=0.75,IF(F34&gt;38120,0.28*(F34-38120)+0.15*38120,0.15*F34),0.28*F34))*Ana_eco!AG31</f>
        <v>280.76138412922523</v>
      </c>
      <c r="G35" s="531">
        <f ca="1">IF(G34&lt;0,0,IF(ratioPP&gt;=0.75,IF(G34&gt;38120,0.28*(G34-38120)+0.15*38120,0.15*G34),0.28*G34))*Ana_eco!AG32</f>
        <v>310.14739833328935</v>
      </c>
      <c r="H35" s="531">
        <f ca="1">IF(H34&lt;0,0,IF(ratioPP&gt;=0.75,IF(H34&gt;38120,0.28*(H34-38120)+0.15*38120,0.15*H34),0.28*H34))*Ana_eco!AG33</f>
        <v>381.76487485207247</v>
      </c>
      <c r="I35" s="531">
        <f ca="1">IF(I34&lt;0,0,IF(ratioPP&gt;=0.75,IF(I34&gt;38120,0.28*(I34-38120)+0.15*38120,0.15*I34),0.28*I34))*Ana_eco!AG34</f>
        <v>378.11098789631552</v>
      </c>
      <c r="J35" s="531">
        <f ca="1">IF(J34&lt;0,0,IF(ratioPP&gt;=0.75,IF(J34&gt;38120,0.28*(J34-38120)+0.15*38120,0.15*J34),0.28*J34))*Ana_eco!AG35</f>
        <v>373.21874830339527</v>
      </c>
      <c r="K35" s="531">
        <f ca="1">IF(K34&lt;0,0,IF(ratioPP&gt;=0.75,IF(K34&gt;38120,0.28*(K34-38120)+0.15*38120,0.15*K34),0.28*K34))*Ana_eco!AG36</f>
        <v>368.75191914965967</v>
      </c>
      <c r="L35" s="531">
        <f ca="1">IF(L34&lt;0,0,IF(ratioPP&gt;=0.75,IF(L34&gt;38120,0.28*(L34-38120)+0.15*38120,0.15*L34),0.28*L34))*Ana_eco!AG37</f>
        <v>364.27194872061699</v>
      </c>
      <c r="M35" s="531">
        <f t="shared" ref="M35:Y35" ca="1" si="31">IF(M34&lt;0,0,IF(ratioPP&gt;=0.75,IF(M34&gt;38120,0.28*(M34-38120)+0.15*38120,0.15*M34),0.28*M34))</f>
        <v>235.50908392128508</v>
      </c>
      <c r="N35" s="531">
        <f t="shared" ca="1" si="31"/>
        <v>359.46739098195195</v>
      </c>
      <c r="O35" s="531">
        <f t="shared" ca="1" si="31"/>
        <v>0</v>
      </c>
      <c r="P35" s="531">
        <f t="shared" ca="1" si="31"/>
        <v>256.82408593800847</v>
      </c>
      <c r="Q35" s="531">
        <f t="shared" ca="1" si="31"/>
        <v>235.09248010885995</v>
      </c>
      <c r="R35" s="531">
        <f t="shared" ca="1" si="31"/>
        <v>346.9288865618696</v>
      </c>
      <c r="S35" s="531">
        <f t="shared" ca="1" si="31"/>
        <v>317.89334950957743</v>
      </c>
      <c r="T35" s="531">
        <f t="shared" ca="1" si="31"/>
        <v>627.78830523601027</v>
      </c>
      <c r="U35" s="531">
        <f t="shared" ca="1" si="31"/>
        <v>579.08163601840135</v>
      </c>
      <c r="V35" s="531">
        <f t="shared" ca="1" si="31"/>
        <v>560.92005718718246</v>
      </c>
      <c r="W35" s="531">
        <f t="shared" ca="1" si="31"/>
        <v>428.44311282935848</v>
      </c>
      <c r="X35" s="531">
        <f t="shared" ca="1" si="31"/>
        <v>2673.1765168336269</v>
      </c>
      <c r="Y35" s="531">
        <f t="shared" ca="1" si="31"/>
        <v>367.97562751640072</v>
      </c>
      <c r="Z35" s="545"/>
      <c r="AA35" s="523">
        <f ca="1">AVERAGE(E35:Z35)</f>
        <v>449.81560923938605</v>
      </c>
      <c r="AB35" s="64"/>
      <c r="AC35" s="64"/>
      <c r="AD35" s="64"/>
      <c r="AE35" s="64"/>
      <c r="AF35" s="64"/>
      <c r="AG35" s="64"/>
      <c r="AH35" s="64"/>
      <c r="AI35" s="64"/>
      <c r="AK35" s="64"/>
      <c r="AS35" s="499"/>
    </row>
    <row r="36" spans="1:64">
      <c r="A36" s="535"/>
      <c r="B36" s="536" t="s">
        <v>870</v>
      </c>
      <c r="C36" s="537">
        <f t="shared" ref="C36:Y36" si="32">C28-C35+C30+C31</f>
        <v>-3309</v>
      </c>
      <c r="D36" s="537">
        <f t="shared" si="32"/>
        <v>1539.9200000000005</v>
      </c>
      <c r="E36" s="537">
        <f t="shared" si="32"/>
        <v>-4443.8146325737989</v>
      </c>
      <c r="F36" s="537">
        <f t="shared" ca="1" si="32"/>
        <v>1590.9811767322765</v>
      </c>
      <c r="G36" s="537">
        <f t="shared" ca="1" si="32"/>
        <v>1757.5019238886398</v>
      </c>
      <c r="H36" s="537">
        <f t="shared" ca="1" si="32"/>
        <v>2163.3342908284108</v>
      </c>
      <c r="I36" s="537">
        <f t="shared" ca="1" si="32"/>
        <v>2142.6289314124547</v>
      </c>
      <c r="J36" s="537">
        <f t="shared" ca="1" si="32"/>
        <v>2114.9062403859066</v>
      </c>
      <c r="K36" s="537">
        <f t="shared" ca="1" si="32"/>
        <v>2089.5942085147381</v>
      </c>
      <c r="L36" s="537">
        <f t="shared" ca="1" si="32"/>
        <v>2064.2077094168299</v>
      </c>
      <c r="M36" s="537">
        <f t="shared" ca="1" si="32"/>
        <v>1334.5514755539489</v>
      </c>
      <c r="N36" s="537">
        <f t="shared" ca="1" si="32"/>
        <v>2036.981882231061</v>
      </c>
      <c r="O36" s="537">
        <f t="shared" ca="1" si="32"/>
        <v>-748.10297206291034</v>
      </c>
      <c r="P36" s="537">
        <f t="shared" ca="1" si="32"/>
        <v>1455.336486982048</v>
      </c>
      <c r="Q36" s="537">
        <f t="shared" ca="1" si="32"/>
        <v>1332.190720616873</v>
      </c>
      <c r="R36" s="537">
        <f t="shared" ca="1" si="32"/>
        <v>1965.9303571839278</v>
      </c>
      <c r="S36" s="537">
        <f t="shared" ca="1" si="32"/>
        <v>1801.3956472209388</v>
      </c>
      <c r="T36" s="537">
        <f t="shared" ca="1" si="32"/>
        <v>3557.4670630040582</v>
      </c>
      <c r="U36" s="537">
        <f t="shared" ca="1" si="32"/>
        <v>3281.4626041042743</v>
      </c>
      <c r="V36" s="537">
        <f t="shared" ca="1" si="32"/>
        <v>3178.5469907273673</v>
      </c>
      <c r="W36" s="537">
        <f t="shared" ca="1" si="32"/>
        <v>2427.8443060330314</v>
      </c>
      <c r="X36" s="537">
        <f t="shared" ca="1" si="32"/>
        <v>15148.00026205722</v>
      </c>
      <c r="Y36" s="537">
        <f t="shared" ca="1" si="32"/>
        <v>2085.1952225929372</v>
      </c>
      <c r="Z36" s="548"/>
      <c r="AA36" s="546">
        <f t="shared" ref="AA36:AA46" ca="1" si="33">AVERAGE(E36:X36)</f>
        <v>2312.5472336128651</v>
      </c>
      <c r="AB36" s="64"/>
      <c r="AC36" s="64"/>
      <c r="AD36" s="64"/>
      <c r="AE36" s="64"/>
      <c r="AF36" s="64"/>
      <c r="AG36" s="64"/>
      <c r="AH36" s="64"/>
      <c r="AI36" s="64"/>
      <c r="AJ36" s="499"/>
      <c r="AK36" s="64"/>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row>
    <row r="37" spans="1:64">
      <c r="A37" s="526"/>
      <c r="B37" s="555" t="s">
        <v>871</v>
      </c>
      <c r="C37" s="556">
        <f>C36</f>
        <v>-3309</v>
      </c>
      <c r="D37" s="556">
        <f>C37+D36</f>
        <v>-1769.0799999999995</v>
      </c>
      <c r="E37" s="556">
        <f>D37+E36</f>
        <v>-6212.8946325737979</v>
      </c>
      <c r="F37" s="556">
        <f ca="1">E37+F36</f>
        <v>-4621.9134558415217</v>
      </c>
      <c r="G37" s="557">
        <f t="shared" ref="G37:Y37" ca="1" si="34">G36+F37</f>
        <v>-2864.4115319528819</v>
      </c>
      <c r="H37" s="557">
        <f t="shared" ca="1" si="34"/>
        <v>-701.07724112447113</v>
      </c>
      <c r="I37" s="557">
        <f t="shared" ca="1" si="34"/>
        <v>1441.5516902879835</v>
      </c>
      <c r="J37" s="557">
        <f t="shared" ca="1" si="34"/>
        <v>3556.4579306738901</v>
      </c>
      <c r="K37" s="557">
        <f t="shared" ca="1" si="34"/>
        <v>5646.0521391886286</v>
      </c>
      <c r="L37" s="557">
        <f t="shared" ca="1" si="34"/>
        <v>7710.2598486054585</v>
      </c>
      <c r="M37" s="557">
        <f t="shared" ca="1" si="34"/>
        <v>9044.8113241594074</v>
      </c>
      <c r="N37" s="557">
        <f t="shared" ca="1" si="34"/>
        <v>11081.793206390468</v>
      </c>
      <c r="O37" s="557">
        <f t="shared" ca="1" si="34"/>
        <v>10333.690234327558</v>
      </c>
      <c r="P37" s="557">
        <f t="shared" ca="1" si="34"/>
        <v>11789.026721309605</v>
      </c>
      <c r="Q37" s="557">
        <f t="shared" ca="1" si="34"/>
        <v>13121.217441926477</v>
      </c>
      <c r="R37" s="557">
        <f t="shared" ca="1" si="34"/>
        <v>15087.147799110406</v>
      </c>
      <c r="S37" s="557">
        <f t="shared" ca="1" si="34"/>
        <v>16888.543446331343</v>
      </c>
      <c r="T37" s="557">
        <f t="shared" ca="1" si="34"/>
        <v>20446.0105093354</v>
      </c>
      <c r="U37" s="557">
        <f t="shared" ca="1" si="34"/>
        <v>23727.473113439675</v>
      </c>
      <c r="V37" s="557">
        <f t="shared" ca="1" si="34"/>
        <v>26906.020104167044</v>
      </c>
      <c r="W37" s="557">
        <f t="shared" ca="1" si="34"/>
        <v>29333.864410200076</v>
      </c>
      <c r="X37" s="557">
        <f t="shared" ca="1" si="34"/>
        <v>44481.864672257296</v>
      </c>
      <c r="Y37" s="557">
        <f t="shared" ca="1" si="34"/>
        <v>46567.05989485023</v>
      </c>
      <c r="Z37" s="64"/>
      <c r="AA37" s="558">
        <f t="shared" ca="1" si="33"/>
        <v>11809.774386510904</v>
      </c>
      <c r="AB37" s="64"/>
      <c r="AC37" s="64"/>
      <c r="AD37" s="64"/>
      <c r="AE37" s="64"/>
      <c r="AF37" s="64"/>
      <c r="AG37" s="64"/>
      <c r="AH37" s="64"/>
      <c r="AI37" s="64"/>
      <c r="AK37" s="64"/>
      <c r="AS37" s="499"/>
    </row>
    <row r="38" spans="1:64">
      <c r="A38" s="526"/>
      <c r="B38" s="559" t="s">
        <v>872</v>
      </c>
      <c r="C38" s="550">
        <v>11160</v>
      </c>
      <c r="D38" s="550">
        <v>5211</v>
      </c>
      <c r="E38" s="550">
        <f>2864-154</f>
        <v>2710</v>
      </c>
      <c r="F38" s="531">
        <f ca="1">SUM(F19:F22)+F36-F30-F31+IF(ZRR="oui",0,Ana_eco!$F$18)</f>
        <v>16627.355685451887</v>
      </c>
      <c r="G38" s="531">
        <f t="shared" ref="G38:Y38" ca="1" si="35">SUM(G19:G22)+G36-G30-G31</f>
        <v>16793.876432608253</v>
      </c>
      <c r="H38" s="531">
        <f t="shared" ca="1" si="35"/>
        <v>17199.708799548021</v>
      </c>
      <c r="I38" s="531">
        <f t="shared" ca="1" si="35"/>
        <v>17179.003440132066</v>
      </c>
      <c r="J38" s="531">
        <f t="shared" ca="1" si="35"/>
        <v>17151.280749105517</v>
      </c>
      <c r="K38" s="531">
        <f t="shared" ca="1" si="35"/>
        <v>17125.968717234347</v>
      </c>
      <c r="L38" s="531">
        <f t="shared" ca="1" si="35"/>
        <v>17100.582218136442</v>
      </c>
      <c r="M38" s="531">
        <f t="shared" ca="1" si="35"/>
        <v>15509.658971588869</v>
      </c>
      <c r="N38" s="531">
        <f t="shared" ca="1" si="35"/>
        <v>16212.089378265984</v>
      </c>
      <c r="O38" s="531">
        <f t="shared" ca="1" si="35"/>
        <v>13427.004523972011</v>
      </c>
      <c r="P38" s="531">
        <f t="shared" ca="1" si="35"/>
        <v>13829.541233016967</v>
      </c>
      <c r="Q38" s="531">
        <f t="shared" ca="1" si="35"/>
        <v>13706.395466651793</v>
      </c>
      <c r="R38" s="531">
        <f t="shared" ca="1" si="35"/>
        <v>14340.135103218849</v>
      </c>
      <c r="S38" s="531">
        <f t="shared" ca="1" si="35"/>
        <v>14175.60039325586</v>
      </c>
      <c r="T38" s="531">
        <f t="shared" ca="1" si="35"/>
        <v>15931.671809038977</v>
      </c>
      <c r="U38" s="531">
        <f t="shared" ca="1" si="35"/>
        <v>15655.667350139194</v>
      </c>
      <c r="V38" s="531">
        <f t="shared" ca="1" si="35"/>
        <v>15552.751736762288</v>
      </c>
      <c r="W38" s="531">
        <f t="shared" ca="1" si="35"/>
        <v>11606.115409533033</v>
      </c>
      <c r="X38" s="531">
        <f t="shared" ca="1" si="35"/>
        <v>24326.271365557222</v>
      </c>
      <c r="Y38" s="531">
        <f t="shared" ca="1" si="35"/>
        <v>11263.466326092937</v>
      </c>
      <c r="Z38" s="64"/>
      <c r="AA38" s="523">
        <f t="shared" ca="1" si="33"/>
        <v>15308.033939160878</v>
      </c>
      <c r="AB38" s="64"/>
      <c r="AC38" s="64"/>
      <c r="AD38" s="64"/>
      <c r="AE38" s="64"/>
      <c r="AF38" s="64"/>
      <c r="AG38" s="64"/>
      <c r="AH38" s="64"/>
      <c r="AI38" s="64"/>
      <c r="AK38" s="64"/>
    </row>
    <row r="39" spans="1:64">
      <c r="A39" s="560"/>
      <c r="B39" s="561" t="s">
        <v>873</v>
      </c>
      <c r="C39" s="562">
        <f>C38</f>
        <v>11160</v>
      </c>
      <c r="D39" s="563">
        <f t="shared" ref="D39:Y39" si="36">D38+C39</f>
        <v>16371</v>
      </c>
      <c r="E39" s="563">
        <f t="shared" si="36"/>
        <v>19081</v>
      </c>
      <c r="F39" s="563">
        <f t="shared" ca="1" si="36"/>
        <v>35708.355685451883</v>
      </c>
      <c r="G39" s="563">
        <f t="shared" ca="1" si="36"/>
        <v>52502.232118060136</v>
      </c>
      <c r="H39" s="563">
        <f t="shared" ca="1" si="36"/>
        <v>69701.940917608154</v>
      </c>
      <c r="I39" s="563">
        <f t="shared" ca="1" si="36"/>
        <v>86880.944357740227</v>
      </c>
      <c r="J39" s="563">
        <f t="shared" ca="1" si="36"/>
        <v>104032.22510684574</v>
      </c>
      <c r="K39" s="563">
        <f t="shared" ca="1" si="36"/>
        <v>121158.19382408008</v>
      </c>
      <c r="L39" s="563">
        <f t="shared" ca="1" si="36"/>
        <v>138258.77604221652</v>
      </c>
      <c r="M39" s="563">
        <f t="shared" ca="1" si="36"/>
        <v>153768.4350138054</v>
      </c>
      <c r="N39" s="563">
        <f t="shared" ca="1" si="36"/>
        <v>169980.52439207138</v>
      </c>
      <c r="O39" s="563">
        <f t="shared" ca="1" si="36"/>
        <v>183407.5289160434</v>
      </c>
      <c r="P39" s="563">
        <f t="shared" ca="1" si="36"/>
        <v>197237.07014906037</v>
      </c>
      <c r="Q39" s="563">
        <f t="shared" ca="1" si="36"/>
        <v>210943.46561571216</v>
      </c>
      <c r="R39" s="563">
        <f t="shared" ca="1" si="36"/>
        <v>225283.600718931</v>
      </c>
      <c r="S39" s="563">
        <f t="shared" ca="1" si="36"/>
        <v>239459.20111218686</v>
      </c>
      <c r="T39" s="563">
        <f t="shared" ca="1" si="36"/>
        <v>255390.87292122585</v>
      </c>
      <c r="U39" s="563">
        <f t="shared" ca="1" si="36"/>
        <v>271046.54027136503</v>
      </c>
      <c r="V39" s="563">
        <f t="shared" ca="1" si="36"/>
        <v>286599.29200812732</v>
      </c>
      <c r="W39" s="563">
        <f t="shared" ca="1" si="36"/>
        <v>298205.40741766035</v>
      </c>
      <c r="X39" s="564">
        <f t="shared" ca="1" si="36"/>
        <v>322531.67878321756</v>
      </c>
      <c r="Y39" s="564">
        <f t="shared" ca="1" si="36"/>
        <v>333795.14510931051</v>
      </c>
      <c r="Z39" s="64"/>
      <c r="AA39" s="523">
        <f t="shared" ca="1" si="33"/>
        <v>172058.8642685705</v>
      </c>
      <c r="AB39" s="64"/>
      <c r="AC39" s="64"/>
      <c r="AD39" s="64"/>
      <c r="AE39" s="64"/>
      <c r="AF39" s="64"/>
      <c r="AG39" s="64"/>
      <c r="AH39" s="64"/>
      <c r="AI39" s="64"/>
      <c r="AK39" s="64"/>
    </row>
    <row r="40" spans="1:64">
      <c r="B40" s="565"/>
      <c r="C40" s="565"/>
      <c r="D40" s="565"/>
      <c r="E40" s="566"/>
      <c r="F40" s="566"/>
      <c r="G40" s="566"/>
      <c r="H40" s="566"/>
      <c r="I40" s="566"/>
      <c r="J40" s="566"/>
      <c r="K40" s="566"/>
      <c r="L40" s="566"/>
      <c r="M40" s="566"/>
      <c r="N40" s="566"/>
      <c r="O40" s="566"/>
      <c r="P40" s="566"/>
      <c r="Q40" s="566"/>
      <c r="R40" s="566"/>
      <c r="S40" s="566"/>
      <c r="T40" s="566"/>
      <c r="U40" s="566"/>
      <c r="V40" s="566"/>
      <c r="W40" s="566"/>
      <c r="X40" s="566"/>
      <c r="Y40" s="566"/>
      <c r="Z40" s="64"/>
      <c r="AA40" s="566"/>
      <c r="AB40" s="64"/>
      <c r="AC40" s="64"/>
      <c r="AD40" s="64"/>
      <c r="AE40" s="64"/>
      <c r="AF40" s="64"/>
      <c r="AG40" s="64"/>
      <c r="AH40" s="64"/>
      <c r="AI40" s="64"/>
      <c r="AK40" s="64"/>
      <c r="AS40" s="499"/>
    </row>
    <row r="41" spans="1:64">
      <c r="B41" s="520" t="s">
        <v>874</v>
      </c>
      <c r="C41" s="567"/>
      <c r="D41" s="567"/>
      <c r="E41" s="568">
        <f t="shared" ref="E41:Y41" ca="1" si="37">IF(E4&lt;=MIN(durée_emprunt1,durée_emprunt2),E18/(-PMT(tx_emprunt1,durée_emprunt1,emprunt1)-IF(emprunt2&lt;&gt;0,PMT(tx_emprunt2,durée_emprunt2,emprunt2),0)),IF(E4&gt;MAX(durée_emprunt1,durée_emprunt2),0,IF(emprunt2&lt;&gt;0,E18/(-PMT(tx_emprunt1,durée_emprunt1,emprunt1)-PMT(tx_emprunt2,durée_emprunt2,emprunt2)),0)))</f>
        <v>-2.6303163813517341E-2</v>
      </c>
      <c r="F41" s="568">
        <f t="shared" ca="1" si="37"/>
        <v>2.4938715228454909</v>
      </c>
      <c r="G41" s="568">
        <f t="shared" ca="1" si="37"/>
        <v>2.5068061166401652</v>
      </c>
      <c r="H41" s="568">
        <f t="shared" ca="1" si="37"/>
        <v>2.4858783141368823</v>
      </c>
      <c r="I41" s="568">
        <f t="shared" ca="1" si="37"/>
        <v>2.4614937511736179</v>
      </c>
      <c r="J41" s="568">
        <f t="shared" ca="1" si="37"/>
        <v>2.4427060224931045</v>
      </c>
      <c r="K41" s="568">
        <f t="shared" ca="1" si="37"/>
        <v>2.4240814853310009</v>
      </c>
      <c r="L41" s="568">
        <f t="shared" ca="1" si="37"/>
        <v>0</v>
      </c>
      <c r="M41" s="568">
        <f t="shared" ca="1" si="37"/>
        <v>0</v>
      </c>
      <c r="N41" s="568">
        <f t="shared" si="37"/>
        <v>0</v>
      </c>
      <c r="O41" s="568">
        <f t="shared" si="37"/>
        <v>0</v>
      </c>
      <c r="P41" s="568">
        <f t="shared" si="37"/>
        <v>0</v>
      </c>
      <c r="Q41" s="568">
        <f t="shared" si="37"/>
        <v>0</v>
      </c>
      <c r="R41" s="568">
        <f t="shared" si="37"/>
        <v>0</v>
      </c>
      <c r="S41" s="568">
        <f t="shared" si="37"/>
        <v>0</v>
      </c>
      <c r="T41" s="568">
        <f t="shared" si="37"/>
        <v>0</v>
      </c>
      <c r="U41" s="568">
        <f t="shared" si="37"/>
        <v>0</v>
      </c>
      <c r="V41" s="568">
        <f t="shared" si="37"/>
        <v>0</v>
      </c>
      <c r="W41" s="568">
        <f t="shared" si="37"/>
        <v>0</v>
      </c>
      <c r="X41" s="569">
        <f t="shared" si="37"/>
        <v>0</v>
      </c>
      <c r="Y41" s="569">
        <f t="shared" si="37"/>
        <v>0</v>
      </c>
      <c r="Z41" s="64"/>
      <c r="AA41" s="570">
        <f t="shared" ca="1" si="33"/>
        <v>0.73942670244033726</v>
      </c>
      <c r="AB41" s="571">
        <v>1.1499999999999999</v>
      </c>
      <c r="AC41" s="64"/>
      <c r="AD41" s="64"/>
      <c r="AE41" s="64"/>
      <c r="AF41" s="64"/>
      <c r="AG41" s="64"/>
      <c r="AH41" s="64"/>
      <c r="AI41" s="64"/>
      <c r="AK41" s="64"/>
      <c r="AL41" s="1056"/>
      <c r="AM41" s="1056"/>
      <c r="AS41" s="499"/>
    </row>
    <row r="42" spans="1:64">
      <c r="B42" s="572" t="s">
        <v>875</v>
      </c>
      <c r="C42" s="573"/>
      <c r="D42" s="573"/>
      <c r="E42" s="523">
        <f>IF(E36&lt;=0,0,(1-reservesL)*(1-reservesS)*Ana_eco!$M$25*E36*(1-Ana_eco!$H$24))</f>
        <v>0</v>
      </c>
      <c r="F42" s="523">
        <f ca="1">IF(F36&lt;=0,0,(1-reservesL)*(1-reservesS)*Ana_eco!$M$26*F36*(1-Ana_eco!$H$24))</f>
        <v>375.43973808528261</v>
      </c>
      <c r="G42" s="523">
        <f ca="1">IF(G36&lt;=0,0,(1-reservesL)*(1-reservesS)*Ana_eco!$M$26*G36*(1-Ana_eco!$H$24))</f>
        <v>414.73530399924118</v>
      </c>
      <c r="H42" s="523">
        <f ca="1">IF(H36&lt;=0,0,(1-reservesL)*(1-reservesS)*Ana_eco!$M$27*H36*(1-Ana_eco!$H$24))</f>
        <v>1191.1751272159395</v>
      </c>
      <c r="I42" s="523">
        <f ca="1">IF(I36&lt;=0,0,(1-reservesL)*(1-reservesS)*Ana_eco!$M$27*I36*(1-Ana_eco!$H$24))</f>
        <v>1179.7743422143258</v>
      </c>
      <c r="J42" s="523">
        <f ca="1">IF(J36&lt;=0,0,(1-reservesL)*(1-reservesS)*Ana_eco!$M$27*J36*(1-Ana_eco!$H$24))</f>
        <v>1164.5096740812878</v>
      </c>
      <c r="K42" s="523">
        <f ca="1">IF(K36&lt;=0,0,(1-reservesL)*(1-reservesS)*Ana_eco!$M$27*K36*(1-Ana_eco!$H$24))</f>
        <v>1150.5723630923851</v>
      </c>
      <c r="L42" s="523">
        <f ca="1">IF(L36&lt;=0,0,(1-reservesL)*(1-reservesS)*Ana_eco!$M$27*L36*(1-Ana_eco!$H$24))</f>
        <v>1136.5940489590948</v>
      </c>
      <c r="M42" s="523">
        <f ca="1">IF(M36&lt;=0,0,(1-reservesL)*(1-reservesS)*Ana_eco!$M$27*M36*(1-Ana_eco!$H$24))</f>
        <v>734.83073346951528</v>
      </c>
      <c r="N42" s="523">
        <f ca="1">IF(N36&lt;=0,0,(1-reservesL)*(1-reservesS)*Ana_eco!$M$27*N36*(1-Ana_eco!$H$24))</f>
        <v>1121.6029639940668</v>
      </c>
      <c r="O42" s="523">
        <f ca="1">IF(O36&lt;=0,0,(1-reservesL)*(1-reservesS)*Ana_eco!$M$27*O36*(1-Ana_eco!$H$24))</f>
        <v>0</v>
      </c>
      <c r="P42" s="523">
        <f ca="1">IF(P36&lt;=0,0,(1-reservesL)*(1-reservesS)*Ana_eco!$M$27*P36*(1-Ana_eco!$H$24))</f>
        <v>801.3373764620552</v>
      </c>
      <c r="Q42" s="523">
        <f ca="1">IF(Q36&lt;=0,0,(1-reservesL)*(1-reservesS)*Ana_eco!$M$27*Q36*(1-Ana_eco!$H$24))</f>
        <v>733.53085458606267</v>
      </c>
      <c r="R42" s="523">
        <f ca="1">IF(R36&lt;=0,0,(1-reservesL)*(1-reservesS)*Ana_eco!$M$27*R36*(1-Ana_eco!$H$24))</f>
        <v>1082.4805732726143</v>
      </c>
      <c r="S42" s="523">
        <f ca="1">IF(S36&lt;=0,0,(1-reservesL)*(1-reservesS)*Ana_eco!$M$27*S36*(1-Ana_eco!$H$24))</f>
        <v>991.88447127279323</v>
      </c>
      <c r="T42" s="523">
        <f ca="1">IF(T36&lt;=0,0,(1-reservesL)*(1-reservesS)*Ana_eco!$M$27*T36*(1-Ana_eco!$H$24))</f>
        <v>1958.8125142312945</v>
      </c>
      <c r="U42" s="523">
        <f ca="1">IF(U36&lt;=0,0,(1-reservesL)*(1-reservesS)*Ana_eco!$M$27*U36*(1-Ana_eco!$H$24))</f>
        <v>1806.8389390718955</v>
      </c>
      <c r="V42" s="523">
        <f ca="1">IF(V36&lt;=0,0,(1-reservesL)*(1-reservesS)*Ana_eco!$M$27*V36*(1-Ana_eco!$H$24))</f>
        <v>1750.1715440343028</v>
      </c>
      <c r="W42" s="523">
        <f ca="1">IF(W36&lt;=0,0,(1-reservesL)*(1-reservesS)*Ana_eco!$M$27*W36*(1-Ana_eco!$H$24))</f>
        <v>1336.8196317879076</v>
      </c>
      <c r="X42" s="574">
        <f ca="1">IF(X36&lt;=0,0,(1-reservesL)*(1-reservesS)*Ana_eco!$M$27*X36*(1-Ana_eco!$H$24))</f>
        <v>8340.7919042939466</v>
      </c>
      <c r="Y42" s="574">
        <f ca="1">IF(Y36&lt;=0,0,(1-reservesL)*(1-reservesS)*Ana_eco!$M$27*Y36*(1-Ana_eco!$H$24))</f>
        <v>1148.150193464123</v>
      </c>
      <c r="Z42" s="64"/>
      <c r="AA42" s="523">
        <f t="shared" ca="1" si="33"/>
        <v>1363.5951052062005</v>
      </c>
      <c r="AB42" s="64"/>
      <c r="AC42" s="64"/>
      <c r="AD42" s="64"/>
      <c r="AE42" s="64"/>
      <c r="AF42" s="64"/>
      <c r="AG42" s="64"/>
      <c r="AH42" s="64"/>
      <c r="AI42" s="64"/>
      <c r="AK42" s="64"/>
      <c r="AL42" s="1056"/>
      <c r="AM42" s="1056"/>
      <c r="AS42" s="499"/>
    </row>
    <row r="43" spans="1:64">
      <c r="B43" s="561" t="s">
        <v>876</v>
      </c>
      <c r="C43" s="575"/>
      <c r="D43" s="575"/>
      <c r="E43" s="576">
        <f>(E42/nb_parts_pers_phys/montant_part)</f>
        <v>0</v>
      </c>
      <c r="F43" s="576">
        <f ca="1">(F42/nb_parts_pers_phys/montant_part)</f>
        <v>2.4781500863715025E-3</v>
      </c>
      <c r="G43" s="576">
        <f ca="1">(G42/nb_parts_pers_phys/montant_part)</f>
        <v>2.7375267590708991E-3</v>
      </c>
      <c r="H43" s="576">
        <f t="shared" ref="H43:Y43" ca="1" si="38">(H42/(nb_parts_pers_phys+nb_parts_pers_mor)/montant_part)</f>
        <v>7.7854583478165987E-3</v>
      </c>
      <c r="I43" s="576">
        <f t="shared" ca="1" si="38"/>
        <v>7.7109434131655274E-3</v>
      </c>
      <c r="J43" s="576">
        <f t="shared" ca="1" si="38"/>
        <v>7.6111743404005741E-3</v>
      </c>
      <c r="K43" s="576">
        <f t="shared" ca="1" si="38"/>
        <v>7.5200808045253927E-3</v>
      </c>
      <c r="L43" s="576">
        <f t="shared" ca="1" si="38"/>
        <v>7.4287192742424502E-3</v>
      </c>
      <c r="M43" s="576">
        <f t="shared" ca="1" si="38"/>
        <v>4.8028152514347404E-3</v>
      </c>
      <c r="N43" s="576">
        <f t="shared" ca="1" si="38"/>
        <v>7.330738326758607E-3</v>
      </c>
      <c r="O43" s="576">
        <f t="shared" ca="1" si="38"/>
        <v>0</v>
      </c>
      <c r="P43" s="576">
        <f t="shared" ca="1" si="38"/>
        <v>5.2374991925624526E-3</v>
      </c>
      <c r="Q43" s="576">
        <f t="shared" ca="1" si="38"/>
        <v>4.7943193110200179E-3</v>
      </c>
      <c r="R43" s="576">
        <f t="shared" ca="1" si="38"/>
        <v>7.0750364266183941E-3</v>
      </c>
      <c r="S43" s="576">
        <f t="shared" ca="1" si="38"/>
        <v>6.4829050409986487E-3</v>
      </c>
      <c r="T43" s="576">
        <f t="shared" ca="1" si="38"/>
        <v>1.2802696171446368E-2</v>
      </c>
      <c r="U43" s="576">
        <f t="shared" ca="1" si="38"/>
        <v>1.1809404830535265E-2</v>
      </c>
      <c r="V43" s="576">
        <f t="shared" ca="1" si="38"/>
        <v>1.1439029699570606E-2</v>
      </c>
      <c r="W43" s="576">
        <f t="shared" ca="1" si="38"/>
        <v>8.7373832143000495E-3</v>
      </c>
      <c r="X43" s="577">
        <f t="shared" ca="1" si="38"/>
        <v>5.4514979766627107E-2</v>
      </c>
      <c r="Y43" s="577">
        <f t="shared" ca="1" si="38"/>
        <v>7.5042496304844643E-3</v>
      </c>
      <c r="Z43" s="64"/>
      <c r="AA43" s="578">
        <f t="shared" ca="1" si="33"/>
        <v>8.9149430128732596E-3</v>
      </c>
      <c r="AB43" s="64"/>
      <c r="AC43" s="64"/>
      <c r="AD43" s="64"/>
      <c r="AE43" s="64"/>
      <c r="AF43" s="64"/>
      <c r="AG43" s="64"/>
      <c r="AH43" s="64"/>
      <c r="AI43" s="64"/>
      <c r="AK43" s="64"/>
      <c r="AL43" s="1057"/>
      <c r="AM43" s="1057"/>
      <c r="AS43" s="499"/>
    </row>
    <row r="44" spans="1:64">
      <c r="B44" s="580"/>
      <c r="C44" s="565"/>
      <c r="D44" s="565"/>
      <c r="E44" s="581"/>
      <c r="F44" s="581"/>
      <c r="G44" s="581"/>
      <c r="H44" s="581"/>
      <c r="I44" s="581"/>
      <c r="J44" s="581"/>
      <c r="K44" s="581"/>
      <c r="L44" s="581"/>
      <c r="M44" s="581"/>
      <c r="N44" s="581"/>
      <c r="O44" s="581"/>
      <c r="P44" s="581"/>
      <c r="Q44" s="581"/>
      <c r="R44" s="581"/>
      <c r="S44" s="581"/>
      <c r="T44" s="581"/>
      <c r="U44" s="581"/>
      <c r="V44" s="581"/>
      <c r="W44" s="581"/>
      <c r="X44" s="581"/>
      <c r="Y44" s="581"/>
      <c r="Z44" s="64"/>
      <c r="AA44" s="64"/>
      <c r="AB44" s="64"/>
      <c r="AC44" s="64"/>
      <c r="AD44" s="64"/>
      <c r="AE44" s="64"/>
      <c r="AF44" s="64"/>
      <c r="AG44" s="64"/>
      <c r="AH44" s="64"/>
      <c r="AI44" s="64"/>
      <c r="AK44" s="64"/>
      <c r="AL44" s="579"/>
      <c r="AM44" s="579"/>
      <c r="AS44" s="499"/>
    </row>
    <row r="45" spans="1:64">
      <c r="A45" s="582"/>
      <c r="B45" s="520" t="s">
        <v>877</v>
      </c>
      <c r="C45" s="583"/>
      <c r="D45" s="583"/>
      <c r="E45" s="584">
        <f t="shared" ref="E45:Y45" si="39">IF(E23&lt;0,0,(E23/(fonds_propres+emprunts_bancaires+CCA_1)))</f>
        <v>0</v>
      </c>
      <c r="F45" s="584">
        <f t="shared" ca="1" si="39"/>
        <v>1.3481382867754851E-2</v>
      </c>
      <c r="G45" s="584">
        <f t="shared" ca="1" si="39"/>
        <v>1.3938838765757322E-2</v>
      </c>
      <c r="H45" s="584">
        <f t="shared" ca="1" si="39"/>
        <v>1.3198688217597135E-2</v>
      </c>
      <c r="I45" s="584">
        <f t="shared" ca="1" si="39"/>
        <v>1.2336282924873461E-2</v>
      </c>
      <c r="J45" s="584">
        <f t="shared" ca="1" si="39"/>
        <v>1.1671820056429172E-2</v>
      </c>
      <c r="K45" s="584">
        <f t="shared" ca="1" si="39"/>
        <v>1.1013128758687894E-2</v>
      </c>
      <c r="L45" s="584">
        <f t="shared" ca="1" si="39"/>
        <v>1.0346026248286103E-2</v>
      </c>
      <c r="M45" s="584">
        <f t="shared" ca="1" si="39"/>
        <v>5.6860559782964479E-3</v>
      </c>
      <c r="N45" s="584">
        <f t="shared" ca="1" si="39"/>
        <v>9.1205840587376304E-3</v>
      </c>
      <c r="O45" s="584">
        <f t="shared" ca="1" si="39"/>
        <v>0</v>
      </c>
      <c r="P45" s="584">
        <f t="shared" ca="1" si="39"/>
        <v>5.8296378153443766E-3</v>
      </c>
      <c r="Q45" s="584">
        <f t="shared" ca="1" si="39"/>
        <v>5.1328797897164874E-3</v>
      </c>
      <c r="R45" s="584">
        <f t="shared" ca="1" si="39"/>
        <v>8.7185749457090317E-3</v>
      </c>
      <c r="S45" s="584">
        <f t="shared" ca="1" si="39"/>
        <v>7.7876385193513852E-3</v>
      </c>
      <c r="T45" s="584">
        <f t="shared" ca="1" si="39"/>
        <v>1.7723480315928446E-2</v>
      </c>
      <c r="U45" s="584">
        <f t="shared" ca="1" si="39"/>
        <v>1.6161848702241959E-2</v>
      </c>
      <c r="V45" s="584">
        <f t="shared" ca="1" si="39"/>
        <v>1.5579552763864857E-2</v>
      </c>
      <c r="W45" s="584">
        <f t="shared" ca="1" si="39"/>
        <v>1.3736728879393057E-2</v>
      </c>
      <c r="X45" s="584">
        <f t="shared" ca="1" si="39"/>
        <v>8.5707296859102611E-2</v>
      </c>
      <c r="Y45" s="584">
        <f t="shared" ca="1" si="39"/>
        <v>1.1798022369962932E-2</v>
      </c>
      <c r="Z45" s="64"/>
      <c r="AA45" s="578">
        <f t="shared" ca="1" si="33"/>
        <v>1.3858522323353611E-2</v>
      </c>
      <c r="AB45" s="64"/>
      <c r="AC45" s="64"/>
      <c r="AD45" s="64"/>
      <c r="AE45" s="64"/>
      <c r="AF45" s="64"/>
      <c r="AG45" s="64"/>
      <c r="AH45" s="64"/>
      <c r="AI45" s="64"/>
      <c r="AJ45" s="585"/>
      <c r="AK45" s="64"/>
      <c r="AL45" s="579"/>
      <c r="AM45" s="579"/>
      <c r="AN45" s="585"/>
      <c r="AO45" s="585"/>
      <c r="AP45" s="585"/>
      <c r="AQ45" s="585"/>
      <c r="AR45" s="585"/>
      <c r="AS45" s="586"/>
      <c r="AT45" s="585"/>
      <c r="AU45" s="585"/>
      <c r="AV45" s="585"/>
      <c r="AW45" s="585"/>
      <c r="AX45" s="585"/>
      <c r="AY45" s="585"/>
      <c r="AZ45" s="585"/>
      <c r="BA45" s="585"/>
      <c r="BB45" s="585"/>
      <c r="BC45" s="585"/>
      <c r="BD45" s="585"/>
      <c r="BE45" s="585"/>
      <c r="BF45" s="585"/>
      <c r="BG45" s="585"/>
      <c r="BH45" s="585"/>
      <c r="BI45" s="585"/>
      <c r="BJ45" s="585"/>
      <c r="BK45" s="585"/>
      <c r="BL45" s="585"/>
    </row>
    <row r="46" spans="1:64">
      <c r="B46" s="561" t="s">
        <v>878</v>
      </c>
      <c r="C46" s="587"/>
      <c r="D46" s="587"/>
      <c r="E46" s="576">
        <f t="shared" ref="E46:Y46" si="40">IF(E36&lt;0,0,E36/fonds_propres)</f>
        <v>0</v>
      </c>
      <c r="F46" s="576">
        <f t="shared" ca="1" si="40"/>
        <v>1.0398569782563899E-2</v>
      </c>
      <c r="G46" s="576">
        <f t="shared" ca="1" si="40"/>
        <v>1.1486940679010717E-2</v>
      </c>
      <c r="H46" s="576">
        <f t="shared" ca="1" si="40"/>
        <v>1.4139439809336019E-2</v>
      </c>
      <c r="I46" s="576">
        <f t="shared" ca="1" si="40"/>
        <v>1.40041106628265E-2</v>
      </c>
      <c r="J46" s="576">
        <f t="shared" ca="1" si="40"/>
        <v>1.3822916603829455E-2</v>
      </c>
      <c r="K46" s="576">
        <f t="shared" ca="1" si="40"/>
        <v>1.3657478487024432E-2</v>
      </c>
      <c r="L46" s="576">
        <f t="shared" ca="1" si="40"/>
        <v>1.349155365631915E-2</v>
      </c>
      <c r="M46" s="576">
        <f t="shared" ca="1" si="40"/>
        <v>8.7225586637513005E-3</v>
      </c>
      <c r="N46" s="576">
        <f t="shared" ca="1" si="40"/>
        <v>1.3313607073405627E-2</v>
      </c>
      <c r="O46" s="576">
        <f t="shared" ca="1" si="40"/>
        <v>0</v>
      </c>
      <c r="P46" s="576">
        <f t="shared" ca="1" si="40"/>
        <v>9.5120031828892018E-3</v>
      </c>
      <c r="Q46" s="576">
        <f t="shared" ca="1" si="40"/>
        <v>8.7071288929207388E-3</v>
      </c>
      <c r="R46" s="576">
        <f t="shared" ca="1" si="40"/>
        <v>1.2849218020809985E-2</v>
      </c>
      <c r="S46" s="576">
        <f t="shared" ca="1" si="40"/>
        <v>1.177382775961398E-2</v>
      </c>
      <c r="T46" s="576">
        <f t="shared" ca="1" si="40"/>
        <v>2.3251418712444825E-2</v>
      </c>
      <c r="U46" s="576">
        <f t="shared" ca="1" si="40"/>
        <v>2.1447468000681532E-2</v>
      </c>
      <c r="V46" s="576">
        <f t="shared" ca="1" si="40"/>
        <v>2.0774816932858611E-2</v>
      </c>
      <c r="W46" s="576">
        <f t="shared" ca="1" si="40"/>
        <v>1.5868263438124388E-2</v>
      </c>
      <c r="X46" s="577">
        <f t="shared" ca="1" si="40"/>
        <v>9.9006537660504698E-2</v>
      </c>
      <c r="Y46" s="577">
        <f t="shared" ca="1" si="40"/>
        <v>1.3628726945051878E-2</v>
      </c>
      <c r="Z46" s="64"/>
      <c r="AA46" s="578">
        <f t="shared" ca="1" si="33"/>
        <v>1.681139290094575E-2</v>
      </c>
      <c r="AB46" s="64"/>
      <c r="AC46" s="64"/>
      <c r="AD46" s="64"/>
      <c r="AE46" s="64"/>
      <c r="AF46" s="64"/>
      <c r="AG46" s="64"/>
      <c r="AH46" s="64"/>
      <c r="AI46" s="64"/>
      <c r="AK46" s="64"/>
      <c r="AL46" s="579"/>
      <c r="AM46" s="579"/>
      <c r="AS46" s="499"/>
    </row>
    <row r="49" spans="2:25">
      <c r="B49" s="497" t="s">
        <v>879</v>
      </c>
      <c r="C49" s="588">
        <f t="shared" ref="C49:Y49" si="41">SUM(C8:C11)</f>
        <v>8131</v>
      </c>
      <c r="D49" s="588">
        <f t="shared" si="41"/>
        <v>8058.76</v>
      </c>
      <c r="E49" s="588">
        <f t="shared" si="41"/>
        <v>8059</v>
      </c>
      <c r="F49" s="588">
        <f t="shared" ca="1" si="41"/>
        <v>27889.772461326011</v>
      </c>
      <c r="G49" s="588">
        <f t="shared" si="41"/>
        <v>27836.606119235028</v>
      </c>
      <c r="H49" s="588">
        <f t="shared" si="41"/>
        <v>27783.542469979184</v>
      </c>
      <c r="I49" s="588">
        <f t="shared" si="41"/>
        <v>27730.581313008348</v>
      </c>
      <c r="J49" s="588">
        <f t="shared" si="41"/>
        <v>27677.722448167566</v>
      </c>
      <c r="K49" s="588">
        <f t="shared" si="41"/>
        <v>27624.965675696338</v>
      </c>
      <c r="L49" s="588">
        <f t="shared" si="41"/>
        <v>27572.310796227754</v>
      </c>
      <c r="M49" s="588">
        <f t="shared" si="41"/>
        <v>27519.757610787783</v>
      </c>
      <c r="N49" s="588">
        <f t="shared" si="41"/>
        <v>27467.305920794457</v>
      </c>
      <c r="O49" s="588">
        <f t="shared" si="41"/>
        <v>27414.955528057108</v>
      </c>
      <c r="P49" s="588">
        <f t="shared" si="41"/>
        <v>27362.706234775585</v>
      </c>
      <c r="Q49" s="588">
        <f t="shared" si="41"/>
        <v>27310.557843539467</v>
      </c>
      <c r="R49" s="588">
        <f t="shared" si="41"/>
        <v>27258.51015732732</v>
      </c>
      <c r="S49" s="588">
        <f t="shared" si="41"/>
        <v>27206.562979505899</v>
      </c>
      <c r="T49" s="588">
        <f t="shared" si="41"/>
        <v>27154.716113829374</v>
      </c>
      <c r="U49" s="588">
        <f t="shared" si="41"/>
        <v>27102.969364438613</v>
      </c>
      <c r="V49" s="588">
        <f t="shared" si="41"/>
        <v>27051.322535860316</v>
      </c>
      <c r="W49" s="588">
        <f t="shared" si="41"/>
        <v>20040.628820550552</v>
      </c>
      <c r="X49" s="588">
        <f t="shared" si="41"/>
        <v>34999.846140900729</v>
      </c>
      <c r="Y49" s="588">
        <f t="shared" si="41"/>
        <v>19959.146454003989</v>
      </c>
    </row>
    <row r="50" spans="2:25">
      <c r="B50" s="497" t="s">
        <v>880</v>
      </c>
      <c r="C50" s="588">
        <f t="shared" ref="C50:Y50" si="42">SUM(C12:C14)</f>
        <v>6367</v>
      </c>
      <c r="D50" s="588">
        <f t="shared" si="42"/>
        <v>2264</v>
      </c>
      <c r="E50" s="588">
        <f t="shared" si="42"/>
        <v>8252.4296325737996</v>
      </c>
      <c r="F50" s="588">
        <f t="shared" si="42"/>
        <v>8801.8120843598499</v>
      </c>
      <c r="G50" s="588">
        <f t="shared" ca="1" si="42"/>
        <v>8653.5266249287106</v>
      </c>
      <c r="H50" s="588">
        <f t="shared" ca="1" si="42"/>
        <v>8754.3629847169032</v>
      </c>
      <c r="I50" s="588">
        <f t="shared" ca="1" si="42"/>
        <v>8880.7223493341589</v>
      </c>
      <c r="J50" s="588">
        <f t="shared" ca="1" si="42"/>
        <v>8966.0257025950777</v>
      </c>
      <c r="K50" s="588">
        <f t="shared" ca="1" si="42"/>
        <v>9050.231061586961</v>
      </c>
      <c r="L50" s="588">
        <f t="shared" ca="1" si="42"/>
        <v>9136.2872627753277</v>
      </c>
      <c r="M50" s="588">
        <f t="shared" ca="1" si="42"/>
        <v>10913.951891284774</v>
      </c>
      <c r="N50" s="588">
        <f t="shared" ca="1" si="42"/>
        <v>10147.356431546523</v>
      </c>
      <c r="O50" s="588">
        <f t="shared" ca="1" si="42"/>
        <v>13239.558284085097</v>
      </c>
      <c r="P50" s="588">
        <f t="shared" ca="1" si="42"/>
        <v>12527.948195820609</v>
      </c>
      <c r="Q50" s="588">
        <f t="shared" ca="1" si="42"/>
        <v>12620.677176778814</v>
      </c>
      <c r="R50" s="588">
        <f t="shared" ca="1" si="42"/>
        <v>11823.053447546603</v>
      </c>
      <c r="S50" s="588">
        <f t="shared" ca="1" si="42"/>
        <v>11964.676516740463</v>
      </c>
      <c r="T50" s="588">
        <f t="shared" ca="1" si="42"/>
        <v>9846.8632795543854</v>
      </c>
      <c r="U50" s="588">
        <f t="shared" ca="1" si="42"/>
        <v>10119.827658281018</v>
      </c>
      <c r="V50" s="588">
        <f t="shared" ca="1" si="42"/>
        <v>10189.258021910846</v>
      </c>
      <c r="W50" s="588">
        <f t="shared" ca="1" si="42"/>
        <v>7257.6775781881606</v>
      </c>
      <c r="X50" s="588">
        <f t="shared" ca="1" si="42"/>
        <v>7252.0055385098822</v>
      </c>
      <c r="Y50" s="588">
        <f t="shared" ca="1" si="42"/>
        <v>7579.3117803946498</v>
      </c>
    </row>
    <row r="51" spans="2:25">
      <c r="B51" s="497" t="s">
        <v>881</v>
      </c>
      <c r="C51" s="588">
        <f t="shared" ref="C51:Y51" si="43">C49-C50</f>
        <v>1764</v>
      </c>
      <c r="D51" s="588">
        <f t="shared" si="43"/>
        <v>5794.76</v>
      </c>
      <c r="E51" s="588">
        <f t="shared" si="43"/>
        <v>-193.42963257379961</v>
      </c>
      <c r="F51" s="588">
        <f t="shared" ca="1" si="43"/>
        <v>19087.960376966163</v>
      </c>
      <c r="G51" s="588">
        <f t="shared" ca="1" si="43"/>
        <v>19183.079494306316</v>
      </c>
      <c r="H51" s="588">
        <f t="shared" ca="1" si="43"/>
        <v>19029.179485262281</v>
      </c>
      <c r="I51" s="588">
        <f t="shared" ca="1" si="43"/>
        <v>18849.858963674189</v>
      </c>
      <c r="J51" s="588">
        <f t="shared" ca="1" si="43"/>
        <v>18711.696745572488</v>
      </c>
      <c r="K51" s="588">
        <f t="shared" ca="1" si="43"/>
        <v>18574.734614109377</v>
      </c>
      <c r="L51" s="588">
        <f t="shared" ca="1" si="43"/>
        <v>18436.023533452426</v>
      </c>
      <c r="M51" s="588">
        <f t="shared" ca="1" si="43"/>
        <v>16605.805719503009</v>
      </c>
      <c r="N51" s="588">
        <f t="shared" ca="1" si="43"/>
        <v>17319.949489247934</v>
      </c>
      <c r="O51" s="588">
        <f t="shared" ca="1" si="43"/>
        <v>14175.397243972011</v>
      </c>
      <c r="P51" s="588">
        <f t="shared" ca="1" si="43"/>
        <v>14834.758038954977</v>
      </c>
      <c r="Q51" s="588">
        <f t="shared" ca="1" si="43"/>
        <v>14689.880666760653</v>
      </c>
      <c r="R51" s="588">
        <f t="shared" ca="1" si="43"/>
        <v>15435.456709780718</v>
      </c>
      <c r="S51" s="588">
        <f t="shared" ca="1" si="43"/>
        <v>15241.886462765437</v>
      </c>
      <c r="T51" s="588">
        <f t="shared" ca="1" si="43"/>
        <v>17307.852834274989</v>
      </c>
      <c r="U51" s="588">
        <f t="shared" ca="1" si="43"/>
        <v>16983.141706157596</v>
      </c>
      <c r="V51" s="588">
        <f t="shared" ca="1" si="43"/>
        <v>16862.06451394947</v>
      </c>
      <c r="W51" s="588">
        <f t="shared" ca="1" si="43"/>
        <v>12782.951242362391</v>
      </c>
      <c r="X51" s="588">
        <f t="shared" ca="1" si="43"/>
        <v>27747.840602390846</v>
      </c>
      <c r="Y51" s="588">
        <f t="shared" ca="1" si="43"/>
        <v>12379.834673609339</v>
      </c>
    </row>
    <row r="52" spans="2:25">
      <c r="B52" s="497" t="s">
        <v>853</v>
      </c>
      <c r="C52" s="588">
        <f t="shared" ref="C52:Y52" si="44">C19+C20</f>
        <v>4170</v>
      </c>
      <c r="D52" s="588">
        <f t="shared" si="44"/>
        <v>4170.3599999999997</v>
      </c>
      <c r="E52" s="588">
        <f t="shared" si="44"/>
        <v>4170.3599999999997</v>
      </c>
      <c r="F52" s="588">
        <f t="shared" si="44"/>
        <v>15536.374508719611</v>
      </c>
      <c r="G52" s="588">
        <f t="shared" si="44"/>
        <v>15536.374508719611</v>
      </c>
      <c r="H52" s="588">
        <f t="shared" si="44"/>
        <v>15536.374508719611</v>
      </c>
      <c r="I52" s="588">
        <f t="shared" si="44"/>
        <v>15536.374508719611</v>
      </c>
      <c r="J52" s="588">
        <f t="shared" si="44"/>
        <v>15536.374508719611</v>
      </c>
      <c r="K52" s="588">
        <f t="shared" si="44"/>
        <v>15536.374508719611</v>
      </c>
      <c r="L52" s="588">
        <f t="shared" si="44"/>
        <v>15536.374508719611</v>
      </c>
      <c r="M52" s="588">
        <f t="shared" si="44"/>
        <v>14675.107496034921</v>
      </c>
      <c r="N52" s="588">
        <f t="shared" si="44"/>
        <v>14675.107496034921</v>
      </c>
      <c r="O52" s="588">
        <f t="shared" si="44"/>
        <v>14675.107496034921</v>
      </c>
      <c r="P52" s="588">
        <f t="shared" si="44"/>
        <v>12874.20474603492</v>
      </c>
      <c r="Q52" s="588">
        <f t="shared" si="44"/>
        <v>12874.20474603492</v>
      </c>
      <c r="R52" s="588">
        <f t="shared" si="44"/>
        <v>12874.20474603492</v>
      </c>
      <c r="S52" s="588">
        <f t="shared" si="44"/>
        <v>12874.20474603492</v>
      </c>
      <c r="T52" s="588">
        <f t="shared" si="44"/>
        <v>12874.20474603492</v>
      </c>
      <c r="U52" s="588">
        <f t="shared" si="44"/>
        <v>12874.20474603492</v>
      </c>
      <c r="V52" s="588">
        <f t="shared" si="44"/>
        <v>12874.20474603492</v>
      </c>
      <c r="W52" s="588">
        <f t="shared" si="44"/>
        <v>9178.2711035000011</v>
      </c>
      <c r="X52" s="588">
        <f t="shared" si="44"/>
        <v>9178.2711035000011</v>
      </c>
      <c r="Y52" s="588">
        <f t="shared" si="44"/>
        <v>9178.2711035000011</v>
      </c>
    </row>
    <row r="53" spans="2:25">
      <c r="B53" s="497" t="s">
        <v>882</v>
      </c>
      <c r="C53" s="588">
        <f t="shared" ref="C53:Y53" si="45">C21+C22</f>
        <v>799</v>
      </c>
      <c r="D53" s="588">
        <f t="shared" si="45"/>
        <v>0</v>
      </c>
      <c r="E53" s="588">
        <f t="shared" si="45"/>
        <v>0</v>
      </c>
      <c r="F53" s="588">
        <f t="shared" si="45"/>
        <v>0</v>
      </c>
      <c r="G53" s="588">
        <f t="shared" si="45"/>
        <v>0</v>
      </c>
      <c r="H53" s="588">
        <f t="shared" si="45"/>
        <v>0</v>
      </c>
      <c r="I53" s="588">
        <f t="shared" si="45"/>
        <v>0</v>
      </c>
      <c r="J53" s="588">
        <f t="shared" si="45"/>
        <v>0</v>
      </c>
      <c r="K53" s="588">
        <f t="shared" si="45"/>
        <v>0</v>
      </c>
      <c r="L53" s="588">
        <f t="shared" si="45"/>
        <v>0</v>
      </c>
      <c r="M53" s="588">
        <f t="shared" si="45"/>
        <v>0</v>
      </c>
      <c r="N53" s="588">
        <f t="shared" si="45"/>
        <v>0</v>
      </c>
      <c r="O53" s="588">
        <f t="shared" si="45"/>
        <v>0</v>
      </c>
      <c r="P53" s="588">
        <f t="shared" si="45"/>
        <v>0</v>
      </c>
      <c r="Q53" s="588">
        <f t="shared" si="45"/>
        <v>0</v>
      </c>
      <c r="R53" s="588">
        <f t="shared" si="45"/>
        <v>0</v>
      </c>
      <c r="S53" s="588">
        <f t="shared" si="45"/>
        <v>0</v>
      </c>
      <c r="T53" s="588">
        <f t="shared" si="45"/>
        <v>0</v>
      </c>
      <c r="U53" s="588">
        <f t="shared" si="45"/>
        <v>0</v>
      </c>
      <c r="V53" s="588">
        <f t="shared" si="45"/>
        <v>0</v>
      </c>
      <c r="W53" s="588">
        <f t="shared" si="45"/>
        <v>0</v>
      </c>
      <c r="X53" s="588">
        <f t="shared" si="45"/>
        <v>0</v>
      </c>
      <c r="Y53" s="588">
        <f t="shared" si="45"/>
        <v>0</v>
      </c>
    </row>
    <row r="54" spans="2:25">
      <c r="B54" s="497" t="s">
        <v>883</v>
      </c>
      <c r="C54" s="588">
        <f t="shared" ref="C54:Y54" si="46">C51-C52-C53</f>
        <v>-3205</v>
      </c>
      <c r="D54" s="588">
        <f t="shared" si="46"/>
        <v>1624.4000000000005</v>
      </c>
      <c r="E54" s="588">
        <f t="shared" si="46"/>
        <v>-4363.7896325737993</v>
      </c>
      <c r="F54" s="588">
        <f t="shared" ca="1" si="46"/>
        <v>3551.5858682465514</v>
      </c>
      <c r="G54" s="588">
        <f t="shared" ca="1" si="46"/>
        <v>3646.7049855867044</v>
      </c>
      <c r="H54" s="588">
        <f t="shared" ca="1" si="46"/>
        <v>3492.8049765426695</v>
      </c>
      <c r="I54" s="588">
        <f t="shared" ca="1" si="46"/>
        <v>3313.4844549545778</v>
      </c>
      <c r="J54" s="588">
        <f t="shared" ca="1" si="46"/>
        <v>3175.3222368528768</v>
      </c>
      <c r="K54" s="588">
        <f t="shared" ca="1" si="46"/>
        <v>3038.3601053897655</v>
      </c>
      <c r="L54" s="588">
        <f t="shared" ca="1" si="46"/>
        <v>2899.6490247328147</v>
      </c>
      <c r="M54" s="588">
        <f t="shared" ca="1" si="46"/>
        <v>1930.6982234680872</v>
      </c>
      <c r="N54" s="588">
        <f t="shared" ca="1" si="46"/>
        <v>2644.8419932130128</v>
      </c>
      <c r="O54" s="588">
        <f t="shared" ca="1" si="46"/>
        <v>-499.71025206291051</v>
      </c>
      <c r="P54" s="588">
        <f t="shared" ca="1" si="46"/>
        <v>1960.5532929200563</v>
      </c>
      <c r="Q54" s="588">
        <f t="shared" ca="1" si="46"/>
        <v>1815.6759207257328</v>
      </c>
      <c r="R54" s="588">
        <f t="shared" ca="1" si="46"/>
        <v>2561.2519637457972</v>
      </c>
      <c r="S54" s="588">
        <f t="shared" ca="1" si="46"/>
        <v>2367.6817167305162</v>
      </c>
      <c r="T54" s="588">
        <f t="shared" ca="1" si="46"/>
        <v>4433.6480882400683</v>
      </c>
      <c r="U54" s="588">
        <f t="shared" ca="1" si="46"/>
        <v>4108.9369601226754</v>
      </c>
      <c r="V54" s="588">
        <f t="shared" ca="1" si="46"/>
        <v>3987.8597679145496</v>
      </c>
      <c r="W54" s="588">
        <f t="shared" ca="1" si="46"/>
        <v>3604.6801388623899</v>
      </c>
      <c r="X54" s="588">
        <f t="shared" ca="1" si="46"/>
        <v>18569.569498890844</v>
      </c>
      <c r="Y54" s="588">
        <f t="shared" ca="1" si="46"/>
        <v>3201.5635701093379</v>
      </c>
    </row>
    <row r="55" spans="2:25">
      <c r="B55" s="497" t="s">
        <v>884</v>
      </c>
      <c r="C55" s="588">
        <f t="shared" ref="C55:Y55" si="47">C24+C25</f>
        <v>0</v>
      </c>
      <c r="D55" s="588">
        <f t="shared" si="47"/>
        <v>0</v>
      </c>
      <c r="E55" s="588">
        <f t="shared" si="47"/>
        <v>0</v>
      </c>
      <c r="F55" s="588">
        <f t="shared" ca="1" si="47"/>
        <v>851.42558738504977</v>
      </c>
      <c r="G55" s="588">
        <f t="shared" ca="1" si="47"/>
        <v>750.63794336477531</v>
      </c>
      <c r="H55" s="588">
        <f t="shared" ca="1" si="47"/>
        <v>648.28809086218655</v>
      </c>
      <c r="I55" s="588">
        <f t="shared" ca="1" si="47"/>
        <v>544.35181564580785</v>
      </c>
      <c r="J55" s="588">
        <f t="shared" ca="1" si="47"/>
        <v>438.80452816357501</v>
      </c>
      <c r="K55" s="588">
        <f t="shared" ca="1" si="47"/>
        <v>331.62125772536768</v>
      </c>
      <c r="L55" s="588">
        <f t="shared" ca="1" si="47"/>
        <v>222.77664659536811</v>
      </c>
      <c r="M55" s="588">
        <f t="shared" ca="1" si="47"/>
        <v>112.24494399285354</v>
      </c>
      <c r="N55" s="588">
        <f t="shared" si="47"/>
        <v>0</v>
      </c>
      <c r="O55" s="588">
        <f t="shared" si="47"/>
        <v>0</v>
      </c>
      <c r="P55" s="588">
        <f t="shared" si="47"/>
        <v>0</v>
      </c>
      <c r="Q55" s="588">
        <f t="shared" si="47"/>
        <v>0</v>
      </c>
      <c r="R55" s="588">
        <f t="shared" si="47"/>
        <v>0</v>
      </c>
      <c r="S55" s="588">
        <f t="shared" si="47"/>
        <v>0</v>
      </c>
      <c r="T55" s="588">
        <f t="shared" si="47"/>
        <v>0</v>
      </c>
      <c r="U55" s="588">
        <f t="shared" si="47"/>
        <v>0</v>
      </c>
      <c r="V55" s="588">
        <f t="shared" si="47"/>
        <v>0</v>
      </c>
      <c r="W55" s="588">
        <f t="shared" si="47"/>
        <v>0</v>
      </c>
      <c r="X55" s="588">
        <f t="shared" si="47"/>
        <v>0</v>
      </c>
      <c r="Y55" s="588">
        <f t="shared" si="47"/>
        <v>0</v>
      </c>
    </row>
    <row r="56" spans="2:25">
      <c r="B56" s="497" t="s">
        <v>885</v>
      </c>
      <c r="C56" s="588">
        <f t="shared" ref="C56:Y56" si="48">C26+C27</f>
        <v>529</v>
      </c>
      <c r="D56" s="588">
        <f t="shared" si="48"/>
        <v>584.48</v>
      </c>
      <c r="E56" s="588">
        <f t="shared" si="48"/>
        <v>580.02499999999998</v>
      </c>
      <c r="F56" s="588">
        <f t="shared" si="48"/>
        <v>580.02499999999998</v>
      </c>
      <c r="G56" s="588">
        <f t="shared" si="48"/>
        <v>580.02499999999998</v>
      </c>
      <c r="H56" s="588">
        <f t="shared" si="48"/>
        <v>51.024999999999999</v>
      </c>
      <c r="I56" s="588">
        <f t="shared" si="48"/>
        <v>0</v>
      </c>
      <c r="J56" s="588">
        <f t="shared" si="48"/>
        <v>0</v>
      </c>
      <c r="K56" s="588">
        <f t="shared" si="48"/>
        <v>0</v>
      </c>
      <c r="L56" s="588">
        <f t="shared" si="48"/>
        <v>0</v>
      </c>
      <c r="M56" s="588">
        <f t="shared" si="48"/>
        <v>0</v>
      </c>
      <c r="N56" s="588">
        <f t="shared" si="48"/>
        <v>0</v>
      </c>
      <c r="O56" s="588">
        <f t="shared" si="48"/>
        <v>0</v>
      </c>
      <c r="P56" s="588">
        <f t="shared" si="48"/>
        <v>0</v>
      </c>
      <c r="Q56" s="588">
        <f t="shared" si="48"/>
        <v>0</v>
      </c>
      <c r="R56" s="588">
        <f t="shared" si="48"/>
        <v>0</v>
      </c>
      <c r="S56" s="588">
        <f t="shared" si="48"/>
        <v>0</v>
      </c>
      <c r="T56" s="588">
        <f t="shared" si="48"/>
        <v>0</v>
      </c>
      <c r="U56" s="588">
        <f t="shared" si="48"/>
        <v>0</v>
      </c>
      <c r="V56" s="588">
        <f t="shared" si="48"/>
        <v>0</v>
      </c>
      <c r="W56" s="588">
        <f t="shared" si="48"/>
        <v>0</v>
      </c>
      <c r="X56" s="588">
        <f t="shared" si="48"/>
        <v>0</v>
      </c>
      <c r="Y56" s="588">
        <f t="shared" si="48"/>
        <v>0</v>
      </c>
    </row>
    <row r="57" spans="2:25">
      <c r="B57" s="497" t="s">
        <v>886</v>
      </c>
      <c r="C57" s="588">
        <f t="shared" ref="C57:Y57" si="49">C54-C55-C56</f>
        <v>-3734</v>
      </c>
      <c r="D57" s="588">
        <f t="shared" si="49"/>
        <v>1039.9200000000005</v>
      </c>
      <c r="E57" s="588">
        <f t="shared" si="49"/>
        <v>-4943.8146325737989</v>
      </c>
      <c r="F57" s="588">
        <f t="shared" ca="1" si="49"/>
        <v>2120.1352808615015</v>
      </c>
      <c r="G57" s="588">
        <f t="shared" ca="1" si="49"/>
        <v>2316.042042221929</v>
      </c>
      <c r="H57" s="588">
        <f t="shared" ca="1" si="49"/>
        <v>2793.4918856804829</v>
      </c>
      <c r="I57" s="588">
        <f t="shared" ca="1" si="49"/>
        <v>2769.1326393087702</v>
      </c>
      <c r="J57" s="588">
        <f t="shared" ca="1" si="49"/>
        <v>2736.5177086893018</v>
      </c>
      <c r="K57" s="588">
        <f t="shared" ca="1" si="49"/>
        <v>2706.7388476643978</v>
      </c>
      <c r="L57" s="588">
        <f t="shared" ca="1" si="49"/>
        <v>2676.8723781374465</v>
      </c>
      <c r="M57" s="588">
        <f t="shared" ca="1" si="49"/>
        <v>1818.4532794752338</v>
      </c>
      <c r="N57" s="588">
        <f t="shared" ca="1" si="49"/>
        <v>2644.8419932130128</v>
      </c>
      <c r="O57" s="588">
        <f t="shared" ca="1" si="49"/>
        <v>-499.71025206291051</v>
      </c>
      <c r="P57" s="588">
        <f t="shared" ca="1" si="49"/>
        <v>1960.5532929200563</v>
      </c>
      <c r="Q57" s="588">
        <f t="shared" ca="1" si="49"/>
        <v>1815.6759207257328</v>
      </c>
      <c r="R57" s="588">
        <f t="shared" ca="1" si="49"/>
        <v>2561.2519637457972</v>
      </c>
      <c r="S57" s="588">
        <f t="shared" ca="1" si="49"/>
        <v>2367.6817167305162</v>
      </c>
      <c r="T57" s="588">
        <f t="shared" ca="1" si="49"/>
        <v>4433.6480882400683</v>
      </c>
      <c r="U57" s="588">
        <f t="shared" ca="1" si="49"/>
        <v>4108.9369601226754</v>
      </c>
      <c r="V57" s="588">
        <f t="shared" ca="1" si="49"/>
        <v>3987.8597679145496</v>
      </c>
      <c r="W57" s="588">
        <f t="shared" ca="1" si="49"/>
        <v>3604.6801388623899</v>
      </c>
      <c r="X57" s="588">
        <f t="shared" ca="1" si="49"/>
        <v>18569.569498890844</v>
      </c>
      <c r="Y57" s="588">
        <f t="shared" ca="1" si="49"/>
        <v>3201.5635701093379</v>
      </c>
    </row>
    <row r="58" spans="2:25">
      <c r="B58" s="497" t="s">
        <v>887</v>
      </c>
      <c r="C58" s="589">
        <f t="shared" ref="C58:C59" si="50">C35</f>
        <v>75</v>
      </c>
      <c r="D58" s="589">
        <f t="shared" ref="D58:D59" si="51">D35</f>
        <v>0</v>
      </c>
      <c r="E58" s="589">
        <f t="shared" ref="E58:E59" si="52">E35</f>
        <v>0</v>
      </c>
      <c r="F58" s="589">
        <f t="shared" ref="F58:F59" ca="1" si="53">F35</f>
        <v>280.76138412922523</v>
      </c>
      <c r="G58" s="589">
        <f t="shared" ref="G58:G59" ca="1" si="54">G35</f>
        <v>310.14739833328935</v>
      </c>
      <c r="H58" s="589">
        <f t="shared" ref="H58:H59" ca="1" si="55">H35</f>
        <v>381.76487485207247</v>
      </c>
      <c r="I58" s="589">
        <f t="shared" ref="I58:I59" ca="1" si="56">I35</f>
        <v>378.11098789631552</v>
      </c>
      <c r="J58" s="589">
        <f t="shared" ref="J58:J59" ca="1" si="57">J35</f>
        <v>373.21874830339527</v>
      </c>
      <c r="K58" s="589">
        <f t="shared" ref="K58:K59" ca="1" si="58">K35</f>
        <v>368.75191914965967</v>
      </c>
      <c r="L58" s="589">
        <f t="shared" ref="L58:L59" ca="1" si="59">L35</f>
        <v>364.27194872061699</v>
      </c>
      <c r="M58" s="589">
        <f t="shared" ref="M58:M59" ca="1" si="60">M35</f>
        <v>235.50908392128508</v>
      </c>
      <c r="N58" s="589">
        <f t="shared" ref="N58:N59" ca="1" si="61">N35</f>
        <v>359.46739098195195</v>
      </c>
      <c r="O58" s="589">
        <f t="shared" ref="O58:O59" ca="1" si="62">O35</f>
        <v>0</v>
      </c>
      <c r="P58" s="589">
        <f t="shared" ref="P58:P59" ca="1" si="63">P35</f>
        <v>256.82408593800847</v>
      </c>
      <c r="Q58" s="589">
        <f t="shared" ref="Q58:Q59" ca="1" si="64">Q35</f>
        <v>235.09248010885995</v>
      </c>
      <c r="R58" s="589">
        <f t="shared" ref="R58:R59" ca="1" si="65">R35</f>
        <v>346.9288865618696</v>
      </c>
      <c r="S58" s="589">
        <f t="shared" ref="S58:S59" ca="1" si="66">S35</f>
        <v>317.89334950957743</v>
      </c>
      <c r="T58" s="589">
        <f t="shared" ref="T58:T59" ca="1" si="67">T35</f>
        <v>627.78830523601027</v>
      </c>
      <c r="U58" s="589">
        <f t="shared" ref="U58:U59" ca="1" si="68">U35</f>
        <v>579.08163601840135</v>
      </c>
      <c r="V58" s="589">
        <f t="shared" ref="V58:V59" ca="1" si="69">V35</f>
        <v>560.92005718718246</v>
      </c>
      <c r="W58" s="589">
        <f t="shared" ref="W58:W59" ca="1" si="70">W35</f>
        <v>428.44311282935848</v>
      </c>
      <c r="X58" s="589">
        <f t="shared" ref="X58:X59" ca="1" si="71">X35</f>
        <v>2673.1765168336269</v>
      </c>
      <c r="Y58" s="589">
        <f t="shared" ref="Y58:Y59" ca="1" si="72">Y35</f>
        <v>367.97562751640072</v>
      </c>
    </row>
    <row r="59" spans="2:25">
      <c r="B59" s="497" t="s">
        <v>888</v>
      </c>
      <c r="C59" s="589">
        <f t="shared" si="50"/>
        <v>-3309</v>
      </c>
      <c r="D59" s="589">
        <f t="shared" si="51"/>
        <v>1539.9200000000005</v>
      </c>
      <c r="E59" s="589">
        <f t="shared" si="52"/>
        <v>-4443.8146325737989</v>
      </c>
      <c r="F59" s="589">
        <f t="shared" ca="1" si="53"/>
        <v>1590.9811767322765</v>
      </c>
      <c r="G59" s="589">
        <f t="shared" ca="1" si="54"/>
        <v>1757.5019238886398</v>
      </c>
      <c r="H59" s="589">
        <f t="shared" ca="1" si="55"/>
        <v>2163.3342908284108</v>
      </c>
      <c r="I59" s="589">
        <f t="shared" ca="1" si="56"/>
        <v>2142.6289314124547</v>
      </c>
      <c r="J59" s="589">
        <f t="shared" ca="1" si="57"/>
        <v>2114.9062403859066</v>
      </c>
      <c r="K59" s="589">
        <f t="shared" ca="1" si="58"/>
        <v>2089.5942085147381</v>
      </c>
      <c r="L59" s="589">
        <f t="shared" ca="1" si="59"/>
        <v>2064.2077094168299</v>
      </c>
      <c r="M59" s="589">
        <f t="shared" ca="1" si="60"/>
        <v>1334.5514755539489</v>
      </c>
      <c r="N59" s="589">
        <f t="shared" ca="1" si="61"/>
        <v>2036.981882231061</v>
      </c>
      <c r="O59" s="589">
        <f t="shared" ca="1" si="62"/>
        <v>-748.10297206291034</v>
      </c>
      <c r="P59" s="589">
        <f t="shared" ca="1" si="63"/>
        <v>1455.336486982048</v>
      </c>
      <c r="Q59" s="589">
        <f t="shared" ca="1" si="64"/>
        <v>1332.190720616873</v>
      </c>
      <c r="R59" s="589">
        <f t="shared" ca="1" si="65"/>
        <v>1965.9303571839278</v>
      </c>
      <c r="S59" s="589">
        <f t="shared" ca="1" si="66"/>
        <v>1801.3956472209388</v>
      </c>
      <c r="T59" s="589">
        <f t="shared" ca="1" si="67"/>
        <v>3557.4670630040582</v>
      </c>
      <c r="U59" s="589">
        <f t="shared" ca="1" si="68"/>
        <v>3281.4626041042743</v>
      </c>
      <c r="V59" s="589">
        <f t="shared" ca="1" si="69"/>
        <v>3178.5469907273673</v>
      </c>
      <c r="W59" s="589">
        <f t="shared" ca="1" si="70"/>
        <v>2427.8443060330314</v>
      </c>
      <c r="X59" s="589">
        <f t="shared" ca="1" si="71"/>
        <v>15148.00026205722</v>
      </c>
      <c r="Y59" s="589">
        <f t="shared" ca="1" si="72"/>
        <v>2085.1952225929372</v>
      </c>
    </row>
    <row r="60" spans="2:25">
      <c r="B60" s="497" t="s">
        <v>875</v>
      </c>
      <c r="C60" s="497">
        <f t="shared" ref="C60:Y60" si="73">C42</f>
        <v>0</v>
      </c>
      <c r="D60" s="497">
        <f t="shared" si="73"/>
        <v>0</v>
      </c>
      <c r="E60" s="589">
        <f t="shared" si="73"/>
        <v>0</v>
      </c>
      <c r="F60" s="589">
        <f t="shared" ca="1" si="73"/>
        <v>375.43973808528261</v>
      </c>
      <c r="G60" s="589">
        <f t="shared" ca="1" si="73"/>
        <v>414.73530399924118</v>
      </c>
      <c r="H60" s="589">
        <f t="shared" ca="1" si="73"/>
        <v>1191.1751272159395</v>
      </c>
      <c r="I60" s="589">
        <f t="shared" ca="1" si="73"/>
        <v>1179.7743422143258</v>
      </c>
      <c r="J60" s="589">
        <f t="shared" ca="1" si="73"/>
        <v>1164.5096740812878</v>
      </c>
      <c r="K60" s="589">
        <f t="shared" ca="1" si="73"/>
        <v>1150.5723630923851</v>
      </c>
      <c r="L60" s="589">
        <f t="shared" ca="1" si="73"/>
        <v>1136.5940489590948</v>
      </c>
      <c r="M60" s="589">
        <f t="shared" ca="1" si="73"/>
        <v>734.83073346951528</v>
      </c>
      <c r="N60" s="589">
        <f t="shared" ca="1" si="73"/>
        <v>1121.6029639940668</v>
      </c>
      <c r="O60" s="589">
        <f t="shared" ca="1" si="73"/>
        <v>0</v>
      </c>
      <c r="P60" s="589">
        <f t="shared" ca="1" si="73"/>
        <v>801.3373764620552</v>
      </c>
      <c r="Q60" s="589">
        <f t="shared" ca="1" si="73"/>
        <v>733.53085458606267</v>
      </c>
      <c r="R60" s="589">
        <f t="shared" ca="1" si="73"/>
        <v>1082.4805732726143</v>
      </c>
      <c r="S60" s="589">
        <f t="shared" ca="1" si="73"/>
        <v>991.88447127279323</v>
      </c>
      <c r="T60" s="589">
        <f t="shared" ca="1" si="73"/>
        <v>1958.8125142312945</v>
      </c>
      <c r="U60" s="589">
        <f t="shared" ca="1" si="73"/>
        <v>1806.8389390718955</v>
      </c>
      <c r="V60" s="589">
        <f t="shared" ca="1" si="73"/>
        <v>1750.1715440343028</v>
      </c>
      <c r="W60" s="589">
        <f t="shared" ca="1" si="73"/>
        <v>1336.8196317879076</v>
      </c>
      <c r="X60" s="589">
        <f t="shared" ca="1" si="73"/>
        <v>8340.7919042939466</v>
      </c>
      <c r="Y60" s="589">
        <f t="shared" ca="1" si="73"/>
        <v>1148.150193464123</v>
      </c>
    </row>
    <row r="61" spans="2:25">
      <c r="B61" s="497" t="s">
        <v>889</v>
      </c>
      <c r="C61" s="589">
        <f>Ana_eco!B57</f>
        <v>-71339.125777545298</v>
      </c>
      <c r="D61" s="589">
        <f>Ana_eco!C57</f>
        <v>-67355</v>
      </c>
      <c r="E61" s="589">
        <f ca="1">Ana_eco!D57</f>
        <v>-266162.05029916693</v>
      </c>
      <c r="F61" s="589">
        <f ca="1">Ana_eco!E57</f>
        <v>-249534.69461371505</v>
      </c>
      <c r="G61" s="589">
        <f ca="1">Ana_eco!F57</f>
        <v>-233089.1438715308</v>
      </c>
      <c r="H61" s="589">
        <f ca="1">Ana_eco!G57</f>
        <v>-216595.52208695101</v>
      </c>
      <c r="I61" s="589">
        <f ca="1">Ana_eco!H57</f>
        <v>-200463.44187434544</v>
      </c>
      <c r="J61" s="589">
        <f ca="1">Ana_eco!I57</f>
        <v>-184691.45413630924</v>
      </c>
      <c r="K61" s="589">
        <f ca="1">Ana_eco!J57</f>
        <v>-169269.39053303868</v>
      </c>
      <c r="L61" s="589">
        <f ca="1">Ana_eco!K57</f>
        <v>-154189.58610532616</v>
      </c>
      <c r="M61" s="589">
        <f ca="1">Ana_eco!L57</f>
        <v>-140796.38069858847</v>
      </c>
      <c r="N61" s="589">
        <f ca="1">Ana_eco!M57</f>
        <v>-127086.97151483041</v>
      </c>
      <c r="O61" s="589">
        <f ca="1">Ana_eco!N57</f>
        <v>-115968.21157804012</v>
      </c>
      <c r="P61" s="589">
        <f ca="1">Ana_eco!O57</f>
        <v>-104753.64585354282</v>
      </c>
      <c r="Q61" s="589">
        <f ca="1">Ana_eco!P57</f>
        <v>-93869.473409111291</v>
      </c>
      <c r="R61" s="589">
        <f ca="1">Ana_eco!Q57</f>
        <v>-82718.240997061512</v>
      </c>
      <c r="S61" s="589">
        <f ca="1">Ana_eco!R57</f>
        <v>-71923.591255296662</v>
      </c>
      <c r="T61" s="589">
        <f ca="1">Ana_eco!S57</f>
        <v>-60043.332132900759</v>
      </c>
      <c r="U61" s="589">
        <f ca="1">Ana_eco!T57</f>
        <v>-48611.032054406634</v>
      </c>
      <c r="V61" s="589">
        <f ca="1">Ana_eco!U57</f>
        <v>-37489.445687959582</v>
      </c>
      <c r="W61" s="589">
        <f ca="1">Ana_eco!V57</f>
        <v>-29362.191317063836</v>
      </c>
      <c r="X61" s="589">
        <f ca="1">Ana_eco!W57</f>
        <v>-12680.88782774748</v>
      </c>
      <c r="Y61" s="589">
        <f ca="1">Ana_eco!X57</f>
        <v>-5117.3676415756499</v>
      </c>
    </row>
    <row r="62" spans="2:25" ht="21.8" customHeight="1"/>
    <row r="63" spans="2:25" ht="21.8" customHeight="1">
      <c r="C63" s="590">
        <f ca="1">AVERAGEIF(E41:Y41,"&lt;&gt;0")</f>
        <v>2.1126477212581065</v>
      </c>
    </row>
  </sheetData>
  <mergeCells count="3">
    <mergeCell ref="A1:X2"/>
    <mergeCell ref="AL41:AM42"/>
    <mergeCell ref="AL43:AM43"/>
  </mergeCells>
  <conditionalFormatting sqref="B37:Y37">
    <cfRule type="cellIs" dxfId="6" priority="3" operator="lessThan">
      <formula>0</formula>
    </cfRule>
  </conditionalFormatting>
  <conditionalFormatting sqref="AA37">
    <cfRule type="cellIs" dxfId="5" priority="2" operator="lessThan">
      <formula>0</formula>
    </cfRule>
  </conditionalFormatting>
  <hyperlinks>
    <hyperlink ref="L3" location="Aide!A65" display="AIDE"/>
  </hyperlinks>
  <printOptions gridLines="1"/>
  <pageMargins left="0.70833333333333315" right="0.70833333333333315" top="0.74791666666666701" bottom="0.74791666666666701" header="0.51180555555555496" footer="0.51180555555555496"/>
  <pageSetup paperSize="9" firstPageNumber="0" orientation="landscape" horizontalDpi="300" verticalDpi="300"/>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4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283</v>
      </c>
      <c r="C1" s="1053"/>
      <c r="D1" s="1053"/>
      <c r="E1" s="1053"/>
      <c r="F1" s="1053"/>
      <c r="H1" s="405" t="s">
        <v>493</v>
      </c>
      <c r="I1" s="406">
        <f>VLOOKUP(E4,Catalogue!F:J,5,0)</f>
        <v>375</v>
      </c>
      <c r="J1" s="17" t="s">
        <v>494</v>
      </c>
      <c r="K1" s="17" t="s">
        <v>495</v>
      </c>
      <c r="L1" s="58">
        <f>A4*I1</f>
        <v>30375</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13">
        <v>81</v>
      </c>
      <c r="B4" s="413" t="s">
        <v>505</v>
      </c>
      <c r="C4" s="413" t="s">
        <v>1306</v>
      </c>
      <c r="D4" s="413"/>
      <c r="E4" s="420" t="s">
        <v>1307</v>
      </c>
      <c r="F4" s="421">
        <v>116.88</v>
      </c>
      <c r="G4" s="410"/>
      <c r="H4" s="409">
        <f t="shared" ref="H4:H9" si="0">F4*(1-G4)</f>
        <v>116.88</v>
      </c>
      <c r="I4" s="409">
        <f t="shared" ref="I4:I9" si="1">A4*H4</f>
        <v>9467.2799999999988</v>
      </c>
      <c r="J4" s="417">
        <f>F4/I1</f>
        <v>0.31168000000000001</v>
      </c>
      <c r="K4" s="403"/>
      <c r="L4" s="404"/>
      <c r="M4" s="437">
        <f>I4</f>
        <v>9467.2799999999988</v>
      </c>
      <c r="N4" s="437"/>
      <c r="O4" s="437"/>
      <c r="P4" s="437"/>
      <c r="Q4" s="437"/>
      <c r="R4" s="418"/>
      <c r="S4" s="437"/>
    </row>
    <row r="5" spans="1:19">
      <c r="A5" s="413">
        <v>0</v>
      </c>
      <c r="B5" s="407" t="s">
        <v>505</v>
      </c>
      <c r="C5" s="408"/>
      <c r="D5" s="407"/>
      <c r="E5" s="408"/>
      <c r="F5" s="409"/>
      <c r="G5" s="410"/>
      <c r="H5" s="409">
        <f t="shared" si="0"/>
        <v>0</v>
      </c>
      <c r="I5" s="409">
        <f t="shared" si="1"/>
        <v>0</v>
      </c>
      <c r="J5" s="417"/>
      <c r="K5" s="403"/>
      <c r="L5" s="404"/>
      <c r="M5" s="437"/>
      <c r="N5" s="437"/>
      <c r="O5" s="437"/>
      <c r="P5" s="437"/>
      <c r="Q5" s="437"/>
      <c r="R5" s="418"/>
      <c r="S5" s="437"/>
    </row>
    <row r="6" spans="1:19" ht="33.4">
      <c r="A6" s="413">
        <f>A4+A5</f>
        <v>81</v>
      </c>
      <c r="B6" s="413" t="s">
        <v>505</v>
      </c>
      <c r="C6" s="420" t="s">
        <v>1502</v>
      </c>
      <c r="D6" s="413"/>
      <c r="E6" s="420" t="s">
        <v>2027</v>
      </c>
      <c r="F6" s="421">
        <f>1432*1.1/A6</f>
        <v>19.446913580246914</v>
      </c>
      <c r="G6" s="422"/>
      <c r="H6" s="421">
        <f t="shared" si="0"/>
        <v>19.446913580246914</v>
      </c>
      <c r="I6" s="421">
        <f t="shared" si="1"/>
        <v>1575.2</v>
      </c>
      <c r="J6" s="417">
        <f>F6/$I$1</f>
        <v>5.185843621399177E-2</v>
      </c>
      <c r="K6" s="417" t="s">
        <v>2028</v>
      </c>
      <c r="M6" s="437">
        <f>I6</f>
        <v>1575.2</v>
      </c>
      <c r="N6" s="437"/>
      <c r="O6" s="437"/>
      <c r="P6" s="437"/>
      <c r="Q6" s="437"/>
      <c r="R6" s="418"/>
      <c r="S6" s="437"/>
    </row>
    <row r="7" spans="1:19" ht="55.65">
      <c r="A7" s="413">
        <v>1</v>
      </c>
      <c r="B7" s="413" t="s">
        <v>522</v>
      </c>
      <c r="C7" s="492" t="s">
        <v>1011</v>
      </c>
      <c r="D7" s="423" t="s">
        <v>1015</v>
      </c>
      <c r="E7" s="424" t="s">
        <v>1016</v>
      </c>
      <c r="F7" s="425">
        <v>716.67</v>
      </c>
      <c r="G7" s="410"/>
      <c r="H7" s="409">
        <f t="shared" si="0"/>
        <v>716.67</v>
      </c>
      <c r="I7" s="409">
        <f t="shared" si="1"/>
        <v>716.67</v>
      </c>
      <c r="J7" s="204"/>
      <c r="K7" s="17" t="s">
        <v>1484</v>
      </c>
      <c r="M7" s="437"/>
      <c r="N7" s="437"/>
      <c r="O7" s="437"/>
      <c r="P7" s="437"/>
      <c r="Q7" s="437"/>
      <c r="R7" s="418">
        <f t="shared" ref="R7:R9" si="2">I7</f>
        <v>716.67</v>
      </c>
      <c r="S7" s="437"/>
    </row>
    <row r="8" spans="1:19" ht="22.25">
      <c r="A8" s="413">
        <v>1</v>
      </c>
      <c r="B8" s="413" t="s">
        <v>505</v>
      </c>
      <c r="C8" s="420" t="s">
        <v>1074</v>
      </c>
      <c r="D8" s="413"/>
      <c r="E8" s="420" t="s">
        <v>1423</v>
      </c>
      <c r="F8" s="421">
        <v>275.56</v>
      </c>
      <c r="G8" s="410"/>
      <c r="H8" s="409">
        <f t="shared" si="0"/>
        <v>275.56</v>
      </c>
      <c r="I8" s="409">
        <f t="shared" si="1"/>
        <v>275.56</v>
      </c>
      <c r="J8" s="204"/>
      <c r="K8" s="17" t="s">
        <v>2029</v>
      </c>
      <c r="M8" s="437"/>
      <c r="N8" s="437"/>
      <c r="O8" s="437"/>
      <c r="P8" s="437"/>
      <c r="Q8" s="437"/>
      <c r="R8" s="418">
        <f t="shared" si="2"/>
        <v>275.56</v>
      </c>
      <c r="S8" s="437"/>
    </row>
    <row r="9" spans="1:19" ht="22.25">
      <c r="A9" s="413">
        <v>1</v>
      </c>
      <c r="B9" s="413" t="s">
        <v>530</v>
      </c>
      <c r="C9" s="420" t="s">
        <v>531</v>
      </c>
      <c r="D9" s="413"/>
      <c r="E9" s="413" t="s">
        <v>532</v>
      </c>
      <c r="F9" s="421">
        <v>500</v>
      </c>
      <c r="G9" s="410"/>
      <c r="H9" s="409">
        <f t="shared" si="0"/>
        <v>500</v>
      </c>
      <c r="I9" s="409">
        <f t="shared" si="1"/>
        <v>500</v>
      </c>
      <c r="J9" s="204"/>
      <c r="M9" s="437"/>
      <c r="N9" s="437"/>
      <c r="O9" s="437"/>
      <c r="P9" s="437"/>
      <c r="Q9" s="437"/>
      <c r="R9" s="418">
        <f t="shared" si="2"/>
        <v>500</v>
      </c>
      <c r="S9" s="437"/>
    </row>
    <row r="10" spans="1:19" ht="44.55">
      <c r="A10" s="413">
        <v>0</v>
      </c>
      <c r="B10" s="407" t="s">
        <v>505</v>
      </c>
      <c r="C10" s="408" t="s">
        <v>534</v>
      </c>
      <c r="D10" s="407"/>
      <c r="E10" s="420" t="s">
        <v>535</v>
      </c>
      <c r="F10" s="421">
        <v>3.71</v>
      </c>
      <c r="G10" s="410"/>
      <c r="H10" s="409">
        <f t="shared" ref="H10:H73" si="3">F10*(1-G10)</f>
        <v>3.71</v>
      </c>
      <c r="I10" s="409">
        <f t="shared" ref="I10:I30" si="4">A10*H10</f>
        <v>0</v>
      </c>
      <c r="J10" s="204" t="s">
        <v>2030</v>
      </c>
      <c r="M10" s="437"/>
      <c r="N10" s="437"/>
      <c r="O10" s="437"/>
      <c r="P10" s="437"/>
      <c r="Q10" s="437"/>
      <c r="R10" s="418">
        <f t="shared" ref="R10:R22" si="5">I10</f>
        <v>0</v>
      </c>
      <c r="S10" s="437"/>
    </row>
    <row r="11" spans="1:19" ht="22.25">
      <c r="A11" s="413">
        <f>A10</f>
        <v>0</v>
      </c>
      <c r="B11" s="407" t="s">
        <v>505</v>
      </c>
      <c r="C11" s="408" t="s">
        <v>534</v>
      </c>
      <c r="D11" s="407"/>
      <c r="E11" s="420" t="s">
        <v>537</v>
      </c>
      <c r="F11" s="421">
        <v>3.81</v>
      </c>
      <c r="G11" s="410"/>
      <c r="H11" s="409">
        <f t="shared" si="3"/>
        <v>3.81</v>
      </c>
      <c r="I11" s="409">
        <f t="shared" si="4"/>
        <v>0</v>
      </c>
      <c r="J11" s="204" t="s">
        <v>538</v>
      </c>
      <c r="M11" s="437"/>
      <c r="N11" s="437"/>
      <c r="O11" s="437"/>
      <c r="P11" s="437"/>
      <c r="Q11" s="437"/>
      <c r="R11" s="418">
        <f t="shared" si="5"/>
        <v>0</v>
      </c>
      <c r="S11" s="437"/>
    </row>
    <row r="12" spans="1:19" ht="44.55">
      <c r="A12" s="407">
        <v>40</v>
      </c>
      <c r="B12" s="407" t="s">
        <v>539</v>
      </c>
      <c r="C12" s="408" t="s">
        <v>987</v>
      </c>
      <c r="D12" s="407" t="s">
        <v>541</v>
      </c>
      <c r="E12" s="408" t="s">
        <v>542</v>
      </c>
      <c r="F12" s="409">
        <f t="shared" ref="F12:F13" si="6">328.33/500</f>
        <v>0.65666000000000002</v>
      </c>
      <c r="G12" s="410"/>
      <c r="H12" s="409">
        <f t="shared" si="3"/>
        <v>0.65666000000000002</v>
      </c>
      <c r="I12" s="409">
        <f t="shared" si="4"/>
        <v>26.266400000000001</v>
      </c>
      <c r="J12" s="491" t="s">
        <v>756</v>
      </c>
      <c r="M12" s="437"/>
      <c r="N12" s="437"/>
      <c r="O12" s="418">
        <f t="shared" ref="O12:O25" si="7">I12</f>
        <v>26.266400000000001</v>
      </c>
      <c r="P12" s="418"/>
      <c r="Q12" s="418"/>
      <c r="R12" s="437"/>
      <c r="S12" s="437"/>
    </row>
    <row r="13" spans="1:19" ht="44.55">
      <c r="A13" s="407">
        <f>A12+A6*1+4+10</f>
        <v>135</v>
      </c>
      <c r="B13" s="407" t="s">
        <v>539</v>
      </c>
      <c r="C13" s="408" t="s">
        <v>987</v>
      </c>
      <c r="D13" s="407" t="s">
        <v>543</v>
      </c>
      <c r="E13" s="408" t="s">
        <v>544</v>
      </c>
      <c r="F13" s="409">
        <f t="shared" si="6"/>
        <v>0.65666000000000002</v>
      </c>
      <c r="G13" s="410"/>
      <c r="H13" s="409">
        <f t="shared" si="3"/>
        <v>0.65666000000000002</v>
      </c>
      <c r="I13" s="409">
        <f t="shared" si="4"/>
        <v>88.649100000000004</v>
      </c>
      <c r="J13" s="204"/>
      <c r="M13" s="437"/>
      <c r="N13" s="437"/>
      <c r="O13" s="418">
        <f t="shared" si="7"/>
        <v>88.649100000000004</v>
      </c>
      <c r="P13" s="418"/>
      <c r="Q13" s="418"/>
      <c r="R13" s="437"/>
      <c r="S13" s="437"/>
    </row>
    <row r="14" spans="1:19" ht="22.25">
      <c r="A14" s="413">
        <v>18</v>
      </c>
      <c r="B14" s="407" t="s">
        <v>522</v>
      </c>
      <c r="C14" s="408" t="s">
        <v>1074</v>
      </c>
      <c r="D14" s="407"/>
      <c r="E14" s="408" t="s">
        <v>1079</v>
      </c>
      <c r="F14" s="409">
        <v>1.3</v>
      </c>
      <c r="G14" s="410"/>
      <c r="H14" s="409">
        <f t="shared" si="3"/>
        <v>1.3</v>
      </c>
      <c r="I14" s="409">
        <f t="shared" si="4"/>
        <v>23.400000000000002</v>
      </c>
      <c r="J14" s="204"/>
      <c r="M14" s="437"/>
      <c r="N14" s="437"/>
      <c r="O14" s="418">
        <f t="shared" si="7"/>
        <v>23.400000000000002</v>
      </c>
      <c r="P14" s="437"/>
      <c r="Q14" s="437"/>
      <c r="R14" s="418"/>
      <c r="S14" s="437"/>
    </row>
    <row r="15" spans="1:19" ht="22.25">
      <c r="A15" s="413">
        <f>A14</f>
        <v>18</v>
      </c>
      <c r="B15" s="407" t="s">
        <v>522</v>
      </c>
      <c r="C15" s="408" t="s">
        <v>1074</v>
      </c>
      <c r="D15" s="407"/>
      <c r="E15" s="408" t="s">
        <v>1080</v>
      </c>
      <c r="F15" s="409">
        <v>0.98</v>
      </c>
      <c r="G15" s="410"/>
      <c r="H15" s="409">
        <f t="shared" si="3"/>
        <v>0.98</v>
      </c>
      <c r="I15" s="409">
        <f t="shared" si="4"/>
        <v>17.64</v>
      </c>
      <c r="J15" s="204"/>
      <c r="M15" s="437"/>
      <c r="N15" s="437"/>
      <c r="O15" s="418">
        <f t="shared" si="7"/>
        <v>17.64</v>
      </c>
      <c r="P15" s="437"/>
      <c r="Q15" s="437"/>
      <c r="R15" s="418"/>
      <c r="S15" s="437"/>
    </row>
    <row r="16" spans="1:19" ht="22.25">
      <c r="A16" s="413">
        <v>1</v>
      </c>
      <c r="B16" s="407" t="s">
        <v>522</v>
      </c>
      <c r="C16" s="424" t="s">
        <v>531</v>
      </c>
      <c r="D16" s="423"/>
      <c r="E16" s="424" t="s">
        <v>1184</v>
      </c>
      <c r="F16" s="425">
        <v>1603.88956601172</v>
      </c>
      <c r="G16" s="428"/>
      <c r="H16" s="430">
        <f t="shared" si="3"/>
        <v>1603.88956601172</v>
      </c>
      <c r="I16" s="409">
        <f t="shared" si="4"/>
        <v>1603.88956601172</v>
      </c>
      <c r="J16" s="204"/>
      <c r="M16" s="437"/>
      <c r="N16" s="418">
        <f t="shared" ref="N16:N19" si="8">I16</f>
        <v>1603.88956601172</v>
      </c>
      <c r="O16" s="437"/>
      <c r="P16" s="437"/>
      <c r="Q16" s="437"/>
      <c r="R16" s="437"/>
      <c r="S16" s="437"/>
    </row>
    <row r="17" spans="1:19" ht="22.25">
      <c r="A17" s="413">
        <f>ROUNDUP(A4/2,0)</f>
        <v>41</v>
      </c>
      <c r="B17" s="407" t="s">
        <v>505</v>
      </c>
      <c r="C17" s="420" t="s">
        <v>786</v>
      </c>
      <c r="D17" s="413"/>
      <c r="E17" s="420" t="s">
        <v>1081</v>
      </c>
      <c r="F17" s="421">
        <v>43.2</v>
      </c>
      <c r="G17" s="410"/>
      <c r="H17" s="409">
        <f t="shared" si="3"/>
        <v>43.2</v>
      </c>
      <c r="I17" s="409">
        <f t="shared" si="4"/>
        <v>1771.2</v>
      </c>
      <c r="J17" s="204"/>
      <c r="M17" s="437"/>
      <c r="N17" s="418">
        <f t="shared" si="8"/>
        <v>1771.2</v>
      </c>
      <c r="O17" s="437"/>
      <c r="P17" s="437"/>
      <c r="Q17" s="437"/>
      <c r="R17" s="437"/>
      <c r="S17" s="437"/>
    </row>
    <row r="18" spans="1:19">
      <c r="A18" s="413">
        <v>0</v>
      </c>
      <c r="B18" s="407" t="s">
        <v>505</v>
      </c>
      <c r="C18" s="408"/>
      <c r="D18" s="407"/>
      <c r="E18" s="408"/>
      <c r="F18" s="409">
        <v>40.799999999999997</v>
      </c>
      <c r="G18" s="410"/>
      <c r="H18" s="409">
        <f t="shared" si="3"/>
        <v>40.799999999999997</v>
      </c>
      <c r="I18" s="409">
        <f t="shared" si="4"/>
        <v>0</v>
      </c>
      <c r="J18" s="204"/>
      <c r="M18" s="437"/>
      <c r="N18" s="418">
        <f t="shared" si="8"/>
        <v>0</v>
      </c>
      <c r="O18" s="437"/>
      <c r="P18" s="437"/>
      <c r="Q18" s="437"/>
      <c r="R18" s="437"/>
      <c r="S18" s="437"/>
    </row>
    <row r="19" spans="1:19">
      <c r="A19" s="413">
        <v>0</v>
      </c>
      <c r="B19" s="407" t="s">
        <v>505</v>
      </c>
      <c r="C19" s="408"/>
      <c r="D19" s="407"/>
      <c r="E19" s="408"/>
      <c r="F19" s="409">
        <v>36.619999999999997</v>
      </c>
      <c r="G19" s="410"/>
      <c r="H19" s="409">
        <f t="shared" si="3"/>
        <v>36.619999999999997</v>
      </c>
      <c r="I19" s="409">
        <f t="shared" si="4"/>
        <v>0</v>
      </c>
      <c r="J19" s="204"/>
      <c r="M19" s="437"/>
      <c r="N19" s="418">
        <f t="shared" si="8"/>
        <v>0</v>
      </c>
      <c r="O19" s="437"/>
      <c r="P19" s="437"/>
      <c r="Q19" s="437"/>
      <c r="R19" s="437"/>
      <c r="S19" s="437"/>
    </row>
    <row r="20" spans="1:19" ht="55.65">
      <c r="A20" s="413">
        <v>0</v>
      </c>
      <c r="B20" s="407" t="s">
        <v>522</v>
      </c>
      <c r="C20" s="420" t="s">
        <v>987</v>
      </c>
      <c r="D20" s="413" t="s">
        <v>761</v>
      </c>
      <c r="E20" s="420" t="s">
        <v>762</v>
      </c>
      <c r="F20" s="409">
        <v>2.5</v>
      </c>
      <c r="G20" s="410"/>
      <c r="H20" s="409">
        <f t="shared" si="3"/>
        <v>2.5</v>
      </c>
      <c r="I20" s="409">
        <f t="shared" si="4"/>
        <v>0</v>
      </c>
      <c r="J20" s="204"/>
      <c r="M20" s="437"/>
      <c r="N20" s="437"/>
      <c r="O20" s="437"/>
      <c r="P20" s="437"/>
      <c r="Q20" s="437"/>
      <c r="R20" s="418">
        <f t="shared" si="5"/>
        <v>0</v>
      </c>
      <c r="S20" s="437"/>
    </row>
    <row r="21" spans="1:19" ht="35.85" customHeight="1">
      <c r="A21" s="413">
        <v>1</v>
      </c>
      <c r="B21" s="413" t="s">
        <v>522</v>
      </c>
      <c r="C21" s="420" t="s">
        <v>1479</v>
      </c>
      <c r="D21" s="413"/>
      <c r="E21" s="408" t="s">
        <v>803</v>
      </c>
      <c r="F21" s="409">
        <v>564.44000000000005</v>
      </c>
      <c r="G21" s="410"/>
      <c r="H21" s="409">
        <f t="shared" si="3"/>
        <v>564.44000000000005</v>
      </c>
      <c r="I21" s="409">
        <f t="shared" si="4"/>
        <v>564.44000000000005</v>
      </c>
      <c r="J21" s="1054" t="s">
        <v>2031</v>
      </c>
      <c r="K21" s="1054"/>
      <c r="L21" s="1054"/>
      <c r="M21" s="437"/>
      <c r="N21" s="437"/>
      <c r="O21" s="437"/>
      <c r="P21" s="437"/>
      <c r="Q21" s="437"/>
      <c r="R21" s="418">
        <f t="shared" si="5"/>
        <v>564.44000000000005</v>
      </c>
      <c r="S21" s="437"/>
    </row>
    <row r="22" spans="1:19">
      <c r="A22" s="407"/>
      <c r="B22" s="407"/>
      <c r="C22" s="408"/>
      <c r="D22" s="407"/>
      <c r="E22" s="408"/>
      <c r="F22" s="409"/>
      <c r="G22" s="410"/>
      <c r="H22" s="409">
        <f t="shared" si="3"/>
        <v>0</v>
      </c>
      <c r="I22" s="409">
        <f t="shared" si="4"/>
        <v>0</v>
      </c>
      <c r="J22" s="204"/>
      <c r="M22" s="437"/>
      <c r="N22" s="437"/>
      <c r="O22" s="437"/>
      <c r="P22" s="437"/>
      <c r="Q22" s="437"/>
      <c r="R22" s="418">
        <f t="shared" si="5"/>
        <v>0</v>
      </c>
      <c r="S22" s="437"/>
    </row>
    <row r="23" spans="1:19" ht="22.25">
      <c r="A23" s="413">
        <v>1</v>
      </c>
      <c r="B23" s="407" t="s">
        <v>522</v>
      </c>
      <c r="C23" s="408"/>
      <c r="D23" s="407"/>
      <c r="E23" s="408" t="s">
        <v>695</v>
      </c>
      <c r="F23" s="409">
        <v>100</v>
      </c>
      <c r="G23" s="410"/>
      <c r="H23" s="409">
        <f t="shared" si="3"/>
        <v>100</v>
      </c>
      <c r="I23" s="409">
        <f t="shared" si="4"/>
        <v>100</v>
      </c>
      <c r="J23" s="204" t="s">
        <v>696</v>
      </c>
      <c r="M23" s="437"/>
      <c r="N23" s="437"/>
      <c r="O23" s="418">
        <f t="shared" si="7"/>
        <v>100</v>
      </c>
      <c r="P23" s="437"/>
      <c r="Q23" s="437"/>
      <c r="R23" s="418"/>
      <c r="S23" s="437"/>
    </row>
    <row r="24" spans="1:19" ht="22.25">
      <c r="A24" s="413">
        <v>1</v>
      </c>
      <c r="B24" s="407" t="s">
        <v>505</v>
      </c>
      <c r="C24" s="408" t="s">
        <v>534</v>
      </c>
      <c r="D24" s="407"/>
      <c r="E24" s="408" t="s">
        <v>567</v>
      </c>
      <c r="F24" s="409">
        <v>375</v>
      </c>
      <c r="G24" s="410"/>
      <c r="H24" s="409">
        <f t="shared" si="3"/>
        <v>375</v>
      </c>
      <c r="I24" s="409">
        <f t="shared" si="4"/>
        <v>375</v>
      </c>
      <c r="J24" s="204"/>
      <c r="M24" s="418">
        <f>F24</f>
        <v>375</v>
      </c>
      <c r="N24" s="437"/>
      <c r="O24" s="437"/>
      <c r="P24" s="437"/>
      <c r="Q24" s="437"/>
      <c r="R24" s="437"/>
      <c r="S24" s="437"/>
    </row>
    <row r="25" spans="1:19" ht="44.55">
      <c r="A25" s="407">
        <v>30</v>
      </c>
      <c r="B25" s="407" t="s">
        <v>539</v>
      </c>
      <c r="C25" s="408" t="s">
        <v>690</v>
      </c>
      <c r="D25" s="407"/>
      <c r="E25" s="407" t="s">
        <v>835</v>
      </c>
      <c r="F25" s="409">
        <v>9.32</v>
      </c>
      <c r="G25" s="428"/>
      <c r="H25" s="409">
        <f t="shared" si="3"/>
        <v>9.32</v>
      </c>
      <c r="I25" s="409">
        <f t="shared" si="4"/>
        <v>279.60000000000002</v>
      </c>
      <c r="J25" s="491" t="s">
        <v>756</v>
      </c>
      <c r="M25" s="418"/>
      <c r="N25" s="437"/>
      <c r="O25" s="418">
        <f t="shared" si="7"/>
        <v>279.60000000000002</v>
      </c>
      <c r="P25" s="437"/>
      <c r="Q25" s="437"/>
      <c r="R25" s="437"/>
      <c r="S25" s="437"/>
    </row>
    <row r="26" spans="1:19" ht="44.55">
      <c r="A26" s="407">
        <v>1</v>
      </c>
      <c r="B26" s="407" t="s">
        <v>517</v>
      </c>
      <c r="C26" s="408" t="s">
        <v>569</v>
      </c>
      <c r="D26" s="407" t="s">
        <v>570</v>
      </c>
      <c r="E26" s="408" t="s">
        <v>571</v>
      </c>
      <c r="F26" s="409">
        <v>1040</v>
      </c>
      <c r="G26" s="429">
        <v>0.48</v>
      </c>
      <c r="H26" s="430">
        <f t="shared" si="3"/>
        <v>540.80000000000007</v>
      </c>
      <c r="I26" s="409">
        <f t="shared" si="4"/>
        <v>540.80000000000007</v>
      </c>
      <c r="J26" s="204"/>
      <c r="M26" s="418"/>
      <c r="N26" s="437"/>
      <c r="O26" s="437"/>
      <c r="P26" s="437"/>
      <c r="Q26" s="437"/>
      <c r="R26" s="437"/>
      <c r="S26" s="437">
        <f t="shared" ref="S26:S30" si="9">I26</f>
        <v>540.80000000000007</v>
      </c>
    </row>
    <row r="27" spans="1:19" ht="44.55">
      <c r="A27" s="407">
        <v>0</v>
      </c>
      <c r="B27" s="407" t="s">
        <v>517</v>
      </c>
      <c r="C27" s="492" t="s">
        <v>569</v>
      </c>
      <c r="D27" s="487" t="s">
        <v>572</v>
      </c>
      <c r="E27" s="492" t="s">
        <v>573</v>
      </c>
      <c r="F27" s="430">
        <v>1190</v>
      </c>
      <c r="G27" s="429">
        <v>0.48</v>
      </c>
      <c r="H27" s="430">
        <f t="shared" si="3"/>
        <v>618.80000000000007</v>
      </c>
      <c r="I27" s="409">
        <f t="shared" si="4"/>
        <v>0</v>
      </c>
      <c r="J27" s="204"/>
      <c r="M27" s="418"/>
      <c r="N27" s="437"/>
      <c r="O27" s="437"/>
      <c r="P27" s="437"/>
      <c r="Q27" s="437"/>
      <c r="R27" s="437"/>
      <c r="S27" s="437">
        <f t="shared" si="9"/>
        <v>0</v>
      </c>
    </row>
    <row r="28" spans="1:19">
      <c r="A28" s="407">
        <v>0</v>
      </c>
      <c r="B28" s="407" t="s">
        <v>517</v>
      </c>
      <c r="C28" s="408" t="s">
        <v>574</v>
      </c>
      <c r="D28" s="407" t="s">
        <v>575</v>
      </c>
      <c r="E28" s="407" t="s">
        <v>576</v>
      </c>
      <c r="F28" s="409">
        <v>36.700000000000003</v>
      </c>
      <c r="G28" s="410"/>
      <c r="H28" s="409">
        <f t="shared" si="3"/>
        <v>36.700000000000003</v>
      </c>
      <c r="I28" s="409">
        <f t="shared" si="4"/>
        <v>0</v>
      </c>
      <c r="J28" s="204"/>
      <c r="M28" s="418"/>
      <c r="N28" s="437"/>
      <c r="O28" s="437"/>
      <c r="P28" s="437"/>
      <c r="Q28" s="437"/>
      <c r="R28" s="437"/>
      <c r="S28" s="437">
        <f t="shared" si="9"/>
        <v>0</v>
      </c>
    </row>
    <row r="29" spans="1:19">
      <c r="A29" s="407">
        <v>5</v>
      </c>
      <c r="B29" s="407" t="s">
        <v>517</v>
      </c>
      <c r="C29" s="408" t="s">
        <v>574</v>
      </c>
      <c r="D29" s="407" t="s">
        <v>577</v>
      </c>
      <c r="E29" s="407" t="s">
        <v>578</v>
      </c>
      <c r="F29" s="409">
        <v>75</v>
      </c>
      <c r="G29" s="410"/>
      <c r="H29" s="409">
        <f t="shared" si="3"/>
        <v>75</v>
      </c>
      <c r="I29" s="409">
        <f t="shared" si="4"/>
        <v>375</v>
      </c>
      <c r="J29" s="204"/>
      <c r="M29" s="418"/>
      <c r="N29" s="437"/>
      <c r="O29" s="437"/>
      <c r="P29" s="437"/>
      <c r="Q29" s="437"/>
      <c r="R29" s="437"/>
      <c r="S29" s="437">
        <f t="shared" si="9"/>
        <v>375</v>
      </c>
    </row>
    <row r="30" spans="1:19">
      <c r="A30" s="407">
        <v>1</v>
      </c>
      <c r="B30" s="407" t="s">
        <v>517</v>
      </c>
      <c r="C30" s="408" t="s">
        <v>574</v>
      </c>
      <c r="D30" s="407"/>
      <c r="E30" s="407" t="s">
        <v>579</v>
      </c>
      <c r="F30" s="409">
        <f>35/4</f>
        <v>8.75</v>
      </c>
      <c r="G30" s="410"/>
      <c r="H30" s="409">
        <f t="shared" si="3"/>
        <v>8.75</v>
      </c>
      <c r="I30" s="409">
        <f t="shared" si="4"/>
        <v>8.75</v>
      </c>
      <c r="J30" s="204"/>
      <c r="M30" s="418"/>
      <c r="N30" s="437"/>
      <c r="O30" s="437"/>
      <c r="P30" s="437"/>
      <c r="Q30" s="437"/>
      <c r="R30" s="437"/>
      <c r="S30" s="437">
        <f t="shared" si="9"/>
        <v>8.75</v>
      </c>
    </row>
    <row r="31" spans="1:19" ht="12.45">
      <c r="A31" s="407"/>
      <c r="B31" s="407"/>
      <c r="C31" s="408"/>
      <c r="D31" s="407"/>
      <c r="E31" s="431"/>
      <c r="F31" s="409"/>
      <c r="G31" s="410"/>
      <c r="H31" s="409"/>
      <c r="I31" s="409"/>
      <c r="J31" s="204"/>
      <c r="M31" s="418"/>
      <c r="N31" s="437"/>
      <c r="O31" s="437"/>
      <c r="P31" s="437"/>
      <c r="Q31" s="437"/>
      <c r="R31" s="437"/>
      <c r="S31" s="437"/>
    </row>
    <row r="32" spans="1:19">
      <c r="A32" s="407"/>
      <c r="B32" s="407"/>
      <c r="C32" s="408"/>
      <c r="D32" s="407"/>
      <c r="E32" s="407"/>
      <c r="F32" s="409"/>
      <c r="G32" s="410"/>
      <c r="H32" s="409"/>
      <c r="I32" s="409"/>
      <c r="J32" s="204"/>
      <c r="M32" s="437"/>
      <c r="N32" s="437"/>
      <c r="O32" s="437"/>
      <c r="P32" s="437"/>
      <c r="Q32" s="437"/>
      <c r="R32" s="437"/>
      <c r="S32" s="437"/>
    </row>
    <row r="33" spans="1:19">
      <c r="A33" s="407"/>
      <c r="B33" s="407"/>
      <c r="C33" s="408"/>
      <c r="D33" s="407"/>
      <c r="E33" s="432" t="s">
        <v>580</v>
      </c>
      <c r="F33" s="409"/>
      <c r="G33" s="410"/>
      <c r="H33" s="409"/>
      <c r="I33" s="421">
        <f>SUM(I4:I31)</f>
        <v>18309.345066011716</v>
      </c>
      <c r="J33" s="204"/>
      <c r="M33" s="418">
        <f>SUM(M4:M31)</f>
        <v>11417.48</v>
      </c>
      <c r="N33" s="418">
        <f>SUM(N4:N31)</f>
        <v>3375.0895660117203</v>
      </c>
      <c r="O33" s="418">
        <f>SUM(O4:O31)</f>
        <v>535.55550000000005</v>
      </c>
      <c r="P33" s="418"/>
      <c r="Q33" s="418"/>
      <c r="R33" s="418">
        <f>SUM(R4:R31)</f>
        <v>2056.67</v>
      </c>
      <c r="S33" s="418">
        <f>SUM(S4:S31)</f>
        <v>924.55000000000007</v>
      </c>
    </row>
    <row r="34" spans="1:19">
      <c r="A34" s="407"/>
      <c r="B34" s="407"/>
      <c r="C34" s="408"/>
      <c r="D34" s="407"/>
      <c r="E34" s="413" t="s">
        <v>581</v>
      </c>
      <c r="F34" s="409"/>
      <c r="G34" s="410">
        <v>0.25</v>
      </c>
      <c r="H34" s="409"/>
      <c r="I34" s="421"/>
      <c r="J34" s="204"/>
      <c r="M34" s="418"/>
      <c r="N34" s="418"/>
      <c r="O34" s="418"/>
      <c r="P34" s="418"/>
      <c r="Q34" s="418"/>
      <c r="R34" s="418"/>
      <c r="S34" s="418"/>
    </row>
    <row r="35" spans="1:19" ht="15.75">
      <c r="E35" s="433" t="s">
        <v>582</v>
      </c>
      <c r="F35" s="418"/>
      <c r="G35" s="434"/>
      <c r="H35" s="418"/>
      <c r="I35" s="435">
        <f>I33*(1+$G$34)</f>
        <v>22886.681332514643</v>
      </c>
      <c r="J35" s="436"/>
      <c r="K35" s="437"/>
      <c r="L35" s="437"/>
      <c r="M35" s="165">
        <f>M33*(1+$G$34)</f>
        <v>14271.849999999999</v>
      </c>
      <c r="N35" s="165">
        <f>N33*(1+$G$34)</f>
        <v>4218.8619575146504</v>
      </c>
      <c r="O35" s="165">
        <f>O33*(1+$G$34)</f>
        <v>669.44437500000004</v>
      </c>
      <c r="P35" s="418"/>
      <c r="Q35" s="418"/>
      <c r="R35" s="165">
        <f>R33*(1+$G$34)</f>
        <v>2570.8375000000001</v>
      </c>
      <c r="S35" s="165">
        <f>S33*(1+$G$34)</f>
        <v>1155.6875</v>
      </c>
    </row>
    <row r="38" spans="1:19">
      <c r="E38" s="439" t="s">
        <v>585</v>
      </c>
    </row>
    <row r="39" spans="1:19">
      <c r="A39" s="441">
        <v>8</v>
      </c>
      <c r="B39" s="17" t="s">
        <v>619</v>
      </c>
      <c r="E39" s="17" t="s">
        <v>586</v>
      </c>
      <c r="F39" s="403">
        <f t="shared" ref="F39:F55" si="10">F$59</f>
        <v>55</v>
      </c>
      <c r="H39" s="403">
        <f t="shared" si="3"/>
        <v>55</v>
      </c>
      <c r="I39" s="403">
        <f t="shared" ref="I39:I61" si="11">A39*H39</f>
        <v>440</v>
      </c>
    </row>
    <row r="40" spans="1:19">
      <c r="A40" s="441">
        <f>A6/120*8*2</f>
        <v>10.8</v>
      </c>
      <c r="B40" s="17" t="s">
        <v>619</v>
      </c>
      <c r="E40" s="17" t="s">
        <v>589</v>
      </c>
      <c r="F40" s="403">
        <f t="shared" si="10"/>
        <v>55</v>
      </c>
      <c r="H40" s="403">
        <f t="shared" si="3"/>
        <v>55</v>
      </c>
      <c r="I40" s="403">
        <f t="shared" si="11"/>
        <v>594</v>
      </c>
      <c r="J40" s="17" t="s">
        <v>592</v>
      </c>
    </row>
    <row r="41" spans="1:19">
      <c r="A41" s="441">
        <v>4</v>
      </c>
      <c r="B41" s="17" t="s">
        <v>619</v>
      </c>
      <c r="E41" s="17" t="s">
        <v>1426</v>
      </c>
      <c r="F41" s="403">
        <f t="shared" si="10"/>
        <v>55</v>
      </c>
      <c r="H41" s="403">
        <f t="shared" si="3"/>
        <v>55</v>
      </c>
      <c r="I41" s="403">
        <f t="shared" si="11"/>
        <v>220</v>
      </c>
    </row>
    <row r="42" spans="1:19">
      <c r="A42" s="441">
        <f>A6/120*16*2</f>
        <v>21.6</v>
      </c>
      <c r="B42" s="17" t="s">
        <v>619</v>
      </c>
      <c r="E42" s="17" t="s">
        <v>591</v>
      </c>
      <c r="F42" s="403">
        <f t="shared" si="10"/>
        <v>55</v>
      </c>
      <c r="H42" s="403">
        <f t="shared" si="3"/>
        <v>55</v>
      </c>
      <c r="I42" s="403">
        <f t="shared" si="11"/>
        <v>1188</v>
      </c>
      <c r="J42" s="17" t="s">
        <v>592</v>
      </c>
    </row>
    <row r="43" spans="1:19">
      <c r="A43" s="441">
        <v>4</v>
      </c>
      <c r="B43" s="17" t="s">
        <v>619</v>
      </c>
      <c r="E43" s="17" t="s">
        <v>1428</v>
      </c>
      <c r="F43" s="403">
        <f t="shared" si="10"/>
        <v>55</v>
      </c>
      <c r="H43" s="403">
        <f t="shared" si="3"/>
        <v>55</v>
      </c>
      <c r="I43" s="403">
        <f t="shared" si="11"/>
        <v>220</v>
      </c>
    </row>
    <row r="44" spans="1:19">
      <c r="A44" s="441">
        <v>4</v>
      </c>
      <c r="B44" s="17" t="s">
        <v>619</v>
      </c>
      <c r="E44" s="17" t="s">
        <v>1429</v>
      </c>
      <c r="F44" s="403">
        <f t="shared" si="10"/>
        <v>55</v>
      </c>
      <c r="H44" s="403">
        <f t="shared" si="3"/>
        <v>55</v>
      </c>
      <c r="I44" s="403">
        <f t="shared" si="11"/>
        <v>220</v>
      </c>
    </row>
    <row r="45" spans="1:19">
      <c r="A45" s="441">
        <v>2</v>
      </c>
      <c r="B45" s="17" t="s">
        <v>619</v>
      </c>
      <c r="E45" s="17" t="s">
        <v>605</v>
      </c>
      <c r="F45" s="403">
        <f t="shared" si="10"/>
        <v>55</v>
      </c>
      <c r="H45" s="403">
        <f t="shared" si="3"/>
        <v>55</v>
      </c>
      <c r="I45" s="403">
        <f t="shared" si="11"/>
        <v>110</v>
      </c>
    </row>
    <row r="46" spans="1:19">
      <c r="A46" s="441">
        <f>2+A17*0.17</f>
        <v>8.9700000000000006</v>
      </c>
      <c r="B46" s="17" t="s">
        <v>619</v>
      </c>
      <c r="E46" s="17" t="s">
        <v>607</v>
      </c>
      <c r="F46" s="403">
        <f t="shared" si="10"/>
        <v>55</v>
      </c>
      <c r="H46" s="403">
        <f t="shared" si="3"/>
        <v>55</v>
      </c>
      <c r="I46" s="403">
        <f t="shared" si="11"/>
        <v>493.35</v>
      </c>
      <c r="J46" s="17" t="s">
        <v>608</v>
      </c>
    </row>
    <row r="47" spans="1:19">
      <c r="A47" s="441">
        <v>0.5</v>
      </c>
      <c r="B47" s="17" t="s">
        <v>619</v>
      </c>
      <c r="E47" s="17" t="s">
        <v>609</v>
      </c>
      <c r="F47" s="403">
        <f t="shared" si="10"/>
        <v>55</v>
      </c>
      <c r="H47" s="403">
        <f t="shared" si="3"/>
        <v>55</v>
      </c>
      <c r="I47" s="403">
        <f t="shared" si="11"/>
        <v>27.5</v>
      </c>
    </row>
    <row r="48" spans="1:19">
      <c r="A48" s="441">
        <v>8</v>
      </c>
      <c r="B48" s="17" t="s">
        <v>619</v>
      </c>
      <c r="E48" s="17" t="s">
        <v>610</v>
      </c>
      <c r="F48" s="403">
        <f t="shared" si="10"/>
        <v>55</v>
      </c>
      <c r="H48" s="403">
        <f t="shared" si="3"/>
        <v>55</v>
      </c>
      <c r="I48" s="403">
        <f t="shared" si="11"/>
        <v>440</v>
      </c>
    </row>
    <row r="49" spans="1:16">
      <c r="A49" s="441">
        <v>0.5</v>
      </c>
      <c r="B49" s="17" t="s">
        <v>619</v>
      </c>
      <c r="E49" s="17" t="s">
        <v>611</v>
      </c>
      <c r="F49" s="403">
        <f t="shared" si="10"/>
        <v>55</v>
      </c>
      <c r="H49" s="403">
        <f t="shared" si="3"/>
        <v>55</v>
      </c>
      <c r="I49" s="403">
        <f t="shared" si="11"/>
        <v>27.5</v>
      </c>
    </row>
    <row r="50" spans="1:16">
      <c r="A50" s="441">
        <v>1</v>
      </c>
      <c r="B50" s="17" t="s">
        <v>619</v>
      </c>
      <c r="E50" s="17" t="s">
        <v>1431</v>
      </c>
      <c r="F50" s="403">
        <f t="shared" si="10"/>
        <v>55</v>
      </c>
      <c r="H50" s="403">
        <f t="shared" si="3"/>
        <v>55</v>
      </c>
      <c r="I50" s="403">
        <f t="shared" si="11"/>
        <v>55</v>
      </c>
    </row>
    <row r="51" spans="1:16">
      <c r="A51" s="441">
        <f>3*2</f>
        <v>6</v>
      </c>
      <c r="B51" s="17" t="s">
        <v>619</v>
      </c>
      <c r="E51" s="17" t="s">
        <v>612</v>
      </c>
      <c r="F51" s="403">
        <f t="shared" si="10"/>
        <v>55</v>
      </c>
      <c r="H51" s="403">
        <f t="shared" si="3"/>
        <v>55</v>
      </c>
      <c r="I51" s="403">
        <f t="shared" si="11"/>
        <v>330</v>
      </c>
      <c r="J51" s="17" t="s">
        <v>613</v>
      </c>
    </row>
    <row r="52" spans="1:16">
      <c r="A52" s="441">
        <v>8</v>
      </c>
      <c r="B52" s="17" t="s">
        <v>619</v>
      </c>
      <c r="E52" s="17" t="s">
        <v>614</v>
      </c>
      <c r="F52" s="403">
        <f t="shared" si="10"/>
        <v>55</v>
      </c>
      <c r="H52" s="403">
        <f t="shared" si="3"/>
        <v>55</v>
      </c>
      <c r="I52" s="403">
        <f t="shared" si="11"/>
        <v>440</v>
      </c>
    </row>
    <row r="53" spans="1:16">
      <c r="A53" s="441">
        <v>4</v>
      </c>
      <c r="B53" s="17" t="s">
        <v>619</v>
      </c>
      <c r="E53" s="17" t="s">
        <v>615</v>
      </c>
      <c r="F53" s="403">
        <f t="shared" si="10"/>
        <v>55</v>
      </c>
      <c r="H53" s="403">
        <f t="shared" si="3"/>
        <v>55</v>
      </c>
      <c r="I53" s="403">
        <f t="shared" si="11"/>
        <v>220</v>
      </c>
    </row>
    <row r="54" spans="1:16">
      <c r="A54" s="441">
        <v>4</v>
      </c>
      <c r="B54" s="17" t="s">
        <v>619</v>
      </c>
      <c r="E54" s="17" t="s">
        <v>616</v>
      </c>
      <c r="F54" s="403">
        <f t="shared" si="10"/>
        <v>55</v>
      </c>
      <c r="H54" s="403">
        <f t="shared" si="3"/>
        <v>55</v>
      </c>
      <c r="I54" s="403">
        <f t="shared" si="11"/>
        <v>220</v>
      </c>
    </row>
    <row r="55" spans="1:16">
      <c r="A55" s="441">
        <v>0</v>
      </c>
      <c r="B55" s="442" t="s">
        <v>619</v>
      </c>
      <c r="C55" s="446"/>
      <c r="D55" s="442"/>
      <c r="E55" s="17" t="s">
        <v>617</v>
      </c>
      <c r="F55" s="443">
        <f t="shared" si="10"/>
        <v>55</v>
      </c>
      <c r="G55" s="444"/>
      <c r="H55" s="443">
        <f t="shared" si="3"/>
        <v>55</v>
      </c>
      <c r="I55" s="443">
        <f t="shared" si="11"/>
        <v>0</v>
      </c>
      <c r="J55" s="17" t="s">
        <v>618</v>
      </c>
    </row>
    <row r="57" spans="1:16">
      <c r="A57" s="17">
        <f>SUM(A39:A56)</f>
        <v>95.37</v>
      </c>
      <c r="B57" s="17" t="s">
        <v>619</v>
      </c>
      <c r="E57" s="17" t="s">
        <v>620</v>
      </c>
    </row>
    <row r="58" spans="1:16">
      <c r="A58" s="441">
        <v>3</v>
      </c>
      <c r="B58" s="17" t="s">
        <v>517</v>
      </c>
      <c r="E58" s="17" t="s">
        <v>621</v>
      </c>
    </row>
    <row r="59" spans="1:16">
      <c r="A59" s="17">
        <v>1</v>
      </c>
      <c r="B59" s="17" t="s">
        <v>517</v>
      </c>
      <c r="E59" s="17" t="s">
        <v>622</v>
      </c>
      <c r="F59" s="445">
        <v>55</v>
      </c>
      <c r="H59" s="403">
        <f t="shared" si="3"/>
        <v>55</v>
      </c>
      <c r="I59" s="403">
        <f t="shared" si="11"/>
        <v>55</v>
      </c>
      <c r="J59" s="17" t="s">
        <v>623</v>
      </c>
    </row>
    <row r="60" spans="1:16">
      <c r="A60" s="17">
        <f>ROUNDUP(A57/8/A58,0)</f>
        <v>4</v>
      </c>
      <c r="B60" s="17" t="s">
        <v>624</v>
      </c>
      <c r="E60" s="17" t="s">
        <v>625</v>
      </c>
      <c r="F60" s="403">
        <f>A58*8*F59</f>
        <v>1320</v>
      </c>
      <c r="H60" s="403">
        <f t="shared" si="3"/>
        <v>1320</v>
      </c>
      <c r="I60" s="403">
        <f t="shared" si="11"/>
        <v>5280</v>
      </c>
    </row>
    <row r="61" spans="1:16">
      <c r="A61" s="441">
        <v>0</v>
      </c>
      <c r="B61" s="442" t="s">
        <v>517</v>
      </c>
      <c r="C61" s="446"/>
      <c r="D61" s="442"/>
      <c r="E61" s="442" t="s">
        <v>626</v>
      </c>
      <c r="F61" s="447"/>
      <c r="G61" s="444"/>
      <c r="H61" s="403">
        <f t="shared" si="3"/>
        <v>0</v>
      </c>
      <c r="I61" s="403">
        <f t="shared" si="11"/>
        <v>0</v>
      </c>
      <c r="J61" s="442"/>
    </row>
    <row r="62" spans="1:16">
      <c r="A62" s="441"/>
      <c r="F62" s="447"/>
      <c r="H62" s="403"/>
      <c r="I62" s="403"/>
    </row>
    <row r="63" spans="1:16">
      <c r="A63" s="441"/>
      <c r="F63" s="447"/>
      <c r="H63" s="403"/>
      <c r="I63" s="403"/>
    </row>
    <row r="64" spans="1:16" ht="15.75">
      <c r="E64" s="439" t="s">
        <v>628</v>
      </c>
      <c r="I64" s="443">
        <f>SUM(I60:I63)</f>
        <v>5280</v>
      </c>
      <c r="P64" s="165">
        <f>I64</f>
        <v>5280</v>
      </c>
    </row>
    <row r="67" spans="1:11">
      <c r="E67" s="449" t="s">
        <v>630</v>
      </c>
    </row>
    <row r="68" spans="1:11">
      <c r="E68" s="449" t="s">
        <v>635</v>
      </c>
    </row>
    <row r="69" spans="1:11" ht="66.8">
      <c r="A69" s="915">
        <v>1</v>
      </c>
      <c r="B69" s="17" t="s">
        <v>517</v>
      </c>
      <c r="C69" s="204" t="s">
        <v>698</v>
      </c>
      <c r="D69" s="17" t="s">
        <v>636</v>
      </c>
      <c r="E69" s="17" t="s">
        <v>637</v>
      </c>
      <c r="F69" s="445">
        <v>1809</v>
      </c>
      <c r="G69" s="404">
        <v>0.4</v>
      </c>
      <c r="H69" s="403">
        <f t="shared" si="3"/>
        <v>1085.3999999999999</v>
      </c>
      <c r="I69" s="403">
        <f t="shared" ref="I69:I84" si="12">A69*H69</f>
        <v>1085.3999999999999</v>
      </c>
      <c r="J69" s="17" t="s">
        <v>638</v>
      </c>
      <c r="K69" s="17" t="s">
        <v>1892</v>
      </c>
    </row>
    <row r="70" spans="1:11">
      <c r="A70" s="915">
        <v>0</v>
      </c>
      <c r="B70" s="17" t="s">
        <v>517</v>
      </c>
      <c r="C70" s="204" t="s">
        <v>538</v>
      </c>
      <c r="D70" s="17" t="s">
        <v>640</v>
      </c>
      <c r="E70" s="17" t="s">
        <v>1893</v>
      </c>
      <c r="F70" s="445">
        <v>1949</v>
      </c>
      <c r="G70" s="404">
        <v>0.4</v>
      </c>
      <c r="H70" s="403">
        <f t="shared" si="3"/>
        <v>1169.3999999999999</v>
      </c>
      <c r="I70" s="403">
        <f t="shared" si="12"/>
        <v>0</v>
      </c>
      <c r="J70" s="17" t="s">
        <v>638</v>
      </c>
      <c r="K70" s="17" t="s">
        <v>1894</v>
      </c>
    </row>
    <row r="71" spans="1:11">
      <c r="A71" s="441">
        <v>0</v>
      </c>
      <c r="B71" s="17" t="s">
        <v>517</v>
      </c>
      <c r="C71" s="204" t="s">
        <v>538</v>
      </c>
      <c r="D71" s="17" t="s">
        <v>640</v>
      </c>
      <c r="E71" s="17" t="s">
        <v>1895</v>
      </c>
      <c r="F71" s="445">
        <v>1949</v>
      </c>
      <c r="G71" s="404">
        <v>0.4</v>
      </c>
      <c r="H71" s="403">
        <f t="shared" si="3"/>
        <v>1169.3999999999999</v>
      </c>
      <c r="I71" s="403">
        <f t="shared" si="12"/>
        <v>0</v>
      </c>
      <c r="J71" s="17" t="s">
        <v>638</v>
      </c>
      <c r="K71" s="17" t="s">
        <v>1894</v>
      </c>
    </row>
    <row r="72" spans="1:11">
      <c r="A72" s="915">
        <v>0</v>
      </c>
      <c r="B72" s="17" t="s">
        <v>517</v>
      </c>
      <c r="C72" s="204" t="s">
        <v>538</v>
      </c>
      <c r="D72" s="17" t="s">
        <v>640</v>
      </c>
      <c r="E72" s="17" t="s">
        <v>1896</v>
      </c>
      <c r="F72" s="445">
        <v>2447</v>
      </c>
      <c r="G72" s="404">
        <v>0.4</v>
      </c>
      <c r="H72" s="403">
        <f t="shared" si="3"/>
        <v>1468.2</v>
      </c>
      <c r="I72" s="403">
        <f t="shared" si="12"/>
        <v>0</v>
      </c>
      <c r="J72" s="17" t="s">
        <v>638</v>
      </c>
      <c r="K72" s="17" t="s">
        <v>1894</v>
      </c>
    </row>
    <row r="73" spans="1:11">
      <c r="A73" s="441">
        <v>0</v>
      </c>
      <c r="B73" s="17" t="s">
        <v>517</v>
      </c>
      <c r="C73" s="204" t="s">
        <v>538</v>
      </c>
      <c r="D73" s="17" t="s">
        <v>640</v>
      </c>
      <c r="E73" s="17" t="s">
        <v>1897</v>
      </c>
      <c r="F73" s="445">
        <v>4395</v>
      </c>
      <c r="G73" s="404">
        <v>0.4</v>
      </c>
      <c r="H73" s="403">
        <f t="shared" si="3"/>
        <v>2637</v>
      </c>
      <c r="I73" s="403">
        <f t="shared" si="12"/>
        <v>0</v>
      </c>
      <c r="J73" s="17" t="s">
        <v>638</v>
      </c>
      <c r="K73" s="17" t="s">
        <v>1894</v>
      </c>
    </row>
    <row r="74" spans="1:11">
      <c r="A74" s="441">
        <v>0</v>
      </c>
      <c r="B74" s="17" t="s">
        <v>517</v>
      </c>
      <c r="C74" s="204" t="s">
        <v>538</v>
      </c>
      <c r="D74" s="17" t="s">
        <v>640</v>
      </c>
      <c r="E74" s="17" t="s">
        <v>1898</v>
      </c>
      <c r="F74" s="445">
        <v>21206</v>
      </c>
      <c r="G74" s="404">
        <v>0.4</v>
      </c>
      <c r="H74" s="403">
        <f t="shared" ref="H74:H99" si="13">F74*(1-G74)</f>
        <v>12723.6</v>
      </c>
      <c r="I74" s="403">
        <f t="shared" si="12"/>
        <v>0</v>
      </c>
      <c r="J74" s="17" t="s">
        <v>638</v>
      </c>
      <c r="K74" s="17" t="s">
        <v>1894</v>
      </c>
    </row>
    <row r="75" spans="1:11">
      <c r="A75" s="915">
        <v>0</v>
      </c>
      <c r="B75" s="17" t="s">
        <v>539</v>
      </c>
      <c r="C75" s="204" t="s">
        <v>538</v>
      </c>
      <c r="D75" s="17" t="s">
        <v>643</v>
      </c>
      <c r="E75" s="17" t="s">
        <v>1899</v>
      </c>
      <c r="F75" s="445">
        <v>80</v>
      </c>
      <c r="G75" s="404">
        <v>0.4</v>
      </c>
      <c r="H75" s="403">
        <f t="shared" si="13"/>
        <v>48</v>
      </c>
      <c r="I75" s="403">
        <f t="shared" si="12"/>
        <v>0</v>
      </c>
      <c r="J75" s="17" t="s">
        <v>638</v>
      </c>
      <c r="K75" s="17" t="s">
        <v>1894</v>
      </c>
    </row>
    <row r="76" spans="1:11">
      <c r="A76" s="441">
        <v>0</v>
      </c>
      <c r="B76" s="17" t="s">
        <v>539</v>
      </c>
      <c r="C76" s="204" t="s">
        <v>538</v>
      </c>
      <c r="D76" s="17" t="s">
        <v>643</v>
      </c>
      <c r="E76" s="17" t="s">
        <v>1900</v>
      </c>
      <c r="F76" s="445">
        <v>108</v>
      </c>
      <c r="G76" s="404">
        <v>0.4</v>
      </c>
      <c r="H76" s="403">
        <f t="shared" si="13"/>
        <v>64.8</v>
      </c>
      <c r="I76" s="403">
        <f t="shared" si="12"/>
        <v>0</v>
      </c>
      <c r="J76" s="17" t="s">
        <v>638</v>
      </c>
      <c r="K76" s="17" t="s">
        <v>1894</v>
      </c>
    </row>
    <row r="77" spans="1:11">
      <c r="A77" s="204"/>
      <c r="F77" s="445"/>
      <c r="H77" s="403"/>
      <c r="I77" s="403"/>
    </row>
    <row r="78" spans="1:11">
      <c r="A78" s="204"/>
      <c r="E78" s="449" t="s">
        <v>1901</v>
      </c>
      <c r="F78" s="445"/>
      <c r="H78" s="403"/>
      <c r="I78" s="403"/>
    </row>
    <row r="79" spans="1:11">
      <c r="A79" s="441">
        <v>0</v>
      </c>
      <c r="B79" s="17" t="s">
        <v>517</v>
      </c>
      <c r="C79" s="204" t="s">
        <v>1902</v>
      </c>
      <c r="D79" s="17" t="s">
        <v>636</v>
      </c>
      <c r="E79" s="17" t="s">
        <v>1903</v>
      </c>
      <c r="F79" s="445">
        <v>2507</v>
      </c>
      <c r="G79" s="404">
        <v>0.4</v>
      </c>
      <c r="H79" s="403">
        <f t="shared" si="13"/>
        <v>1504.2</v>
      </c>
      <c r="I79" s="403">
        <f t="shared" si="12"/>
        <v>0</v>
      </c>
      <c r="J79" s="17" t="s">
        <v>638</v>
      </c>
      <c r="K79" s="17" t="s">
        <v>1904</v>
      </c>
    </row>
    <row r="80" spans="1:11">
      <c r="A80" s="441">
        <v>0</v>
      </c>
      <c r="B80" s="17" t="s">
        <v>517</v>
      </c>
      <c r="C80" s="204" t="s">
        <v>1902</v>
      </c>
      <c r="D80" s="17" t="s">
        <v>636</v>
      </c>
      <c r="E80" s="17" t="s">
        <v>1905</v>
      </c>
      <c r="F80" s="445">
        <v>2913</v>
      </c>
      <c r="G80" s="404">
        <v>0.4</v>
      </c>
      <c r="H80" s="403">
        <f t="shared" si="13"/>
        <v>1747.8</v>
      </c>
      <c r="I80" s="403">
        <f t="shared" si="12"/>
        <v>0</v>
      </c>
      <c r="J80" s="17" t="s">
        <v>638</v>
      </c>
      <c r="K80" s="17" t="s">
        <v>1904</v>
      </c>
    </row>
    <row r="81" spans="1:17">
      <c r="A81" s="441">
        <v>0</v>
      </c>
      <c r="B81" s="17" t="s">
        <v>539</v>
      </c>
      <c r="C81" s="204" t="s">
        <v>1902</v>
      </c>
      <c r="D81" s="17" t="s">
        <v>670</v>
      </c>
      <c r="E81" s="17" t="s">
        <v>1906</v>
      </c>
      <c r="F81" s="445">
        <v>107</v>
      </c>
      <c r="G81" s="404">
        <v>0.4</v>
      </c>
      <c r="H81" s="403">
        <f t="shared" si="13"/>
        <v>64.2</v>
      </c>
      <c r="I81" s="403">
        <f t="shared" si="12"/>
        <v>0</v>
      </c>
      <c r="J81" s="17" t="s">
        <v>638</v>
      </c>
      <c r="K81" s="17" t="s">
        <v>1904</v>
      </c>
    </row>
    <row r="82" spans="1:17">
      <c r="A82" s="441">
        <v>0</v>
      </c>
      <c r="B82" s="17" t="s">
        <v>539</v>
      </c>
      <c r="C82" s="204" t="s">
        <v>1902</v>
      </c>
      <c r="D82" s="17" t="s">
        <v>670</v>
      </c>
      <c r="E82" s="17" t="s">
        <v>1907</v>
      </c>
      <c r="F82" s="445">
        <v>108</v>
      </c>
      <c r="G82" s="404">
        <v>0.4</v>
      </c>
      <c r="H82" s="403">
        <f t="shared" si="13"/>
        <v>64.8</v>
      </c>
      <c r="I82" s="403">
        <f t="shared" si="12"/>
        <v>0</v>
      </c>
      <c r="J82" s="17" t="s">
        <v>638</v>
      </c>
      <c r="K82" s="17" t="s">
        <v>1904</v>
      </c>
    </row>
    <row r="83" spans="1:17">
      <c r="A83" s="441">
        <v>0</v>
      </c>
      <c r="B83" s="17" t="s">
        <v>517</v>
      </c>
      <c r="C83" s="204" t="s">
        <v>1902</v>
      </c>
      <c r="D83" s="17" t="s">
        <v>640</v>
      </c>
      <c r="E83" s="17" t="s">
        <v>1908</v>
      </c>
      <c r="F83" s="445">
        <v>1965</v>
      </c>
      <c r="G83" s="404">
        <v>0.4</v>
      </c>
      <c r="H83" s="403">
        <f t="shared" si="13"/>
        <v>1179</v>
      </c>
      <c r="I83" s="403">
        <f t="shared" si="12"/>
        <v>0</v>
      </c>
      <c r="J83" s="17" t="s">
        <v>638</v>
      </c>
      <c r="K83" s="17" t="s">
        <v>1904</v>
      </c>
    </row>
    <row r="84" spans="1:17">
      <c r="A84" s="441">
        <v>0</v>
      </c>
      <c r="B84" s="17" t="s">
        <v>539</v>
      </c>
      <c r="C84" s="204" t="s">
        <v>1902</v>
      </c>
      <c r="D84" s="17" t="s">
        <v>643</v>
      </c>
      <c r="E84" s="17" t="s">
        <v>1909</v>
      </c>
      <c r="F84" s="445">
        <v>95</v>
      </c>
      <c r="G84" s="404">
        <v>0.4</v>
      </c>
      <c r="H84" s="403">
        <f t="shared" si="13"/>
        <v>57</v>
      </c>
      <c r="I84" s="403">
        <f t="shared" si="12"/>
        <v>0</v>
      </c>
      <c r="J84" s="17" t="s">
        <v>638</v>
      </c>
      <c r="K84" s="17" t="s">
        <v>1904</v>
      </c>
    </row>
    <row r="85" spans="1:17">
      <c r="A85" s="204"/>
      <c r="F85" s="485"/>
      <c r="H85" s="403"/>
      <c r="I85" s="403"/>
    </row>
    <row r="86" spans="1:17" ht="15.75">
      <c r="E86" s="439" t="s">
        <v>676</v>
      </c>
      <c r="I86" s="443">
        <f>SUM(I69:I85)</f>
        <v>1085.3999999999999</v>
      </c>
      <c r="Q86" s="165">
        <f>I86</f>
        <v>1085.3999999999999</v>
      </c>
    </row>
    <row r="88" spans="1:17" ht="13.75" customHeight="1">
      <c r="A88" s="986" t="s">
        <v>100</v>
      </c>
      <c r="B88" s="986"/>
      <c r="C88" s="986"/>
      <c r="D88" s="986"/>
      <c r="E88" s="986"/>
    </row>
    <row r="90" spans="1:17">
      <c r="E90" s="442" t="s">
        <v>677</v>
      </c>
      <c r="J90" s="403" t="s">
        <v>779</v>
      </c>
    </row>
    <row r="91" spans="1:17" ht="22.25">
      <c r="A91" s="407">
        <v>0</v>
      </c>
      <c r="B91" s="407" t="s">
        <v>522</v>
      </c>
      <c r="C91" s="408" t="s">
        <v>678</v>
      </c>
      <c r="D91" s="407" t="s">
        <v>679</v>
      </c>
      <c r="E91" s="408" t="s">
        <v>680</v>
      </c>
      <c r="F91" s="409">
        <v>2801.13</v>
      </c>
      <c r="G91" s="410"/>
      <c r="H91" s="409">
        <f t="shared" si="13"/>
        <v>2801.13</v>
      </c>
      <c r="I91" s="409">
        <f t="shared" ref="I91:I99" si="14">A91*H91</f>
        <v>0</v>
      </c>
    </row>
    <row r="92" spans="1:17" ht="33.4">
      <c r="A92" s="407">
        <v>0</v>
      </c>
      <c r="B92" s="407" t="s">
        <v>522</v>
      </c>
      <c r="C92" s="408" t="s">
        <v>678</v>
      </c>
      <c r="D92" s="407" t="s">
        <v>681</v>
      </c>
      <c r="E92" s="408" t="s">
        <v>682</v>
      </c>
      <c r="F92" s="409">
        <v>772.15</v>
      </c>
      <c r="G92" s="410"/>
      <c r="H92" s="409">
        <f t="shared" si="13"/>
        <v>772.15</v>
      </c>
      <c r="I92" s="409">
        <f t="shared" si="14"/>
        <v>0</v>
      </c>
    </row>
    <row r="93" spans="1:17" ht="33.4">
      <c r="A93" s="407">
        <v>0</v>
      </c>
      <c r="B93" s="407" t="s">
        <v>522</v>
      </c>
      <c r="C93" s="408" t="s">
        <v>678</v>
      </c>
      <c r="D93" s="407" t="s">
        <v>683</v>
      </c>
      <c r="E93" s="408" t="s">
        <v>684</v>
      </c>
      <c r="F93" s="409">
        <v>150.26</v>
      </c>
      <c r="G93" s="410"/>
      <c r="H93" s="409">
        <f t="shared" si="13"/>
        <v>150.26</v>
      </c>
      <c r="I93" s="409">
        <f t="shared" si="14"/>
        <v>0</v>
      </c>
    </row>
    <row r="94" spans="1:17" ht="33.4">
      <c r="A94" s="407">
        <v>0</v>
      </c>
      <c r="B94" s="407" t="s">
        <v>522</v>
      </c>
      <c r="C94" s="408" t="s">
        <v>678</v>
      </c>
      <c r="D94" s="407" t="s">
        <v>685</v>
      </c>
      <c r="E94" s="408" t="s">
        <v>686</v>
      </c>
      <c r="F94" s="409">
        <v>10.58</v>
      </c>
      <c r="G94" s="410"/>
      <c r="H94" s="409">
        <f t="shared" si="13"/>
        <v>10.58</v>
      </c>
      <c r="I94" s="409">
        <f t="shared" si="14"/>
        <v>0</v>
      </c>
    </row>
    <row r="95" spans="1:17" ht="22.25">
      <c r="A95" s="407">
        <v>0</v>
      </c>
      <c r="B95" s="407" t="s">
        <v>522</v>
      </c>
      <c r="C95" s="408" t="s">
        <v>678</v>
      </c>
      <c r="D95" s="407" t="s">
        <v>687</v>
      </c>
      <c r="E95" s="408" t="s">
        <v>688</v>
      </c>
      <c r="F95" s="409">
        <v>69.78</v>
      </c>
      <c r="G95" s="410"/>
      <c r="H95" s="409">
        <f t="shared" si="13"/>
        <v>69.78</v>
      </c>
      <c r="I95" s="409">
        <f t="shared" si="14"/>
        <v>0</v>
      </c>
      <c r="J95" s="17" t="s">
        <v>689</v>
      </c>
    </row>
    <row r="96" spans="1:17" ht="22.25">
      <c r="A96" s="487">
        <v>0</v>
      </c>
      <c r="B96" s="407" t="s">
        <v>539</v>
      </c>
      <c r="C96" s="408" t="s">
        <v>690</v>
      </c>
      <c r="D96" s="407"/>
      <c r="E96" s="407" t="s">
        <v>691</v>
      </c>
      <c r="F96" s="409">
        <v>7.58</v>
      </c>
      <c r="G96" s="410"/>
      <c r="H96" s="409">
        <f t="shared" si="13"/>
        <v>7.58</v>
      </c>
      <c r="I96" s="409">
        <f t="shared" si="14"/>
        <v>0</v>
      </c>
      <c r="J96" s="17" t="s">
        <v>692</v>
      </c>
    </row>
    <row r="97" spans="1:10" ht="22.25">
      <c r="A97" s="487">
        <v>0</v>
      </c>
      <c r="B97" s="407" t="s">
        <v>539</v>
      </c>
      <c r="C97" s="408" t="s">
        <v>690</v>
      </c>
      <c r="D97" s="407"/>
      <c r="E97" s="407" t="s">
        <v>693</v>
      </c>
      <c r="F97" s="409">
        <v>2.04</v>
      </c>
      <c r="G97" s="410"/>
      <c r="H97" s="409">
        <f t="shared" si="13"/>
        <v>2.04</v>
      </c>
      <c r="I97" s="409">
        <f t="shared" si="14"/>
        <v>0</v>
      </c>
      <c r="J97" s="17" t="s">
        <v>694</v>
      </c>
    </row>
    <row r="98" spans="1:10" ht="22.25">
      <c r="A98" s="407">
        <v>0</v>
      </c>
      <c r="B98" s="407" t="s">
        <v>522</v>
      </c>
      <c r="C98" s="408"/>
      <c r="D98" s="407"/>
      <c r="E98" s="408" t="s">
        <v>695</v>
      </c>
      <c r="F98" s="409">
        <v>50</v>
      </c>
      <c r="G98" s="410"/>
      <c r="H98" s="409">
        <f t="shared" si="13"/>
        <v>50</v>
      </c>
      <c r="I98" s="409">
        <f t="shared" si="14"/>
        <v>0</v>
      </c>
      <c r="J98" s="204" t="s">
        <v>696</v>
      </c>
    </row>
    <row r="99" spans="1:10">
      <c r="A99" s="407">
        <v>0</v>
      </c>
      <c r="B99" s="407" t="s">
        <v>619</v>
      </c>
      <c r="C99" s="408"/>
      <c r="D99" s="407"/>
      <c r="E99" s="408" t="s">
        <v>697</v>
      </c>
      <c r="F99" s="409">
        <f>F59</f>
        <v>55</v>
      </c>
      <c r="G99" s="410"/>
      <c r="H99" s="409">
        <f t="shared" si="13"/>
        <v>55</v>
      </c>
      <c r="I99" s="409">
        <f t="shared" si="14"/>
        <v>0</v>
      </c>
    </row>
    <row r="100" spans="1:10" ht="66.8">
      <c r="A100" s="407">
        <v>0</v>
      </c>
      <c r="B100" s="407" t="s">
        <v>517</v>
      </c>
      <c r="C100" s="408" t="s">
        <v>698</v>
      </c>
      <c r="D100" s="407" t="s">
        <v>636</v>
      </c>
      <c r="E100" s="408" t="s">
        <v>637</v>
      </c>
      <c r="F100" s="409">
        <v>1809</v>
      </c>
      <c r="G100" s="410"/>
      <c r="H100" s="409">
        <f>F100*(1-G100)</f>
        <v>1809</v>
      </c>
      <c r="I100" s="409">
        <f>A100*H100</f>
        <v>0</v>
      </c>
      <c r="J100" s="17" t="s">
        <v>699</v>
      </c>
    </row>
    <row r="101" spans="1:10">
      <c r="A101" s="407"/>
      <c r="B101" s="407"/>
      <c r="C101" s="408"/>
      <c r="D101" s="407"/>
      <c r="E101" s="408"/>
      <c r="F101" s="409"/>
      <c r="G101" s="410"/>
      <c r="H101" s="409"/>
      <c r="I101" s="409"/>
    </row>
    <row r="102" spans="1:10">
      <c r="E102" s="442" t="s">
        <v>700</v>
      </c>
    </row>
    <row r="103" spans="1:10">
      <c r="A103" s="407"/>
      <c r="B103" s="407"/>
      <c r="C103" s="408"/>
      <c r="D103" s="407"/>
      <c r="E103" s="408"/>
      <c r="F103" s="409"/>
      <c r="G103" s="410"/>
      <c r="H103" s="409"/>
      <c r="I103" s="409"/>
    </row>
    <row r="104" spans="1:10">
      <c r="A104" s="407"/>
      <c r="B104" s="407"/>
      <c r="C104" s="408"/>
      <c r="D104" s="407"/>
      <c r="E104" s="408" t="s">
        <v>701</v>
      </c>
      <c r="F104" s="409"/>
      <c r="G104" s="410"/>
      <c r="H104" s="409"/>
      <c r="I104" s="409"/>
    </row>
    <row r="105" spans="1:10">
      <c r="A105" s="407"/>
      <c r="B105" s="407"/>
      <c r="C105" s="408"/>
      <c r="D105" s="407"/>
      <c r="E105" s="408"/>
      <c r="F105" s="409"/>
      <c r="G105" s="410"/>
      <c r="H105" s="409"/>
      <c r="I105" s="409"/>
    </row>
    <row r="106" spans="1:10">
      <c r="A106" s="407"/>
      <c r="B106" s="407"/>
      <c r="C106" s="408"/>
      <c r="D106" s="407"/>
      <c r="E106" s="408"/>
      <c r="F106" s="409"/>
      <c r="G106" s="410"/>
      <c r="H106" s="409"/>
      <c r="I106" s="409"/>
    </row>
    <row r="107" spans="1:10">
      <c r="A107" s="407"/>
      <c r="B107" s="407"/>
      <c r="C107" s="408"/>
      <c r="D107" s="407"/>
      <c r="E107" s="408"/>
      <c r="F107" s="409"/>
      <c r="G107" s="410"/>
      <c r="H107" s="409"/>
      <c r="I107" s="409"/>
    </row>
    <row r="108" spans="1:10">
      <c r="A108" s="407"/>
      <c r="B108" s="407"/>
      <c r="C108" s="408"/>
      <c r="D108" s="407"/>
      <c r="E108" s="408"/>
      <c r="F108" s="409"/>
      <c r="G108" s="410"/>
      <c r="H108" s="409"/>
      <c r="I108" s="409"/>
    </row>
    <row r="109" spans="1:10">
      <c r="A109" s="204"/>
      <c r="F109" s="485"/>
      <c r="H109" s="403"/>
      <c r="I109" s="403"/>
    </row>
    <row r="110" spans="1:10">
      <c r="E110" s="439" t="s">
        <v>702</v>
      </c>
      <c r="I110" s="443">
        <f>SUM(I91:I109)</f>
        <v>0</v>
      </c>
    </row>
    <row r="112" spans="1:10" ht="15.05" customHeight="1">
      <c r="A112" s="1002" t="s">
        <v>90</v>
      </c>
      <c r="B112" s="1002"/>
      <c r="C112" s="1002"/>
      <c r="D112" s="1002"/>
      <c r="E112" s="1002"/>
    </row>
    <row r="114" spans="1:10">
      <c r="A114" s="17">
        <v>1</v>
      </c>
      <c r="B114" s="17" t="s">
        <v>517</v>
      </c>
      <c r="E114" s="17" t="s">
        <v>703</v>
      </c>
      <c r="F114" s="403">
        <f>2794.79/3</f>
        <v>931.59666666666669</v>
      </c>
      <c r="H114" s="403">
        <f t="shared" ref="H114:H143" si="15">F114*(1-G114)</f>
        <v>931.59666666666669</v>
      </c>
      <c r="I114" s="403">
        <f t="shared" ref="I114:I129" si="16">A114*H114</f>
        <v>931.59666666666669</v>
      </c>
      <c r="J114" s="17" t="s">
        <v>704</v>
      </c>
    </row>
    <row r="115" spans="1:10">
      <c r="A115" s="17">
        <v>0</v>
      </c>
      <c r="B115" s="17" t="s">
        <v>517</v>
      </c>
      <c r="E115" s="17" t="s">
        <v>705</v>
      </c>
      <c r="F115" s="403">
        <v>500</v>
      </c>
      <c r="H115" s="403">
        <f t="shared" si="15"/>
        <v>500</v>
      </c>
      <c r="I115" s="403">
        <f t="shared" si="16"/>
        <v>0</v>
      </c>
      <c r="J115" s="17" t="s">
        <v>704</v>
      </c>
    </row>
    <row r="116" spans="1:10">
      <c r="A116" s="17">
        <v>1</v>
      </c>
      <c r="B116" s="17" t="s">
        <v>517</v>
      </c>
      <c r="E116" s="17" t="s">
        <v>706</v>
      </c>
      <c r="F116" s="403">
        <v>40</v>
      </c>
      <c r="H116" s="403">
        <f t="shared" si="15"/>
        <v>40</v>
      </c>
      <c r="I116" s="403">
        <f t="shared" si="16"/>
        <v>40</v>
      </c>
    </row>
    <row r="117" spans="1:10">
      <c r="A117" s="17">
        <v>0</v>
      </c>
      <c r="B117" s="17" t="s">
        <v>517</v>
      </c>
      <c r="E117" s="17" t="s">
        <v>707</v>
      </c>
      <c r="F117" s="403">
        <v>1500</v>
      </c>
      <c r="H117" s="403">
        <f t="shared" si="15"/>
        <v>1500</v>
      </c>
      <c r="I117" s="403">
        <f t="shared" si="16"/>
        <v>0</v>
      </c>
    </row>
    <row r="118" spans="1:10" ht="55.65">
      <c r="B118" s="17" t="s">
        <v>517</v>
      </c>
      <c r="C118" s="204" t="s">
        <v>708</v>
      </c>
      <c r="E118" s="204" t="s">
        <v>709</v>
      </c>
      <c r="F118" s="403">
        <v>460</v>
      </c>
      <c r="H118" s="403">
        <f t="shared" si="15"/>
        <v>460</v>
      </c>
      <c r="I118" s="403">
        <f t="shared" si="16"/>
        <v>0</v>
      </c>
      <c r="J118" s="17" t="s">
        <v>710</v>
      </c>
    </row>
    <row r="119" spans="1:10" ht="55.65">
      <c r="A119" s="17">
        <v>0</v>
      </c>
      <c r="B119" s="17" t="s">
        <v>517</v>
      </c>
      <c r="C119" s="204" t="s">
        <v>711</v>
      </c>
      <c r="E119" s="204" t="s">
        <v>712</v>
      </c>
      <c r="F119" s="403">
        <v>320</v>
      </c>
      <c r="H119" s="403">
        <f t="shared" si="15"/>
        <v>320</v>
      </c>
      <c r="I119" s="403">
        <f t="shared" si="16"/>
        <v>0</v>
      </c>
    </row>
    <row r="120" spans="1:10" ht="55.65">
      <c r="A120" s="17">
        <v>0</v>
      </c>
      <c r="B120" s="17" t="s">
        <v>517</v>
      </c>
      <c r="C120" s="17" t="s">
        <v>713</v>
      </c>
      <c r="D120" s="17" t="s">
        <v>714</v>
      </c>
      <c r="E120" s="204" t="s">
        <v>715</v>
      </c>
      <c r="F120" s="403">
        <v>2725</v>
      </c>
      <c r="H120" s="403">
        <f t="shared" si="15"/>
        <v>2725</v>
      </c>
      <c r="I120" s="403">
        <f t="shared" si="16"/>
        <v>0</v>
      </c>
    </row>
    <row r="121" spans="1:10">
      <c r="C121" s="17"/>
      <c r="E121" s="204"/>
      <c r="H121" s="403"/>
      <c r="I121" s="403"/>
    </row>
    <row r="122" spans="1:10">
      <c r="C122" s="17"/>
      <c r="E122" s="446" t="s">
        <v>719</v>
      </c>
      <c r="H122" s="403"/>
      <c r="I122" s="403"/>
    </row>
    <row r="123" spans="1:10" ht="22.25">
      <c r="A123" s="17">
        <f>2*8</f>
        <v>16</v>
      </c>
      <c r="B123" s="17" t="s">
        <v>619</v>
      </c>
      <c r="C123" s="204" t="s">
        <v>531</v>
      </c>
      <c r="E123" s="17" t="s">
        <v>720</v>
      </c>
      <c r="F123" s="403">
        <v>50</v>
      </c>
      <c r="H123" s="403">
        <f t="shared" si="15"/>
        <v>50</v>
      </c>
      <c r="I123" s="403">
        <f t="shared" si="16"/>
        <v>800</v>
      </c>
    </row>
    <row r="124" spans="1:10">
      <c r="A124" s="17">
        <f>(46-2*3)/2*3</f>
        <v>60</v>
      </c>
      <c r="B124" s="17" t="s">
        <v>517</v>
      </c>
      <c r="C124" s="204" t="s">
        <v>721</v>
      </c>
      <c r="E124" s="17" t="s">
        <v>722</v>
      </c>
      <c r="F124" s="403">
        <f>69/100</f>
        <v>0.69</v>
      </c>
      <c r="H124" s="403">
        <f t="shared" si="15"/>
        <v>0.69</v>
      </c>
      <c r="I124" s="403">
        <f t="shared" si="16"/>
        <v>41.4</v>
      </c>
    </row>
    <row r="125" spans="1:10">
      <c r="A125" s="17">
        <f t="shared" ref="A125:A126" si="17">A124</f>
        <v>60</v>
      </c>
      <c r="B125" s="17" t="s">
        <v>517</v>
      </c>
      <c r="C125" s="204" t="s">
        <v>721</v>
      </c>
      <c r="E125" s="17" t="s">
        <v>723</v>
      </c>
      <c r="F125" s="403">
        <v>0.1</v>
      </c>
      <c r="H125" s="403">
        <f t="shared" si="15"/>
        <v>0.1</v>
      </c>
      <c r="I125" s="403">
        <f t="shared" si="16"/>
        <v>6</v>
      </c>
    </row>
    <row r="126" spans="1:10">
      <c r="A126" s="17">
        <f t="shared" si="17"/>
        <v>60</v>
      </c>
      <c r="B126" s="17" t="s">
        <v>517</v>
      </c>
      <c r="C126" s="204" t="s">
        <v>721</v>
      </c>
      <c r="E126" s="17" t="s">
        <v>724</v>
      </c>
      <c r="F126" s="403">
        <f>13.25/1.2/100</f>
        <v>0.11041666666666668</v>
      </c>
      <c r="H126" s="403">
        <f t="shared" si="15"/>
        <v>0.11041666666666668</v>
      </c>
      <c r="I126" s="403">
        <f t="shared" si="16"/>
        <v>6.6250000000000009</v>
      </c>
    </row>
    <row r="127" spans="1:10" ht="22.25">
      <c r="A127" s="17">
        <f>5.25*3</f>
        <v>15.75</v>
      </c>
      <c r="B127" s="17" t="s">
        <v>539</v>
      </c>
      <c r="C127" s="204" t="s">
        <v>725</v>
      </c>
      <c r="E127" s="17" t="s">
        <v>726</v>
      </c>
      <c r="F127" s="403">
        <f>15.73/1.2</f>
        <v>13.108333333333334</v>
      </c>
      <c r="H127" s="403">
        <f t="shared" si="15"/>
        <v>13.108333333333334</v>
      </c>
      <c r="I127" s="403">
        <f t="shared" si="16"/>
        <v>206.45625000000001</v>
      </c>
    </row>
    <row r="128" spans="1:10" ht="22.25">
      <c r="A128" s="17">
        <f>A127</f>
        <v>15.75</v>
      </c>
      <c r="B128" s="17" t="s">
        <v>539</v>
      </c>
      <c r="C128" s="204" t="s">
        <v>531</v>
      </c>
      <c r="E128" s="17" t="s">
        <v>727</v>
      </c>
      <c r="F128" s="403">
        <v>25</v>
      </c>
      <c r="H128" s="403">
        <f t="shared" si="15"/>
        <v>25</v>
      </c>
      <c r="I128" s="403">
        <f t="shared" si="16"/>
        <v>393.75</v>
      </c>
    </row>
    <row r="129" spans="1:10" ht="22.25">
      <c r="A129" s="17">
        <f>A128*4</f>
        <v>63</v>
      </c>
      <c r="B129" s="17" t="s">
        <v>517</v>
      </c>
      <c r="C129" s="204" t="s">
        <v>531</v>
      </c>
      <c r="E129" s="17" t="s">
        <v>728</v>
      </c>
      <c r="F129" s="403">
        <v>0.1</v>
      </c>
      <c r="H129" s="403">
        <f t="shared" si="15"/>
        <v>0.1</v>
      </c>
      <c r="I129" s="403">
        <f t="shared" si="16"/>
        <v>6.3000000000000007</v>
      </c>
    </row>
    <row r="131" spans="1:10" ht="15.75">
      <c r="E131" s="439" t="s">
        <v>729</v>
      </c>
      <c r="I131" s="168">
        <f>SUM(I112:I130)</f>
        <v>2432.1279166666673</v>
      </c>
    </row>
    <row r="133" spans="1:10" ht="13.75" customHeight="1">
      <c r="A133" s="997" t="s">
        <v>68</v>
      </c>
      <c r="B133" s="997"/>
      <c r="C133" s="997"/>
      <c r="D133" s="997"/>
      <c r="E133" s="997"/>
    </row>
    <row r="134" spans="1:10">
      <c r="A134" s="17">
        <v>1</v>
      </c>
      <c r="B134" s="17" t="s">
        <v>517</v>
      </c>
      <c r="E134" s="17" t="s">
        <v>730</v>
      </c>
      <c r="F134" s="403">
        <v>250</v>
      </c>
      <c r="H134" s="403">
        <f t="shared" si="15"/>
        <v>250</v>
      </c>
      <c r="I134" s="403">
        <f t="shared" ref="I134:I136" si="18">A134*H134</f>
        <v>250</v>
      </c>
      <c r="J134" s="17" t="s">
        <v>2023</v>
      </c>
    </row>
    <row r="135" spans="1:10" ht="55.65">
      <c r="A135" s="17">
        <v>0</v>
      </c>
      <c r="B135" s="17" t="s">
        <v>517</v>
      </c>
      <c r="C135" s="204" t="s">
        <v>708</v>
      </c>
      <c r="E135" s="204" t="s">
        <v>731</v>
      </c>
      <c r="F135" s="403">
        <f>460/2</f>
        <v>230</v>
      </c>
      <c r="H135" s="403">
        <f t="shared" si="15"/>
        <v>230</v>
      </c>
      <c r="I135" s="403">
        <f t="shared" si="18"/>
        <v>0</v>
      </c>
    </row>
    <row r="136" spans="1:10" ht="55.65">
      <c r="A136" s="17">
        <v>0</v>
      </c>
      <c r="B136" s="17" t="s">
        <v>517</v>
      </c>
      <c r="C136" s="204" t="s">
        <v>711</v>
      </c>
      <c r="E136" s="204" t="s">
        <v>732</v>
      </c>
      <c r="F136" s="403">
        <f>320/2</f>
        <v>160</v>
      </c>
      <c r="H136" s="403">
        <f t="shared" si="15"/>
        <v>160</v>
      </c>
      <c r="I136" s="403">
        <f t="shared" si="18"/>
        <v>0</v>
      </c>
    </row>
    <row r="138" spans="1:10" ht="15.75">
      <c r="E138" s="439" t="s">
        <v>733</v>
      </c>
      <c r="I138" s="168">
        <f>SUM(I133:I137)</f>
        <v>250</v>
      </c>
    </row>
    <row r="139" spans="1:10">
      <c r="E139" s="439"/>
    </row>
    <row r="141" spans="1:10" ht="15.05" customHeight="1">
      <c r="A141" s="1002" t="s">
        <v>107</v>
      </c>
      <c r="B141" s="1002"/>
      <c r="C141" s="1002"/>
      <c r="D141" s="1002"/>
      <c r="E141" s="1002"/>
    </row>
    <row r="142" spans="1:10" ht="22.25">
      <c r="A142" s="17">
        <v>1</v>
      </c>
      <c r="B142" s="17" t="s">
        <v>517</v>
      </c>
      <c r="C142" s="204" t="s">
        <v>2024</v>
      </c>
      <c r="E142" s="17" t="s">
        <v>2025</v>
      </c>
      <c r="F142" s="403">
        <v>2000</v>
      </c>
      <c r="H142" s="403">
        <f t="shared" si="15"/>
        <v>2000</v>
      </c>
      <c r="I142" s="403">
        <f t="shared" ref="I142:I143" si="19">A142*H142</f>
        <v>2000</v>
      </c>
    </row>
    <row r="143" spans="1:10" ht="22.25">
      <c r="A143" s="17">
        <v>1</v>
      </c>
      <c r="B143" s="17" t="s">
        <v>517</v>
      </c>
      <c r="C143" s="204" t="s">
        <v>531</v>
      </c>
      <c r="E143" s="17" t="s">
        <v>2026</v>
      </c>
      <c r="F143" s="403">
        <v>2000</v>
      </c>
      <c r="H143" s="403">
        <f t="shared" si="15"/>
        <v>2000</v>
      </c>
      <c r="I143" s="403">
        <f t="shared" si="19"/>
        <v>2000</v>
      </c>
    </row>
    <row r="145" spans="9:9" ht="15.75">
      <c r="I145" s="168">
        <f>SUM(I141:I144)</f>
        <v>4000</v>
      </c>
    </row>
  </sheetData>
  <mergeCells count="7">
    <mergeCell ref="A133:E133"/>
    <mergeCell ref="A141:E141"/>
    <mergeCell ref="B1:F1"/>
    <mergeCell ref="A2:G2"/>
    <mergeCell ref="J21:L21"/>
    <mergeCell ref="A88:E88"/>
    <mergeCell ref="A112:E112"/>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30"/>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4.140625" style="17" customWidth="1"/>
    <col min="2" max="2" width="3.5703125" style="17" customWidth="1"/>
    <col min="3" max="3" width="10.140625" style="204"/>
    <col min="4" max="4" width="17.85546875" style="17" customWidth="1"/>
    <col min="5" max="5" width="4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64" width="10.140625" style="17"/>
  </cols>
  <sheetData>
    <row r="1" spans="1:19" ht="15.75">
      <c r="B1" s="1053" t="s">
        <v>2032</v>
      </c>
      <c r="C1" s="1053"/>
      <c r="D1" s="1053"/>
      <c r="E1" s="1053"/>
      <c r="F1" s="1053"/>
      <c r="H1" s="405" t="s">
        <v>493</v>
      </c>
      <c r="I1" s="406">
        <v>375</v>
      </c>
      <c r="J1" s="17" t="s">
        <v>494</v>
      </c>
      <c r="K1" s="17" t="s">
        <v>495</v>
      </c>
      <c r="L1" s="58">
        <f>A4*I1</f>
        <v>33750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742" t="s">
        <v>117</v>
      </c>
      <c r="N3" s="742" t="s">
        <v>46</v>
      </c>
      <c r="O3" s="742" t="s">
        <v>47</v>
      </c>
      <c r="P3" s="742" t="s">
        <v>118</v>
      </c>
      <c r="Q3" s="742" t="s">
        <v>119</v>
      </c>
      <c r="R3" s="742" t="s">
        <v>120</v>
      </c>
      <c r="S3" s="743" t="s">
        <v>51</v>
      </c>
    </row>
    <row r="4" spans="1:19" ht="22.25">
      <c r="A4" s="413">
        <v>90</v>
      </c>
      <c r="B4" s="413" t="s">
        <v>505</v>
      </c>
      <c r="C4" s="413" t="s">
        <v>1306</v>
      </c>
      <c r="D4" s="413"/>
      <c r="E4" s="420" t="s">
        <v>1307</v>
      </c>
      <c r="F4" s="421">
        <v>116.88</v>
      </c>
      <c r="G4" s="410"/>
      <c r="H4" s="409">
        <f t="shared" ref="H4:H9" si="0">F4*(1-G4)</f>
        <v>116.88</v>
      </c>
      <c r="I4" s="409">
        <f t="shared" ref="I4:I9" si="1">A4*H4</f>
        <v>10519.199999999999</v>
      </c>
      <c r="J4" s="417">
        <f>F4/I1</f>
        <v>0.31168000000000001</v>
      </c>
      <c r="K4" s="403"/>
      <c r="L4" s="404"/>
      <c r="M4" s="437">
        <f>I4</f>
        <v>10519.199999999999</v>
      </c>
      <c r="N4" s="437"/>
      <c r="O4" s="437"/>
      <c r="P4" s="437"/>
      <c r="Q4" s="437"/>
      <c r="R4" s="418"/>
      <c r="S4" s="437"/>
    </row>
    <row r="5" spans="1:19" ht="55.65">
      <c r="A5" s="407">
        <v>0</v>
      </c>
      <c r="B5" s="407" t="s">
        <v>505</v>
      </c>
      <c r="C5" s="408" t="s">
        <v>817</v>
      </c>
      <c r="D5" s="407" t="s">
        <v>818</v>
      </c>
      <c r="E5" s="408" t="s">
        <v>819</v>
      </c>
      <c r="F5" s="409">
        <v>267.5</v>
      </c>
      <c r="G5" s="410"/>
      <c r="H5" s="409">
        <f t="shared" si="0"/>
        <v>267.5</v>
      </c>
      <c r="I5" s="409">
        <f t="shared" si="1"/>
        <v>0</v>
      </c>
      <c r="J5" s="417"/>
      <c r="K5" s="403"/>
      <c r="L5" s="404"/>
      <c r="M5" s="437"/>
      <c r="N5" s="437"/>
      <c r="O5" s="437"/>
      <c r="P5" s="437"/>
      <c r="Q5" s="437"/>
      <c r="R5" s="418"/>
      <c r="S5" s="437"/>
    </row>
    <row r="6" spans="1:19" ht="33.4">
      <c r="A6" s="413">
        <f>A4+A5</f>
        <v>90</v>
      </c>
      <c r="B6" s="413" t="s">
        <v>505</v>
      </c>
      <c r="C6" s="420" t="s">
        <v>1502</v>
      </c>
      <c r="D6" s="413"/>
      <c r="E6" s="420" t="s">
        <v>2033</v>
      </c>
      <c r="F6" s="421">
        <f>1405*1.1/A6</f>
        <v>17.172222222222224</v>
      </c>
      <c r="G6" s="422"/>
      <c r="H6" s="421">
        <f t="shared" si="0"/>
        <v>17.172222222222224</v>
      </c>
      <c r="I6" s="421">
        <f t="shared" si="1"/>
        <v>1545.5000000000002</v>
      </c>
      <c r="J6" s="417">
        <f>F6/$I$1</f>
        <v>4.57925925925926E-2</v>
      </c>
      <c r="K6" s="417" t="s">
        <v>2034</v>
      </c>
      <c r="M6" s="437">
        <f>I6</f>
        <v>1545.5000000000002</v>
      </c>
      <c r="N6" s="437"/>
      <c r="O6" s="437"/>
      <c r="P6" s="437"/>
      <c r="Q6" s="437"/>
      <c r="R6" s="418"/>
      <c r="S6" s="437"/>
    </row>
    <row r="7" spans="1:19" ht="55.65">
      <c r="A7" s="487">
        <v>1</v>
      </c>
      <c r="B7" s="487" t="s">
        <v>522</v>
      </c>
      <c r="C7" s="492" t="s">
        <v>987</v>
      </c>
      <c r="D7" s="407" t="s">
        <v>556</v>
      </c>
      <c r="E7" s="408" t="s">
        <v>1000</v>
      </c>
      <c r="F7" s="409">
        <v>1222.22</v>
      </c>
      <c r="G7" s="410"/>
      <c r="H7" s="409">
        <f t="shared" si="0"/>
        <v>1222.22</v>
      </c>
      <c r="I7" s="409">
        <f t="shared" si="1"/>
        <v>1222.22</v>
      </c>
      <c r="J7" s="204"/>
      <c r="K7" s="17" t="s">
        <v>1484</v>
      </c>
      <c r="M7" s="437"/>
      <c r="N7" s="437"/>
      <c r="O7" s="437"/>
      <c r="P7" s="437"/>
      <c r="Q7" s="437"/>
      <c r="R7" s="418">
        <f t="shared" ref="R7:R9" si="2">I7</f>
        <v>1222.22</v>
      </c>
      <c r="S7" s="437"/>
    </row>
    <row r="8" spans="1:19">
      <c r="A8" s="407">
        <v>2</v>
      </c>
      <c r="B8" s="407"/>
      <c r="C8" s="407" t="s">
        <v>531</v>
      </c>
      <c r="D8" s="407"/>
      <c r="E8" s="408" t="s">
        <v>2035</v>
      </c>
      <c r="F8" s="409">
        <v>350</v>
      </c>
      <c r="G8" s="410"/>
      <c r="H8" s="409">
        <f t="shared" si="0"/>
        <v>350</v>
      </c>
      <c r="I8" s="409">
        <f t="shared" si="1"/>
        <v>700</v>
      </c>
      <c r="J8" s="204"/>
      <c r="K8" s="17" t="s">
        <v>825</v>
      </c>
      <c r="M8" s="437"/>
      <c r="N8" s="437"/>
      <c r="O8" s="437"/>
      <c r="P8" s="437"/>
      <c r="Q8" s="437"/>
      <c r="R8" s="418">
        <f t="shared" si="2"/>
        <v>700</v>
      </c>
      <c r="S8" s="437"/>
    </row>
    <row r="9" spans="1:19">
      <c r="A9" s="407">
        <v>1</v>
      </c>
      <c r="B9" s="407"/>
      <c r="C9" s="407" t="s">
        <v>751</v>
      </c>
      <c r="D9" s="407"/>
      <c r="E9" s="408" t="s">
        <v>826</v>
      </c>
      <c r="F9" s="409">
        <v>115.56</v>
      </c>
      <c r="G9" s="410"/>
      <c r="H9" s="409">
        <f t="shared" si="0"/>
        <v>115.56</v>
      </c>
      <c r="I9" s="409">
        <f t="shared" si="1"/>
        <v>115.56</v>
      </c>
      <c r="J9" s="204"/>
      <c r="K9" s="17" t="s">
        <v>827</v>
      </c>
      <c r="M9" s="437"/>
      <c r="N9" s="437"/>
      <c r="O9" s="437"/>
      <c r="P9" s="437"/>
      <c r="Q9" s="437"/>
      <c r="R9" s="418">
        <f t="shared" si="2"/>
        <v>115.56</v>
      </c>
      <c r="S9" s="437"/>
    </row>
    <row r="10" spans="1:19" ht="22.25">
      <c r="A10" s="407">
        <v>1</v>
      </c>
      <c r="B10" s="407" t="s">
        <v>530</v>
      </c>
      <c r="C10" s="408" t="s">
        <v>531</v>
      </c>
      <c r="D10" s="407"/>
      <c r="E10" s="407" t="s">
        <v>532</v>
      </c>
      <c r="F10" s="409">
        <v>500</v>
      </c>
      <c r="G10" s="410"/>
      <c r="H10" s="409">
        <f t="shared" ref="H10:H73" si="3">F10*(1-G10)</f>
        <v>500</v>
      </c>
      <c r="I10" s="409">
        <f t="shared" ref="I10:I31" si="4">A10*H10</f>
        <v>500</v>
      </c>
      <c r="J10" s="204"/>
      <c r="M10" s="437"/>
      <c r="N10" s="437"/>
      <c r="O10" s="437"/>
      <c r="P10" s="437"/>
      <c r="Q10" s="437"/>
      <c r="R10" s="418">
        <f t="shared" ref="R10:R23" si="5">I10</f>
        <v>500</v>
      </c>
      <c r="S10" s="437"/>
    </row>
    <row r="11" spans="1:19" ht="22.25">
      <c r="A11" s="407">
        <v>9</v>
      </c>
      <c r="B11" s="407" t="s">
        <v>505</v>
      </c>
      <c r="C11" s="408" t="s">
        <v>534</v>
      </c>
      <c r="D11" s="407"/>
      <c r="E11" s="408" t="s">
        <v>535</v>
      </c>
      <c r="F11" s="409">
        <v>3.71</v>
      </c>
      <c r="G11" s="410"/>
      <c r="H11" s="409">
        <f t="shared" si="3"/>
        <v>3.71</v>
      </c>
      <c r="I11" s="409">
        <f t="shared" si="4"/>
        <v>33.39</v>
      </c>
      <c r="J11" s="204" t="s">
        <v>536</v>
      </c>
      <c r="M11" s="437"/>
      <c r="N11" s="437"/>
      <c r="O11" s="437"/>
      <c r="P11" s="437"/>
      <c r="Q11" s="437"/>
      <c r="R11" s="418">
        <f t="shared" si="5"/>
        <v>33.39</v>
      </c>
      <c r="S11" s="437"/>
    </row>
    <row r="12" spans="1:19" ht="22.25">
      <c r="A12" s="407">
        <f>A11</f>
        <v>9</v>
      </c>
      <c r="B12" s="407" t="s">
        <v>505</v>
      </c>
      <c r="C12" s="408" t="s">
        <v>534</v>
      </c>
      <c r="D12" s="407"/>
      <c r="E12" s="408" t="s">
        <v>537</v>
      </c>
      <c r="F12" s="409">
        <v>3.81</v>
      </c>
      <c r="G12" s="410"/>
      <c r="H12" s="409">
        <f t="shared" si="3"/>
        <v>3.81</v>
      </c>
      <c r="I12" s="409">
        <f t="shared" si="4"/>
        <v>34.29</v>
      </c>
      <c r="J12" s="204" t="s">
        <v>538</v>
      </c>
      <c r="M12" s="437"/>
      <c r="N12" s="437"/>
      <c r="O12" s="437"/>
      <c r="P12" s="437"/>
      <c r="Q12" s="437"/>
      <c r="R12" s="418">
        <f t="shared" si="5"/>
        <v>34.29</v>
      </c>
      <c r="S12" s="437"/>
    </row>
    <row r="13" spans="1:19" ht="44.55">
      <c r="A13" s="407">
        <f>5*20+3*(20+24)</f>
        <v>232</v>
      </c>
      <c r="B13" s="407" t="s">
        <v>539</v>
      </c>
      <c r="C13" s="408" t="s">
        <v>987</v>
      </c>
      <c r="D13" s="407" t="s">
        <v>541</v>
      </c>
      <c r="E13" s="408" t="s">
        <v>542</v>
      </c>
      <c r="F13" s="409">
        <f t="shared" ref="F13:F14" si="6">328.33/500</f>
        <v>0.65666000000000002</v>
      </c>
      <c r="G13" s="410"/>
      <c r="H13" s="409">
        <f t="shared" si="3"/>
        <v>0.65666000000000002</v>
      </c>
      <c r="I13" s="409">
        <f t="shared" si="4"/>
        <v>152.34512000000001</v>
      </c>
      <c r="J13" s="491" t="s">
        <v>756</v>
      </c>
      <c r="M13" s="437"/>
      <c r="N13" s="437"/>
      <c r="O13" s="418">
        <f t="shared" ref="O13:O26" si="7">I13</f>
        <v>152.34512000000001</v>
      </c>
      <c r="P13" s="418"/>
      <c r="Q13" s="418"/>
      <c r="R13" s="437"/>
      <c r="S13" s="437"/>
    </row>
    <row r="14" spans="1:19" ht="44.55">
      <c r="A14" s="407">
        <f>A13+A6*1+5*1.7</f>
        <v>330.5</v>
      </c>
      <c r="B14" s="407" t="s">
        <v>539</v>
      </c>
      <c r="C14" s="408" t="s">
        <v>987</v>
      </c>
      <c r="D14" s="407" t="s">
        <v>543</v>
      </c>
      <c r="E14" s="408" t="s">
        <v>544</v>
      </c>
      <c r="F14" s="409">
        <f t="shared" si="6"/>
        <v>0.65666000000000002</v>
      </c>
      <c r="G14" s="410"/>
      <c r="H14" s="409">
        <f t="shared" si="3"/>
        <v>0.65666000000000002</v>
      </c>
      <c r="I14" s="409">
        <f t="shared" si="4"/>
        <v>217.02612999999999</v>
      </c>
      <c r="J14" s="204"/>
      <c r="M14" s="437"/>
      <c r="N14" s="437"/>
      <c r="O14" s="418">
        <f t="shared" si="7"/>
        <v>217.02612999999999</v>
      </c>
      <c r="P14" s="418"/>
      <c r="Q14" s="418"/>
      <c r="R14" s="437"/>
      <c r="S14" s="437"/>
    </row>
    <row r="15" spans="1:19" ht="22.25">
      <c r="A15" s="407">
        <f>9*4</f>
        <v>36</v>
      </c>
      <c r="B15" s="407" t="s">
        <v>522</v>
      </c>
      <c r="C15" s="408" t="s">
        <v>1074</v>
      </c>
      <c r="D15" s="407"/>
      <c r="E15" s="408" t="s">
        <v>1079</v>
      </c>
      <c r="F15" s="409">
        <v>1.3</v>
      </c>
      <c r="G15" s="410"/>
      <c r="H15" s="409">
        <f t="shared" si="3"/>
        <v>1.3</v>
      </c>
      <c r="I15" s="409">
        <f t="shared" si="4"/>
        <v>46.800000000000004</v>
      </c>
      <c r="J15" s="204"/>
      <c r="M15" s="437"/>
      <c r="N15" s="437"/>
      <c r="O15" s="418">
        <f t="shared" si="7"/>
        <v>46.800000000000004</v>
      </c>
      <c r="P15" s="437"/>
      <c r="Q15" s="437"/>
      <c r="R15" s="418"/>
      <c r="S15" s="437"/>
    </row>
    <row r="16" spans="1:19" ht="22.25">
      <c r="A16" s="407">
        <f>A15</f>
        <v>36</v>
      </c>
      <c r="B16" s="407" t="s">
        <v>522</v>
      </c>
      <c r="C16" s="408" t="s">
        <v>1074</v>
      </c>
      <c r="D16" s="407"/>
      <c r="E16" s="408" t="s">
        <v>1080</v>
      </c>
      <c r="F16" s="409">
        <v>0.98</v>
      </c>
      <c r="G16" s="410"/>
      <c r="H16" s="409">
        <f t="shared" si="3"/>
        <v>0.98</v>
      </c>
      <c r="I16" s="409">
        <f t="shared" si="4"/>
        <v>35.28</v>
      </c>
      <c r="J16" s="204"/>
      <c r="M16" s="437"/>
      <c r="N16" s="437"/>
      <c r="O16" s="418">
        <f t="shared" si="7"/>
        <v>35.28</v>
      </c>
      <c r="P16" s="437"/>
      <c r="Q16" s="437"/>
      <c r="R16" s="418"/>
      <c r="S16" s="437"/>
    </row>
    <row r="17" spans="1:19" ht="44.55">
      <c r="A17" s="407">
        <v>2</v>
      </c>
      <c r="B17" s="407" t="s">
        <v>505</v>
      </c>
      <c r="C17" s="407" t="s">
        <v>783</v>
      </c>
      <c r="D17" s="407"/>
      <c r="E17" s="408" t="s">
        <v>784</v>
      </c>
      <c r="F17" s="409">
        <v>2000</v>
      </c>
      <c r="G17" s="428"/>
      <c r="H17" s="430">
        <f t="shared" si="3"/>
        <v>2000</v>
      </c>
      <c r="I17" s="409">
        <f t="shared" si="4"/>
        <v>4000</v>
      </c>
      <c r="J17" s="204"/>
      <c r="K17" s="204" t="s">
        <v>2036</v>
      </c>
      <c r="M17" s="437"/>
      <c r="N17" s="418">
        <f t="shared" ref="N17:N20" si="8">I17</f>
        <v>4000</v>
      </c>
      <c r="O17" s="437"/>
      <c r="P17" s="437"/>
      <c r="Q17" s="437"/>
      <c r="R17" s="437"/>
      <c r="S17" s="437"/>
    </row>
    <row r="18" spans="1:19">
      <c r="A18" s="407">
        <v>1</v>
      </c>
      <c r="B18" s="407" t="s">
        <v>505</v>
      </c>
      <c r="C18" s="407" t="s">
        <v>751</v>
      </c>
      <c r="D18" s="407"/>
      <c r="E18" s="408" t="s">
        <v>823</v>
      </c>
      <c r="F18" s="409">
        <v>853.37</v>
      </c>
      <c r="G18" s="410"/>
      <c r="H18" s="409">
        <f t="shared" si="3"/>
        <v>853.37</v>
      </c>
      <c r="I18" s="409">
        <f t="shared" si="4"/>
        <v>853.37</v>
      </c>
      <c r="J18" s="204"/>
      <c r="M18" s="437"/>
      <c r="N18" s="418">
        <f t="shared" si="8"/>
        <v>853.37</v>
      </c>
      <c r="O18" s="437"/>
      <c r="P18" s="437"/>
      <c r="Q18" s="437"/>
      <c r="R18" s="437"/>
      <c r="S18" s="437"/>
    </row>
    <row r="19" spans="1:19">
      <c r="A19" s="407">
        <v>0</v>
      </c>
      <c r="B19" s="407" t="s">
        <v>505</v>
      </c>
      <c r="C19" s="408"/>
      <c r="D19" s="407"/>
      <c r="E19" s="408"/>
      <c r="F19" s="409">
        <v>40.799999999999997</v>
      </c>
      <c r="G19" s="410"/>
      <c r="H19" s="409">
        <f t="shared" si="3"/>
        <v>40.799999999999997</v>
      </c>
      <c r="I19" s="409">
        <f t="shared" si="4"/>
        <v>0</v>
      </c>
      <c r="J19" s="204"/>
      <c r="M19" s="437"/>
      <c r="N19" s="418">
        <f t="shared" si="8"/>
        <v>0</v>
      </c>
      <c r="O19" s="437"/>
      <c r="P19" s="437"/>
      <c r="Q19" s="437"/>
      <c r="R19" s="437"/>
      <c r="S19" s="437"/>
    </row>
    <row r="20" spans="1:19">
      <c r="A20" s="407">
        <v>0</v>
      </c>
      <c r="B20" s="407" t="s">
        <v>505</v>
      </c>
      <c r="C20" s="408"/>
      <c r="D20" s="407"/>
      <c r="E20" s="408"/>
      <c r="F20" s="409">
        <v>36.619999999999997</v>
      </c>
      <c r="G20" s="410"/>
      <c r="H20" s="409">
        <f t="shared" si="3"/>
        <v>36.619999999999997</v>
      </c>
      <c r="I20" s="409">
        <f t="shared" si="4"/>
        <v>0</v>
      </c>
      <c r="J20" s="204"/>
      <c r="M20" s="437"/>
      <c r="N20" s="418">
        <f t="shared" si="8"/>
        <v>0</v>
      </c>
      <c r="O20" s="437"/>
      <c r="P20" s="437"/>
      <c r="Q20" s="437"/>
      <c r="R20" s="437"/>
      <c r="S20" s="437"/>
    </row>
    <row r="21" spans="1:19" ht="44.55">
      <c r="A21" s="407">
        <v>16</v>
      </c>
      <c r="B21" s="407" t="s">
        <v>522</v>
      </c>
      <c r="C21" s="408" t="s">
        <v>987</v>
      </c>
      <c r="D21" s="407" t="s">
        <v>761</v>
      </c>
      <c r="E21" s="408" t="s">
        <v>762</v>
      </c>
      <c r="F21" s="409">
        <v>2.5</v>
      </c>
      <c r="G21" s="410"/>
      <c r="H21" s="409">
        <f t="shared" si="3"/>
        <v>2.5</v>
      </c>
      <c r="I21" s="409">
        <f t="shared" si="4"/>
        <v>40</v>
      </c>
      <c r="J21" s="204"/>
      <c r="M21" s="437"/>
      <c r="N21" s="437"/>
      <c r="O21" s="437"/>
      <c r="P21" s="437"/>
      <c r="Q21" s="437"/>
      <c r="R21" s="418">
        <f t="shared" si="5"/>
        <v>40</v>
      </c>
      <c r="S21" s="437"/>
    </row>
    <row r="22" spans="1:19" ht="23.9" customHeight="1">
      <c r="A22" s="407">
        <v>0</v>
      </c>
      <c r="B22" s="407" t="s">
        <v>522</v>
      </c>
      <c r="C22" s="408" t="s">
        <v>1479</v>
      </c>
      <c r="D22" s="407"/>
      <c r="E22" s="408" t="s">
        <v>803</v>
      </c>
      <c r="F22" s="409">
        <v>564.44000000000005</v>
      </c>
      <c r="G22" s="410"/>
      <c r="H22" s="409">
        <f t="shared" si="3"/>
        <v>564.44000000000005</v>
      </c>
      <c r="I22" s="409">
        <f t="shared" si="4"/>
        <v>0</v>
      </c>
      <c r="J22" s="1054" t="s">
        <v>1507</v>
      </c>
      <c r="K22" s="1054"/>
      <c r="L22" s="1054"/>
      <c r="M22" s="437"/>
      <c r="N22" s="437"/>
      <c r="O22" s="437"/>
      <c r="P22" s="437"/>
      <c r="Q22" s="437"/>
      <c r="R22" s="418">
        <f t="shared" si="5"/>
        <v>0</v>
      </c>
      <c r="S22" s="437"/>
    </row>
    <row r="23" spans="1:19">
      <c r="A23" s="407"/>
      <c r="B23" s="407"/>
      <c r="C23" s="408"/>
      <c r="D23" s="407"/>
      <c r="E23" s="408"/>
      <c r="F23" s="409"/>
      <c r="G23" s="410"/>
      <c r="H23" s="409">
        <f t="shared" si="3"/>
        <v>0</v>
      </c>
      <c r="I23" s="409">
        <f t="shared" si="4"/>
        <v>0</v>
      </c>
      <c r="J23" s="204"/>
      <c r="M23" s="437"/>
      <c r="N23" s="437"/>
      <c r="O23" s="437"/>
      <c r="P23" s="437"/>
      <c r="Q23" s="437"/>
      <c r="R23" s="418">
        <f t="shared" si="5"/>
        <v>0</v>
      </c>
      <c r="S23" s="437"/>
    </row>
    <row r="24" spans="1:19" ht="22.25">
      <c r="A24" s="407">
        <v>1</v>
      </c>
      <c r="B24" s="407" t="s">
        <v>522</v>
      </c>
      <c r="C24" s="408"/>
      <c r="D24" s="407"/>
      <c r="E24" s="408" t="s">
        <v>695</v>
      </c>
      <c r="F24" s="409">
        <v>100</v>
      </c>
      <c r="G24" s="410"/>
      <c r="H24" s="409">
        <f t="shared" si="3"/>
        <v>100</v>
      </c>
      <c r="I24" s="409">
        <f t="shared" si="4"/>
        <v>100</v>
      </c>
      <c r="J24" s="204" t="s">
        <v>696</v>
      </c>
      <c r="M24" s="437"/>
      <c r="N24" s="437"/>
      <c r="O24" s="418">
        <f t="shared" si="7"/>
        <v>100</v>
      </c>
      <c r="P24" s="437"/>
      <c r="Q24" s="437"/>
      <c r="R24" s="418"/>
      <c r="S24" s="437"/>
    </row>
    <row r="25" spans="1:19" ht="44.55">
      <c r="A25" s="407">
        <v>1</v>
      </c>
      <c r="B25" s="407" t="s">
        <v>505</v>
      </c>
      <c r="C25" s="408" t="s">
        <v>751</v>
      </c>
      <c r="D25" s="407"/>
      <c r="E25" s="408" t="s">
        <v>1212</v>
      </c>
      <c r="F25" s="409">
        <v>787.5</v>
      </c>
      <c r="G25" s="422"/>
      <c r="H25" s="409">
        <f t="shared" si="3"/>
        <v>787.5</v>
      </c>
      <c r="I25" s="409">
        <f t="shared" si="4"/>
        <v>787.5</v>
      </c>
      <c r="J25" s="204"/>
      <c r="M25" s="418">
        <f>F25</f>
        <v>787.5</v>
      </c>
      <c r="N25" s="437"/>
      <c r="O25" s="437"/>
      <c r="P25" s="437"/>
      <c r="Q25" s="437"/>
      <c r="R25" s="437"/>
      <c r="S25" s="437"/>
    </row>
    <row r="26" spans="1:19" ht="44.55">
      <c r="A26" s="407">
        <v>30</v>
      </c>
      <c r="B26" s="407" t="s">
        <v>539</v>
      </c>
      <c r="C26" s="408" t="s">
        <v>690</v>
      </c>
      <c r="D26" s="407"/>
      <c r="E26" s="407" t="s">
        <v>835</v>
      </c>
      <c r="F26" s="409">
        <v>9.32</v>
      </c>
      <c r="G26" s="428"/>
      <c r="H26" s="409">
        <f t="shared" si="3"/>
        <v>9.32</v>
      </c>
      <c r="I26" s="409">
        <f t="shared" si="4"/>
        <v>279.60000000000002</v>
      </c>
      <c r="J26" s="491" t="s">
        <v>756</v>
      </c>
      <c r="M26" s="418"/>
      <c r="N26" s="437"/>
      <c r="O26" s="418">
        <f t="shared" si="7"/>
        <v>279.60000000000002</v>
      </c>
      <c r="P26" s="437"/>
      <c r="Q26" s="437"/>
      <c r="R26" s="437"/>
      <c r="S26" s="437"/>
    </row>
    <row r="27" spans="1:19" ht="44.55">
      <c r="A27" s="407">
        <v>1</v>
      </c>
      <c r="B27" s="407" t="s">
        <v>517</v>
      </c>
      <c r="C27" s="408" t="s">
        <v>569</v>
      </c>
      <c r="D27" s="407" t="s">
        <v>570</v>
      </c>
      <c r="E27" s="408" t="s">
        <v>571</v>
      </c>
      <c r="F27" s="409">
        <v>1040</v>
      </c>
      <c r="G27" s="495">
        <v>0.48</v>
      </c>
      <c r="H27" s="425">
        <f t="shared" si="3"/>
        <v>540.80000000000007</v>
      </c>
      <c r="I27" s="409">
        <f t="shared" si="4"/>
        <v>540.80000000000007</v>
      </c>
      <c r="J27" s="204"/>
      <c r="M27" s="418"/>
      <c r="N27" s="437"/>
      <c r="O27" s="437"/>
      <c r="P27" s="437"/>
      <c r="Q27" s="437"/>
      <c r="R27" s="437"/>
      <c r="S27" s="437">
        <f t="shared" ref="S27:S31" si="9">I27</f>
        <v>540.80000000000007</v>
      </c>
    </row>
    <row r="28" spans="1:19" ht="44.55">
      <c r="A28" s="407">
        <v>0</v>
      </c>
      <c r="B28" s="407" t="s">
        <v>517</v>
      </c>
      <c r="C28" s="492" t="s">
        <v>569</v>
      </c>
      <c r="D28" s="487" t="s">
        <v>572</v>
      </c>
      <c r="E28" s="492" t="s">
        <v>573</v>
      </c>
      <c r="F28" s="430">
        <v>1190</v>
      </c>
      <c r="G28" s="429">
        <v>0.48</v>
      </c>
      <c r="H28" s="430">
        <f t="shared" si="3"/>
        <v>618.80000000000007</v>
      </c>
      <c r="I28" s="409">
        <f t="shared" si="4"/>
        <v>0</v>
      </c>
      <c r="J28" s="204"/>
      <c r="M28" s="418"/>
      <c r="N28" s="437"/>
      <c r="O28" s="437"/>
      <c r="P28" s="437"/>
      <c r="Q28" s="437"/>
      <c r="R28" s="437"/>
      <c r="S28" s="437">
        <f t="shared" si="9"/>
        <v>0</v>
      </c>
    </row>
    <row r="29" spans="1:19">
      <c r="A29" s="407">
        <v>0</v>
      </c>
      <c r="B29" s="407" t="s">
        <v>517</v>
      </c>
      <c r="C29" s="408" t="s">
        <v>574</v>
      </c>
      <c r="D29" s="407" t="s">
        <v>575</v>
      </c>
      <c r="E29" s="407" t="s">
        <v>576</v>
      </c>
      <c r="F29" s="409">
        <v>36.700000000000003</v>
      </c>
      <c r="G29" s="410"/>
      <c r="H29" s="409">
        <f t="shared" si="3"/>
        <v>36.700000000000003</v>
      </c>
      <c r="I29" s="409">
        <f t="shared" si="4"/>
        <v>0</v>
      </c>
      <c r="J29" s="204"/>
      <c r="M29" s="418"/>
      <c r="N29" s="437"/>
      <c r="O29" s="437"/>
      <c r="P29" s="437"/>
      <c r="Q29" s="437"/>
      <c r="R29" s="437"/>
      <c r="S29" s="437">
        <f t="shared" si="9"/>
        <v>0</v>
      </c>
    </row>
    <row r="30" spans="1:19">
      <c r="A30" s="407">
        <v>5</v>
      </c>
      <c r="B30" s="407" t="s">
        <v>517</v>
      </c>
      <c r="C30" s="408" t="s">
        <v>574</v>
      </c>
      <c r="D30" s="407" t="s">
        <v>577</v>
      </c>
      <c r="E30" s="407" t="s">
        <v>578</v>
      </c>
      <c r="F30" s="409">
        <v>75</v>
      </c>
      <c r="G30" s="410"/>
      <c r="H30" s="409">
        <f t="shared" si="3"/>
        <v>75</v>
      </c>
      <c r="I30" s="409">
        <f t="shared" si="4"/>
        <v>375</v>
      </c>
      <c r="J30" s="204"/>
      <c r="M30" s="418"/>
      <c r="N30" s="437"/>
      <c r="O30" s="437"/>
      <c r="P30" s="437"/>
      <c r="Q30" s="437"/>
      <c r="R30" s="437"/>
      <c r="S30" s="437">
        <f t="shared" si="9"/>
        <v>375</v>
      </c>
    </row>
    <row r="31" spans="1:19">
      <c r="A31" s="407">
        <v>1</v>
      </c>
      <c r="B31" s="407" t="s">
        <v>517</v>
      </c>
      <c r="C31" s="408" t="s">
        <v>574</v>
      </c>
      <c r="D31" s="407"/>
      <c r="E31" s="407" t="s">
        <v>579</v>
      </c>
      <c r="F31" s="409">
        <f>35/4</f>
        <v>8.75</v>
      </c>
      <c r="G31" s="410"/>
      <c r="H31" s="409">
        <f t="shared" si="3"/>
        <v>8.75</v>
      </c>
      <c r="I31" s="409">
        <f t="shared" si="4"/>
        <v>8.75</v>
      </c>
      <c r="J31" s="204"/>
      <c r="M31" s="418"/>
      <c r="N31" s="437"/>
      <c r="O31" s="437"/>
      <c r="P31" s="437"/>
      <c r="Q31" s="437"/>
      <c r="R31" s="437"/>
      <c r="S31" s="437">
        <f t="shared" si="9"/>
        <v>8.75</v>
      </c>
    </row>
    <row r="32" spans="1:19" ht="12.45">
      <c r="A32" s="407"/>
      <c r="B32" s="407"/>
      <c r="C32" s="408"/>
      <c r="D32" s="407"/>
      <c r="E32" s="431"/>
      <c r="F32" s="409"/>
      <c r="G32" s="410"/>
      <c r="H32" s="409"/>
      <c r="I32" s="409"/>
      <c r="J32" s="204"/>
      <c r="M32" s="418"/>
      <c r="N32" s="437"/>
      <c r="O32" s="437"/>
      <c r="P32" s="437"/>
      <c r="Q32" s="437"/>
      <c r="R32" s="437"/>
      <c r="S32" s="437"/>
    </row>
    <row r="33" spans="1:19">
      <c r="A33" s="407"/>
      <c r="B33" s="407"/>
      <c r="C33" s="408"/>
      <c r="D33" s="407"/>
      <c r="E33" s="407"/>
      <c r="F33" s="409"/>
      <c r="G33" s="410"/>
      <c r="H33" s="409"/>
      <c r="I33" s="409"/>
      <c r="J33" s="204"/>
      <c r="M33" s="437"/>
      <c r="N33" s="437"/>
      <c r="O33" s="437"/>
      <c r="P33" s="437"/>
      <c r="Q33" s="437"/>
      <c r="R33" s="437"/>
      <c r="S33" s="437"/>
    </row>
    <row r="34" spans="1:19">
      <c r="A34" s="407"/>
      <c r="B34" s="407"/>
      <c r="C34" s="408"/>
      <c r="D34" s="407"/>
      <c r="E34" s="432" t="s">
        <v>580</v>
      </c>
      <c r="F34" s="409"/>
      <c r="G34" s="410"/>
      <c r="H34" s="409"/>
      <c r="I34" s="421">
        <f>SUM(I4:I32)</f>
        <v>22106.631249999995</v>
      </c>
      <c r="J34" s="204"/>
      <c r="M34" s="418">
        <f>SUM(M4:M32)</f>
        <v>12852.199999999999</v>
      </c>
      <c r="N34" s="418">
        <f>SUM(N4:N32)</f>
        <v>4853.37</v>
      </c>
      <c r="O34" s="418">
        <f>SUM(O4:O32)</f>
        <v>831.0512500000001</v>
      </c>
      <c r="P34" s="418"/>
      <c r="Q34" s="418"/>
      <c r="R34" s="418">
        <f>SUM(R4:R32)</f>
        <v>2645.4599999999996</v>
      </c>
      <c r="S34" s="418">
        <f>SUM(S4:S32)</f>
        <v>924.55000000000007</v>
      </c>
    </row>
    <row r="35" spans="1:19">
      <c r="A35" s="407"/>
      <c r="B35" s="407"/>
      <c r="C35" s="408"/>
      <c r="D35" s="407"/>
      <c r="E35" s="413" t="s">
        <v>581</v>
      </c>
      <c r="F35" s="409"/>
      <c r="G35" s="410">
        <v>0.25</v>
      </c>
      <c r="H35" s="409"/>
      <c r="I35" s="421"/>
      <c r="J35" s="204"/>
      <c r="M35" s="418"/>
      <c r="N35" s="418"/>
      <c r="O35" s="418"/>
      <c r="P35" s="418"/>
      <c r="Q35" s="418"/>
      <c r="R35" s="418"/>
      <c r="S35" s="418"/>
    </row>
    <row r="36" spans="1:19" ht="15.75">
      <c r="E36" s="433" t="s">
        <v>582</v>
      </c>
      <c r="F36" s="418"/>
      <c r="G36" s="434"/>
      <c r="H36" s="418"/>
      <c r="I36" s="435">
        <f>I34*(1+$G$35)</f>
        <v>27633.289062499993</v>
      </c>
      <c r="J36" s="436"/>
      <c r="K36" s="437"/>
      <c r="L36" s="437"/>
      <c r="M36" s="165">
        <f>M34*(1+$G$35)</f>
        <v>16065.249999999998</v>
      </c>
      <c r="N36" s="165">
        <f>N34*(1+$G$35)</f>
        <v>6066.7124999999996</v>
      </c>
      <c r="O36" s="165">
        <f>O34*(1+$G$35)</f>
        <v>1038.8140625000001</v>
      </c>
      <c r="P36" s="165">
        <f>P65</f>
        <v>7920</v>
      </c>
      <c r="Q36" s="165">
        <f>Q87</f>
        <v>6076.8</v>
      </c>
      <c r="R36" s="165">
        <f>R34*(1+$G$35)</f>
        <v>3306.8249999999994</v>
      </c>
      <c r="S36" s="165">
        <f>S34*(1+$G$35)</f>
        <v>1155.6875</v>
      </c>
    </row>
    <row r="39" spans="1:19">
      <c r="E39" s="439" t="s">
        <v>585</v>
      </c>
    </row>
    <row r="40" spans="1:19">
      <c r="A40" s="441">
        <v>8</v>
      </c>
      <c r="B40" s="17" t="s">
        <v>619</v>
      </c>
      <c r="E40" s="17" t="s">
        <v>586</v>
      </c>
      <c r="F40" s="403">
        <f t="shared" ref="F40:F56" si="10">F$60</f>
        <v>55</v>
      </c>
      <c r="H40" s="403">
        <f t="shared" si="3"/>
        <v>55</v>
      </c>
      <c r="I40" s="403">
        <f t="shared" ref="I40:I62" si="11">A40*H40</f>
        <v>440</v>
      </c>
    </row>
    <row r="41" spans="1:19">
      <c r="A41" s="441">
        <f>A6/120*8*2</f>
        <v>12</v>
      </c>
      <c r="B41" s="17" t="s">
        <v>619</v>
      </c>
      <c r="E41" s="17" t="s">
        <v>589</v>
      </c>
      <c r="F41" s="403">
        <f t="shared" si="10"/>
        <v>55</v>
      </c>
      <c r="H41" s="403">
        <f t="shared" si="3"/>
        <v>55</v>
      </c>
      <c r="I41" s="403">
        <f t="shared" si="11"/>
        <v>660</v>
      </c>
      <c r="J41" s="17" t="s">
        <v>592</v>
      </c>
    </row>
    <row r="42" spans="1:19">
      <c r="A42" s="441">
        <v>4</v>
      </c>
      <c r="B42" s="17" t="s">
        <v>619</v>
      </c>
      <c r="E42" s="17" t="s">
        <v>1426</v>
      </c>
      <c r="F42" s="403">
        <f t="shared" si="10"/>
        <v>55</v>
      </c>
      <c r="H42" s="403">
        <f t="shared" si="3"/>
        <v>55</v>
      </c>
      <c r="I42" s="403">
        <f t="shared" si="11"/>
        <v>220</v>
      </c>
    </row>
    <row r="43" spans="1:19">
      <c r="A43" s="441">
        <f>1.37*A6-SUM(A40:A42)-SUM(A44:A55)</f>
        <v>54.300000000000011</v>
      </c>
      <c r="B43" s="17" t="s">
        <v>619</v>
      </c>
      <c r="E43" s="17" t="s">
        <v>591</v>
      </c>
      <c r="F43" s="403">
        <f t="shared" si="10"/>
        <v>55</v>
      </c>
      <c r="H43" s="403">
        <f t="shared" si="3"/>
        <v>55</v>
      </c>
      <c r="I43" s="403">
        <f t="shared" si="11"/>
        <v>2986.5000000000005</v>
      </c>
      <c r="J43" s="17" t="s">
        <v>1480</v>
      </c>
    </row>
    <row r="44" spans="1:19">
      <c r="A44" s="441">
        <v>4</v>
      </c>
      <c r="B44" s="17" t="s">
        <v>619</v>
      </c>
      <c r="E44" s="17" t="s">
        <v>1428</v>
      </c>
      <c r="F44" s="403">
        <f t="shared" si="10"/>
        <v>55</v>
      </c>
      <c r="H44" s="403">
        <f t="shared" si="3"/>
        <v>55</v>
      </c>
      <c r="I44" s="403">
        <f t="shared" si="11"/>
        <v>220</v>
      </c>
    </row>
    <row r="45" spans="1:19">
      <c r="A45" s="441">
        <v>4</v>
      </c>
      <c r="B45" s="17" t="s">
        <v>619</v>
      </c>
      <c r="E45" s="17" t="s">
        <v>1429</v>
      </c>
      <c r="F45" s="403">
        <f t="shared" si="10"/>
        <v>55</v>
      </c>
      <c r="H45" s="403">
        <f t="shared" si="3"/>
        <v>55</v>
      </c>
      <c r="I45" s="403">
        <f t="shared" si="11"/>
        <v>220</v>
      </c>
    </row>
    <row r="46" spans="1:19">
      <c r="A46" s="441">
        <v>2</v>
      </c>
      <c r="B46" s="17" t="s">
        <v>619</v>
      </c>
      <c r="E46" s="17" t="s">
        <v>605</v>
      </c>
      <c r="F46" s="403">
        <f t="shared" si="10"/>
        <v>55</v>
      </c>
      <c r="H46" s="403">
        <f t="shared" si="3"/>
        <v>55</v>
      </c>
      <c r="I46" s="403">
        <f t="shared" si="11"/>
        <v>110</v>
      </c>
    </row>
    <row r="47" spans="1:19">
      <c r="A47" s="441">
        <v>2</v>
      </c>
      <c r="B47" s="17" t="s">
        <v>619</v>
      </c>
      <c r="E47" s="17" t="s">
        <v>607</v>
      </c>
      <c r="F47" s="403">
        <f t="shared" si="10"/>
        <v>55</v>
      </c>
      <c r="H47" s="403">
        <f t="shared" si="3"/>
        <v>55</v>
      </c>
      <c r="I47" s="403">
        <f t="shared" si="11"/>
        <v>110</v>
      </c>
      <c r="J47" s="17" t="s">
        <v>608</v>
      </c>
    </row>
    <row r="48" spans="1:19">
      <c r="A48" s="441">
        <v>1</v>
      </c>
      <c r="B48" s="17" t="s">
        <v>619</v>
      </c>
      <c r="E48" s="17" t="s">
        <v>609</v>
      </c>
      <c r="F48" s="403">
        <f t="shared" si="10"/>
        <v>55</v>
      </c>
      <c r="H48" s="403">
        <f t="shared" si="3"/>
        <v>55</v>
      </c>
      <c r="I48" s="403">
        <f t="shared" si="11"/>
        <v>55</v>
      </c>
    </row>
    <row r="49" spans="1:10">
      <c r="A49" s="441">
        <v>8</v>
      </c>
      <c r="B49" s="17" t="s">
        <v>619</v>
      </c>
      <c r="E49" s="17" t="s">
        <v>610</v>
      </c>
      <c r="F49" s="403">
        <f t="shared" si="10"/>
        <v>55</v>
      </c>
      <c r="H49" s="403">
        <f t="shared" si="3"/>
        <v>55</v>
      </c>
      <c r="I49" s="403">
        <f t="shared" si="11"/>
        <v>440</v>
      </c>
    </row>
    <row r="50" spans="1:10">
      <c r="A50" s="441">
        <v>1</v>
      </c>
      <c r="B50" s="17" t="s">
        <v>619</v>
      </c>
      <c r="E50" s="17" t="s">
        <v>611</v>
      </c>
      <c r="F50" s="403">
        <f t="shared" si="10"/>
        <v>55</v>
      </c>
      <c r="H50" s="403">
        <f t="shared" si="3"/>
        <v>55</v>
      </c>
      <c r="I50" s="403">
        <f t="shared" si="11"/>
        <v>55</v>
      </c>
    </row>
    <row r="51" spans="1:10">
      <c r="A51" s="441">
        <v>1</v>
      </c>
      <c r="B51" s="17" t="s">
        <v>619</v>
      </c>
      <c r="E51" s="17" t="s">
        <v>1431</v>
      </c>
      <c r="F51" s="403">
        <f t="shared" si="10"/>
        <v>55</v>
      </c>
      <c r="H51" s="403">
        <f t="shared" si="3"/>
        <v>55</v>
      </c>
      <c r="I51" s="403">
        <f t="shared" si="11"/>
        <v>55</v>
      </c>
    </row>
    <row r="52" spans="1:10">
      <c r="A52" s="441">
        <f>3*2</f>
        <v>6</v>
      </c>
      <c r="B52" s="17" t="s">
        <v>619</v>
      </c>
      <c r="E52" s="17" t="s">
        <v>612</v>
      </c>
      <c r="F52" s="403">
        <f t="shared" si="10"/>
        <v>55</v>
      </c>
      <c r="H52" s="403">
        <f t="shared" si="3"/>
        <v>55</v>
      </c>
      <c r="I52" s="403">
        <f t="shared" si="11"/>
        <v>330</v>
      </c>
      <c r="J52" s="17" t="s">
        <v>613</v>
      </c>
    </row>
    <row r="53" spans="1:10">
      <c r="A53" s="441">
        <v>8</v>
      </c>
      <c r="B53" s="17" t="s">
        <v>619</v>
      </c>
      <c r="E53" s="17" t="s">
        <v>614</v>
      </c>
      <c r="F53" s="403">
        <f t="shared" si="10"/>
        <v>55</v>
      </c>
      <c r="H53" s="403">
        <f t="shared" si="3"/>
        <v>55</v>
      </c>
      <c r="I53" s="403">
        <f t="shared" si="11"/>
        <v>440</v>
      </c>
    </row>
    <row r="54" spans="1:10">
      <c r="A54" s="441">
        <v>4</v>
      </c>
      <c r="B54" s="17" t="s">
        <v>619</v>
      </c>
      <c r="E54" s="17" t="s">
        <v>615</v>
      </c>
      <c r="F54" s="403">
        <f t="shared" si="10"/>
        <v>55</v>
      </c>
      <c r="H54" s="403">
        <f t="shared" si="3"/>
        <v>55</v>
      </c>
      <c r="I54" s="403">
        <f t="shared" si="11"/>
        <v>220</v>
      </c>
    </row>
    <row r="55" spans="1:10">
      <c r="A55" s="441">
        <v>4</v>
      </c>
      <c r="B55" s="17" t="s">
        <v>619</v>
      </c>
      <c r="E55" s="17" t="s">
        <v>616</v>
      </c>
      <c r="F55" s="403">
        <f t="shared" si="10"/>
        <v>55</v>
      </c>
      <c r="H55" s="403">
        <f t="shared" si="3"/>
        <v>55</v>
      </c>
      <c r="I55" s="403">
        <f t="shared" si="11"/>
        <v>220</v>
      </c>
    </row>
    <row r="56" spans="1:10">
      <c r="A56" s="441">
        <v>0</v>
      </c>
      <c r="B56" s="442" t="s">
        <v>619</v>
      </c>
      <c r="C56" s="446"/>
      <c r="D56" s="442"/>
      <c r="E56" s="17" t="s">
        <v>617</v>
      </c>
      <c r="F56" s="443">
        <f t="shared" si="10"/>
        <v>55</v>
      </c>
      <c r="G56" s="444"/>
      <c r="H56" s="443">
        <f t="shared" si="3"/>
        <v>55</v>
      </c>
      <c r="I56" s="443">
        <f t="shared" si="11"/>
        <v>0</v>
      </c>
      <c r="J56" s="17" t="s">
        <v>618</v>
      </c>
    </row>
    <row r="58" spans="1:10">
      <c r="A58" s="17">
        <f>SUM(A40:A57)</f>
        <v>123.30000000000001</v>
      </c>
      <c r="B58" s="17" t="s">
        <v>619</v>
      </c>
      <c r="E58" s="17" t="s">
        <v>620</v>
      </c>
    </row>
    <row r="59" spans="1:10">
      <c r="A59" s="441">
        <v>3</v>
      </c>
      <c r="B59" s="17" t="s">
        <v>517</v>
      </c>
      <c r="E59" s="17" t="s">
        <v>621</v>
      </c>
    </row>
    <row r="60" spans="1:10">
      <c r="A60" s="17">
        <v>1</v>
      </c>
      <c r="B60" s="17" t="s">
        <v>517</v>
      </c>
      <c r="E60" s="17" t="s">
        <v>622</v>
      </c>
      <c r="F60" s="445">
        <v>55</v>
      </c>
      <c r="H60" s="403">
        <f t="shared" si="3"/>
        <v>55</v>
      </c>
      <c r="I60" s="403">
        <f t="shared" si="11"/>
        <v>55</v>
      </c>
      <c r="J60" s="17" t="s">
        <v>623</v>
      </c>
    </row>
    <row r="61" spans="1:10">
      <c r="A61" s="17">
        <f>ROUNDUP(A58/8/A59,0)</f>
        <v>6</v>
      </c>
      <c r="B61" s="17" t="s">
        <v>624</v>
      </c>
      <c r="E61" s="17" t="s">
        <v>625</v>
      </c>
      <c r="F61" s="403">
        <f>A59*8*F60</f>
        <v>1320</v>
      </c>
      <c r="H61" s="403">
        <f t="shared" si="3"/>
        <v>1320</v>
      </c>
      <c r="I61" s="403">
        <f t="shared" si="11"/>
        <v>7920</v>
      </c>
    </row>
    <row r="62" spans="1:10">
      <c r="A62" s="441">
        <v>0</v>
      </c>
      <c r="B62" s="442" t="s">
        <v>517</v>
      </c>
      <c r="C62" s="446"/>
      <c r="D62" s="442"/>
      <c r="E62" s="442" t="s">
        <v>626</v>
      </c>
      <c r="F62" s="447"/>
      <c r="G62" s="444"/>
      <c r="H62" s="403">
        <f t="shared" si="3"/>
        <v>0</v>
      </c>
      <c r="I62" s="403">
        <f t="shared" si="11"/>
        <v>0</v>
      </c>
      <c r="J62" s="442"/>
    </row>
    <row r="63" spans="1:10">
      <c r="A63" s="441"/>
      <c r="F63" s="447"/>
      <c r="H63" s="403"/>
      <c r="I63" s="403"/>
    </row>
    <row r="64" spans="1:10">
      <c r="A64" s="441"/>
      <c r="F64" s="447"/>
      <c r="H64" s="403"/>
      <c r="I64" s="403"/>
    </row>
    <row r="65" spans="1:16" ht="15.75">
      <c r="E65" s="439" t="s">
        <v>628</v>
      </c>
      <c r="I65" s="443">
        <f>SUM(I61:I64)</f>
        <v>7920</v>
      </c>
      <c r="P65" s="165">
        <f>I65</f>
        <v>7920</v>
      </c>
    </row>
    <row r="68" spans="1:16">
      <c r="E68" s="449" t="s">
        <v>630</v>
      </c>
    </row>
    <row r="69" spans="1:16">
      <c r="E69" s="449" t="s">
        <v>635</v>
      </c>
    </row>
    <row r="70" spans="1:16" ht="66.8">
      <c r="A70" s="915">
        <v>0</v>
      </c>
      <c r="B70" s="17" t="s">
        <v>517</v>
      </c>
      <c r="C70" s="204" t="s">
        <v>698</v>
      </c>
      <c r="D70" s="17" t="s">
        <v>636</v>
      </c>
      <c r="E70" s="17" t="s">
        <v>637</v>
      </c>
      <c r="F70" s="445">
        <v>1809</v>
      </c>
      <c r="G70" s="404">
        <v>0.4</v>
      </c>
      <c r="H70" s="403">
        <f t="shared" si="3"/>
        <v>1085.3999999999999</v>
      </c>
      <c r="I70" s="403">
        <f t="shared" ref="I70:I85" si="12">A70*H70</f>
        <v>0</v>
      </c>
      <c r="J70" s="17" t="s">
        <v>638</v>
      </c>
      <c r="K70" s="17" t="s">
        <v>1892</v>
      </c>
    </row>
    <row r="71" spans="1:16">
      <c r="A71" s="915">
        <v>0</v>
      </c>
      <c r="B71" s="17" t="s">
        <v>517</v>
      </c>
      <c r="C71" s="204" t="s">
        <v>538</v>
      </c>
      <c r="D71" s="17" t="s">
        <v>640</v>
      </c>
      <c r="E71" s="17" t="s">
        <v>1893</v>
      </c>
      <c r="F71" s="445">
        <v>1949</v>
      </c>
      <c r="G71" s="404">
        <v>0.4</v>
      </c>
      <c r="H71" s="403">
        <f t="shared" si="3"/>
        <v>1169.3999999999999</v>
      </c>
      <c r="I71" s="403">
        <f t="shared" si="12"/>
        <v>0</v>
      </c>
      <c r="J71" s="17" t="s">
        <v>638</v>
      </c>
      <c r="K71" s="17" t="s">
        <v>1894</v>
      </c>
    </row>
    <row r="72" spans="1:16">
      <c r="A72" s="441">
        <v>0</v>
      </c>
      <c r="B72" s="17" t="s">
        <v>517</v>
      </c>
      <c r="C72" s="204" t="s">
        <v>538</v>
      </c>
      <c r="D72" s="17" t="s">
        <v>640</v>
      </c>
      <c r="E72" s="17" t="s">
        <v>1895</v>
      </c>
      <c r="F72" s="445">
        <v>1949</v>
      </c>
      <c r="G72" s="404">
        <v>0.4</v>
      </c>
      <c r="H72" s="403">
        <f t="shared" si="3"/>
        <v>1169.3999999999999</v>
      </c>
      <c r="I72" s="403">
        <f t="shared" si="12"/>
        <v>0</v>
      </c>
      <c r="J72" s="17" t="s">
        <v>638</v>
      </c>
      <c r="K72" s="17" t="s">
        <v>1894</v>
      </c>
    </row>
    <row r="73" spans="1:16">
      <c r="A73" s="915">
        <v>0</v>
      </c>
      <c r="B73" s="17" t="s">
        <v>517</v>
      </c>
      <c r="C73" s="204" t="s">
        <v>538</v>
      </c>
      <c r="D73" s="17" t="s">
        <v>640</v>
      </c>
      <c r="E73" s="17" t="s">
        <v>1896</v>
      </c>
      <c r="F73" s="445">
        <v>2447</v>
      </c>
      <c r="G73" s="404">
        <v>0.4</v>
      </c>
      <c r="H73" s="403">
        <f t="shared" si="3"/>
        <v>1468.2</v>
      </c>
      <c r="I73" s="403">
        <f t="shared" si="12"/>
        <v>0</v>
      </c>
      <c r="J73" s="17" t="s">
        <v>638</v>
      </c>
      <c r="K73" s="17" t="s">
        <v>1894</v>
      </c>
    </row>
    <row r="74" spans="1:16">
      <c r="A74" s="441">
        <v>0</v>
      </c>
      <c r="B74" s="17" t="s">
        <v>517</v>
      </c>
      <c r="C74" s="204" t="s">
        <v>538</v>
      </c>
      <c r="D74" s="17" t="s">
        <v>640</v>
      </c>
      <c r="E74" s="17" t="s">
        <v>1897</v>
      </c>
      <c r="F74" s="445">
        <v>4395</v>
      </c>
      <c r="G74" s="404">
        <v>0.4</v>
      </c>
      <c r="H74" s="403">
        <f t="shared" ref="H74:H99" si="13">F74*(1-G74)</f>
        <v>2637</v>
      </c>
      <c r="I74" s="403">
        <f t="shared" si="12"/>
        <v>0</v>
      </c>
      <c r="J74" s="17" t="s">
        <v>638</v>
      </c>
      <c r="K74" s="17" t="s">
        <v>1894</v>
      </c>
    </row>
    <row r="75" spans="1:16">
      <c r="A75" s="441">
        <v>0</v>
      </c>
      <c r="B75" s="17" t="s">
        <v>517</v>
      </c>
      <c r="C75" s="204" t="s">
        <v>538</v>
      </c>
      <c r="D75" s="17" t="s">
        <v>640</v>
      </c>
      <c r="E75" s="17" t="s">
        <v>1898</v>
      </c>
      <c r="F75" s="445">
        <v>21206</v>
      </c>
      <c r="G75" s="404">
        <v>0.4</v>
      </c>
      <c r="H75" s="403">
        <f t="shared" si="13"/>
        <v>12723.6</v>
      </c>
      <c r="I75" s="403">
        <f t="shared" si="12"/>
        <v>0</v>
      </c>
      <c r="J75" s="17" t="s">
        <v>638</v>
      </c>
      <c r="K75" s="17" t="s">
        <v>1894</v>
      </c>
    </row>
    <row r="76" spans="1:16">
      <c r="A76" s="915">
        <v>0</v>
      </c>
      <c r="B76" s="17" t="s">
        <v>539</v>
      </c>
      <c r="C76" s="204" t="s">
        <v>538</v>
      </c>
      <c r="D76" s="17" t="s">
        <v>643</v>
      </c>
      <c r="E76" s="17" t="s">
        <v>1899</v>
      </c>
      <c r="F76" s="445">
        <v>80</v>
      </c>
      <c r="G76" s="404">
        <v>0.4</v>
      </c>
      <c r="H76" s="403">
        <f t="shared" si="13"/>
        <v>48</v>
      </c>
      <c r="I76" s="403">
        <f t="shared" si="12"/>
        <v>0</v>
      </c>
      <c r="J76" s="17" t="s">
        <v>638</v>
      </c>
      <c r="K76" s="17" t="s">
        <v>1894</v>
      </c>
    </row>
    <row r="77" spans="1:16">
      <c r="A77" s="441">
        <v>0</v>
      </c>
      <c r="B77" s="17" t="s">
        <v>539</v>
      </c>
      <c r="C77" s="204" t="s">
        <v>538</v>
      </c>
      <c r="D77" s="17" t="s">
        <v>643</v>
      </c>
      <c r="E77" s="17" t="s">
        <v>1900</v>
      </c>
      <c r="F77" s="445">
        <v>108</v>
      </c>
      <c r="G77" s="404">
        <v>0.4</v>
      </c>
      <c r="H77" s="403">
        <f t="shared" si="13"/>
        <v>64.8</v>
      </c>
      <c r="I77" s="403">
        <f t="shared" si="12"/>
        <v>0</v>
      </c>
      <c r="J77" s="17" t="s">
        <v>638</v>
      </c>
      <c r="K77" s="17" t="s">
        <v>1894</v>
      </c>
    </row>
    <row r="78" spans="1:16">
      <c r="A78" s="204"/>
      <c r="F78" s="445"/>
      <c r="H78" s="403"/>
      <c r="I78" s="403"/>
    </row>
    <row r="79" spans="1:16">
      <c r="A79" s="204"/>
      <c r="E79" s="449" t="s">
        <v>1901</v>
      </c>
      <c r="F79" s="445"/>
      <c r="H79" s="403"/>
      <c r="I79" s="403"/>
    </row>
    <row r="80" spans="1:16">
      <c r="A80" s="441">
        <v>1</v>
      </c>
      <c r="B80" s="17" t="s">
        <v>517</v>
      </c>
      <c r="C80" s="204" t="s">
        <v>1902</v>
      </c>
      <c r="D80" s="17" t="s">
        <v>636</v>
      </c>
      <c r="E80" s="17" t="s">
        <v>1903</v>
      </c>
      <c r="F80" s="445">
        <v>2507</v>
      </c>
      <c r="G80" s="404">
        <v>0.4</v>
      </c>
      <c r="H80" s="403">
        <f t="shared" si="13"/>
        <v>1504.2</v>
      </c>
      <c r="I80" s="403">
        <f t="shared" si="12"/>
        <v>1504.2</v>
      </c>
      <c r="J80" s="17" t="s">
        <v>638</v>
      </c>
      <c r="K80" s="17" t="s">
        <v>1904</v>
      </c>
    </row>
    <row r="81" spans="1:17">
      <c r="A81" s="441">
        <v>0</v>
      </c>
      <c r="B81" s="17" t="s">
        <v>517</v>
      </c>
      <c r="C81" s="204" t="s">
        <v>1902</v>
      </c>
      <c r="D81" s="17" t="s">
        <v>636</v>
      </c>
      <c r="E81" s="17" t="s">
        <v>1905</v>
      </c>
      <c r="F81" s="445">
        <v>2913</v>
      </c>
      <c r="G81" s="404">
        <v>0.4</v>
      </c>
      <c r="H81" s="403">
        <f t="shared" si="13"/>
        <v>1747.8</v>
      </c>
      <c r="I81" s="403">
        <f t="shared" si="12"/>
        <v>0</v>
      </c>
      <c r="J81" s="17" t="s">
        <v>638</v>
      </c>
      <c r="K81" s="17" t="s">
        <v>1904</v>
      </c>
    </row>
    <row r="82" spans="1:17">
      <c r="A82" s="441">
        <v>28</v>
      </c>
      <c r="B82" s="17" t="s">
        <v>539</v>
      </c>
      <c r="C82" s="204" t="s">
        <v>1902</v>
      </c>
      <c r="D82" s="17" t="s">
        <v>670</v>
      </c>
      <c r="E82" s="17" t="s">
        <v>1906</v>
      </c>
      <c r="F82" s="445">
        <v>107</v>
      </c>
      <c r="G82" s="404">
        <v>0.4</v>
      </c>
      <c r="H82" s="403">
        <f t="shared" si="13"/>
        <v>64.2</v>
      </c>
      <c r="I82" s="403">
        <f t="shared" si="12"/>
        <v>1797.6000000000001</v>
      </c>
      <c r="J82" s="17" t="s">
        <v>638</v>
      </c>
      <c r="K82" s="17" t="s">
        <v>1904</v>
      </c>
    </row>
    <row r="83" spans="1:17">
      <c r="A83" s="441">
        <v>0</v>
      </c>
      <c r="B83" s="17" t="s">
        <v>539</v>
      </c>
      <c r="C83" s="204" t="s">
        <v>1902</v>
      </c>
      <c r="D83" s="17" t="s">
        <v>670</v>
      </c>
      <c r="E83" s="17" t="s">
        <v>1907</v>
      </c>
      <c r="F83" s="445">
        <v>108</v>
      </c>
      <c r="G83" s="404">
        <v>0.4</v>
      </c>
      <c r="H83" s="403">
        <f t="shared" si="13"/>
        <v>64.8</v>
      </c>
      <c r="I83" s="403">
        <f t="shared" si="12"/>
        <v>0</v>
      </c>
      <c r="J83" s="17" t="s">
        <v>638</v>
      </c>
      <c r="K83" s="17" t="s">
        <v>1904</v>
      </c>
    </row>
    <row r="84" spans="1:17">
      <c r="A84" s="441">
        <v>1</v>
      </c>
      <c r="B84" s="17" t="s">
        <v>517</v>
      </c>
      <c r="C84" s="204" t="s">
        <v>1902</v>
      </c>
      <c r="D84" s="17" t="s">
        <v>640</v>
      </c>
      <c r="E84" s="17" t="s">
        <v>1908</v>
      </c>
      <c r="F84" s="445">
        <v>1965</v>
      </c>
      <c r="G84" s="404">
        <v>0.4</v>
      </c>
      <c r="H84" s="403">
        <f t="shared" si="13"/>
        <v>1179</v>
      </c>
      <c r="I84" s="403">
        <f t="shared" si="12"/>
        <v>1179</v>
      </c>
      <c r="J84" s="17" t="s">
        <v>638</v>
      </c>
      <c r="K84" s="17" t="s">
        <v>1904</v>
      </c>
    </row>
    <row r="85" spans="1:17">
      <c r="A85" s="441">
        <f>A82</f>
        <v>28</v>
      </c>
      <c r="B85" s="17" t="s">
        <v>539</v>
      </c>
      <c r="C85" s="204" t="s">
        <v>1902</v>
      </c>
      <c r="D85" s="17" t="s">
        <v>643</v>
      </c>
      <c r="E85" s="17" t="s">
        <v>1909</v>
      </c>
      <c r="F85" s="445">
        <v>95</v>
      </c>
      <c r="G85" s="404">
        <v>0.4</v>
      </c>
      <c r="H85" s="403">
        <f t="shared" si="13"/>
        <v>57</v>
      </c>
      <c r="I85" s="403">
        <f t="shared" si="12"/>
        <v>1596</v>
      </c>
      <c r="J85" s="17" t="s">
        <v>638</v>
      </c>
      <c r="K85" s="17" t="s">
        <v>1904</v>
      </c>
    </row>
    <row r="86" spans="1:17">
      <c r="A86" s="204"/>
      <c r="F86" s="485"/>
      <c r="H86" s="403"/>
      <c r="I86" s="403"/>
    </row>
    <row r="87" spans="1:17" ht="15.75">
      <c r="E87" s="439" t="s">
        <v>676</v>
      </c>
      <c r="I87" s="443">
        <f>SUM(I70:I86)</f>
        <v>6076.8</v>
      </c>
      <c r="Q87" s="165">
        <f>I87</f>
        <v>6076.8</v>
      </c>
    </row>
    <row r="89" spans="1:17" ht="13.75" customHeight="1">
      <c r="A89" s="986" t="s">
        <v>100</v>
      </c>
      <c r="B89" s="986"/>
      <c r="C89" s="986"/>
      <c r="D89" s="986"/>
      <c r="E89" s="986"/>
    </row>
    <row r="91" spans="1:17">
      <c r="E91" s="442" t="s">
        <v>677</v>
      </c>
      <c r="J91" s="403" t="s">
        <v>779</v>
      </c>
    </row>
    <row r="92" spans="1:17" ht="22.25">
      <c r="A92" s="407">
        <v>1</v>
      </c>
      <c r="B92" s="407" t="s">
        <v>522</v>
      </c>
      <c r="C92" s="408" t="s">
        <v>678</v>
      </c>
      <c r="D92" s="407" t="s">
        <v>679</v>
      </c>
      <c r="E92" s="408" t="s">
        <v>680</v>
      </c>
      <c r="F92" s="409">
        <v>2801.13</v>
      </c>
      <c r="G92" s="410"/>
      <c r="H92" s="409">
        <f t="shared" si="13"/>
        <v>2801.13</v>
      </c>
      <c r="I92" s="409"/>
    </row>
    <row r="93" spans="1:17" ht="33.4">
      <c r="A93" s="407">
        <v>1</v>
      </c>
      <c r="B93" s="407" t="s">
        <v>522</v>
      </c>
      <c r="C93" s="408" t="s">
        <v>678</v>
      </c>
      <c r="D93" s="407" t="s">
        <v>681</v>
      </c>
      <c r="E93" s="408" t="s">
        <v>682</v>
      </c>
      <c r="F93" s="409">
        <v>772.15</v>
      </c>
      <c r="G93" s="410"/>
      <c r="H93" s="409">
        <f t="shared" si="13"/>
        <v>772.15</v>
      </c>
      <c r="I93" s="409"/>
    </row>
    <row r="94" spans="1:17" ht="33.4">
      <c r="A94" s="407">
        <v>1</v>
      </c>
      <c r="B94" s="407" t="s">
        <v>522</v>
      </c>
      <c r="C94" s="408" t="s">
        <v>678</v>
      </c>
      <c r="D94" s="407" t="s">
        <v>683</v>
      </c>
      <c r="E94" s="408" t="s">
        <v>684</v>
      </c>
      <c r="F94" s="409">
        <v>150.26</v>
      </c>
      <c r="G94" s="410"/>
      <c r="H94" s="409">
        <f t="shared" si="13"/>
        <v>150.26</v>
      </c>
      <c r="I94" s="409"/>
    </row>
    <row r="95" spans="1:17" ht="33.4">
      <c r="A95" s="407">
        <v>1</v>
      </c>
      <c r="B95" s="407" t="s">
        <v>522</v>
      </c>
      <c r="C95" s="408" t="s">
        <v>678</v>
      </c>
      <c r="D95" s="407" t="s">
        <v>685</v>
      </c>
      <c r="E95" s="408" t="s">
        <v>686</v>
      </c>
      <c r="F95" s="409">
        <v>10.58</v>
      </c>
      <c r="G95" s="410"/>
      <c r="H95" s="409">
        <f t="shared" si="13"/>
        <v>10.58</v>
      </c>
      <c r="I95" s="409"/>
    </row>
    <row r="96" spans="1:17" ht="22.25">
      <c r="A96" s="407">
        <v>0</v>
      </c>
      <c r="B96" s="407" t="s">
        <v>522</v>
      </c>
      <c r="C96" s="408" t="s">
        <v>678</v>
      </c>
      <c r="D96" s="407" t="s">
        <v>687</v>
      </c>
      <c r="E96" s="408" t="s">
        <v>688</v>
      </c>
      <c r="F96" s="409">
        <v>69.78</v>
      </c>
      <c r="G96" s="410"/>
      <c r="H96" s="409">
        <f t="shared" si="13"/>
        <v>69.78</v>
      </c>
      <c r="I96" s="409"/>
      <c r="J96" s="17" t="s">
        <v>689</v>
      </c>
    </row>
    <row r="97" spans="1:10" ht="22.25">
      <c r="A97" s="487">
        <v>10</v>
      </c>
      <c r="B97" s="407" t="s">
        <v>539</v>
      </c>
      <c r="C97" s="408" t="s">
        <v>690</v>
      </c>
      <c r="D97" s="407"/>
      <c r="E97" s="407" t="s">
        <v>691</v>
      </c>
      <c r="F97" s="409">
        <v>7.58</v>
      </c>
      <c r="G97" s="410"/>
      <c r="H97" s="409">
        <f t="shared" si="13"/>
        <v>7.58</v>
      </c>
      <c r="I97" s="409"/>
      <c r="J97" s="17" t="s">
        <v>692</v>
      </c>
    </row>
    <row r="98" spans="1:10" ht="22.25">
      <c r="A98" s="487">
        <v>10</v>
      </c>
      <c r="B98" s="407" t="s">
        <v>539</v>
      </c>
      <c r="C98" s="408" t="s">
        <v>690</v>
      </c>
      <c r="D98" s="407"/>
      <c r="E98" s="407" t="s">
        <v>693</v>
      </c>
      <c r="F98" s="409">
        <v>2.04</v>
      </c>
      <c r="G98" s="410"/>
      <c r="H98" s="409">
        <f t="shared" si="13"/>
        <v>2.04</v>
      </c>
      <c r="I98" s="409"/>
      <c r="J98" s="17" t="s">
        <v>694</v>
      </c>
    </row>
    <row r="99" spans="1:10" ht="22.25">
      <c r="A99" s="407">
        <v>1</v>
      </c>
      <c r="B99" s="407" t="s">
        <v>522</v>
      </c>
      <c r="C99" s="408"/>
      <c r="D99" s="407"/>
      <c r="E99" s="408" t="s">
        <v>695</v>
      </c>
      <c r="F99" s="409">
        <v>50</v>
      </c>
      <c r="G99" s="410"/>
      <c r="H99" s="409">
        <f t="shared" si="13"/>
        <v>50</v>
      </c>
      <c r="I99" s="409"/>
      <c r="J99" s="204" t="s">
        <v>696</v>
      </c>
    </row>
    <row r="100" spans="1:10">
      <c r="A100" s="407">
        <v>16</v>
      </c>
      <c r="B100" s="407" t="s">
        <v>619</v>
      </c>
      <c r="C100" s="408"/>
      <c r="D100" s="407"/>
      <c r="E100" s="408" t="s">
        <v>697</v>
      </c>
      <c r="F100" s="409">
        <f>F60</f>
        <v>55</v>
      </c>
      <c r="G100" s="410"/>
      <c r="H100" s="409">
        <f t="shared" ref="H100:H127" si="14">F100*(1-G100)</f>
        <v>55</v>
      </c>
      <c r="I100" s="409"/>
    </row>
    <row r="101" spans="1:10" ht="66.8">
      <c r="A101" s="407">
        <v>1</v>
      </c>
      <c r="B101" s="407" t="s">
        <v>517</v>
      </c>
      <c r="C101" s="408" t="s">
        <v>698</v>
      </c>
      <c r="D101" s="407" t="s">
        <v>636</v>
      </c>
      <c r="E101" s="408" t="s">
        <v>637</v>
      </c>
      <c r="F101" s="409">
        <v>1809</v>
      </c>
      <c r="G101" s="410">
        <v>0.75</v>
      </c>
      <c r="H101" s="409">
        <f t="shared" si="14"/>
        <v>452.25</v>
      </c>
      <c r="I101" s="409"/>
      <c r="J101" s="17" t="s">
        <v>699</v>
      </c>
    </row>
    <row r="102" spans="1:10">
      <c r="A102" s="407"/>
      <c r="B102" s="407"/>
      <c r="C102" s="408"/>
      <c r="D102" s="407"/>
      <c r="E102" s="408"/>
      <c r="F102" s="409"/>
      <c r="G102" s="410"/>
      <c r="H102" s="409"/>
      <c r="I102" s="409"/>
    </row>
    <row r="103" spans="1:10">
      <c r="E103" s="442" t="s">
        <v>700</v>
      </c>
    </row>
    <row r="104" spans="1:10">
      <c r="A104" s="407"/>
      <c r="B104" s="407"/>
      <c r="C104" s="408"/>
      <c r="D104" s="407"/>
      <c r="E104" s="408"/>
      <c r="F104" s="409"/>
      <c r="G104" s="410"/>
      <c r="H104" s="409"/>
      <c r="I104" s="409"/>
    </row>
    <row r="105" spans="1:10">
      <c r="A105" s="407"/>
      <c r="B105" s="407"/>
      <c r="C105" s="408"/>
      <c r="D105" s="407"/>
      <c r="E105" s="408" t="s">
        <v>701</v>
      </c>
      <c r="F105" s="409"/>
      <c r="G105" s="410"/>
      <c r="H105" s="409"/>
      <c r="I105" s="409"/>
    </row>
    <row r="106" spans="1:10">
      <c r="A106" s="407"/>
      <c r="B106" s="407"/>
      <c r="C106" s="408"/>
      <c r="D106" s="407"/>
      <c r="E106" s="408"/>
      <c r="F106" s="409"/>
      <c r="G106" s="410"/>
      <c r="H106" s="409"/>
      <c r="I106" s="409"/>
    </row>
    <row r="107" spans="1:10">
      <c r="A107" s="407"/>
      <c r="B107" s="407"/>
      <c r="C107" s="408"/>
      <c r="D107" s="407"/>
      <c r="E107" s="408"/>
      <c r="F107" s="409"/>
      <c r="G107" s="410"/>
      <c r="H107" s="409"/>
      <c r="I107" s="409"/>
    </row>
    <row r="108" spans="1:10">
      <c r="A108" s="407"/>
      <c r="B108" s="407"/>
      <c r="C108" s="408"/>
      <c r="D108" s="407"/>
      <c r="E108" s="408"/>
      <c r="F108" s="409"/>
      <c r="G108" s="410"/>
      <c r="H108" s="409"/>
      <c r="I108" s="409"/>
    </row>
    <row r="109" spans="1:10">
      <c r="A109" s="407"/>
      <c r="B109" s="407"/>
      <c r="C109" s="408"/>
      <c r="D109" s="407"/>
      <c r="E109" s="408"/>
      <c r="F109" s="409"/>
      <c r="G109" s="410"/>
      <c r="H109" s="409"/>
      <c r="I109" s="409"/>
    </row>
    <row r="110" spans="1:10">
      <c r="A110" s="204"/>
      <c r="F110" s="485"/>
      <c r="H110" s="403"/>
      <c r="I110" s="403"/>
    </row>
    <row r="111" spans="1:10">
      <c r="E111" s="439" t="s">
        <v>702</v>
      </c>
      <c r="I111" s="443">
        <f>SUM(I92:I110)</f>
        <v>0</v>
      </c>
    </row>
    <row r="113" spans="1:10" ht="15.05" customHeight="1">
      <c r="A113" s="1002" t="s">
        <v>90</v>
      </c>
      <c r="B113" s="1002"/>
      <c r="C113" s="1002"/>
      <c r="D113" s="1002"/>
      <c r="E113" s="1002"/>
    </row>
    <row r="115" spans="1:10">
      <c r="A115" s="17">
        <v>1</v>
      </c>
      <c r="B115" s="17" t="s">
        <v>517</v>
      </c>
      <c r="E115" s="17" t="s">
        <v>703</v>
      </c>
      <c r="F115" s="403">
        <v>800</v>
      </c>
      <c r="H115" s="403">
        <f t="shared" si="14"/>
        <v>800</v>
      </c>
      <c r="I115" s="403">
        <f t="shared" ref="I115:I120" si="15">A115*H115</f>
        <v>800</v>
      </c>
      <c r="J115" s="17" t="s">
        <v>704</v>
      </c>
    </row>
    <row r="116" spans="1:10">
      <c r="A116" s="17">
        <v>1</v>
      </c>
      <c r="B116" s="17" t="s">
        <v>517</v>
      </c>
      <c r="E116" s="17" t="s">
        <v>705</v>
      </c>
      <c r="F116" s="403">
        <v>500</v>
      </c>
      <c r="H116" s="403">
        <f t="shared" si="14"/>
        <v>500</v>
      </c>
      <c r="I116" s="403">
        <f t="shared" si="15"/>
        <v>500</v>
      </c>
      <c r="J116" s="17" t="s">
        <v>704</v>
      </c>
    </row>
    <row r="117" spans="1:10">
      <c r="A117" s="17">
        <v>1</v>
      </c>
      <c r="B117" s="17" t="s">
        <v>517</v>
      </c>
      <c r="E117" s="17" t="s">
        <v>707</v>
      </c>
      <c r="F117" s="403">
        <v>1500</v>
      </c>
      <c r="H117" s="403">
        <f t="shared" si="14"/>
        <v>1500</v>
      </c>
      <c r="I117" s="403">
        <f t="shared" si="15"/>
        <v>1500</v>
      </c>
    </row>
    <row r="118" spans="1:10" ht="55.65">
      <c r="B118" s="17" t="s">
        <v>517</v>
      </c>
      <c r="C118" s="204" t="s">
        <v>708</v>
      </c>
      <c r="E118" s="204" t="s">
        <v>709</v>
      </c>
      <c r="F118" s="403">
        <v>460</v>
      </c>
      <c r="H118" s="403">
        <f t="shared" si="14"/>
        <v>460</v>
      </c>
      <c r="I118" s="403">
        <f t="shared" si="15"/>
        <v>0</v>
      </c>
      <c r="J118" s="17" t="s">
        <v>710</v>
      </c>
    </row>
    <row r="119" spans="1:10" ht="55.65">
      <c r="A119" s="17">
        <v>0</v>
      </c>
      <c r="B119" s="17" t="s">
        <v>517</v>
      </c>
      <c r="C119" s="204" t="s">
        <v>711</v>
      </c>
      <c r="E119" s="204" t="s">
        <v>712</v>
      </c>
      <c r="F119" s="403">
        <v>320</v>
      </c>
      <c r="H119" s="403">
        <f t="shared" si="14"/>
        <v>320</v>
      </c>
      <c r="I119" s="403">
        <f t="shared" si="15"/>
        <v>0</v>
      </c>
    </row>
    <row r="120" spans="1:10" ht="55.65">
      <c r="A120" s="17">
        <v>0</v>
      </c>
      <c r="B120" s="17" t="s">
        <v>517</v>
      </c>
      <c r="C120" s="17" t="s">
        <v>713</v>
      </c>
      <c r="D120" s="17" t="s">
        <v>714</v>
      </c>
      <c r="E120" s="204" t="s">
        <v>715</v>
      </c>
      <c r="F120" s="403">
        <v>2725</v>
      </c>
      <c r="H120" s="403">
        <f t="shared" si="14"/>
        <v>2725</v>
      </c>
      <c r="I120" s="403">
        <f t="shared" si="15"/>
        <v>0</v>
      </c>
    </row>
    <row r="122" spans="1:10" ht="15.75">
      <c r="E122" s="439" t="s">
        <v>729</v>
      </c>
      <c r="I122" s="168">
        <f>SUM(I113:I121)</f>
        <v>2800</v>
      </c>
    </row>
    <row r="124" spans="1:10" ht="13.75" customHeight="1">
      <c r="A124" s="997" t="s">
        <v>68</v>
      </c>
      <c r="B124" s="997"/>
      <c r="C124" s="997"/>
      <c r="D124" s="997"/>
      <c r="E124" s="997"/>
    </row>
    <row r="125" spans="1:10">
      <c r="A125" s="17">
        <v>1</v>
      </c>
      <c r="B125" s="17" t="s">
        <v>517</v>
      </c>
      <c r="E125" s="17" t="s">
        <v>730</v>
      </c>
      <c r="F125" s="403">
        <v>250</v>
      </c>
      <c r="H125" s="403">
        <f t="shared" si="14"/>
        <v>250</v>
      </c>
      <c r="I125" s="403">
        <f t="shared" ref="I125:I127" si="16">A125*H125</f>
        <v>250</v>
      </c>
      <c r="J125" s="17" t="s">
        <v>2023</v>
      </c>
    </row>
    <row r="126" spans="1:10" ht="55.65">
      <c r="A126" s="17">
        <v>1</v>
      </c>
      <c r="B126" s="17" t="s">
        <v>517</v>
      </c>
      <c r="C126" s="204" t="s">
        <v>708</v>
      </c>
      <c r="E126" s="204" t="s">
        <v>731</v>
      </c>
      <c r="F126" s="403">
        <f>460/2</f>
        <v>230</v>
      </c>
      <c r="H126" s="403">
        <f t="shared" si="14"/>
        <v>230</v>
      </c>
      <c r="I126" s="403">
        <f t="shared" si="16"/>
        <v>230</v>
      </c>
    </row>
    <row r="127" spans="1:10" ht="55.65">
      <c r="A127" s="17">
        <v>0</v>
      </c>
      <c r="B127" s="17" t="s">
        <v>517</v>
      </c>
      <c r="C127" s="204" t="s">
        <v>711</v>
      </c>
      <c r="E127" s="204" t="s">
        <v>732</v>
      </c>
      <c r="F127" s="403">
        <f>320/2</f>
        <v>160</v>
      </c>
      <c r="H127" s="403">
        <f t="shared" si="14"/>
        <v>160</v>
      </c>
      <c r="I127" s="403">
        <f t="shared" si="16"/>
        <v>0</v>
      </c>
    </row>
    <row r="129" spans="5:9" ht="15.75">
      <c r="E129" s="439" t="s">
        <v>733</v>
      </c>
      <c r="I129" s="168">
        <f>SUM(I124:I128)</f>
        <v>480</v>
      </c>
    </row>
    <row r="130" spans="5:9">
      <c r="E130" s="439"/>
    </row>
  </sheetData>
  <mergeCells count="6">
    <mergeCell ref="A124:E124"/>
    <mergeCell ref="B1:F1"/>
    <mergeCell ref="A2:G2"/>
    <mergeCell ref="J22:L22"/>
    <mergeCell ref="A89:E89"/>
    <mergeCell ref="A113:E113"/>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51"/>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75">
      <c r="B1" s="1053" t="s">
        <v>297</v>
      </c>
      <c r="C1" s="1053"/>
      <c r="D1" s="1053"/>
      <c r="E1" s="1053"/>
      <c r="F1" s="1053"/>
      <c r="H1" s="405" t="s">
        <v>493</v>
      </c>
      <c r="I1" s="406">
        <f>VLOOKUP(E4,Catalogue!F:J,5,0)</f>
        <v>360</v>
      </c>
      <c r="J1" s="17" t="s">
        <v>494</v>
      </c>
      <c r="K1" s="17" t="s">
        <v>495</v>
      </c>
      <c r="L1" s="58">
        <f>A4*I1</f>
        <v>74520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33.4">
      <c r="A4" s="413">
        <v>207</v>
      </c>
      <c r="B4" s="413" t="s">
        <v>505</v>
      </c>
      <c r="C4" s="420" t="s">
        <v>540</v>
      </c>
      <c r="D4" s="413" t="s">
        <v>556</v>
      </c>
      <c r="E4" s="420" t="s">
        <v>1214</v>
      </c>
      <c r="F4" s="421">
        <v>98.59</v>
      </c>
      <c r="G4" s="410"/>
      <c r="H4" s="409">
        <f t="shared" ref="H4:H9" si="0">F4*(1-G4)</f>
        <v>98.59</v>
      </c>
      <c r="I4" s="409">
        <f t="shared" ref="I4:I9" si="1">A4*H4</f>
        <v>20408.13</v>
      </c>
      <c r="J4" s="417">
        <f>F4/$I$1</f>
        <v>0.27386111111111111</v>
      </c>
      <c r="K4" s="403" t="s">
        <v>1421</v>
      </c>
      <c r="L4" s="404"/>
      <c r="M4" s="418">
        <f>I4</f>
        <v>20408.13</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66.8">
      <c r="A6" s="413">
        <f>A4+A5</f>
        <v>207</v>
      </c>
      <c r="B6" s="413" t="s">
        <v>505</v>
      </c>
      <c r="C6" s="420" t="s">
        <v>531</v>
      </c>
      <c r="D6" s="413"/>
      <c r="E6" s="420" t="s">
        <v>2037</v>
      </c>
      <c r="F6" s="421">
        <f>2450/A6*1.036</f>
        <v>12.26183574879227</v>
      </c>
      <c r="G6" s="410"/>
      <c r="H6" s="409">
        <f t="shared" si="0"/>
        <v>12.26183574879227</v>
      </c>
      <c r="I6" s="409">
        <f t="shared" si="1"/>
        <v>2538.1999999999998</v>
      </c>
      <c r="J6" s="417">
        <f>F6/$I$1</f>
        <v>3.4060654857756306E-2</v>
      </c>
      <c r="K6" s="417"/>
      <c r="L6" s="204" t="s">
        <v>741</v>
      </c>
      <c r="M6" s="418">
        <f>I6</f>
        <v>2538.1999999999998</v>
      </c>
      <c r="N6" s="418"/>
      <c r="O6" s="418"/>
      <c r="P6" s="418"/>
      <c r="Q6" s="418"/>
      <c r="R6" s="418"/>
      <c r="S6" s="418"/>
    </row>
    <row r="7" spans="1:19">
      <c r="A7" s="423">
        <v>1</v>
      </c>
      <c r="B7" s="423" t="s">
        <v>522</v>
      </c>
      <c r="C7" s="423" t="s">
        <v>987</v>
      </c>
      <c r="D7" s="413" t="s">
        <v>556</v>
      </c>
      <c r="E7" s="420" t="s">
        <v>1000</v>
      </c>
      <c r="F7" s="421">
        <v>1222.22</v>
      </c>
      <c r="G7" s="410"/>
      <c r="H7" s="409">
        <f t="shared" si="0"/>
        <v>1222.22</v>
      </c>
      <c r="I7" s="409">
        <f t="shared" si="1"/>
        <v>1222.22</v>
      </c>
      <c r="J7" s="204"/>
      <c r="M7" s="418"/>
      <c r="N7" s="418"/>
      <c r="O7" s="418"/>
      <c r="P7" s="418"/>
      <c r="Q7" s="418"/>
      <c r="R7" s="418">
        <f t="shared" ref="R7:R9" si="2">I7</f>
        <v>1222.22</v>
      </c>
      <c r="S7" s="418"/>
    </row>
    <row r="8" spans="1:19">
      <c r="A8" s="413">
        <v>2</v>
      </c>
      <c r="B8" s="413" t="s">
        <v>505</v>
      </c>
      <c r="C8" s="413" t="s">
        <v>751</v>
      </c>
      <c r="D8" s="413"/>
      <c r="E8" s="420" t="s">
        <v>1489</v>
      </c>
      <c r="F8" s="421">
        <v>316.67</v>
      </c>
      <c r="G8" s="410"/>
      <c r="H8" s="409">
        <f t="shared" si="0"/>
        <v>316.67</v>
      </c>
      <c r="I8" s="409">
        <f t="shared" si="1"/>
        <v>633.34</v>
      </c>
      <c r="J8" s="204"/>
      <c r="M8" s="418"/>
      <c r="N8" s="418"/>
      <c r="O8" s="418"/>
      <c r="P8" s="418"/>
      <c r="Q8" s="418"/>
      <c r="R8" s="418">
        <f t="shared" si="2"/>
        <v>633.34</v>
      </c>
      <c r="S8" s="418"/>
    </row>
    <row r="9" spans="1:19">
      <c r="A9" s="413">
        <v>1</v>
      </c>
      <c r="B9" s="413" t="s">
        <v>505</v>
      </c>
      <c r="C9" s="413" t="s">
        <v>751</v>
      </c>
      <c r="D9" s="413"/>
      <c r="E9" s="420" t="s">
        <v>752</v>
      </c>
      <c r="F9" s="421">
        <v>132.22</v>
      </c>
      <c r="G9" s="410"/>
      <c r="H9" s="409">
        <f t="shared" si="0"/>
        <v>132.22</v>
      </c>
      <c r="I9" s="409">
        <f t="shared" si="1"/>
        <v>132.22</v>
      </c>
      <c r="J9" s="204"/>
      <c r="M9" s="418"/>
      <c r="N9" s="418"/>
      <c r="O9" s="418"/>
      <c r="P9" s="418"/>
      <c r="Q9" s="418"/>
      <c r="R9" s="418">
        <f t="shared" si="2"/>
        <v>132.22</v>
      </c>
      <c r="S9" s="418"/>
    </row>
    <row r="10" spans="1:19" ht="22.25">
      <c r="A10" s="413">
        <v>1</v>
      </c>
      <c r="B10" s="413" t="s">
        <v>530</v>
      </c>
      <c r="C10" s="420" t="s">
        <v>792</v>
      </c>
      <c r="D10" s="413" t="s">
        <v>1248</v>
      </c>
      <c r="E10" s="420" t="s">
        <v>794</v>
      </c>
      <c r="F10" s="421">
        <v>2600</v>
      </c>
      <c r="G10" s="410"/>
      <c r="H10" s="409">
        <f t="shared" ref="H10:H73" si="3">F10*(1-G10)</f>
        <v>2600</v>
      </c>
      <c r="I10" s="409">
        <f t="shared" ref="I10:I32" si="4">A10*H10</f>
        <v>2600</v>
      </c>
      <c r="J10" s="204" t="s">
        <v>2038</v>
      </c>
      <c r="M10" s="418"/>
      <c r="N10" s="418"/>
      <c r="O10" s="418"/>
      <c r="P10" s="418"/>
      <c r="Q10" s="418"/>
      <c r="R10" s="418">
        <f t="shared" ref="R10:R24" si="5">I10</f>
        <v>2600</v>
      </c>
      <c r="S10" s="418"/>
    </row>
    <row r="11" spans="1:19" ht="33.4">
      <c r="A11" s="407">
        <v>0</v>
      </c>
      <c r="B11" s="407" t="s">
        <v>505</v>
      </c>
      <c r="C11" s="408" t="s">
        <v>534</v>
      </c>
      <c r="D11" s="407"/>
      <c r="E11" s="408" t="s">
        <v>535</v>
      </c>
      <c r="F11" s="409">
        <v>3.71</v>
      </c>
      <c r="G11" s="410"/>
      <c r="H11" s="409">
        <f t="shared" si="3"/>
        <v>3.71</v>
      </c>
      <c r="I11" s="409">
        <f t="shared" si="4"/>
        <v>0</v>
      </c>
      <c r="J11" s="204" t="s">
        <v>795</v>
      </c>
      <c r="M11" s="418"/>
      <c r="N11" s="418"/>
      <c r="O11" s="418"/>
      <c r="P11" s="418"/>
      <c r="Q11" s="418"/>
      <c r="R11" s="418">
        <f t="shared" si="5"/>
        <v>0</v>
      </c>
      <c r="S11" s="418"/>
    </row>
    <row r="12" spans="1:19" ht="22.25">
      <c r="A12" s="407">
        <f>A11</f>
        <v>0</v>
      </c>
      <c r="B12" s="407" t="s">
        <v>505</v>
      </c>
      <c r="C12" s="408" t="s">
        <v>534</v>
      </c>
      <c r="D12" s="407"/>
      <c r="E12" s="408" t="s">
        <v>537</v>
      </c>
      <c r="F12" s="409">
        <v>3.81</v>
      </c>
      <c r="G12" s="410"/>
      <c r="H12" s="409">
        <f t="shared" si="3"/>
        <v>3.81</v>
      </c>
      <c r="I12" s="409">
        <f t="shared" si="4"/>
        <v>0</v>
      </c>
      <c r="J12" s="204" t="s">
        <v>538</v>
      </c>
      <c r="M12" s="418"/>
      <c r="N12" s="418"/>
      <c r="O12" s="418"/>
      <c r="P12" s="418"/>
      <c r="Q12" s="418"/>
      <c r="R12" s="418">
        <f t="shared" si="5"/>
        <v>0</v>
      </c>
      <c r="S12" s="418"/>
    </row>
    <row r="13" spans="1:19" ht="33.4">
      <c r="A13" s="413">
        <f>10*10</f>
        <v>100</v>
      </c>
      <c r="B13" s="413" t="s">
        <v>539</v>
      </c>
      <c r="C13" s="420" t="s">
        <v>540</v>
      </c>
      <c r="D13" s="413" t="s">
        <v>541</v>
      </c>
      <c r="E13" s="420" t="s">
        <v>542</v>
      </c>
      <c r="F13" s="421">
        <v>0.55647999999999997</v>
      </c>
      <c r="G13" s="410"/>
      <c r="H13" s="409">
        <f t="shared" si="3"/>
        <v>0.55647999999999997</v>
      </c>
      <c r="I13" s="409">
        <f t="shared" si="4"/>
        <v>55.647999999999996</v>
      </c>
      <c r="M13" s="418"/>
      <c r="N13" s="418"/>
      <c r="O13" s="418">
        <f t="shared" ref="O13:O27" si="6">I13</f>
        <v>55.647999999999996</v>
      </c>
      <c r="P13" s="418"/>
      <c r="Q13" s="418"/>
      <c r="R13" s="418"/>
      <c r="S13" s="418"/>
    </row>
    <row r="14" spans="1:19" ht="33.4">
      <c r="A14" s="413">
        <f>A13+A4*2</f>
        <v>514</v>
      </c>
      <c r="B14" s="413" t="s">
        <v>539</v>
      </c>
      <c r="C14" s="420" t="s">
        <v>540</v>
      </c>
      <c r="D14" s="413" t="s">
        <v>543</v>
      </c>
      <c r="E14" s="420" t="s">
        <v>544</v>
      </c>
      <c r="F14" s="421">
        <v>0.55647999999999997</v>
      </c>
      <c r="G14" s="410"/>
      <c r="H14" s="409">
        <f t="shared" si="3"/>
        <v>0.55647999999999997</v>
      </c>
      <c r="I14" s="409">
        <f t="shared" si="4"/>
        <v>286.03071999999997</v>
      </c>
      <c r="M14" s="418"/>
      <c r="N14" s="418"/>
      <c r="O14" s="418">
        <f t="shared" si="6"/>
        <v>286.03071999999997</v>
      </c>
      <c r="P14" s="418"/>
      <c r="Q14" s="418"/>
      <c r="R14" s="418"/>
      <c r="S14" s="418"/>
    </row>
    <row r="15" spans="1:19" ht="33.4">
      <c r="A15" s="413">
        <f>4*10</f>
        <v>40</v>
      </c>
      <c r="B15" s="413" t="s">
        <v>517</v>
      </c>
      <c r="C15" s="420" t="s">
        <v>540</v>
      </c>
      <c r="D15" s="413" t="s">
        <v>797</v>
      </c>
      <c r="E15" s="420" t="s">
        <v>798</v>
      </c>
      <c r="F15" s="421">
        <v>0.88</v>
      </c>
      <c r="G15" s="410"/>
      <c r="H15" s="409">
        <f t="shared" si="3"/>
        <v>0.88</v>
      </c>
      <c r="I15" s="409">
        <f t="shared" si="4"/>
        <v>35.200000000000003</v>
      </c>
      <c r="J15" s="204"/>
      <c r="M15" s="418"/>
      <c r="N15" s="418"/>
      <c r="O15" s="418">
        <f t="shared" si="6"/>
        <v>35.200000000000003</v>
      </c>
      <c r="P15" s="418"/>
      <c r="Q15" s="418"/>
      <c r="R15" s="418"/>
      <c r="S15" s="418"/>
    </row>
    <row r="16" spans="1:19" ht="33.4">
      <c r="A16" s="413">
        <f>A15</f>
        <v>40</v>
      </c>
      <c r="B16" s="413" t="s">
        <v>517</v>
      </c>
      <c r="C16" s="420" t="s">
        <v>540</v>
      </c>
      <c r="D16" s="413" t="s">
        <v>800</v>
      </c>
      <c r="E16" s="420" t="s">
        <v>801</v>
      </c>
      <c r="F16" s="421">
        <v>0.67</v>
      </c>
      <c r="G16" s="410"/>
      <c r="H16" s="409">
        <f t="shared" si="3"/>
        <v>0.67</v>
      </c>
      <c r="I16" s="409">
        <f t="shared" si="4"/>
        <v>26.8</v>
      </c>
      <c r="J16" s="204"/>
      <c r="M16" s="418"/>
      <c r="N16" s="418"/>
      <c r="O16" s="418">
        <f t="shared" si="6"/>
        <v>26.8</v>
      </c>
      <c r="P16" s="418"/>
      <c r="Q16" s="418"/>
      <c r="R16" s="418"/>
      <c r="S16" s="418"/>
    </row>
    <row r="17" spans="1:19" ht="22.25">
      <c r="A17" s="407">
        <v>0</v>
      </c>
      <c r="B17" s="407" t="s">
        <v>517</v>
      </c>
      <c r="C17" s="408" t="s">
        <v>540</v>
      </c>
      <c r="D17" s="407" t="s">
        <v>556</v>
      </c>
      <c r="E17" s="408" t="s">
        <v>557</v>
      </c>
      <c r="F17" s="409">
        <v>6.58</v>
      </c>
      <c r="G17" s="410"/>
      <c r="H17" s="409">
        <f t="shared" si="3"/>
        <v>6.58</v>
      </c>
      <c r="I17" s="409">
        <f t="shared" si="4"/>
        <v>0</v>
      </c>
      <c r="J17" s="204"/>
      <c r="M17" s="418"/>
      <c r="N17" s="418"/>
      <c r="O17" s="418">
        <f t="shared" si="6"/>
        <v>0</v>
      </c>
      <c r="P17" s="418"/>
      <c r="Q17" s="418"/>
      <c r="R17" s="418"/>
      <c r="S17" s="418"/>
    </row>
    <row r="18" spans="1:19" ht="44.55">
      <c r="A18" s="413">
        <v>2</v>
      </c>
      <c r="B18" s="413" t="s">
        <v>517</v>
      </c>
      <c r="C18" s="420" t="s">
        <v>540</v>
      </c>
      <c r="D18" s="413" t="s">
        <v>821</v>
      </c>
      <c r="E18" s="420" t="s">
        <v>822</v>
      </c>
      <c r="F18" s="421">
        <v>1810</v>
      </c>
      <c r="G18" s="410"/>
      <c r="H18" s="409">
        <f t="shared" si="3"/>
        <v>1810</v>
      </c>
      <c r="I18" s="409">
        <f t="shared" si="4"/>
        <v>3620</v>
      </c>
      <c r="J18" s="204"/>
      <c r="M18" s="418"/>
      <c r="N18" s="418">
        <f t="shared" ref="N18:N21" si="7">I18</f>
        <v>3620</v>
      </c>
      <c r="O18" s="418"/>
      <c r="P18" s="418"/>
      <c r="Q18" s="418"/>
      <c r="R18" s="418"/>
      <c r="S18" s="418"/>
    </row>
    <row r="19" spans="1:19">
      <c r="A19" s="413">
        <v>1</v>
      </c>
      <c r="B19" s="413" t="s">
        <v>505</v>
      </c>
      <c r="C19" s="413" t="s">
        <v>531</v>
      </c>
      <c r="D19" s="413"/>
      <c r="E19" s="420" t="s">
        <v>1246</v>
      </c>
      <c r="F19" s="421">
        <v>1650</v>
      </c>
      <c r="G19" s="422"/>
      <c r="H19" s="409">
        <f t="shared" si="3"/>
        <v>1650</v>
      </c>
      <c r="I19" s="409">
        <f t="shared" si="4"/>
        <v>1650</v>
      </c>
      <c r="J19" s="204"/>
      <c r="M19" s="418"/>
      <c r="N19" s="418">
        <f t="shared" si="7"/>
        <v>1650</v>
      </c>
      <c r="O19" s="418"/>
      <c r="P19" s="418"/>
      <c r="Q19" s="418"/>
      <c r="R19" s="418"/>
      <c r="S19" s="418"/>
    </row>
    <row r="20" spans="1:19" ht="33.4">
      <c r="A20" s="413">
        <v>1</v>
      </c>
      <c r="B20" s="413" t="s">
        <v>517</v>
      </c>
      <c r="C20" s="420" t="s">
        <v>540</v>
      </c>
      <c r="D20" s="413" t="s">
        <v>990</v>
      </c>
      <c r="E20" s="420" t="s">
        <v>991</v>
      </c>
      <c r="F20" s="421">
        <v>33.21</v>
      </c>
      <c r="G20" s="410"/>
      <c r="H20" s="409">
        <f t="shared" si="3"/>
        <v>33.21</v>
      </c>
      <c r="I20" s="409">
        <f t="shared" si="4"/>
        <v>33.21</v>
      </c>
      <c r="J20" s="204"/>
      <c r="M20" s="418"/>
      <c r="N20" s="418">
        <f t="shared" si="7"/>
        <v>33.21</v>
      </c>
      <c r="O20" s="418"/>
      <c r="P20" s="418"/>
      <c r="Q20" s="418"/>
      <c r="R20" s="418"/>
      <c r="S20" s="418"/>
    </row>
    <row r="21" spans="1:19" ht="33.4">
      <c r="A21" s="413">
        <v>2</v>
      </c>
      <c r="B21" s="413" t="s">
        <v>517</v>
      </c>
      <c r="C21" s="420" t="s">
        <v>540</v>
      </c>
      <c r="D21" s="413" t="s">
        <v>998</v>
      </c>
      <c r="E21" s="420" t="s">
        <v>999</v>
      </c>
      <c r="F21" s="421">
        <v>116.67</v>
      </c>
      <c r="G21" s="410"/>
      <c r="H21" s="409">
        <f t="shared" si="3"/>
        <v>116.67</v>
      </c>
      <c r="I21" s="409">
        <f t="shared" si="4"/>
        <v>233.34</v>
      </c>
      <c r="J21" s="204"/>
      <c r="M21" s="418"/>
      <c r="N21" s="418">
        <f t="shared" si="7"/>
        <v>233.34</v>
      </c>
      <c r="O21" s="418"/>
      <c r="P21" s="418"/>
      <c r="Q21" s="418"/>
      <c r="R21" s="418"/>
      <c r="S21" s="418"/>
    </row>
    <row r="22" spans="1:19" ht="33.4">
      <c r="A22" s="413">
        <v>16</v>
      </c>
      <c r="B22" s="413" t="s">
        <v>517</v>
      </c>
      <c r="C22" s="420" t="s">
        <v>540</v>
      </c>
      <c r="D22" s="413" t="s">
        <v>761</v>
      </c>
      <c r="E22" s="420" t="s">
        <v>762</v>
      </c>
      <c r="F22" s="421">
        <v>2.5</v>
      </c>
      <c r="G22" s="410"/>
      <c r="H22" s="409">
        <f t="shared" si="3"/>
        <v>2.5</v>
      </c>
      <c r="I22" s="409">
        <f t="shared" si="4"/>
        <v>40</v>
      </c>
      <c r="J22" s="204"/>
      <c r="M22" s="418"/>
      <c r="N22" s="418"/>
      <c r="O22" s="418"/>
      <c r="P22" s="418"/>
      <c r="Q22" s="418"/>
      <c r="R22" s="418">
        <f t="shared" si="5"/>
        <v>40</v>
      </c>
      <c r="S22" s="418"/>
    </row>
    <row r="23" spans="1:19" ht="35.85" customHeight="1">
      <c r="A23" s="413">
        <v>1</v>
      </c>
      <c r="B23" s="413" t="s">
        <v>522</v>
      </c>
      <c r="C23" s="420" t="s">
        <v>678</v>
      </c>
      <c r="D23" s="413"/>
      <c r="E23" s="420" t="s">
        <v>1159</v>
      </c>
      <c r="F23" s="421">
        <v>1061.32</v>
      </c>
      <c r="G23" s="410"/>
      <c r="H23" s="409">
        <f t="shared" si="3"/>
        <v>1061.32</v>
      </c>
      <c r="I23" s="409">
        <f t="shared" si="4"/>
        <v>1061.32</v>
      </c>
      <c r="J23" s="1054" t="s">
        <v>833</v>
      </c>
      <c r="K23" s="1054"/>
      <c r="L23" s="1054"/>
      <c r="M23" s="418"/>
      <c r="N23" s="418"/>
      <c r="O23" s="418"/>
      <c r="P23" s="418"/>
      <c r="Q23" s="418"/>
      <c r="R23" s="418">
        <f t="shared" si="5"/>
        <v>1061.32</v>
      </c>
      <c r="S23" s="418"/>
    </row>
    <row r="24" spans="1:19">
      <c r="A24" s="407"/>
      <c r="B24" s="407"/>
      <c r="C24" s="408"/>
      <c r="D24" s="407"/>
      <c r="E24" s="408"/>
      <c r="F24" s="409"/>
      <c r="G24" s="410"/>
      <c r="H24" s="409">
        <f t="shared" si="3"/>
        <v>0</v>
      </c>
      <c r="I24" s="409">
        <f t="shared" si="4"/>
        <v>0</v>
      </c>
      <c r="J24" s="204"/>
      <c r="M24" s="418"/>
      <c r="N24" s="418"/>
      <c r="O24" s="418"/>
      <c r="P24" s="418"/>
      <c r="Q24" s="418"/>
      <c r="R24" s="418">
        <f t="shared" si="5"/>
        <v>0</v>
      </c>
      <c r="S24" s="418"/>
    </row>
    <row r="25" spans="1:19" ht="22.25">
      <c r="A25" s="413">
        <v>1</v>
      </c>
      <c r="B25" s="413" t="s">
        <v>522</v>
      </c>
      <c r="C25" s="420" t="s">
        <v>531</v>
      </c>
      <c r="D25" s="413"/>
      <c r="E25" s="420" t="s">
        <v>695</v>
      </c>
      <c r="F25" s="421">
        <v>100</v>
      </c>
      <c r="G25" s="410"/>
      <c r="H25" s="409">
        <f t="shared" si="3"/>
        <v>100</v>
      </c>
      <c r="I25" s="409">
        <f t="shared" si="4"/>
        <v>100</v>
      </c>
      <c r="J25" s="204"/>
      <c r="M25" s="418"/>
      <c r="N25" s="418"/>
      <c r="O25" s="418">
        <f t="shared" si="6"/>
        <v>100</v>
      </c>
      <c r="P25" s="418"/>
      <c r="Q25" s="418"/>
      <c r="R25" s="418"/>
      <c r="S25" s="418"/>
    </row>
    <row r="26" spans="1:19" ht="33.4">
      <c r="A26" s="413">
        <v>1</v>
      </c>
      <c r="B26" s="413" t="s">
        <v>517</v>
      </c>
      <c r="C26" s="420" t="s">
        <v>540</v>
      </c>
      <c r="D26" s="413" t="s">
        <v>769</v>
      </c>
      <c r="E26" s="420" t="s">
        <v>567</v>
      </c>
      <c r="F26" s="421">
        <v>750</v>
      </c>
      <c r="G26" s="410"/>
      <c r="H26" s="409">
        <f t="shared" si="3"/>
        <v>750</v>
      </c>
      <c r="I26" s="409">
        <f t="shared" si="4"/>
        <v>750</v>
      </c>
      <c r="J26" s="204"/>
      <c r="M26" s="418">
        <f>F26</f>
        <v>750</v>
      </c>
      <c r="N26" s="418"/>
      <c r="O26" s="418"/>
      <c r="P26" s="418"/>
      <c r="Q26" s="418"/>
      <c r="R26" s="418"/>
      <c r="S26" s="418"/>
    </row>
    <row r="27" spans="1:19">
      <c r="A27" s="413">
        <v>60</v>
      </c>
      <c r="B27" s="413" t="s">
        <v>539</v>
      </c>
      <c r="C27" s="413" t="s">
        <v>552</v>
      </c>
      <c r="D27" s="413"/>
      <c r="E27" s="413" t="s">
        <v>1063</v>
      </c>
      <c r="F27" s="421">
        <v>38.520000000000003</v>
      </c>
      <c r="G27" s="428"/>
      <c r="H27" s="409">
        <f t="shared" si="3"/>
        <v>38.520000000000003</v>
      </c>
      <c r="I27" s="409">
        <f t="shared" si="4"/>
        <v>2311.2000000000003</v>
      </c>
      <c r="J27" s="204"/>
      <c r="M27" s="418"/>
      <c r="N27" s="418"/>
      <c r="O27" s="418">
        <f t="shared" si="6"/>
        <v>2311.2000000000003</v>
      </c>
      <c r="P27" s="418"/>
      <c r="Q27" s="418"/>
      <c r="R27" s="418"/>
      <c r="S27" s="418"/>
    </row>
    <row r="28" spans="1:19" ht="44.55">
      <c r="A28" s="413">
        <v>1</v>
      </c>
      <c r="B28" s="413" t="s">
        <v>517</v>
      </c>
      <c r="C28" s="420" t="s">
        <v>569</v>
      </c>
      <c r="D28" s="413" t="s">
        <v>570</v>
      </c>
      <c r="E28" s="420" t="s">
        <v>571</v>
      </c>
      <c r="F28" s="421">
        <v>1040</v>
      </c>
      <c r="G28" s="429">
        <v>0.48</v>
      </c>
      <c r="H28" s="430">
        <f t="shared" si="3"/>
        <v>540.80000000000007</v>
      </c>
      <c r="I28" s="409">
        <f t="shared" si="4"/>
        <v>540.80000000000007</v>
      </c>
      <c r="J28" s="204"/>
      <c r="M28" s="418"/>
      <c r="N28" s="418"/>
      <c r="O28" s="418"/>
      <c r="P28" s="418"/>
      <c r="Q28" s="418"/>
      <c r="R28" s="418"/>
      <c r="S28" s="418">
        <f t="shared" ref="S28:S32" si="8">I28</f>
        <v>540.80000000000007</v>
      </c>
    </row>
    <row r="29" spans="1:19" ht="55.65">
      <c r="A29" s="413">
        <v>0</v>
      </c>
      <c r="B29" s="413" t="s">
        <v>517</v>
      </c>
      <c r="C29" s="424" t="s">
        <v>569</v>
      </c>
      <c r="D29" s="423" t="s">
        <v>572</v>
      </c>
      <c r="E29" s="424" t="s">
        <v>573</v>
      </c>
      <c r="F29" s="425">
        <v>1190</v>
      </c>
      <c r="G29" s="429">
        <v>0.48</v>
      </c>
      <c r="H29" s="430">
        <f t="shared" si="3"/>
        <v>618.80000000000007</v>
      </c>
      <c r="I29" s="409">
        <f t="shared" si="4"/>
        <v>0</v>
      </c>
      <c r="J29" s="204"/>
      <c r="M29" s="418"/>
      <c r="N29" s="418"/>
      <c r="O29" s="418"/>
      <c r="P29" s="418"/>
      <c r="Q29" s="418"/>
      <c r="R29" s="418"/>
      <c r="S29" s="418">
        <f t="shared" si="8"/>
        <v>0</v>
      </c>
    </row>
    <row r="30" spans="1:19">
      <c r="A30" s="413">
        <v>0</v>
      </c>
      <c r="B30" s="413" t="s">
        <v>517</v>
      </c>
      <c r="C30" s="420" t="s">
        <v>574</v>
      </c>
      <c r="D30" s="413" t="s">
        <v>575</v>
      </c>
      <c r="E30" s="413" t="s">
        <v>576</v>
      </c>
      <c r="F30" s="421">
        <v>36.700000000000003</v>
      </c>
      <c r="G30" s="410"/>
      <c r="H30" s="409">
        <f t="shared" si="3"/>
        <v>36.700000000000003</v>
      </c>
      <c r="I30" s="409">
        <f t="shared" si="4"/>
        <v>0</v>
      </c>
      <c r="J30" s="204"/>
      <c r="M30" s="418"/>
      <c r="N30" s="418"/>
      <c r="O30" s="418"/>
      <c r="P30" s="418"/>
      <c r="Q30" s="418"/>
      <c r="R30" s="418"/>
      <c r="S30" s="418">
        <f t="shared" si="8"/>
        <v>0</v>
      </c>
    </row>
    <row r="31" spans="1:19">
      <c r="A31" s="413">
        <v>5</v>
      </c>
      <c r="B31" s="413" t="s">
        <v>517</v>
      </c>
      <c r="C31" s="420" t="s">
        <v>574</v>
      </c>
      <c r="D31" s="413" t="s">
        <v>577</v>
      </c>
      <c r="E31" s="413" t="s">
        <v>578</v>
      </c>
      <c r="F31" s="421">
        <v>75</v>
      </c>
      <c r="G31" s="410"/>
      <c r="H31" s="409">
        <f t="shared" si="3"/>
        <v>75</v>
      </c>
      <c r="I31" s="409">
        <f t="shared" si="4"/>
        <v>375</v>
      </c>
      <c r="J31" s="204"/>
      <c r="M31" s="418"/>
      <c r="N31" s="418"/>
      <c r="O31" s="418"/>
      <c r="P31" s="418"/>
      <c r="Q31" s="418"/>
      <c r="R31" s="418"/>
      <c r="S31" s="418">
        <f t="shared" si="8"/>
        <v>375</v>
      </c>
    </row>
    <row r="32" spans="1:19">
      <c r="A32" s="413">
        <v>1</v>
      </c>
      <c r="B32" s="413" t="s">
        <v>517</v>
      </c>
      <c r="C32" s="420" t="s">
        <v>574</v>
      </c>
      <c r="D32" s="413"/>
      <c r="E32" s="413" t="s">
        <v>579</v>
      </c>
      <c r="F32" s="421">
        <f>35/4</f>
        <v>8.75</v>
      </c>
      <c r="G32" s="410"/>
      <c r="H32" s="409">
        <f t="shared" si="3"/>
        <v>8.75</v>
      </c>
      <c r="I32" s="409">
        <f t="shared" si="4"/>
        <v>8.75</v>
      </c>
      <c r="J32" s="204"/>
      <c r="M32" s="418"/>
      <c r="N32" s="418"/>
      <c r="O32" s="418"/>
      <c r="P32" s="418"/>
      <c r="Q32" s="418"/>
      <c r="R32" s="418"/>
      <c r="S32" s="418">
        <f t="shared" si="8"/>
        <v>8.75</v>
      </c>
    </row>
    <row r="33" spans="1:19" ht="12.45">
      <c r="A33" s="407"/>
      <c r="B33" s="407"/>
      <c r="C33" s="408"/>
      <c r="D33" s="407"/>
      <c r="E33" s="431"/>
      <c r="F33" s="409"/>
      <c r="G33" s="410"/>
      <c r="H33" s="409"/>
      <c r="I33" s="409"/>
      <c r="J33" s="204"/>
      <c r="M33" s="418"/>
      <c r="N33" s="418"/>
      <c r="O33" s="418"/>
      <c r="P33" s="418"/>
      <c r="Q33" s="418"/>
      <c r="R33" s="418"/>
      <c r="S33" s="418"/>
    </row>
    <row r="34" spans="1:19">
      <c r="A34" s="407"/>
      <c r="B34" s="407"/>
      <c r="C34" s="408"/>
      <c r="D34" s="407"/>
      <c r="E34" s="407"/>
      <c r="F34" s="409"/>
      <c r="G34" s="410"/>
      <c r="H34" s="409"/>
      <c r="I34" s="409"/>
      <c r="J34" s="204"/>
      <c r="M34" s="418"/>
      <c r="N34" s="418"/>
      <c r="O34" s="418"/>
      <c r="P34" s="418"/>
      <c r="Q34" s="418"/>
      <c r="R34" s="418"/>
      <c r="S34" s="418"/>
    </row>
    <row r="35" spans="1:19">
      <c r="A35" s="407"/>
      <c r="B35" s="407"/>
      <c r="C35" s="408"/>
      <c r="D35" s="407"/>
      <c r="E35" s="432" t="s">
        <v>580</v>
      </c>
      <c r="F35" s="409"/>
      <c r="G35" s="410"/>
      <c r="H35" s="409"/>
      <c r="I35" s="421">
        <f>SUM(I4:I33)</f>
        <v>38661.408719999999</v>
      </c>
      <c r="J35" s="204"/>
      <c r="M35" s="418">
        <f>SUM(M4:M33)</f>
        <v>23696.33</v>
      </c>
      <c r="N35" s="418">
        <f>SUM(N4:N33)</f>
        <v>5536.55</v>
      </c>
      <c r="O35" s="418">
        <f>SUM(O4:O33)</f>
        <v>2814.8787200000002</v>
      </c>
      <c r="P35" s="418"/>
      <c r="Q35" s="418"/>
      <c r="R35" s="418">
        <f>SUM(R4:R33)</f>
        <v>5689.0999999999995</v>
      </c>
      <c r="S35" s="418">
        <f>SUM(S4:S33)</f>
        <v>924.55000000000007</v>
      </c>
    </row>
    <row r="36" spans="1:19">
      <c r="A36" s="407"/>
      <c r="B36" s="407"/>
      <c r="C36" s="408"/>
      <c r="D36" s="407"/>
      <c r="E36" s="413" t="s">
        <v>581</v>
      </c>
      <c r="F36" s="409"/>
      <c r="G36" s="410">
        <v>0.25</v>
      </c>
      <c r="H36" s="409"/>
      <c r="I36" s="421"/>
      <c r="J36" s="204"/>
      <c r="M36" s="418"/>
      <c r="N36" s="418"/>
      <c r="O36" s="418"/>
      <c r="P36" s="418"/>
      <c r="Q36" s="418"/>
      <c r="R36" s="418"/>
      <c r="S36" s="418"/>
    </row>
    <row r="37" spans="1:19" ht="15.75">
      <c r="E37" s="433" t="s">
        <v>582</v>
      </c>
      <c r="F37" s="418"/>
      <c r="G37" s="434"/>
      <c r="H37" s="418"/>
      <c r="I37" s="435">
        <f>I35*(1+$G$36)</f>
        <v>48326.760900000001</v>
      </c>
      <c r="J37" s="436"/>
      <c r="K37" s="437"/>
      <c r="L37" s="437"/>
      <c r="M37" s="438">
        <f>M35*(1+$G$36)</f>
        <v>29620.412500000002</v>
      </c>
      <c r="N37" s="438">
        <f>N35*(1+$G$36)</f>
        <v>6920.6875</v>
      </c>
      <c r="O37" s="438">
        <f>O35*(1+$G$36)</f>
        <v>3518.5984000000003</v>
      </c>
      <c r="P37" s="438">
        <f>P66</f>
        <v>11560</v>
      </c>
      <c r="Q37" s="438">
        <f>Q98</f>
        <v>18697.239999999998</v>
      </c>
      <c r="R37" s="438">
        <f>R35*(1+$G$36)</f>
        <v>7111.3749999999991</v>
      </c>
      <c r="S37" s="438">
        <f>S35*(1+$G$36)</f>
        <v>1155.6875</v>
      </c>
    </row>
    <row r="40" spans="1:19">
      <c r="E40" s="439" t="s">
        <v>585</v>
      </c>
    </row>
    <row r="41" spans="1:19">
      <c r="A41" s="441">
        <v>16</v>
      </c>
      <c r="B41" s="17" t="s">
        <v>619</v>
      </c>
      <c r="E41" s="17" t="s">
        <v>586</v>
      </c>
      <c r="F41" s="403">
        <f t="shared" ref="F41:F57" si="9">F$61</f>
        <v>55</v>
      </c>
      <c r="H41" s="403">
        <f t="shared" si="3"/>
        <v>55</v>
      </c>
      <c r="I41" s="403">
        <f t="shared" ref="I41:I63" si="10">A41*H41</f>
        <v>880</v>
      </c>
    </row>
    <row r="42" spans="1:19">
      <c r="A42" s="441">
        <f>A6/120*8*2</f>
        <v>27.6</v>
      </c>
      <c r="B42" s="17" t="s">
        <v>619</v>
      </c>
      <c r="E42" s="17" t="s">
        <v>589</v>
      </c>
      <c r="F42" s="403">
        <f t="shared" si="9"/>
        <v>55</v>
      </c>
      <c r="H42" s="403">
        <f t="shared" si="3"/>
        <v>55</v>
      </c>
      <c r="I42" s="403">
        <f t="shared" si="10"/>
        <v>1518</v>
      </c>
      <c r="J42" s="17" t="s">
        <v>592</v>
      </c>
    </row>
    <row r="43" spans="1:19">
      <c r="A43" s="441">
        <v>8</v>
      </c>
      <c r="B43" s="17" t="s">
        <v>619</v>
      </c>
      <c r="E43" s="17" t="s">
        <v>1426</v>
      </c>
      <c r="F43" s="403">
        <f t="shared" si="9"/>
        <v>55</v>
      </c>
      <c r="H43" s="403">
        <f t="shared" si="3"/>
        <v>55</v>
      </c>
      <c r="I43" s="403">
        <f t="shared" si="10"/>
        <v>440</v>
      </c>
      <c r="J43" s="17" t="s">
        <v>1486</v>
      </c>
    </row>
    <row r="44" spans="1:19">
      <c r="A44" s="441">
        <f>A6/120*16*2</f>
        <v>55.2</v>
      </c>
      <c r="B44" s="17" t="s">
        <v>619</v>
      </c>
      <c r="E44" s="17" t="s">
        <v>591</v>
      </c>
      <c r="F44" s="403">
        <f t="shared" si="9"/>
        <v>55</v>
      </c>
      <c r="H44" s="403">
        <f t="shared" si="3"/>
        <v>55</v>
      </c>
      <c r="I44" s="403">
        <f t="shared" si="10"/>
        <v>3036</v>
      </c>
      <c r="J44" s="17" t="s">
        <v>592</v>
      </c>
    </row>
    <row r="45" spans="1:19">
      <c r="A45" s="441">
        <v>4</v>
      </c>
      <c r="B45" s="17" t="s">
        <v>619</v>
      </c>
      <c r="E45" s="17" t="s">
        <v>1428</v>
      </c>
      <c r="F45" s="403">
        <f t="shared" si="9"/>
        <v>55</v>
      </c>
      <c r="H45" s="403">
        <f t="shared" si="3"/>
        <v>55</v>
      </c>
      <c r="I45" s="403">
        <f t="shared" si="10"/>
        <v>220</v>
      </c>
    </row>
    <row r="46" spans="1:19">
      <c r="A46" s="441">
        <v>4</v>
      </c>
      <c r="B46" s="17" t="s">
        <v>619</v>
      </c>
      <c r="E46" s="17" t="s">
        <v>1429</v>
      </c>
      <c r="F46" s="403">
        <f t="shared" si="9"/>
        <v>55</v>
      </c>
      <c r="H46" s="403">
        <f t="shared" si="3"/>
        <v>55</v>
      </c>
      <c r="I46" s="403">
        <f t="shared" si="10"/>
        <v>220</v>
      </c>
    </row>
    <row r="47" spans="1:19">
      <c r="A47" s="441">
        <v>8</v>
      </c>
      <c r="B47" s="17" t="s">
        <v>619</v>
      </c>
      <c r="E47" s="17" t="s">
        <v>605</v>
      </c>
      <c r="F47" s="403">
        <f t="shared" si="9"/>
        <v>55</v>
      </c>
      <c r="H47" s="403">
        <f t="shared" si="3"/>
        <v>55</v>
      </c>
      <c r="I47" s="403">
        <f t="shared" si="10"/>
        <v>440</v>
      </c>
      <c r="J47" s="17" t="s">
        <v>1487</v>
      </c>
    </row>
    <row r="48" spans="1:19">
      <c r="A48" s="441">
        <v>6</v>
      </c>
      <c r="B48" s="17" t="s">
        <v>619</v>
      </c>
      <c r="E48" s="17" t="s">
        <v>607</v>
      </c>
      <c r="F48" s="403">
        <f t="shared" si="9"/>
        <v>55</v>
      </c>
      <c r="H48" s="403">
        <f t="shared" si="3"/>
        <v>55</v>
      </c>
      <c r="I48" s="403">
        <f t="shared" si="10"/>
        <v>330</v>
      </c>
      <c r="J48" s="17" t="s">
        <v>608</v>
      </c>
    </row>
    <row r="49" spans="1:10">
      <c r="A49" s="441">
        <v>0.5</v>
      </c>
      <c r="B49" s="17" t="s">
        <v>619</v>
      </c>
      <c r="E49" s="17" t="s">
        <v>609</v>
      </c>
      <c r="F49" s="403">
        <f t="shared" si="9"/>
        <v>55</v>
      </c>
      <c r="H49" s="403">
        <f t="shared" si="3"/>
        <v>55</v>
      </c>
      <c r="I49" s="403">
        <f t="shared" si="10"/>
        <v>27.5</v>
      </c>
    </row>
    <row r="50" spans="1:10">
      <c r="A50" s="441">
        <v>16</v>
      </c>
      <c r="B50" s="17" t="s">
        <v>619</v>
      </c>
      <c r="E50" s="17" t="s">
        <v>610</v>
      </c>
      <c r="F50" s="403">
        <f t="shared" si="9"/>
        <v>55</v>
      </c>
      <c r="H50" s="403">
        <f t="shared" si="3"/>
        <v>55</v>
      </c>
      <c r="I50" s="403">
        <f t="shared" si="10"/>
        <v>880</v>
      </c>
    </row>
    <row r="51" spans="1:10">
      <c r="A51" s="441">
        <v>1</v>
      </c>
      <c r="B51" s="17" t="s">
        <v>619</v>
      </c>
      <c r="E51" s="17" t="s">
        <v>611</v>
      </c>
      <c r="F51" s="403">
        <f t="shared" si="9"/>
        <v>55</v>
      </c>
      <c r="H51" s="403">
        <f t="shared" si="3"/>
        <v>55</v>
      </c>
      <c r="I51" s="403">
        <f t="shared" si="10"/>
        <v>55</v>
      </c>
    </row>
    <row r="52" spans="1:10">
      <c r="A52" s="441">
        <v>1</v>
      </c>
      <c r="B52" s="17" t="s">
        <v>619</v>
      </c>
      <c r="E52" s="17" t="s">
        <v>1431</v>
      </c>
      <c r="F52" s="403">
        <f t="shared" si="9"/>
        <v>55</v>
      </c>
      <c r="H52" s="403">
        <f t="shared" si="3"/>
        <v>55</v>
      </c>
      <c r="I52" s="403">
        <f t="shared" si="10"/>
        <v>55</v>
      </c>
    </row>
    <row r="53" spans="1:10">
      <c r="A53" s="441">
        <v>4</v>
      </c>
      <c r="B53" s="17" t="s">
        <v>619</v>
      </c>
      <c r="E53" s="17" t="s">
        <v>612</v>
      </c>
      <c r="F53" s="403">
        <f t="shared" si="9"/>
        <v>55</v>
      </c>
      <c r="H53" s="403">
        <f t="shared" si="3"/>
        <v>55</v>
      </c>
      <c r="I53" s="403">
        <f t="shared" si="10"/>
        <v>220</v>
      </c>
    </row>
    <row r="54" spans="1:10">
      <c r="A54" s="441">
        <f>A41</f>
        <v>16</v>
      </c>
      <c r="B54" s="17" t="s">
        <v>619</v>
      </c>
      <c r="E54" s="17" t="s">
        <v>614</v>
      </c>
      <c r="F54" s="403">
        <f t="shared" si="9"/>
        <v>55</v>
      </c>
      <c r="H54" s="403">
        <f t="shared" si="3"/>
        <v>55</v>
      </c>
      <c r="I54" s="403">
        <f t="shared" si="10"/>
        <v>880</v>
      </c>
    </row>
    <row r="55" spans="1:10">
      <c r="A55" s="441">
        <v>4</v>
      </c>
      <c r="B55" s="17" t="s">
        <v>619</v>
      </c>
      <c r="E55" s="17" t="s">
        <v>615</v>
      </c>
      <c r="F55" s="403">
        <f t="shared" si="9"/>
        <v>55</v>
      </c>
      <c r="H55" s="403">
        <f t="shared" si="3"/>
        <v>55</v>
      </c>
      <c r="I55" s="403">
        <f t="shared" si="10"/>
        <v>220</v>
      </c>
    </row>
    <row r="56" spans="1:10">
      <c r="A56" s="441">
        <v>4</v>
      </c>
      <c r="B56" s="17" t="s">
        <v>619</v>
      </c>
      <c r="E56" s="17" t="s">
        <v>616</v>
      </c>
      <c r="F56" s="403">
        <f t="shared" si="9"/>
        <v>55</v>
      </c>
      <c r="H56" s="403">
        <f t="shared" si="3"/>
        <v>55</v>
      </c>
      <c r="I56" s="403">
        <f t="shared" si="10"/>
        <v>220</v>
      </c>
    </row>
    <row r="57" spans="1:10">
      <c r="A57" s="745">
        <f>10*0.25</f>
        <v>2.5</v>
      </c>
      <c r="B57" s="442" t="s">
        <v>619</v>
      </c>
      <c r="C57" s="446"/>
      <c r="D57" s="442"/>
      <c r="E57" s="17" t="s">
        <v>617</v>
      </c>
      <c r="F57" s="443">
        <f t="shared" si="9"/>
        <v>55</v>
      </c>
      <c r="G57" s="444"/>
      <c r="H57" s="443">
        <f t="shared" si="3"/>
        <v>55</v>
      </c>
      <c r="I57" s="443">
        <f t="shared" si="10"/>
        <v>137.5</v>
      </c>
      <c r="J57" s="17" t="s">
        <v>618</v>
      </c>
    </row>
    <row r="59" spans="1:10">
      <c r="A59" s="17">
        <f>SUM(A41:A58)</f>
        <v>177.8</v>
      </c>
      <c r="B59" s="17" t="s">
        <v>619</v>
      </c>
      <c r="E59" s="17" t="s">
        <v>620</v>
      </c>
    </row>
    <row r="60" spans="1:10">
      <c r="A60" s="441">
        <v>3</v>
      </c>
      <c r="B60" s="17" t="s">
        <v>517</v>
      </c>
      <c r="E60" s="17" t="s">
        <v>621</v>
      </c>
    </row>
    <row r="61" spans="1:10">
      <c r="A61" s="17">
        <v>1</v>
      </c>
      <c r="B61" s="17" t="s">
        <v>517</v>
      </c>
      <c r="E61" s="17" t="s">
        <v>622</v>
      </c>
      <c r="F61" s="445">
        <v>55</v>
      </c>
      <c r="H61" s="403">
        <f t="shared" si="3"/>
        <v>55</v>
      </c>
      <c r="I61" s="403">
        <f t="shared" si="10"/>
        <v>55</v>
      </c>
      <c r="J61" s="17" t="s">
        <v>623</v>
      </c>
    </row>
    <row r="62" spans="1:10">
      <c r="A62" s="17">
        <f>ROUNDUP(A59/8/A60,0)</f>
        <v>8</v>
      </c>
      <c r="B62" s="17" t="s">
        <v>624</v>
      </c>
      <c r="E62" s="17" t="s">
        <v>625</v>
      </c>
      <c r="F62" s="403">
        <f>A60*8*F61</f>
        <v>1320</v>
      </c>
      <c r="H62" s="403">
        <f t="shared" si="3"/>
        <v>1320</v>
      </c>
      <c r="I62" s="403">
        <f t="shared" si="10"/>
        <v>10560</v>
      </c>
    </row>
    <row r="63" spans="1:10">
      <c r="A63" s="441">
        <v>1</v>
      </c>
      <c r="B63" s="442" t="s">
        <v>517</v>
      </c>
      <c r="C63" s="446"/>
      <c r="D63" s="442"/>
      <c r="E63" s="442" t="s">
        <v>626</v>
      </c>
      <c r="F63" s="447">
        <v>500</v>
      </c>
      <c r="G63" s="444"/>
      <c r="H63" s="403">
        <v>1000</v>
      </c>
      <c r="I63" s="403">
        <f t="shared" si="10"/>
        <v>1000</v>
      </c>
      <c r="J63" s="17" t="s">
        <v>627</v>
      </c>
    </row>
    <row r="64" spans="1:10">
      <c r="A64" s="441"/>
      <c r="F64" s="447"/>
      <c r="H64" s="403"/>
      <c r="I64" s="403"/>
    </row>
    <row r="65" spans="1:16">
      <c r="A65" s="441"/>
      <c r="F65" s="447"/>
      <c r="H65" s="403"/>
      <c r="I65" s="403"/>
    </row>
    <row r="66" spans="1:16" ht="15.75">
      <c r="E66" s="439" t="s">
        <v>628</v>
      </c>
      <c r="I66" s="443">
        <f>SUM(I62:I65)</f>
        <v>11560</v>
      </c>
      <c r="P66" s="438">
        <f>I66</f>
        <v>11560</v>
      </c>
    </row>
    <row r="69" spans="1:16">
      <c r="E69" s="449" t="s">
        <v>630</v>
      </c>
    </row>
    <row r="70" spans="1:16">
      <c r="E70" s="449" t="s">
        <v>635</v>
      </c>
    </row>
    <row r="71" spans="1:16" ht="66.8">
      <c r="A71" s="915">
        <v>0</v>
      </c>
      <c r="B71" s="17" t="s">
        <v>517</v>
      </c>
      <c r="C71" s="204" t="s">
        <v>698</v>
      </c>
      <c r="D71" s="17" t="s">
        <v>636</v>
      </c>
      <c r="E71" s="17" t="s">
        <v>637</v>
      </c>
      <c r="F71" s="445">
        <v>1809</v>
      </c>
      <c r="G71" s="404">
        <v>0.4</v>
      </c>
      <c r="H71" s="403">
        <f t="shared" si="3"/>
        <v>1085.3999999999999</v>
      </c>
      <c r="I71" s="403">
        <f t="shared" ref="I71:I96" si="11">A71*H71</f>
        <v>0</v>
      </c>
      <c r="J71" s="17" t="s">
        <v>638</v>
      </c>
      <c r="K71" s="17" t="s">
        <v>1892</v>
      </c>
    </row>
    <row r="72" spans="1:16">
      <c r="A72" s="915">
        <v>0</v>
      </c>
      <c r="B72" s="17" t="s">
        <v>517</v>
      </c>
      <c r="C72" s="204" t="s">
        <v>538</v>
      </c>
      <c r="D72" s="17" t="s">
        <v>640</v>
      </c>
      <c r="E72" s="17" t="s">
        <v>1893</v>
      </c>
      <c r="F72" s="445">
        <v>1949</v>
      </c>
      <c r="G72" s="404">
        <v>0.4</v>
      </c>
      <c r="H72" s="403">
        <f t="shared" si="3"/>
        <v>1169.3999999999999</v>
      </c>
      <c r="I72" s="403">
        <f t="shared" si="11"/>
        <v>0</v>
      </c>
      <c r="J72" s="17" t="s">
        <v>638</v>
      </c>
      <c r="K72" s="17" t="s">
        <v>1894</v>
      </c>
    </row>
    <row r="73" spans="1:16">
      <c r="A73" s="441">
        <v>0</v>
      </c>
      <c r="B73" s="17" t="s">
        <v>517</v>
      </c>
      <c r="C73" s="204" t="s">
        <v>538</v>
      </c>
      <c r="D73" s="17" t="s">
        <v>640</v>
      </c>
      <c r="E73" s="17" t="s">
        <v>1895</v>
      </c>
      <c r="F73" s="445">
        <v>1949</v>
      </c>
      <c r="G73" s="404">
        <v>0.4</v>
      </c>
      <c r="H73" s="403">
        <f t="shared" si="3"/>
        <v>1169.3999999999999</v>
      </c>
      <c r="I73" s="403">
        <f t="shared" si="11"/>
        <v>0</v>
      </c>
      <c r="J73" s="17" t="s">
        <v>638</v>
      </c>
      <c r="K73" s="17" t="s">
        <v>1894</v>
      </c>
    </row>
    <row r="74" spans="1:16">
      <c r="A74" s="915">
        <v>0</v>
      </c>
      <c r="B74" s="17" t="s">
        <v>517</v>
      </c>
      <c r="C74" s="204" t="s">
        <v>538</v>
      </c>
      <c r="D74" s="17" t="s">
        <v>640</v>
      </c>
      <c r="E74" s="17" t="s">
        <v>1896</v>
      </c>
      <c r="F74" s="445">
        <v>2447</v>
      </c>
      <c r="G74" s="404">
        <v>0.4</v>
      </c>
      <c r="H74" s="403">
        <f t="shared" ref="H74:H96" si="12">F74*(1-G74)</f>
        <v>1468.2</v>
      </c>
      <c r="I74" s="403">
        <f t="shared" si="11"/>
        <v>0</v>
      </c>
      <c r="J74" s="17" t="s">
        <v>638</v>
      </c>
      <c r="K74" s="17" t="s">
        <v>1894</v>
      </c>
    </row>
    <row r="75" spans="1:16">
      <c r="A75" s="441">
        <v>0</v>
      </c>
      <c r="B75" s="17" t="s">
        <v>517</v>
      </c>
      <c r="C75" s="204" t="s">
        <v>538</v>
      </c>
      <c r="D75" s="17" t="s">
        <v>640</v>
      </c>
      <c r="E75" s="17" t="s">
        <v>1897</v>
      </c>
      <c r="F75" s="445">
        <v>4395</v>
      </c>
      <c r="G75" s="404">
        <v>0.4</v>
      </c>
      <c r="H75" s="403">
        <f t="shared" si="12"/>
        <v>2637</v>
      </c>
      <c r="I75" s="403">
        <f t="shared" si="11"/>
        <v>0</v>
      </c>
      <c r="J75" s="17" t="s">
        <v>638</v>
      </c>
      <c r="K75" s="17" t="s">
        <v>1894</v>
      </c>
    </row>
    <row r="76" spans="1:16">
      <c r="A76" s="441">
        <v>0</v>
      </c>
      <c r="B76" s="17" t="s">
        <v>517</v>
      </c>
      <c r="C76" s="204" t="s">
        <v>538</v>
      </c>
      <c r="D76" s="17" t="s">
        <v>640</v>
      </c>
      <c r="E76" s="17" t="s">
        <v>1898</v>
      </c>
      <c r="F76" s="445">
        <v>21206</v>
      </c>
      <c r="G76" s="404">
        <v>0.4</v>
      </c>
      <c r="H76" s="403">
        <f t="shared" si="12"/>
        <v>12723.6</v>
      </c>
      <c r="I76" s="403">
        <f t="shared" si="11"/>
        <v>0</v>
      </c>
      <c r="J76" s="17" t="s">
        <v>638</v>
      </c>
      <c r="K76" s="17" t="s">
        <v>1894</v>
      </c>
    </row>
    <row r="77" spans="1:16">
      <c r="A77" s="915">
        <v>0</v>
      </c>
      <c r="B77" s="17" t="s">
        <v>539</v>
      </c>
      <c r="C77" s="204" t="s">
        <v>538</v>
      </c>
      <c r="D77" s="17" t="s">
        <v>643</v>
      </c>
      <c r="E77" s="17" t="s">
        <v>1899</v>
      </c>
      <c r="F77" s="445">
        <v>80</v>
      </c>
      <c r="G77" s="404">
        <v>0.4</v>
      </c>
      <c r="H77" s="403">
        <f t="shared" si="12"/>
        <v>48</v>
      </c>
      <c r="I77" s="403">
        <f t="shared" si="11"/>
        <v>0</v>
      </c>
      <c r="J77" s="17" t="s">
        <v>638</v>
      </c>
      <c r="K77" s="17" t="s">
        <v>1894</v>
      </c>
    </row>
    <row r="78" spans="1:16">
      <c r="A78" s="441">
        <v>0</v>
      </c>
      <c r="B78" s="17" t="s">
        <v>539</v>
      </c>
      <c r="C78" s="204" t="s">
        <v>538</v>
      </c>
      <c r="D78" s="17" t="s">
        <v>643</v>
      </c>
      <c r="E78" s="17" t="s">
        <v>1900</v>
      </c>
      <c r="F78" s="445">
        <v>108</v>
      </c>
      <c r="G78" s="404">
        <v>0.4</v>
      </c>
      <c r="H78" s="403">
        <f t="shared" si="12"/>
        <v>64.8</v>
      </c>
      <c r="I78" s="403">
        <f t="shared" si="11"/>
        <v>0</v>
      </c>
      <c r="J78" s="17" t="s">
        <v>638</v>
      </c>
      <c r="K78" s="17" t="s">
        <v>1894</v>
      </c>
    </row>
    <row r="79" spans="1:16">
      <c r="A79" s="204"/>
      <c r="F79" s="17"/>
      <c r="H79" s="403"/>
      <c r="I79" s="403"/>
    </row>
    <row r="80" spans="1:16">
      <c r="A80" s="204"/>
      <c r="E80" s="449" t="s">
        <v>1901</v>
      </c>
      <c r="F80" s="17"/>
      <c r="H80" s="403"/>
      <c r="I80" s="403"/>
    </row>
    <row r="81" spans="1:12">
      <c r="A81" s="441">
        <v>0</v>
      </c>
      <c r="B81" s="17" t="s">
        <v>517</v>
      </c>
      <c r="C81" s="204" t="s">
        <v>1902</v>
      </c>
      <c r="D81" s="17" t="s">
        <v>636</v>
      </c>
      <c r="E81" s="17" t="s">
        <v>1903</v>
      </c>
      <c r="F81" s="445">
        <v>2507</v>
      </c>
      <c r="G81" s="404">
        <v>0.4</v>
      </c>
      <c r="H81" s="403">
        <f t="shared" si="12"/>
        <v>1504.2</v>
      </c>
      <c r="I81" s="403">
        <f t="shared" si="11"/>
        <v>0</v>
      </c>
      <c r="J81" s="17" t="s">
        <v>638</v>
      </c>
      <c r="K81" s="17" t="s">
        <v>1904</v>
      </c>
    </row>
    <row r="82" spans="1:12">
      <c r="A82" s="441">
        <v>1</v>
      </c>
      <c r="B82" s="17" t="s">
        <v>517</v>
      </c>
      <c r="C82" s="204" t="s">
        <v>1902</v>
      </c>
      <c r="D82" s="17" t="s">
        <v>636</v>
      </c>
      <c r="E82" s="17" t="s">
        <v>1930</v>
      </c>
      <c r="F82" s="445">
        <v>2913</v>
      </c>
      <c r="G82" s="404">
        <v>0.4</v>
      </c>
      <c r="H82" s="403">
        <f t="shared" si="12"/>
        <v>1747.8</v>
      </c>
      <c r="I82" s="403">
        <f t="shared" si="11"/>
        <v>1747.8</v>
      </c>
      <c r="J82" s="17" t="s">
        <v>638</v>
      </c>
      <c r="K82" s="17" t="s">
        <v>1904</v>
      </c>
    </row>
    <row r="83" spans="1:12">
      <c r="A83" s="441">
        <v>0</v>
      </c>
      <c r="B83" s="17" t="s">
        <v>539</v>
      </c>
      <c r="C83" s="204" t="s">
        <v>1902</v>
      </c>
      <c r="D83" s="17" t="s">
        <v>670</v>
      </c>
      <c r="E83" s="17" t="s">
        <v>1931</v>
      </c>
      <c r="F83" s="445">
        <v>107</v>
      </c>
      <c r="G83" s="404">
        <v>0.4</v>
      </c>
      <c r="H83" s="403">
        <f t="shared" si="12"/>
        <v>64.2</v>
      </c>
      <c r="I83" s="403">
        <f t="shared" si="11"/>
        <v>0</v>
      </c>
      <c r="J83" s="17" t="s">
        <v>638</v>
      </c>
      <c r="K83" s="17" t="s">
        <v>1904</v>
      </c>
    </row>
    <row r="84" spans="1:12">
      <c r="A84" s="441">
        <v>240</v>
      </c>
      <c r="B84" s="17" t="s">
        <v>539</v>
      </c>
      <c r="C84" s="204" t="s">
        <v>1902</v>
      </c>
      <c r="D84" s="17" t="s">
        <v>670</v>
      </c>
      <c r="E84" s="17" t="s">
        <v>1932</v>
      </c>
      <c r="F84" s="445">
        <v>108</v>
      </c>
      <c r="G84" s="404">
        <v>0.4</v>
      </c>
      <c r="H84" s="403">
        <f t="shared" si="12"/>
        <v>64.8</v>
      </c>
      <c r="I84" s="403">
        <f t="shared" si="11"/>
        <v>15552</v>
      </c>
      <c r="J84" s="17" t="s">
        <v>638</v>
      </c>
      <c r="K84" s="17" t="s">
        <v>1904</v>
      </c>
    </row>
    <row r="85" spans="1:12">
      <c r="A85" s="441">
        <v>1</v>
      </c>
      <c r="B85" s="17" t="s">
        <v>517</v>
      </c>
      <c r="C85" s="204" t="s">
        <v>1902</v>
      </c>
      <c r="D85" s="17" t="s">
        <v>640</v>
      </c>
      <c r="E85" s="17" t="s">
        <v>1933</v>
      </c>
      <c r="F85" s="445">
        <v>1965</v>
      </c>
      <c r="G85" s="404">
        <v>0.4</v>
      </c>
      <c r="H85" s="403">
        <f t="shared" si="12"/>
        <v>1179</v>
      </c>
      <c r="I85" s="403">
        <f t="shared" si="11"/>
        <v>1179</v>
      </c>
      <c r="J85" s="17" t="s">
        <v>638</v>
      </c>
      <c r="K85" s="17" t="s">
        <v>1904</v>
      </c>
    </row>
    <row r="86" spans="1:12">
      <c r="A86" s="441">
        <v>1</v>
      </c>
      <c r="B86" s="17" t="s">
        <v>539</v>
      </c>
      <c r="C86" s="204" t="s">
        <v>1902</v>
      </c>
      <c r="D86" s="17" t="s">
        <v>643</v>
      </c>
      <c r="E86" s="17" t="s">
        <v>1934</v>
      </c>
      <c r="F86" s="445">
        <v>95</v>
      </c>
      <c r="G86" s="404">
        <v>0.4</v>
      </c>
      <c r="H86" s="403">
        <f t="shared" si="12"/>
        <v>57</v>
      </c>
      <c r="I86" s="403">
        <f t="shared" si="11"/>
        <v>57</v>
      </c>
      <c r="J86" s="17" t="s">
        <v>638</v>
      </c>
      <c r="K86" s="17" t="s">
        <v>1904</v>
      </c>
    </row>
    <row r="87" spans="1:12">
      <c r="A87" s="204"/>
      <c r="F87" s="485"/>
      <c r="H87" s="403"/>
      <c r="I87" s="403"/>
    </row>
    <row r="88" spans="1:12">
      <c r="A88" s="204"/>
      <c r="E88" s="439" t="s">
        <v>1935</v>
      </c>
      <c r="F88" s="485"/>
      <c r="H88" s="403"/>
      <c r="I88" s="403"/>
    </row>
    <row r="89" spans="1:12" ht="12.45">
      <c r="A89" s="915">
        <v>0</v>
      </c>
      <c r="B89" s="17" t="s">
        <v>517</v>
      </c>
      <c r="C89" s="204" t="s">
        <v>1902</v>
      </c>
      <c r="D89" s="494" t="s">
        <v>1936</v>
      </c>
      <c r="E89" s="17" t="s">
        <v>1937</v>
      </c>
      <c r="F89" s="445">
        <f>1610.95/0.6</f>
        <v>2684.916666666667</v>
      </c>
      <c r="G89" s="404">
        <v>0.4</v>
      </c>
      <c r="H89" s="443">
        <f t="shared" si="12"/>
        <v>1610.95</v>
      </c>
      <c r="I89" s="443">
        <f t="shared" si="11"/>
        <v>0</v>
      </c>
      <c r="J89" s="17" t="s">
        <v>2039</v>
      </c>
    </row>
    <row r="90" spans="1:12" ht="68.75" customHeight="1">
      <c r="A90" s="915">
        <v>0</v>
      </c>
      <c r="B90" s="17" t="s">
        <v>539</v>
      </c>
      <c r="C90" s="204" t="s">
        <v>1902</v>
      </c>
      <c r="D90" s="494" t="s">
        <v>1939</v>
      </c>
      <c r="E90" s="17" t="s">
        <v>1940</v>
      </c>
      <c r="F90" s="445">
        <v>846.22031249999998</v>
      </c>
      <c r="G90" s="404">
        <v>0.4</v>
      </c>
      <c r="H90" s="403">
        <f t="shared" si="12"/>
        <v>507.73218749999995</v>
      </c>
      <c r="I90" s="443">
        <f t="shared" si="11"/>
        <v>0</v>
      </c>
      <c r="J90" s="204" t="s">
        <v>1941</v>
      </c>
      <c r="K90" s="1103" t="s">
        <v>2040</v>
      </c>
      <c r="L90" s="1103"/>
    </row>
    <row r="91" spans="1:12" ht="13.75">
      <c r="A91" s="915">
        <v>0</v>
      </c>
      <c r="B91" s="17" t="s">
        <v>539</v>
      </c>
      <c r="C91" s="204" t="s">
        <v>1902</v>
      </c>
      <c r="D91" s="494" t="s">
        <v>1943</v>
      </c>
      <c r="E91" s="17" t="s">
        <v>1944</v>
      </c>
      <c r="F91" s="445">
        <v>110</v>
      </c>
      <c r="G91" s="404">
        <v>0.4</v>
      </c>
      <c r="H91" s="403">
        <f t="shared" si="12"/>
        <v>66</v>
      </c>
      <c r="I91" s="403">
        <f t="shared" si="11"/>
        <v>0</v>
      </c>
      <c r="J91" s="17" t="s">
        <v>696</v>
      </c>
    </row>
    <row r="92" spans="1:12" ht="155.80000000000001">
      <c r="A92" s="915">
        <v>0</v>
      </c>
      <c r="B92" s="17" t="s">
        <v>517</v>
      </c>
      <c r="C92" s="204" t="s">
        <v>1902</v>
      </c>
      <c r="D92" s="494" t="s">
        <v>1946</v>
      </c>
      <c r="E92" s="17" t="s">
        <v>1947</v>
      </c>
      <c r="F92" s="445">
        <f>5844.58/0.6</f>
        <v>9740.9666666666672</v>
      </c>
      <c r="G92" s="404">
        <v>0.4</v>
      </c>
      <c r="H92" s="443">
        <f t="shared" si="12"/>
        <v>5844.58</v>
      </c>
      <c r="I92" s="443">
        <f t="shared" si="11"/>
        <v>0</v>
      </c>
      <c r="J92" s="204" t="s">
        <v>2041</v>
      </c>
    </row>
    <row r="93" spans="1:12" ht="91" customHeight="1">
      <c r="A93" s="915">
        <v>0</v>
      </c>
      <c r="B93" s="17" t="s">
        <v>517</v>
      </c>
      <c r="C93" s="204" t="s">
        <v>1902</v>
      </c>
      <c r="D93" s="494" t="s">
        <v>1946</v>
      </c>
      <c r="E93" s="17" t="s">
        <v>1947</v>
      </c>
      <c r="F93" s="445">
        <f>5844.58/0.6*(160/100)^0.8</f>
        <v>14187.244172962894</v>
      </c>
      <c r="G93" s="404">
        <v>0.4</v>
      </c>
      <c r="H93" s="443">
        <f t="shared" si="12"/>
        <v>8512.3465037777351</v>
      </c>
      <c r="I93" s="443">
        <f t="shared" si="11"/>
        <v>0</v>
      </c>
      <c r="J93" s="204" t="s">
        <v>2042</v>
      </c>
      <c r="K93" s="1103" t="s">
        <v>2043</v>
      </c>
      <c r="L93" s="1103"/>
    </row>
    <row r="94" spans="1:12" ht="113.4" customHeight="1">
      <c r="A94" s="915">
        <v>0</v>
      </c>
      <c r="B94" s="17" t="s">
        <v>539</v>
      </c>
      <c r="C94" s="204" t="s">
        <v>1902</v>
      </c>
      <c r="D94" s="494" t="s">
        <v>1950</v>
      </c>
      <c r="E94" s="17" t="s">
        <v>1951</v>
      </c>
      <c r="F94" s="445">
        <v>32.7596512570965</v>
      </c>
      <c r="G94" s="404">
        <v>0.4</v>
      </c>
      <c r="H94" s="403">
        <f t="shared" si="12"/>
        <v>19.6557907542579</v>
      </c>
      <c r="I94" s="443">
        <f t="shared" si="11"/>
        <v>0</v>
      </c>
      <c r="J94" s="204" t="s">
        <v>2044</v>
      </c>
      <c r="K94" s="1103" t="s">
        <v>2045</v>
      </c>
      <c r="L94" s="1103"/>
    </row>
    <row r="95" spans="1:12">
      <c r="A95" s="204"/>
      <c r="F95" s="17"/>
      <c r="H95" s="403"/>
      <c r="I95" s="403"/>
    </row>
    <row r="96" spans="1:12" ht="33.4">
      <c r="A96" s="204">
        <v>1</v>
      </c>
      <c r="B96" s="17" t="s">
        <v>517</v>
      </c>
      <c r="C96" s="204" t="s">
        <v>674</v>
      </c>
      <c r="E96" s="17" t="s">
        <v>675</v>
      </c>
      <c r="F96" s="445">
        <v>161.44</v>
      </c>
      <c r="G96" s="404">
        <v>0</v>
      </c>
      <c r="H96" s="403">
        <f t="shared" si="12"/>
        <v>161.44</v>
      </c>
      <c r="I96" s="403">
        <f t="shared" si="11"/>
        <v>161.44</v>
      </c>
    </row>
    <row r="97" spans="1:17">
      <c r="A97" s="204"/>
      <c r="F97" s="485"/>
      <c r="H97" s="403"/>
      <c r="I97" s="403"/>
    </row>
    <row r="98" spans="1:17" ht="15.75">
      <c r="E98" s="439" t="s">
        <v>676</v>
      </c>
      <c r="I98" s="443">
        <f>SUM(I71:I96)</f>
        <v>18697.239999999998</v>
      </c>
      <c r="Q98" s="438">
        <f>I98</f>
        <v>18697.239999999998</v>
      </c>
    </row>
    <row r="100" spans="1:17" ht="13.75" customHeight="1">
      <c r="A100" s="986" t="s">
        <v>100</v>
      </c>
      <c r="B100" s="986"/>
      <c r="C100" s="986"/>
      <c r="D100" s="986"/>
      <c r="E100" s="986"/>
    </row>
    <row r="102" spans="1:17">
      <c r="E102" s="442" t="s">
        <v>677</v>
      </c>
      <c r="J102" s="403"/>
    </row>
    <row r="103" spans="1:17" ht="22.25">
      <c r="A103" s="407">
        <v>0</v>
      </c>
      <c r="B103" s="407" t="s">
        <v>522</v>
      </c>
      <c r="C103" s="408" t="s">
        <v>678</v>
      </c>
      <c r="D103" s="407" t="s">
        <v>679</v>
      </c>
      <c r="E103" s="408" t="s">
        <v>680</v>
      </c>
      <c r="F103" s="409">
        <v>2801.13</v>
      </c>
      <c r="G103" s="410"/>
      <c r="H103" s="409">
        <f t="shared" ref="H103:H148" si="13">F103*(1-G103)</f>
        <v>2801.13</v>
      </c>
      <c r="I103" s="409"/>
    </row>
    <row r="104" spans="1:17" ht="22.25">
      <c r="A104" s="407">
        <v>0</v>
      </c>
      <c r="B104" s="407" t="s">
        <v>522</v>
      </c>
      <c r="C104" s="408" t="s">
        <v>678</v>
      </c>
      <c r="D104" s="407" t="s">
        <v>681</v>
      </c>
      <c r="E104" s="408" t="s">
        <v>682</v>
      </c>
      <c r="F104" s="409">
        <v>772.15</v>
      </c>
      <c r="G104" s="410"/>
      <c r="H104" s="409">
        <f t="shared" si="13"/>
        <v>772.15</v>
      </c>
      <c r="I104" s="409"/>
    </row>
    <row r="105" spans="1:17" ht="22.25">
      <c r="A105" s="407">
        <v>0</v>
      </c>
      <c r="B105" s="407" t="s">
        <v>522</v>
      </c>
      <c r="C105" s="408" t="s">
        <v>678</v>
      </c>
      <c r="D105" s="407" t="s">
        <v>683</v>
      </c>
      <c r="E105" s="408" t="s">
        <v>684</v>
      </c>
      <c r="F105" s="409">
        <v>150.26</v>
      </c>
      <c r="G105" s="410"/>
      <c r="H105" s="409">
        <f t="shared" si="13"/>
        <v>150.26</v>
      </c>
      <c r="I105" s="409"/>
    </row>
    <row r="106" spans="1:17" ht="22.25">
      <c r="A106" s="407">
        <v>0</v>
      </c>
      <c r="B106" s="407" t="s">
        <v>522</v>
      </c>
      <c r="C106" s="408" t="s">
        <v>678</v>
      </c>
      <c r="D106" s="407" t="s">
        <v>685</v>
      </c>
      <c r="E106" s="408" t="s">
        <v>686</v>
      </c>
      <c r="F106" s="409">
        <v>10.58</v>
      </c>
      <c r="G106" s="410"/>
      <c r="H106" s="409">
        <f t="shared" si="13"/>
        <v>10.58</v>
      </c>
      <c r="I106" s="409"/>
    </row>
    <row r="107" spans="1:17" ht="22.25">
      <c r="A107" s="407">
        <v>0</v>
      </c>
      <c r="B107" s="407" t="s">
        <v>522</v>
      </c>
      <c r="C107" s="408" t="s">
        <v>678</v>
      </c>
      <c r="D107" s="407" t="s">
        <v>687</v>
      </c>
      <c r="E107" s="408" t="s">
        <v>688</v>
      </c>
      <c r="F107" s="409">
        <v>69.78</v>
      </c>
      <c r="G107" s="410"/>
      <c r="H107" s="409">
        <f t="shared" si="13"/>
        <v>69.78</v>
      </c>
      <c r="I107" s="409"/>
      <c r="J107" s="17" t="s">
        <v>689</v>
      </c>
    </row>
    <row r="108" spans="1:17" ht="22.25">
      <c r="A108" s="487">
        <v>0</v>
      </c>
      <c r="B108" s="407" t="s">
        <v>539</v>
      </c>
      <c r="C108" s="408" t="s">
        <v>690</v>
      </c>
      <c r="D108" s="407"/>
      <c r="E108" s="407" t="s">
        <v>691</v>
      </c>
      <c r="F108" s="409">
        <v>7.58</v>
      </c>
      <c r="G108" s="410"/>
      <c r="H108" s="409">
        <f t="shared" si="13"/>
        <v>7.58</v>
      </c>
      <c r="I108" s="409"/>
      <c r="J108" s="17" t="s">
        <v>692</v>
      </c>
    </row>
    <row r="109" spans="1:17" ht="22.25">
      <c r="A109" s="487">
        <v>0</v>
      </c>
      <c r="B109" s="407" t="s">
        <v>539</v>
      </c>
      <c r="C109" s="408" t="s">
        <v>690</v>
      </c>
      <c r="D109" s="407"/>
      <c r="E109" s="407" t="s">
        <v>693</v>
      </c>
      <c r="F109" s="409">
        <v>2.04</v>
      </c>
      <c r="G109" s="410"/>
      <c r="H109" s="409">
        <f t="shared" si="13"/>
        <v>2.04</v>
      </c>
      <c r="I109" s="409"/>
      <c r="J109" s="17" t="s">
        <v>694</v>
      </c>
    </row>
    <row r="110" spans="1:17" ht="22.25">
      <c r="A110" s="407">
        <v>0</v>
      </c>
      <c r="B110" s="407" t="s">
        <v>522</v>
      </c>
      <c r="C110" s="408"/>
      <c r="D110" s="407"/>
      <c r="E110" s="408" t="s">
        <v>695</v>
      </c>
      <c r="F110" s="409">
        <v>50</v>
      </c>
      <c r="G110" s="410"/>
      <c r="H110" s="409">
        <f t="shared" si="13"/>
        <v>50</v>
      </c>
      <c r="I110" s="409"/>
      <c r="J110" s="204" t="s">
        <v>696</v>
      </c>
    </row>
    <row r="111" spans="1:17">
      <c r="A111" s="407">
        <v>0</v>
      </c>
      <c r="B111" s="407" t="s">
        <v>619</v>
      </c>
      <c r="C111" s="408"/>
      <c r="D111" s="407"/>
      <c r="E111" s="408" t="s">
        <v>697</v>
      </c>
      <c r="F111" s="409">
        <f>F61</f>
        <v>55</v>
      </c>
      <c r="G111" s="410"/>
      <c r="H111" s="409">
        <f t="shared" si="13"/>
        <v>55</v>
      </c>
      <c r="I111" s="409"/>
    </row>
    <row r="112" spans="1:17" ht="66.8">
      <c r="A112" s="407">
        <v>0</v>
      </c>
      <c r="B112" s="407" t="s">
        <v>517</v>
      </c>
      <c r="C112" s="408" t="s">
        <v>698</v>
      </c>
      <c r="D112" s="407" t="s">
        <v>636</v>
      </c>
      <c r="E112" s="408" t="s">
        <v>637</v>
      </c>
      <c r="F112" s="409">
        <v>1809</v>
      </c>
      <c r="G112" s="410">
        <v>0.75</v>
      </c>
      <c r="H112" s="409">
        <f t="shared" si="13"/>
        <v>452.25</v>
      </c>
      <c r="I112" s="409"/>
      <c r="J112" s="17" t="s">
        <v>699</v>
      </c>
    </row>
    <row r="113" spans="1:10">
      <c r="A113" s="407"/>
      <c r="B113" s="407"/>
      <c r="C113" s="408"/>
      <c r="D113" s="407"/>
      <c r="E113" s="408"/>
      <c r="F113" s="409"/>
      <c r="G113" s="410"/>
      <c r="H113" s="409"/>
      <c r="I113" s="409"/>
    </row>
    <row r="114" spans="1:10">
      <c r="E114" s="442" t="s">
        <v>700</v>
      </c>
    </row>
    <row r="115" spans="1:10">
      <c r="A115" s="407"/>
      <c r="B115" s="407"/>
      <c r="C115" s="408"/>
      <c r="D115" s="407"/>
      <c r="E115" s="408"/>
      <c r="F115" s="409"/>
      <c r="G115" s="410"/>
      <c r="H115" s="409"/>
      <c r="I115" s="409"/>
    </row>
    <row r="116" spans="1:10">
      <c r="A116" s="407"/>
      <c r="B116" s="407"/>
      <c r="C116" s="408"/>
      <c r="D116" s="407"/>
      <c r="E116" s="408" t="s">
        <v>701</v>
      </c>
      <c r="F116" s="409"/>
      <c r="G116" s="410"/>
      <c r="H116" s="409"/>
      <c r="I116" s="409"/>
    </row>
    <row r="117" spans="1:10">
      <c r="A117" s="407"/>
      <c r="B117" s="407"/>
      <c r="C117" s="408"/>
      <c r="D117" s="407"/>
      <c r="E117" s="408"/>
      <c r="F117" s="409"/>
      <c r="G117" s="410"/>
      <c r="H117" s="409"/>
      <c r="I117" s="409"/>
    </row>
    <row r="118" spans="1:10">
      <c r="A118" s="407"/>
      <c r="B118" s="407"/>
      <c r="C118" s="408"/>
      <c r="D118" s="407"/>
      <c r="E118" s="408"/>
      <c r="F118" s="409"/>
      <c r="G118" s="410"/>
      <c r="H118" s="409"/>
      <c r="I118" s="409"/>
    </row>
    <row r="119" spans="1:10">
      <c r="A119" s="407"/>
      <c r="B119" s="407"/>
      <c r="C119" s="408"/>
      <c r="D119" s="407"/>
      <c r="E119" s="408"/>
      <c r="F119" s="409"/>
      <c r="G119" s="410"/>
      <c r="H119" s="409"/>
      <c r="I119" s="409"/>
    </row>
    <row r="120" spans="1:10">
      <c r="A120" s="407"/>
      <c r="B120" s="407"/>
      <c r="C120" s="408"/>
      <c r="D120" s="407"/>
      <c r="E120" s="408"/>
      <c r="F120" s="409"/>
      <c r="G120" s="410"/>
      <c r="H120" s="409"/>
      <c r="I120" s="409"/>
    </row>
    <row r="121" spans="1:10">
      <c r="A121" s="204"/>
      <c r="F121" s="485"/>
      <c r="H121" s="403"/>
      <c r="I121" s="403"/>
    </row>
    <row r="122" spans="1:10">
      <c r="E122" s="439" t="s">
        <v>702</v>
      </c>
      <c r="I122" s="443">
        <f>SUM(I103:I121)</f>
        <v>0</v>
      </c>
    </row>
    <row r="124" spans="1:10" ht="15.05" customHeight="1">
      <c r="A124" s="1002" t="s">
        <v>90</v>
      </c>
      <c r="B124" s="1002"/>
      <c r="C124" s="1002"/>
      <c r="D124" s="1002"/>
      <c r="E124" s="1002"/>
    </row>
    <row r="126" spans="1:10">
      <c r="A126" s="17">
        <v>0</v>
      </c>
      <c r="B126" s="17" t="s">
        <v>517</v>
      </c>
      <c r="E126" s="17" t="s">
        <v>703</v>
      </c>
      <c r="F126" s="403">
        <v>800</v>
      </c>
      <c r="H126" s="403">
        <f t="shared" si="13"/>
        <v>800</v>
      </c>
      <c r="I126" s="403">
        <f t="shared" ref="I126:I141" si="14">A126*H126</f>
        <v>0</v>
      </c>
      <c r="J126" s="17" t="s">
        <v>704</v>
      </c>
    </row>
    <row r="127" spans="1:10">
      <c r="A127" s="17">
        <v>0</v>
      </c>
      <c r="B127" s="17" t="s">
        <v>517</v>
      </c>
      <c r="E127" s="17" t="s">
        <v>705</v>
      </c>
      <c r="F127" s="403">
        <v>500</v>
      </c>
      <c r="H127" s="403">
        <f t="shared" si="13"/>
        <v>500</v>
      </c>
      <c r="I127" s="403">
        <f t="shared" si="14"/>
        <v>0</v>
      </c>
      <c r="J127" s="17" t="s">
        <v>704</v>
      </c>
    </row>
    <row r="128" spans="1:10">
      <c r="A128" s="17">
        <v>0</v>
      </c>
      <c r="B128" s="17" t="s">
        <v>517</v>
      </c>
      <c r="E128" s="17" t="s">
        <v>707</v>
      </c>
      <c r="F128" s="403">
        <v>1500</v>
      </c>
      <c r="H128" s="403">
        <f t="shared" si="13"/>
        <v>1500</v>
      </c>
      <c r="I128" s="403">
        <f t="shared" si="14"/>
        <v>0</v>
      </c>
    </row>
    <row r="129" spans="1:10" ht="55.65">
      <c r="A129" s="17">
        <v>0</v>
      </c>
      <c r="B129" s="17" t="s">
        <v>517</v>
      </c>
      <c r="C129" s="204" t="s">
        <v>708</v>
      </c>
      <c r="E129" s="204" t="s">
        <v>709</v>
      </c>
      <c r="F129" s="403">
        <v>460</v>
      </c>
      <c r="H129" s="403">
        <f t="shared" si="13"/>
        <v>460</v>
      </c>
      <c r="I129" s="403">
        <f t="shared" si="14"/>
        <v>0</v>
      </c>
      <c r="J129" s="17" t="s">
        <v>710</v>
      </c>
    </row>
    <row r="130" spans="1:10" ht="55.65">
      <c r="A130" s="17">
        <v>0</v>
      </c>
      <c r="B130" s="17" t="s">
        <v>517</v>
      </c>
      <c r="C130" s="204" t="s">
        <v>711</v>
      </c>
      <c r="E130" s="204" t="s">
        <v>712</v>
      </c>
      <c r="F130" s="403">
        <v>320</v>
      </c>
      <c r="H130" s="403">
        <f t="shared" si="13"/>
        <v>320</v>
      </c>
      <c r="I130" s="403">
        <f t="shared" si="14"/>
        <v>0</v>
      </c>
    </row>
    <row r="131" spans="1:10" ht="55.65">
      <c r="A131" s="17">
        <v>0</v>
      </c>
      <c r="B131" s="17" t="s">
        <v>517</v>
      </c>
      <c r="C131" s="17" t="s">
        <v>713</v>
      </c>
      <c r="D131" s="17" t="s">
        <v>714</v>
      </c>
      <c r="E131" s="204" t="s">
        <v>715</v>
      </c>
      <c r="F131" s="403">
        <v>2725</v>
      </c>
      <c r="H131" s="403">
        <f t="shared" si="13"/>
        <v>2725</v>
      </c>
      <c r="I131" s="403">
        <f t="shared" si="14"/>
        <v>0</v>
      </c>
    </row>
    <row r="132" spans="1:10" ht="33.4">
      <c r="A132" s="17">
        <v>0</v>
      </c>
      <c r="B132" s="17" t="s">
        <v>517</v>
      </c>
      <c r="C132" s="204" t="s">
        <v>716</v>
      </c>
      <c r="E132" s="17" t="s">
        <v>717</v>
      </c>
      <c r="F132" s="403">
        <f>1840*1.04</f>
        <v>1913.6000000000001</v>
      </c>
      <c r="H132" s="403">
        <f t="shared" si="13"/>
        <v>1913.6000000000001</v>
      </c>
      <c r="I132" s="403">
        <f t="shared" si="14"/>
        <v>0</v>
      </c>
      <c r="J132" s="17" t="s">
        <v>718</v>
      </c>
    </row>
    <row r="133" spans="1:10">
      <c r="H133" s="403"/>
      <c r="I133" s="403"/>
    </row>
    <row r="134" spans="1:10">
      <c r="E134" s="446" t="s">
        <v>719</v>
      </c>
      <c r="H134" s="403"/>
      <c r="I134" s="403"/>
    </row>
    <row r="135" spans="1:10" ht="22.25">
      <c r="A135" s="17">
        <v>0</v>
      </c>
      <c r="B135" s="17" t="s">
        <v>619</v>
      </c>
      <c r="C135" s="204" t="s">
        <v>531</v>
      </c>
      <c r="E135" s="17" t="s">
        <v>720</v>
      </c>
      <c r="F135" s="403">
        <v>50</v>
      </c>
      <c r="H135" s="403">
        <f t="shared" si="13"/>
        <v>50</v>
      </c>
      <c r="I135" s="403">
        <f t="shared" si="14"/>
        <v>0</v>
      </c>
    </row>
    <row r="136" spans="1:10">
      <c r="A136" s="17">
        <v>0</v>
      </c>
      <c r="B136" s="17" t="s">
        <v>517</v>
      </c>
      <c r="C136" s="204" t="s">
        <v>721</v>
      </c>
      <c r="E136" s="17" t="s">
        <v>722</v>
      </c>
      <c r="F136" s="403">
        <f>69/100</f>
        <v>0.69</v>
      </c>
      <c r="H136" s="403">
        <f t="shared" si="13"/>
        <v>0.69</v>
      </c>
      <c r="I136" s="403">
        <f t="shared" si="14"/>
        <v>0</v>
      </c>
    </row>
    <row r="137" spans="1:10">
      <c r="A137" s="17">
        <f t="shared" ref="A137:A140" si="15">A136</f>
        <v>0</v>
      </c>
      <c r="B137" s="17" t="s">
        <v>517</v>
      </c>
      <c r="C137" s="204" t="s">
        <v>721</v>
      </c>
      <c r="E137" s="17" t="s">
        <v>723</v>
      </c>
      <c r="F137" s="403">
        <v>0.1</v>
      </c>
      <c r="H137" s="403">
        <f t="shared" si="13"/>
        <v>0.1</v>
      </c>
      <c r="I137" s="403">
        <f t="shared" si="14"/>
        <v>0</v>
      </c>
    </row>
    <row r="138" spans="1:10">
      <c r="A138" s="17">
        <f t="shared" si="15"/>
        <v>0</v>
      </c>
      <c r="B138" s="17" t="s">
        <v>517</v>
      </c>
      <c r="C138" s="204" t="s">
        <v>721</v>
      </c>
      <c r="E138" s="17" t="s">
        <v>724</v>
      </c>
      <c r="F138" s="403">
        <f>13.25/1.2/100</f>
        <v>0.11041666666666668</v>
      </c>
      <c r="H138" s="403">
        <f t="shared" si="13"/>
        <v>0.11041666666666668</v>
      </c>
      <c r="I138" s="403">
        <f t="shared" si="14"/>
        <v>0</v>
      </c>
    </row>
    <row r="139" spans="1:10" ht="22.25">
      <c r="A139" s="17">
        <v>0</v>
      </c>
      <c r="B139" s="17" t="s">
        <v>539</v>
      </c>
      <c r="C139" s="204" t="s">
        <v>725</v>
      </c>
      <c r="E139" s="17" t="s">
        <v>726</v>
      </c>
      <c r="F139" s="403">
        <f>15.73/1.2</f>
        <v>13.108333333333334</v>
      </c>
      <c r="H139" s="403">
        <f t="shared" si="13"/>
        <v>13.108333333333334</v>
      </c>
      <c r="I139" s="403">
        <f t="shared" si="14"/>
        <v>0</v>
      </c>
    </row>
    <row r="140" spans="1:10" ht="22.25">
      <c r="A140" s="17">
        <f t="shared" si="15"/>
        <v>0</v>
      </c>
      <c r="B140" s="17" t="s">
        <v>539</v>
      </c>
      <c r="C140" s="204" t="s">
        <v>531</v>
      </c>
      <c r="E140" s="17" t="s">
        <v>727</v>
      </c>
      <c r="F140" s="403">
        <v>25</v>
      </c>
      <c r="H140" s="403">
        <f t="shared" si="13"/>
        <v>25</v>
      </c>
      <c r="I140" s="403">
        <f t="shared" si="14"/>
        <v>0</v>
      </c>
    </row>
    <row r="141" spans="1:10" ht="22.25">
      <c r="A141" s="17">
        <f>A140*4</f>
        <v>0</v>
      </c>
      <c r="B141" s="17" t="s">
        <v>517</v>
      </c>
      <c r="C141" s="204" t="s">
        <v>531</v>
      </c>
      <c r="E141" s="17" t="s">
        <v>728</v>
      </c>
      <c r="F141" s="403">
        <v>0.1</v>
      </c>
      <c r="H141" s="403">
        <f t="shared" si="13"/>
        <v>0.1</v>
      </c>
      <c r="I141" s="403">
        <f t="shared" si="14"/>
        <v>0</v>
      </c>
    </row>
    <row r="142" spans="1:10">
      <c r="H142" s="403"/>
      <c r="I142" s="403"/>
    </row>
    <row r="143" spans="1:10" ht="15.75">
      <c r="E143" s="439" t="s">
        <v>729</v>
      </c>
      <c r="I143" s="168">
        <f>SUM(I124:I132)</f>
        <v>0</v>
      </c>
    </row>
    <row r="145" spans="1:9" ht="13.75" customHeight="1">
      <c r="A145" s="997" t="s">
        <v>68</v>
      </c>
      <c r="B145" s="997"/>
      <c r="C145" s="997"/>
      <c r="D145" s="997"/>
      <c r="E145" s="997"/>
    </row>
    <row r="146" spans="1:9">
      <c r="A146" s="17">
        <v>1</v>
      </c>
      <c r="B146" s="17" t="s">
        <v>517</v>
      </c>
      <c r="E146" s="17" t="s">
        <v>730</v>
      </c>
      <c r="F146" s="403">
        <v>500</v>
      </c>
      <c r="H146" s="403">
        <f t="shared" si="13"/>
        <v>500</v>
      </c>
      <c r="I146" s="403">
        <f t="shared" ref="I146:I148" si="16">A146*H146</f>
        <v>500</v>
      </c>
    </row>
    <row r="147" spans="1:9" ht="55.65">
      <c r="A147" s="17">
        <v>0</v>
      </c>
      <c r="B147" s="17" t="s">
        <v>517</v>
      </c>
      <c r="C147" s="204" t="s">
        <v>708</v>
      </c>
      <c r="E147" s="204" t="s">
        <v>731</v>
      </c>
      <c r="F147" s="403">
        <f>460/2</f>
        <v>230</v>
      </c>
      <c r="H147" s="403">
        <f t="shared" si="13"/>
        <v>230</v>
      </c>
      <c r="I147" s="403">
        <f t="shared" si="16"/>
        <v>0</v>
      </c>
    </row>
    <row r="148" spans="1:9" ht="55.65">
      <c r="A148" s="17">
        <v>0</v>
      </c>
      <c r="B148" s="17" t="s">
        <v>517</v>
      </c>
      <c r="C148" s="204" t="s">
        <v>711</v>
      </c>
      <c r="E148" s="204" t="s">
        <v>732</v>
      </c>
      <c r="F148" s="403">
        <f>320/2</f>
        <v>160</v>
      </c>
      <c r="H148" s="403">
        <f t="shared" si="13"/>
        <v>160</v>
      </c>
      <c r="I148" s="403">
        <f t="shared" si="16"/>
        <v>0</v>
      </c>
    </row>
    <row r="150" spans="1:9" ht="15.75">
      <c r="E150" s="439" t="s">
        <v>733</v>
      </c>
      <c r="I150" s="168">
        <f>SUM(I145:I149)</f>
        <v>500</v>
      </c>
    </row>
    <row r="151" spans="1:9">
      <c r="E151" s="439"/>
    </row>
  </sheetData>
  <mergeCells count="9">
    <mergeCell ref="K94:L94"/>
    <mergeCell ref="A100:E100"/>
    <mergeCell ref="A124:E124"/>
    <mergeCell ref="A145:E145"/>
    <mergeCell ref="B1:F1"/>
    <mergeCell ref="A2:G2"/>
    <mergeCell ref="J23:L23"/>
    <mergeCell ref="K90:L90"/>
    <mergeCell ref="K93:L93"/>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55"/>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8.42578125" style="17" customWidth="1"/>
    <col min="11" max="12" width="18.140625" style="17" customWidth="1"/>
    <col min="13" max="14" width="10.140625" style="403"/>
    <col min="15" max="15" width="12.140625" style="403" customWidth="1"/>
    <col min="16" max="19" width="10.140625" style="403"/>
    <col min="20" max="64" width="10.140625" style="17"/>
  </cols>
  <sheetData>
    <row r="1" spans="1:19" ht="15.05">
      <c r="B1" s="1058" t="s">
        <v>300</v>
      </c>
      <c r="C1" s="1058"/>
      <c r="D1" s="1058"/>
      <c r="E1" s="1058"/>
      <c r="F1" s="1058"/>
      <c r="H1" s="405" t="s">
        <v>493</v>
      </c>
      <c r="I1" s="406">
        <f>VLOOKUP(E4,Catalogue!F:J,5,0)</f>
        <v>360</v>
      </c>
      <c r="J1" s="17" t="s">
        <v>494</v>
      </c>
      <c r="K1" s="17" t="s">
        <v>495</v>
      </c>
      <c r="L1" s="58">
        <f>A4*I1</f>
        <v>61920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33.4">
      <c r="A4" s="413">
        <f>172</f>
        <v>172</v>
      </c>
      <c r="B4" s="413" t="s">
        <v>505</v>
      </c>
      <c r="C4" s="420" t="s">
        <v>540</v>
      </c>
      <c r="D4" s="413" t="s">
        <v>556</v>
      </c>
      <c r="E4" s="420" t="s">
        <v>1214</v>
      </c>
      <c r="F4" s="421">
        <v>98.59</v>
      </c>
      <c r="G4" s="410"/>
      <c r="H4" s="409">
        <f t="shared" ref="H4:H9" si="0">F4*(1-G4)</f>
        <v>98.59</v>
      </c>
      <c r="I4" s="409">
        <f t="shared" ref="I4:I9" si="1">A4*H4</f>
        <v>16957.48</v>
      </c>
      <c r="J4" s="417">
        <f>F4/$I$1</f>
        <v>0.27386111111111111</v>
      </c>
      <c r="K4" s="443" t="s">
        <v>2046</v>
      </c>
      <c r="L4" s="404"/>
      <c r="M4" s="418">
        <f>I4</f>
        <v>16957.48</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v>172</v>
      </c>
      <c r="B6" s="413" t="s">
        <v>505</v>
      </c>
      <c r="C6" s="413" t="s">
        <v>751</v>
      </c>
      <c r="D6" s="413"/>
      <c r="E6" s="420" t="s">
        <v>1191</v>
      </c>
      <c r="F6" s="421">
        <f>913.68/109</f>
        <v>8.3823853211009176</v>
      </c>
      <c r="G6" s="422"/>
      <c r="H6" s="409">
        <f t="shared" si="0"/>
        <v>8.3823853211009176</v>
      </c>
      <c r="I6" s="409">
        <f t="shared" si="1"/>
        <v>1441.7702752293578</v>
      </c>
      <c r="J6" s="417">
        <f t="shared" ref="J6:J7" si="2">F6/$I$1</f>
        <v>2.3284403669724771E-2</v>
      </c>
      <c r="K6" s="446" t="s">
        <v>2047</v>
      </c>
      <c r="L6" s="446"/>
      <c r="M6" s="418">
        <f t="shared" ref="M6:M7" si="3">I6</f>
        <v>1441.7702752293578</v>
      </c>
      <c r="N6" s="418"/>
      <c r="O6" s="418"/>
      <c r="P6" s="418"/>
      <c r="Q6" s="418"/>
      <c r="R6" s="418"/>
      <c r="S6" s="418"/>
    </row>
    <row r="7" spans="1:19" ht="22.25">
      <c r="A7" s="413">
        <v>0</v>
      </c>
      <c r="B7" s="413" t="s">
        <v>505</v>
      </c>
      <c r="C7" s="420" t="s">
        <v>531</v>
      </c>
      <c r="D7" s="413"/>
      <c r="E7" s="420" t="s">
        <v>2037</v>
      </c>
      <c r="F7" s="421">
        <v>12.26</v>
      </c>
      <c r="G7" s="422"/>
      <c r="H7" s="409">
        <f t="shared" si="0"/>
        <v>12.26</v>
      </c>
      <c r="I7" s="409">
        <f t="shared" si="1"/>
        <v>0</v>
      </c>
      <c r="J7" s="417">
        <f t="shared" si="2"/>
        <v>3.4055555555555554E-2</v>
      </c>
      <c r="K7" s="446" t="s">
        <v>2048</v>
      </c>
      <c r="L7" s="446"/>
      <c r="M7" s="418">
        <f t="shared" si="3"/>
        <v>0</v>
      </c>
      <c r="N7" s="418"/>
      <c r="O7" s="418"/>
      <c r="P7" s="418"/>
      <c r="Q7" s="418"/>
      <c r="R7" s="418"/>
      <c r="S7" s="418"/>
    </row>
    <row r="8" spans="1:19" ht="111.3">
      <c r="A8" s="423">
        <v>1</v>
      </c>
      <c r="B8" s="423" t="s">
        <v>522</v>
      </c>
      <c r="C8" s="423" t="s">
        <v>531</v>
      </c>
      <c r="D8" s="423" t="s">
        <v>829</v>
      </c>
      <c r="E8" s="424" t="s">
        <v>1252</v>
      </c>
      <c r="F8" s="425">
        <f>635.23+100+100</f>
        <v>835.23</v>
      </c>
      <c r="G8" s="410"/>
      <c r="H8" s="409">
        <f t="shared" si="0"/>
        <v>835.23</v>
      </c>
      <c r="I8" s="409">
        <f t="shared" si="1"/>
        <v>835.23</v>
      </c>
      <c r="J8" s="204"/>
      <c r="K8" s="442" t="s">
        <v>2049</v>
      </c>
      <c r="L8" s="442"/>
      <c r="M8" s="418"/>
      <c r="N8" s="418"/>
      <c r="O8" s="418"/>
      <c r="P8" s="418"/>
      <c r="Q8" s="418"/>
      <c r="R8" s="418">
        <f t="shared" ref="R8:R9" si="4">I8</f>
        <v>835.23</v>
      </c>
      <c r="S8" s="418"/>
    </row>
    <row r="9" spans="1:19" ht="244.8">
      <c r="A9" s="423">
        <v>0</v>
      </c>
      <c r="B9" s="423" t="s">
        <v>522</v>
      </c>
      <c r="C9" s="423" t="s">
        <v>974</v>
      </c>
      <c r="D9" s="413" t="s">
        <v>1121</v>
      </c>
      <c r="E9" s="420" t="s">
        <v>2050</v>
      </c>
      <c r="F9" s="421">
        <f>1584.09+100</f>
        <v>1684.09</v>
      </c>
      <c r="G9" s="410"/>
      <c r="H9" s="409">
        <f t="shared" si="0"/>
        <v>1684.09</v>
      </c>
      <c r="I9" s="409">
        <f t="shared" si="1"/>
        <v>0</v>
      </c>
      <c r="J9" s="204"/>
      <c r="K9" s="442" t="s">
        <v>2051</v>
      </c>
      <c r="L9" s="442"/>
      <c r="M9" s="418"/>
      <c r="N9" s="418"/>
      <c r="O9" s="418"/>
      <c r="P9" s="418"/>
      <c r="Q9" s="418"/>
      <c r="R9" s="418">
        <f t="shared" si="4"/>
        <v>0</v>
      </c>
      <c r="S9" s="418"/>
    </row>
    <row r="10" spans="1:19">
      <c r="A10" s="413">
        <v>2</v>
      </c>
      <c r="B10" s="413" t="s">
        <v>505</v>
      </c>
      <c r="C10" s="413" t="s">
        <v>751</v>
      </c>
      <c r="D10" s="413"/>
      <c r="E10" s="420" t="s">
        <v>1489</v>
      </c>
      <c r="F10" s="421">
        <v>316.67</v>
      </c>
      <c r="G10" s="410"/>
      <c r="H10" s="409">
        <f t="shared" ref="H10:H65" si="5">F10*(1-G10)</f>
        <v>316.67</v>
      </c>
      <c r="I10" s="409">
        <f t="shared" ref="I10:I35" si="6">A10*H10</f>
        <v>633.34</v>
      </c>
      <c r="J10" s="204"/>
      <c r="K10" s="442" t="s">
        <v>1529</v>
      </c>
      <c r="M10" s="418"/>
      <c r="N10" s="418"/>
      <c r="O10" s="418"/>
      <c r="P10" s="418"/>
      <c r="Q10" s="418"/>
      <c r="R10" s="418">
        <f t="shared" ref="R10:R26" si="7">I10</f>
        <v>633.34</v>
      </c>
      <c r="S10" s="418"/>
    </row>
    <row r="11" spans="1:19">
      <c r="A11" s="413">
        <v>0</v>
      </c>
      <c r="B11" s="413" t="s">
        <v>505</v>
      </c>
      <c r="C11" s="413" t="s">
        <v>751</v>
      </c>
      <c r="D11" s="413"/>
      <c r="E11" s="420" t="s">
        <v>752</v>
      </c>
      <c r="F11" s="421">
        <v>132.22</v>
      </c>
      <c r="G11" s="410"/>
      <c r="H11" s="409">
        <f t="shared" si="5"/>
        <v>132.22</v>
      </c>
      <c r="I11" s="409">
        <f t="shared" si="6"/>
        <v>0</v>
      </c>
      <c r="J11" s="204"/>
      <c r="K11" s="442" t="s">
        <v>1926</v>
      </c>
      <c r="M11" s="418"/>
      <c r="N11" s="418"/>
      <c r="O11" s="418"/>
      <c r="P11" s="418"/>
      <c r="Q11" s="418"/>
      <c r="R11" s="418">
        <f t="shared" si="7"/>
        <v>0</v>
      </c>
      <c r="S11" s="418"/>
    </row>
    <row r="12" spans="1:19">
      <c r="A12" s="413">
        <v>1</v>
      </c>
      <c r="B12" s="413" t="s">
        <v>530</v>
      </c>
      <c r="C12" s="413" t="s">
        <v>531</v>
      </c>
      <c r="D12" s="413"/>
      <c r="E12" s="413" t="s">
        <v>1073</v>
      </c>
      <c r="F12" s="421">
        <v>500</v>
      </c>
      <c r="G12" s="410"/>
      <c r="H12" s="409">
        <f t="shared" si="5"/>
        <v>500</v>
      </c>
      <c r="I12" s="409">
        <f t="shared" si="6"/>
        <v>500</v>
      </c>
      <c r="J12" s="204"/>
      <c r="K12" s="442" t="s">
        <v>2052</v>
      </c>
      <c r="M12" s="418"/>
      <c r="N12" s="418"/>
      <c r="O12" s="418"/>
      <c r="P12" s="418"/>
      <c r="Q12" s="418"/>
      <c r="R12" s="418">
        <f t="shared" si="7"/>
        <v>500</v>
      </c>
      <c r="S12" s="418"/>
    </row>
    <row r="13" spans="1:19" ht="22.25">
      <c r="A13" s="413">
        <v>0</v>
      </c>
      <c r="B13" s="413" t="s">
        <v>505</v>
      </c>
      <c r="C13" s="420" t="s">
        <v>534</v>
      </c>
      <c r="D13" s="413"/>
      <c r="E13" s="420" t="s">
        <v>535</v>
      </c>
      <c r="F13" s="421">
        <v>3.71</v>
      </c>
      <c r="G13" s="410"/>
      <c r="H13" s="409">
        <f t="shared" si="5"/>
        <v>3.71</v>
      </c>
      <c r="I13" s="409">
        <f t="shared" si="6"/>
        <v>0</v>
      </c>
      <c r="J13" s="204" t="s">
        <v>795</v>
      </c>
      <c r="M13" s="418"/>
      <c r="N13" s="418"/>
      <c r="O13" s="418"/>
      <c r="P13" s="418"/>
      <c r="Q13" s="418"/>
      <c r="R13" s="418">
        <f t="shared" si="7"/>
        <v>0</v>
      </c>
      <c r="S13" s="418"/>
    </row>
    <row r="14" spans="1:19" ht="22.25">
      <c r="A14" s="413">
        <f>A13</f>
        <v>0</v>
      </c>
      <c r="B14" s="413" t="s">
        <v>505</v>
      </c>
      <c r="C14" s="420" t="s">
        <v>534</v>
      </c>
      <c r="D14" s="413"/>
      <c r="E14" s="420" t="s">
        <v>537</v>
      </c>
      <c r="F14" s="421">
        <v>3.81</v>
      </c>
      <c r="G14" s="410"/>
      <c r="H14" s="409">
        <f t="shared" si="5"/>
        <v>3.81</v>
      </c>
      <c r="I14" s="409">
        <f t="shared" si="6"/>
        <v>0</v>
      </c>
      <c r="J14" s="204" t="s">
        <v>538</v>
      </c>
      <c r="M14" s="418"/>
      <c r="N14" s="418"/>
      <c r="O14" s="418"/>
      <c r="P14" s="418"/>
      <c r="Q14" s="418"/>
      <c r="R14" s="418">
        <f t="shared" si="7"/>
        <v>0</v>
      </c>
      <c r="S14" s="418"/>
    </row>
    <row r="15" spans="1:19" ht="33.4">
      <c r="A15" s="413">
        <f>8*(10+40/2+9/2)*1.1</f>
        <v>303.60000000000002</v>
      </c>
      <c r="B15" s="413" t="s">
        <v>539</v>
      </c>
      <c r="C15" s="420" t="s">
        <v>540</v>
      </c>
      <c r="D15" s="413" t="s">
        <v>541</v>
      </c>
      <c r="E15" s="420" t="s">
        <v>542</v>
      </c>
      <c r="F15" s="421">
        <v>0.55647999999999997</v>
      </c>
      <c r="G15" s="410"/>
      <c r="H15" s="409">
        <f t="shared" si="5"/>
        <v>0.55647999999999997</v>
      </c>
      <c r="I15" s="409">
        <f t="shared" si="6"/>
        <v>168.947328</v>
      </c>
      <c r="J15" s="442" t="s">
        <v>796</v>
      </c>
      <c r="K15" s="442" t="s">
        <v>2053</v>
      </c>
      <c r="M15" s="418"/>
      <c r="N15" s="418"/>
      <c r="O15" s="418">
        <f t="shared" ref="O15:O30" si="8">I15</f>
        <v>168.947328</v>
      </c>
      <c r="P15" s="418"/>
      <c r="Q15" s="418"/>
      <c r="R15" s="418"/>
      <c r="S15" s="418"/>
    </row>
    <row r="16" spans="1:19" ht="33.4">
      <c r="A16" s="413">
        <f>A15+172*1</f>
        <v>475.6</v>
      </c>
      <c r="B16" s="413" t="s">
        <v>539</v>
      </c>
      <c r="C16" s="420" t="s">
        <v>540</v>
      </c>
      <c r="D16" s="413" t="s">
        <v>543</v>
      </c>
      <c r="E16" s="420" t="s">
        <v>544</v>
      </c>
      <c r="F16" s="421">
        <v>0.55647999999999997</v>
      </c>
      <c r="G16" s="410"/>
      <c r="H16" s="409">
        <f t="shared" si="5"/>
        <v>0.55647999999999997</v>
      </c>
      <c r="I16" s="409">
        <f t="shared" si="6"/>
        <v>264.66188799999998</v>
      </c>
      <c r="J16" s="442" t="s">
        <v>796</v>
      </c>
      <c r="K16" s="442" t="s">
        <v>2054</v>
      </c>
      <c r="M16" s="418"/>
      <c r="N16" s="418"/>
      <c r="O16" s="418">
        <f t="shared" si="8"/>
        <v>264.66188799999998</v>
      </c>
      <c r="P16" s="418"/>
      <c r="Q16" s="418"/>
      <c r="R16" s="418"/>
      <c r="S16" s="418"/>
    </row>
    <row r="17" spans="1:19" ht="33.4">
      <c r="A17" s="413">
        <v>20</v>
      </c>
      <c r="B17" s="413" t="s">
        <v>517</v>
      </c>
      <c r="C17" s="420" t="s">
        <v>540</v>
      </c>
      <c r="D17" s="413" t="s">
        <v>797</v>
      </c>
      <c r="E17" s="420" t="s">
        <v>798</v>
      </c>
      <c r="F17" s="421">
        <v>0.88</v>
      </c>
      <c r="G17" s="410"/>
      <c r="H17" s="409">
        <f t="shared" si="5"/>
        <v>0.88</v>
      </c>
      <c r="I17" s="409">
        <f t="shared" si="6"/>
        <v>17.600000000000001</v>
      </c>
      <c r="J17" s="204"/>
      <c r="K17" s="442" t="s">
        <v>2055</v>
      </c>
      <c r="M17" s="418"/>
      <c r="N17" s="418"/>
      <c r="O17" s="418">
        <f t="shared" si="8"/>
        <v>17.600000000000001</v>
      </c>
      <c r="P17" s="418"/>
      <c r="Q17" s="418"/>
      <c r="R17" s="418"/>
      <c r="S17" s="418"/>
    </row>
    <row r="18" spans="1:19" ht="33.4">
      <c r="A18" s="413">
        <f>A17</f>
        <v>20</v>
      </c>
      <c r="B18" s="413" t="s">
        <v>517</v>
      </c>
      <c r="C18" s="420" t="s">
        <v>540</v>
      </c>
      <c r="D18" s="413" t="s">
        <v>800</v>
      </c>
      <c r="E18" s="420" t="s">
        <v>801</v>
      </c>
      <c r="F18" s="421">
        <v>0.67</v>
      </c>
      <c r="G18" s="410"/>
      <c r="H18" s="409">
        <f t="shared" si="5"/>
        <v>0.67</v>
      </c>
      <c r="I18" s="409">
        <f t="shared" si="6"/>
        <v>13.4</v>
      </c>
      <c r="J18" s="204"/>
      <c r="M18" s="418"/>
      <c r="N18" s="418"/>
      <c r="O18" s="418">
        <f t="shared" si="8"/>
        <v>13.4</v>
      </c>
      <c r="P18" s="418"/>
      <c r="Q18" s="418"/>
      <c r="R18" s="418"/>
      <c r="S18" s="418"/>
    </row>
    <row r="19" spans="1:19" ht="33.4">
      <c r="A19" s="413">
        <v>0</v>
      </c>
      <c r="B19" s="413" t="s">
        <v>517</v>
      </c>
      <c r="C19" s="420" t="s">
        <v>540</v>
      </c>
      <c r="D19" s="413" t="s">
        <v>556</v>
      </c>
      <c r="E19" s="420" t="s">
        <v>557</v>
      </c>
      <c r="F19" s="421">
        <v>6.58</v>
      </c>
      <c r="G19" s="410"/>
      <c r="H19" s="409">
        <f t="shared" si="5"/>
        <v>6.58</v>
      </c>
      <c r="I19" s="409">
        <f t="shared" si="6"/>
        <v>0</v>
      </c>
      <c r="J19" s="204"/>
      <c r="M19" s="418"/>
      <c r="N19" s="418"/>
      <c r="O19" s="418">
        <f t="shared" si="8"/>
        <v>0</v>
      </c>
      <c r="P19" s="418"/>
      <c r="Q19" s="418"/>
      <c r="R19" s="418"/>
      <c r="S19" s="418"/>
    </row>
    <row r="20" spans="1:19" ht="44.55">
      <c r="A20" s="413">
        <v>2</v>
      </c>
      <c r="B20" s="413" t="s">
        <v>517</v>
      </c>
      <c r="C20" s="420" t="s">
        <v>540</v>
      </c>
      <c r="D20" s="413" t="s">
        <v>821</v>
      </c>
      <c r="E20" s="420" t="s">
        <v>822</v>
      </c>
      <c r="F20" s="421">
        <v>1810</v>
      </c>
      <c r="G20" s="410"/>
      <c r="H20" s="409">
        <f t="shared" si="5"/>
        <v>1810</v>
      </c>
      <c r="I20" s="409">
        <f t="shared" si="6"/>
        <v>3620</v>
      </c>
      <c r="J20" s="204"/>
      <c r="K20" s="442" t="s">
        <v>2056</v>
      </c>
      <c r="M20" s="418"/>
      <c r="N20" s="418">
        <f t="shared" ref="N20:N23" si="9">I20</f>
        <v>3620</v>
      </c>
      <c r="O20" s="418"/>
      <c r="P20" s="418"/>
      <c r="Q20" s="418"/>
      <c r="R20" s="418"/>
      <c r="S20" s="418"/>
    </row>
    <row r="21" spans="1:19">
      <c r="A21" s="413">
        <v>0</v>
      </c>
      <c r="B21" s="413" t="s">
        <v>505</v>
      </c>
      <c r="C21" s="413" t="s">
        <v>751</v>
      </c>
      <c r="D21" s="413"/>
      <c r="E21" s="420" t="s">
        <v>1209</v>
      </c>
      <c r="F21" s="421">
        <v>1688.73</v>
      </c>
      <c r="G21" s="422"/>
      <c r="H21" s="409">
        <f t="shared" si="5"/>
        <v>1688.73</v>
      </c>
      <c r="I21" s="409">
        <f t="shared" si="6"/>
        <v>0</v>
      </c>
      <c r="J21" s="204"/>
      <c r="K21" s="442" t="s">
        <v>2057</v>
      </c>
      <c r="M21" s="418"/>
      <c r="N21" s="418">
        <f t="shared" si="9"/>
        <v>0</v>
      </c>
      <c r="O21" s="418"/>
      <c r="P21" s="418"/>
      <c r="Q21" s="418"/>
      <c r="R21" s="418"/>
      <c r="S21" s="418"/>
    </row>
    <row r="22" spans="1:19" ht="33.4">
      <c r="A22" s="413">
        <v>1</v>
      </c>
      <c r="B22" s="413" t="s">
        <v>517</v>
      </c>
      <c r="C22" s="420" t="s">
        <v>540</v>
      </c>
      <c r="D22" s="413" t="s">
        <v>990</v>
      </c>
      <c r="E22" s="420" t="s">
        <v>991</v>
      </c>
      <c r="F22" s="421">
        <v>33.21</v>
      </c>
      <c r="G22" s="410"/>
      <c r="H22" s="409">
        <f t="shared" si="5"/>
        <v>33.21</v>
      </c>
      <c r="I22" s="409">
        <f t="shared" si="6"/>
        <v>33.21</v>
      </c>
      <c r="J22" s="204"/>
      <c r="M22" s="418"/>
      <c r="N22" s="418">
        <f t="shared" si="9"/>
        <v>33.21</v>
      </c>
      <c r="O22" s="418"/>
      <c r="P22" s="418"/>
      <c r="Q22" s="418"/>
      <c r="R22" s="418"/>
      <c r="S22" s="418"/>
    </row>
    <row r="23" spans="1:19" ht="33.4">
      <c r="A23" s="413">
        <v>2</v>
      </c>
      <c r="B23" s="413" t="s">
        <v>517</v>
      </c>
      <c r="C23" s="420" t="s">
        <v>540</v>
      </c>
      <c r="D23" s="413" t="s">
        <v>998</v>
      </c>
      <c r="E23" s="420" t="s">
        <v>999</v>
      </c>
      <c r="F23" s="421">
        <v>116.67</v>
      </c>
      <c r="G23" s="410"/>
      <c r="H23" s="409">
        <f t="shared" si="5"/>
        <v>116.67</v>
      </c>
      <c r="I23" s="409">
        <f t="shared" si="6"/>
        <v>233.34</v>
      </c>
      <c r="J23" s="204"/>
      <c r="M23" s="418"/>
      <c r="N23" s="418">
        <f t="shared" si="9"/>
        <v>233.34</v>
      </c>
      <c r="O23" s="418"/>
      <c r="P23" s="418"/>
      <c r="Q23" s="418"/>
      <c r="R23" s="418"/>
      <c r="S23" s="418"/>
    </row>
    <row r="24" spans="1:19" ht="33.4">
      <c r="A24" s="413">
        <v>8</v>
      </c>
      <c r="B24" s="413" t="s">
        <v>517</v>
      </c>
      <c r="C24" s="420" t="s">
        <v>540</v>
      </c>
      <c r="D24" s="413" t="s">
        <v>761</v>
      </c>
      <c r="E24" s="420" t="s">
        <v>762</v>
      </c>
      <c r="F24" s="421">
        <v>2.5</v>
      </c>
      <c r="G24" s="410"/>
      <c r="H24" s="409">
        <f t="shared" si="5"/>
        <v>2.5</v>
      </c>
      <c r="I24" s="409">
        <f t="shared" si="6"/>
        <v>20</v>
      </c>
      <c r="J24" s="204"/>
      <c r="M24" s="418"/>
      <c r="N24" s="418"/>
      <c r="O24" s="418"/>
      <c r="P24" s="418"/>
      <c r="Q24" s="418"/>
      <c r="R24" s="418">
        <f t="shared" si="7"/>
        <v>20</v>
      </c>
      <c r="S24" s="418"/>
    </row>
    <row r="25" spans="1:19" ht="35.85" customHeight="1">
      <c r="A25" s="413">
        <v>1</v>
      </c>
      <c r="B25" s="413" t="s">
        <v>522</v>
      </c>
      <c r="C25" s="420" t="s">
        <v>678</v>
      </c>
      <c r="D25" s="413"/>
      <c r="E25" s="420" t="s">
        <v>1159</v>
      </c>
      <c r="F25" s="421">
        <v>1061.32</v>
      </c>
      <c r="G25" s="410"/>
      <c r="H25" s="409">
        <f t="shared" si="5"/>
        <v>1061.32</v>
      </c>
      <c r="I25" s="409">
        <f t="shared" si="6"/>
        <v>1061.32</v>
      </c>
      <c r="J25" s="1054"/>
      <c r="K25" s="1054"/>
      <c r="L25" s="1054"/>
      <c r="M25" s="418"/>
      <c r="N25" s="418"/>
      <c r="O25" s="418"/>
      <c r="P25" s="418"/>
      <c r="Q25" s="418"/>
      <c r="R25" s="418">
        <f t="shared" si="7"/>
        <v>1061.32</v>
      </c>
      <c r="S25" s="418"/>
    </row>
    <row r="26" spans="1:19">
      <c r="A26" s="407"/>
      <c r="B26" s="407"/>
      <c r="C26" s="408"/>
      <c r="D26" s="407"/>
      <c r="E26" s="408"/>
      <c r="F26" s="409"/>
      <c r="G26" s="410"/>
      <c r="H26" s="409">
        <f t="shared" si="5"/>
        <v>0</v>
      </c>
      <c r="I26" s="409">
        <f t="shared" si="6"/>
        <v>0</v>
      </c>
      <c r="J26" s="204"/>
      <c r="M26" s="418"/>
      <c r="N26" s="418"/>
      <c r="O26" s="418"/>
      <c r="P26" s="418"/>
      <c r="Q26" s="418"/>
      <c r="R26" s="418">
        <f t="shared" si="7"/>
        <v>0</v>
      </c>
      <c r="S26" s="418"/>
    </row>
    <row r="27" spans="1:19" ht="22.25">
      <c r="A27" s="413">
        <v>1</v>
      </c>
      <c r="B27" s="413" t="s">
        <v>522</v>
      </c>
      <c r="C27" s="420" t="s">
        <v>531</v>
      </c>
      <c r="D27" s="413"/>
      <c r="E27" s="420" t="s">
        <v>695</v>
      </c>
      <c r="F27" s="421">
        <v>100</v>
      </c>
      <c r="G27" s="410"/>
      <c r="H27" s="409">
        <f t="shared" si="5"/>
        <v>100</v>
      </c>
      <c r="I27" s="409">
        <f t="shared" si="6"/>
        <v>100</v>
      </c>
      <c r="J27" s="204"/>
      <c r="M27" s="418"/>
      <c r="N27" s="418"/>
      <c r="O27" s="418">
        <f t="shared" si="8"/>
        <v>100</v>
      </c>
      <c r="P27" s="418"/>
      <c r="Q27" s="418"/>
      <c r="R27" s="418"/>
      <c r="S27" s="418"/>
    </row>
    <row r="28" spans="1:19" ht="33.4">
      <c r="A28" s="413">
        <v>1</v>
      </c>
      <c r="B28" s="413" t="s">
        <v>517</v>
      </c>
      <c r="C28" s="420" t="s">
        <v>540</v>
      </c>
      <c r="D28" s="413" t="s">
        <v>769</v>
      </c>
      <c r="E28" s="420" t="s">
        <v>567</v>
      </c>
      <c r="F28" s="421">
        <v>750</v>
      </c>
      <c r="G28" s="410"/>
      <c r="H28" s="409">
        <f t="shared" si="5"/>
        <v>750</v>
      </c>
      <c r="I28" s="409">
        <f t="shared" si="6"/>
        <v>750</v>
      </c>
      <c r="J28" s="204"/>
      <c r="M28" s="418">
        <f>F28</f>
        <v>750</v>
      </c>
      <c r="N28" s="418"/>
      <c r="O28" s="418"/>
      <c r="P28" s="418"/>
      <c r="Q28" s="418"/>
      <c r="R28" s="418"/>
      <c r="S28" s="418"/>
    </row>
    <row r="29" spans="1:19">
      <c r="A29" s="413">
        <v>105</v>
      </c>
      <c r="B29" s="413" t="s">
        <v>539</v>
      </c>
      <c r="C29" s="413" t="s">
        <v>690</v>
      </c>
      <c r="D29" s="413"/>
      <c r="E29" s="413" t="s">
        <v>1058</v>
      </c>
      <c r="F29" s="421">
        <v>67.2</v>
      </c>
      <c r="G29" s="428"/>
      <c r="H29" s="409">
        <f t="shared" si="5"/>
        <v>67.2</v>
      </c>
      <c r="I29" s="409">
        <f t="shared" si="6"/>
        <v>7056</v>
      </c>
      <c r="J29" s="442" t="s">
        <v>2058</v>
      </c>
      <c r="M29" s="418"/>
      <c r="N29" s="418"/>
      <c r="O29" s="418">
        <f t="shared" si="8"/>
        <v>7056</v>
      </c>
      <c r="P29" s="418"/>
      <c r="Q29" s="418"/>
      <c r="R29" s="418"/>
      <c r="S29" s="418"/>
    </row>
    <row r="30" spans="1:19">
      <c r="A30" s="413">
        <v>0</v>
      </c>
      <c r="B30" s="413" t="s">
        <v>539</v>
      </c>
      <c r="C30" s="423" t="s">
        <v>531</v>
      </c>
      <c r="D30" s="413"/>
      <c r="E30" s="420" t="s">
        <v>2059</v>
      </c>
      <c r="F30" s="421">
        <f>13.69*(150/120)^0.8</f>
        <v>16.365582152657005</v>
      </c>
      <c r="G30" s="428"/>
      <c r="H30" s="409">
        <f t="shared" si="5"/>
        <v>16.365582152657005</v>
      </c>
      <c r="I30" s="409">
        <f t="shared" si="6"/>
        <v>0</v>
      </c>
      <c r="J30" s="442"/>
      <c r="L30" s="442"/>
      <c r="M30" s="418"/>
      <c r="N30" s="418"/>
      <c r="O30" s="418">
        <f t="shared" si="8"/>
        <v>0</v>
      </c>
      <c r="P30" s="418"/>
      <c r="Q30" s="418"/>
      <c r="R30" s="418"/>
      <c r="S30" s="418"/>
    </row>
    <row r="31" spans="1:19" ht="44.55">
      <c r="A31" s="413">
        <v>1</v>
      </c>
      <c r="B31" s="413" t="s">
        <v>517</v>
      </c>
      <c r="C31" s="420" t="s">
        <v>569</v>
      </c>
      <c r="D31" s="413" t="s">
        <v>570</v>
      </c>
      <c r="E31" s="420" t="s">
        <v>571</v>
      </c>
      <c r="F31" s="421">
        <v>1040</v>
      </c>
      <c r="G31" s="495">
        <v>0.48</v>
      </c>
      <c r="H31" s="430">
        <f t="shared" si="5"/>
        <v>540.80000000000007</v>
      </c>
      <c r="I31" s="409">
        <f t="shared" si="6"/>
        <v>540.80000000000007</v>
      </c>
      <c r="J31" s="204"/>
      <c r="M31" s="418"/>
      <c r="N31" s="418"/>
      <c r="O31" s="418"/>
      <c r="P31" s="418"/>
      <c r="Q31" s="418"/>
      <c r="R31" s="418"/>
      <c r="S31" s="418">
        <f t="shared" ref="S31:S35" si="10">I31</f>
        <v>540.80000000000007</v>
      </c>
    </row>
    <row r="32" spans="1:19" ht="55.65">
      <c r="A32" s="413">
        <v>0</v>
      </c>
      <c r="B32" s="413" t="s">
        <v>517</v>
      </c>
      <c r="C32" s="424" t="s">
        <v>569</v>
      </c>
      <c r="D32" s="423" t="s">
        <v>572</v>
      </c>
      <c r="E32" s="424" t="s">
        <v>573</v>
      </c>
      <c r="F32" s="425">
        <v>1190</v>
      </c>
      <c r="G32" s="495">
        <v>0.48</v>
      </c>
      <c r="H32" s="430">
        <f t="shared" si="5"/>
        <v>618.80000000000007</v>
      </c>
      <c r="I32" s="409">
        <f t="shared" si="6"/>
        <v>0</v>
      </c>
      <c r="J32" s="204"/>
      <c r="M32" s="418"/>
      <c r="N32" s="418"/>
      <c r="O32" s="418"/>
      <c r="P32" s="418"/>
      <c r="Q32" s="418"/>
      <c r="R32" s="418"/>
      <c r="S32" s="418">
        <f t="shared" si="10"/>
        <v>0</v>
      </c>
    </row>
    <row r="33" spans="1:19">
      <c r="A33" s="413">
        <v>0</v>
      </c>
      <c r="B33" s="413" t="s">
        <v>517</v>
      </c>
      <c r="C33" s="420" t="s">
        <v>574</v>
      </c>
      <c r="D33" s="413" t="s">
        <v>575</v>
      </c>
      <c r="E33" s="413" t="s">
        <v>576</v>
      </c>
      <c r="F33" s="421">
        <v>36.700000000000003</v>
      </c>
      <c r="G33" s="422"/>
      <c r="H33" s="409">
        <f t="shared" si="5"/>
        <v>36.700000000000003</v>
      </c>
      <c r="I33" s="409">
        <f t="shared" si="6"/>
        <v>0</v>
      </c>
      <c r="J33" s="204"/>
      <c r="M33" s="418"/>
      <c r="N33" s="418"/>
      <c r="O33" s="418"/>
      <c r="P33" s="418"/>
      <c r="Q33" s="418"/>
      <c r="R33" s="418"/>
      <c r="S33" s="418">
        <f t="shared" si="10"/>
        <v>0</v>
      </c>
    </row>
    <row r="34" spans="1:19">
      <c r="A34" s="413">
        <v>5</v>
      </c>
      <c r="B34" s="413" t="s">
        <v>517</v>
      </c>
      <c r="C34" s="420" t="s">
        <v>574</v>
      </c>
      <c r="D34" s="413" t="s">
        <v>577</v>
      </c>
      <c r="E34" s="413" t="s">
        <v>578</v>
      </c>
      <c r="F34" s="421">
        <v>75</v>
      </c>
      <c r="G34" s="422"/>
      <c r="H34" s="409">
        <f t="shared" si="5"/>
        <v>75</v>
      </c>
      <c r="I34" s="409">
        <f t="shared" si="6"/>
        <v>375</v>
      </c>
      <c r="J34" s="204"/>
      <c r="M34" s="418"/>
      <c r="N34" s="418"/>
      <c r="O34" s="418"/>
      <c r="P34" s="418"/>
      <c r="Q34" s="418"/>
      <c r="R34" s="418"/>
      <c r="S34" s="418">
        <f t="shared" si="10"/>
        <v>375</v>
      </c>
    </row>
    <row r="35" spans="1:19">
      <c r="A35" s="413">
        <v>1</v>
      </c>
      <c r="B35" s="413" t="s">
        <v>517</v>
      </c>
      <c r="C35" s="420" t="s">
        <v>574</v>
      </c>
      <c r="D35" s="413"/>
      <c r="E35" s="413" t="s">
        <v>579</v>
      </c>
      <c r="F35" s="421">
        <f>35/4</f>
        <v>8.75</v>
      </c>
      <c r="G35" s="422"/>
      <c r="H35" s="409">
        <f t="shared" si="5"/>
        <v>8.75</v>
      </c>
      <c r="I35" s="409">
        <f t="shared" si="6"/>
        <v>8.75</v>
      </c>
      <c r="J35" s="204"/>
      <c r="M35" s="418"/>
      <c r="N35" s="418"/>
      <c r="O35" s="418"/>
      <c r="P35" s="418"/>
      <c r="Q35" s="418"/>
      <c r="R35" s="418"/>
      <c r="S35" s="418">
        <f t="shared" si="10"/>
        <v>8.75</v>
      </c>
    </row>
    <row r="36" spans="1:19" ht="12.45">
      <c r="A36" s="407"/>
      <c r="B36" s="407"/>
      <c r="C36" s="408"/>
      <c r="D36" s="407"/>
      <c r="E36" s="431"/>
      <c r="F36" s="409"/>
      <c r="G36" s="410"/>
      <c r="H36" s="409"/>
      <c r="I36" s="409"/>
      <c r="J36" s="204"/>
      <c r="M36" s="418"/>
      <c r="N36" s="418"/>
      <c r="O36" s="418"/>
      <c r="P36" s="418"/>
      <c r="Q36" s="418"/>
      <c r="R36" s="418"/>
      <c r="S36" s="418"/>
    </row>
    <row r="37" spans="1:19">
      <c r="A37" s="407"/>
      <c r="B37" s="407"/>
      <c r="C37" s="408"/>
      <c r="D37" s="407"/>
      <c r="E37" s="407"/>
      <c r="F37" s="409"/>
      <c r="G37" s="410"/>
      <c r="H37" s="409"/>
      <c r="I37" s="409"/>
      <c r="J37" s="204"/>
      <c r="M37" s="418"/>
      <c r="N37" s="418"/>
      <c r="O37" s="418"/>
      <c r="P37" s="418"/>
      <c r="Q37" s="418"/>
      <c r="R37" s="418"/>
      <c r="S37" s="418"/>
    </row>
    <row r="38" spans="1:19">
      <c r="A38" s="407"/>
      <c r="B38" s="407"/>
      <c r="C38" s="408"/>
      <c r="D38" s="407"/>
      <c r="E38" s="432" t="s">
        <v>580</v>
      </c>
      <c r="F38" s="409"/>
      <c r="G38" s="410"/>
      <c r="H38" s="409"/>
      <c r="I38" s="421">
        <f>SUM(I4:I36)</f>
        <v>34630.849491229354</v>
      </c>
      <c r="J38" s="204"/>
      <c r="M38" s="418">
        <f>SUM(M4:M36)</f>
        <v>19149.250275229359</v>
      </c>
      <c r="N38" s="418">
        <f>SUM(N4:N36)</f>
        <v>3886.55</v>
      </c>
      <c r="O38" s="418">
        <f>SUM(O4:O36)</f>
        <v>7620.6092159999998</v>
      </c>
      <c r="P38" s="418"/>
      <c r="Q38" s="418"/>
      <c r="R38" s="418">
        <f>SUM(R4:R36)</f>
        <v>3049.8900000000003</v>
      </c>
      <c r="S38" s="418">
        <f>SUM(S4:S36)</f>
        <v>924.55000000000007</v>
      </c>
    </row>
    <row r="39" spans="1:19">
      <c r="A39" s="407"/>
      <c r="B39" s="407"/>
      <c r="C39" s="408"/>
      <c r="D39" s="407"/>
      <c r="E39" s="413" t="s">
        <v>581</v>
      </c>
      <c r="F39" s="409"/>
      <c r="G39" s="410">
        <v>0.25</v>
      </c>
      <c r="H39" s="409"/>
      <c r="I39" s="421"/>
      <c r="J39" s="204"/>
      <c r="M39" s="418"/>
      <c r="N39" s="418"/>
      <c r="O39" s="418"/>
      <c r="P39" s="418"/>
      <c r="Q39" s="418"/>
      <c r="R39" s="418"/>
      <c r="S39" s="418"/>
    </row>
    <row r="40" spans="1:19" ht="15.75">
      <c r="E40" s="433" t="s">
        <v>582</v>
      </c>
      <c r="F40" s="418"/>
      <c r="G40" s="434"/>
      <c r="H40" s="418"/>
      <c r="I40" s="435">
        <f>I38*(1+$G$39)</f>
        <v>43288.561864036688</v>
      </c>
      <c r="J40" s="436"/>
      <c r="K40" s="437"/>
      <c r="L40" s="437"/>
      <c r="M40" s="438">
        <f>M38*(1+$G$39)</f>
        <v>23936.5628440367</v>
      </c>
      <c r="N40" s="438">
        <f>N38*(1+$G$39)</f>
        <v>4858.1875</v>
      </c>
      <c r="O40" s="438">
        <f>O38*(1+$G$39)</f>
        <v>9525.76152</v>
      </c>
      <c r="P40" s="438">
        <f>P69</f>
        <v>11560</v>
      </c>
      <c r="Q40" s="438">
        <f>Q102</f>
        <v>10841.056861313868</v>
      </c>
      <c r="R40" s="438">
        <f>R38*(1+$G$39)</f>
        <v>3812.3625000000002</v>
      </c>
      <c r="S40" s="438">
        <f>S38*(1+$G$39)</f>
        <v>1155.6875</v>
      </c>
    </row>
    <row r="43" spans="1:19">
      <c r="E43" s="439" t="s">
        <v>585</v>
      </c>
    </row>
    <row r="44" spans="1:19">
      <c r="A44" s="441">
        <v>16</v>
      </c>
      <c r="B44" s="17" t="s">
        <v>619</v>
      </c>
      <c r="E44" s="17" t="s">
        <v>586</v>
      </c>
      <c r="F44" s="403">
        <f t="shared" ref="F44:F60" si="11">F$64</f>
        <v>55</v>
      </c>
      <c r="H44" s="403">
        <f t="shared" si="5"/>
        <v>55</v>
      </c>
      <c r="I44" s="403">
        <f t="shared" ref="I44:I66" si="12">A44*H44</f>
        <v>880</v>
      </c>
    </row>
    <row r="45" spans="1:19">
      <c r="A45" s="441">
        <f>(A6+A7)/120*8*2</f>
        <v>22.933333333333334</v>
      </c>
      <c r="B45" s="17" t="s">
        <v>619</v>
      </c>
      <c r="E45" s="17" t="s">
        <v>589</v>
      </c>
      <c r="F45" s="403">
        <f t="shared" si="11"/>
        <v>55</v>
      </c>
      <c r="H45" s="403">
        <f t="shared" si="5"/>
        <v>55</v>
      </c>
      <c r="I45" s="403">
        <f t="shared" si="12"/>
        <v>1261.3333333333333</v>
      </c>
      <c r="J45" s="17" t="s">
        <v>592</v>
      </c>
    </row>
    <row r="46" spans="1:19">
      <c r="A46" s="441">
        <v>4</v>
      </c>
      <c r="B46" s="17" t="s">
        <v>619</v>
      </c>
      <c r="E46" s="17" t="s">
        <v>1426</v>
      </c>
      <c r="F46" s="403">
        <f t="shared" si="11"/>
        <v>55</v>
      </c>
      <c r="H46" s="403">
        <f t="shared" si="5"/>
        <v>55</v>
      </c>
      <c r="I46" s="403">
        <f t="shared" si="12"/>
        <v>220</v>
      </c>
      <c r="J46" s="17" t="s">
        <v>2060</v>
      </c>
    </row>
    <row r="47" spans="1:19">
      <c r="A47" s="441">
        <f>A4/120*16*2</f>
        <v>45.866666666666667</v>
      </c>
      <c r="B47" s="17" t="s">
        <v>619</v>
      </c>
      <c r="E47" s="17" t="s">
        <v>591</v>
      </c>
      <c r="F47" s="403">
        <f t="shared" si="11"/>
        <v>55</v>
      </c>
      <c r="H47" s="403">
        <f t="shared" si="5"/>
        <v>55</v>
      </c>
      <c r="I47" s="403">
        <f t="shared" si="12"/>
        <v>2522.6666666666665</v>
      </c>
      <c r="J47" s="17" t="s">
        <v>592</v>
      </c>
    </row>
    <row r="48" spans="1:19">
      <c r="A48" s="441">
        <v>4</v>
      </c>
      <c r="B48" s="17" t="s">
        <v>619</v>
      </c>
      <c r="E48" s="17" t="s">
        <v>1428</v>
      </c>
      <c r="F48" s="403">
        <f t="shared" si="11"/>
        <v>55</v>
      </c>
      <c r="H48" s="403">
        <f t="shared" si="5"/>
        <v>55</v>
      </c>
      <c r="I48" s="403">
        <f t="shared" si="12"/>
        <v>220</v>
      </c>
    </row>
    <row r="49" spans="1:10">
      <c r="A49" s="441">
        <v>4</v>
      </c>
      <c r="B49" s="17" t="s">
        <v>619</v>
      </c>
      <c r="E49" s="17" t="s">
        <v>1429</v>
      </c>
      <c r="F49" s="403">
        <f t="shared" si="11"/>
        <v>55</v>
      </c>
      <c r="H49" s="403">
        <f t="shared" si="5"/>
        <v>55</v>
      </c>
      <c r="I49" s="403">
        <f t="shared" si="12"/>
        <v>220</v>
      </c>
    </row>
    <row r="50" spans="1:10">
      <c r="A50" s="441">
        <f>8/6*2</f>
        <v>2.6666666666666665</v>
      </c>
      <c r="B50" s="17" t="s">
        <v>619</v>
      </c>
      <c r="E50" s="17" t="s">
        <v>605</v>
      </c>
      <c r="F50" s="403">
        <f t="shared" si="11"/>
        <v>55</v>
      </c>
      <c r="H50" s="403">
        <f t="shared" si="5"/>
        <v>55</v>
      </c>
      <c r="I50" s="403">
        <f t="shared" si="12"/>
        <v>146.66666666666666</v>
      </c>
      <c r="J50" s="17" t="s">
        <v>1561</v>
      </c>
    </row>
    <row r="51" spans="1:10">
      <c r="A51" s="441">
        <f>2*2</f>
        <v>4</v>
      </c>
      <c r="B51" s="17" t="s">
        <v>619</v>
      </c>
      <c r="E51" s="17" t="s">
        <v>607</v>
      </c>
      <c r="F51" s="403">
        <f t="shared" si="11"/>
        <v>55</v>
      </c>
      <c r="H51" s="403">
        <f t="shared" si="5"/>
        <v>55</v>
      </c>
      <c r="I51" s="403">
        <f t="shared" si="12"/>
        <v>220</v>
      </c>
      <c r="J51" s="17" t="s">
        <v>2061</v>
      </c>
    </row>
    <row r="52" spans="1:10">
      <c r="A52" s="441">
        <v>1</v>
      </c>
      <c r="B52" s="17" t="s">
        <v>619</v>
      </c>
      <c r="E52" s="17" t="s">
        <v>609</v>
      </c>
      <c r="F52" s="403">
        <f t="shared" si="11"/>
        <v>55</v>
      </c>
      <c r="H52" s="403">
        <f t="shared" si="5"/>
        <v>55</v>
      </c>
      <c r="I52" s="403">
        <f t="shared" si="12"/>
        <v>55</v>
      </c>
    </row>
    <row r="53" spans="1:10">
      <c r="A53" s="441">
        <v>16</v>
      </c>
      <c r="B53" s="17" t="s">
        <v>619</v>
      </c>
      <c r="E53" s="17" t="s">
        <v>610</v>
      </c>
      <c r="F53" s="403">
        <f t="shared" si="11"/>
        <v>55</v>
      </c>
      <c r="H53" s="403">
        <f t="shared" si="5"/>
        <v>55</v>
      </c>
      <c r="I53" s="403">
        <f t="shared" si="12"/>
        <v>880</v>
      </c>
    </row>
    <row r="54" spans="1:10">
      <c r="A54" s="441">
        <v>1</v>
      </c>
      <c r="B54" s="17" t="s">
        <v>619</v>
      </c>
      <c r="E54" s="17" t="s">
        <v>611</v>
      </c>
      <c r="F54" s="403">
        <f t="shared" si="11"/>
        <v>55</v>
      </c>
      <c r="H54" s="403">
        <f t="shared" si="5"/>
        <v>55</v>
      </c>
      <c r="I54" s="403">
        <f t="shared" si="12"/>
        <v>55</v>
      </c>
    </row>
    <row r="55" spans="1:10">
      <c r="A55" s="441">
        <v>1</v>
      </c>
      <c r="B55" s="17" t="s">
        <v>619</v>
      </c>
      <c r="E55" s="17" t="s">
        <v>1431</v>
      </c>
      <c r="F55" s="403">
        <f t="shared" si="11"/>
        <v>55</v>
      </c>
      <c r="H55" s="403">
        <f t="shared" si="5"/>
        <v>55</v>
      </c>
      <c r="I55" s="403">
        <f t="shared" si="12"/>
        <v>55</v>
      </c>
    </row>
    <row r="56" spans="1:10">
      <c r="A56" s="441">
        <v>4</v>
      </c>
      <c r="B56" s="17" t="s">
        <v>619</v>
      </c>
      <c r="E56" s="17" t="s">
        <v>612</v>
      </c>
      <c r="F56" s="403">
        <f t="shared" si="11"/>
        <v>55</v>
      </c>
      <c r="H56" s="403">
        <f t="shared" si="5"/>
        <v>55</v>
      </c>
      <c r="I56" s="403">
        <f t="shared" si="12"/>
        <v>220</v>
      </c>
    </row>
    <row r="57" spans="1:10">
      <c r="A57" s="441">
        <f>A44</f>
        <v>16</v>
      </c>
      <c r="B57" s="17" t="s">
        <v>619</v>
      </c>
      <c r="E57" s="17" t="s">
        <v>614</v>
      </c>
      <c r="F57" s="403">
        <f t="shared" si="11"/>
        <v>55</v>
      </c>
      <c r="H57" s="403">
        <f t="shared" si="5"/>
        <v>55</v>
      </c>
      <c r="I57" s="403">
        <f t="shared" si="12"/>
        <v>880</v>
      </c>
    </row>
    <row r="58" spans="1:10">
      <c r="A58" s="441">
        <v>4</v>
      </c>
      <c r="B58" s="17" t="s">
        <v>619</v>
      </c>
      <c r="E58" s="17" t="s">
        <v>615</v>
      </c>
      <c r="F58" s="403">
        <f t="shared" si="11"/>
        <v>55</v>
      </c>
      <c r="H58" s="403">
        <f t="shared" si="5"/>
        <v>55</v>
      </c>
      <c r="I58" s="403">
        <f t="shared" si="12"/>
        <v>220</v>
      </c>
      <c r="J58" s="17" t="s">
        <v>2062</v>
      </c>
    </row>
    <row r="59" spans="1:10">
      <c r="A59" s="441">
        <v>4</v>
      </c>
      <c r="B59" s="17" t="s">
        <v>619</v>
      </c>
      <c r="E59" s="17" t="s">
        <v>616</v>
      </c>
      <c r="F59" s="403">
        <f t="shared" si="11"/>
        <v>55</v>
      </c>
      <c r="H59" s="403">
        <f t="shared" si="5"/>
        <v>55</v>
      </c>
      <c r="I59" s="403">
        <f t="shared" si="12"/>
        <v>220</v>
      </c>
    </row>
    <row r="60" spans="1:10">
      <c r="A60" s="745">
        <f>105*0.25</f>
        <v>26.25</v>
      </c>
      <c r="B60" s="442" t="s">
        <v>619</v>
      </c>
      <c r="C60" s="446"/>
      <c r="D60" s="442"/>
      <c r="E60" s="17" t="s">
        <v>617</v>
      </c>
      <c r="F60" s="443">
        <f t="shared" si="11"/>
        <v>55</v>
      </c>
      <c r="G60" s="444"/>
      <c r="H60" s="443">
        <f t="shared" si="5"/>
        <v>55</v>
      </c>
      <c r="I60" s="443">
        <f t="shared" si="12"/>
        <v>1443.75</v>
      </c>
      <c r="J60" s="17" t="s">
        <v>618</v>
      </c>
    </row>
    <row r="62" spans="1:10">
      <c r="A62" s="17">
        <f>SUM(A44:A61)</f>
        <v>176.7166666666667</v>
      </c>
      <c r="B62" s="17" t="s">
        <v>619</v>
      </c>
      <c r="E62" s="17" t="s">
        <v>620</v>
      </c>
    </row>
    <row r="63" spans="1:10">
      <c r="A63" s="441">
        <v>3</v>
      </c>
      <c r="B63" s="17" t="s">
        <v>517</v>
      </c>
      <c r="E63" s="17" t="s">
        <v>621</v>
      </c>
    </row>
    <row r="64" spans="1:10">
      <c r="A64" s="17">
        <v>1</v>
      </c>
      <c r="B64" s="17" t="s">
        <v>517</v>
      </c>
      <c r="E64" s="17" t="s">
        <v>622</v>
      </c>
      <c r="F64" s="445">
        <v>55</v>
      </c>
      <c r="H64" s="403">
        <f t="shared" si="5"/>
        <v>55</v>
      </c>
      <c r="I64" s="403">
        <f t="shared" si="12"/>
        <v>55</v>
      </c>
      <c r="J64" s="17" t="s">
        <v>623</v>
      </c>
    </row>
    <row r="65" spans="1:16">
      <c r="A65" s="17">
        <f>ROUNDUP(A62/8/A63,0)</f>
        <v>8</v>
      </c>
      <c r="B65" s="17" t="s">
        <v>624</v>
      </c>
      <c r="E65" s="17" t="s">
        <v>625</v>
      </c>
      <c r="F65" s="403">
        <f>A63*8*F64</f>
        <v>1320</v>
      </c>
      <c r="H65" s="403">
        <f t="shared" si="5"/>
        <v>1320</v>
      </c>
      <c r="I65" s="403">
        <f t="shared" si="12"/>
        <v>10560</v>
      </c>
    </row>
    <row r="66" spans="1:16">
      <c r="A66" s="441">
        <v>1</v>
      </c>
      <c r="B66" s="442" t="s">
        <v>517</v>
      </c>
      <c r="C66" s="446"/>
      <c r="D66" s="442"/>
      <c r="E66" s="442" t="s">
        <v>626</v>
      </c>
      <c r="F66" s="447">
        <v>500</v>
      </c>
      <c r="G66" s="444"/>
      <c r="H66" s="403">
        <v>1000</v>
      </c>
      <c r="I66" s="403">
        <f t="shared" si="12"/>
        <v>1000</v>
      </c>
      <c r="J66" s="17" t="s">
        <v>627</v>
      </c>
    </row>
    <row r="67" spans="1:16">
      <c r="A67" s="441"/>
      <c r="F67" s="447"/>
      <c r="H67" s="403"/>
      <c r="I67" s="403"/>
    </row>
    <row r="68" spans="1:16">
      <c r="A68" s="441"/>
      <c r="F68" s="447"/>
      <c r="H68" s="403"/>
      <c r="I68" s="403"/>
    </row>
    <row r="69" spans="1:16" ht="15.75">
      <c r="E69" s="439" t="s">
        <v>628</v>
      </c>
      <c r="I69" s="443">
        <f>SUM(I65:I68)</f>
        <v>11560</v>
      </c>
      <c r="P69" s="438">
        <f>I69</f>
        <v>11560</v>
      </c>
    </row>
    <row r="72" spans="1:16">
      <c r="E72" s="449" t="s">
        <v>630</v>
      </c>
    </row>
    <row r="73" spans="1:16">
      <c r="E73" s="449" t="s">
        <v>635</v>
      </c>
    </row>
    <row r="74" spans="1:16" ht="66.8">
      <c r="A74" s="915">
        <v>0</v>
      </c>
      <c r="B74" s="17" t="s">
        <v>517</v>
      </c>
      <c r="C74" s="204" t="s">
        <v>698</v>
      </c>
      <c r="D74" s="17" t="s">
        <v>636</v>
      </c>
      <c r="E74" s="17" t="s">
        <v>637</v>
      </c>
      <c r="F74" s="445">
        <v>1809</v>
      </c>
      <c r="G74" s="404">
        <v>0.4</v>
      </c>
      <c r="H74" s="403">
        <f t="shared" ref="H74:H98" si="13">F74*(1-G74)</f>
        <v>1085.3999999999999</v>
      </c>
      <c r="I74" s="403">
        <f t="shared" ref="I74:I98" si="14">A74*H74</f>
        <v>0</v>
      </c>
      <c r="J74" s="17" t="s">
        <v>638</v>
      </c>
      <c r="K74" s="17" t="s">
        <v>1892</v>
      </c>
    </row>
    <row r="75" spans="1:16">
      <c r="A75" s="915">
        <v>0</v>
      </c>
      <c r="B75" s="17" t="s">
        <v>517</v>
      </c>
      <c r="C75" s="204" t="s">
        <v>538</v>
      </c>
      <c r="D75" s="17" t="s">
        <v>640</v>
      </c>
      <c r="E75" s="17" t="s">
        <v>1893</v>
      </c>
      <c r="F75" s="445">
        <v>1949</v>
      </c>
      <c r="G75" s="404">
        <v>0.4</v>
      </c>
      <c r="H75" s="403">
        <f t="shared" si="13"/>
        <v>1169.3999999999999</v>
      </c>
      <c r="I75" s="403">
        <f t="shared" si="14"/>
        <v>0</v>
      </c>
      <c r="J75" s="17" t="s">
        <v>638</v>
      </c>
      <c r="K75" s="17" t="s">
        <v>1894</v>
      </c>
    </row>
    <row r="76" spans="1:16">
      <c r="A76" s="915">
        <v>0</v>
      </c>
      <c r="B76" s="17" t="s">
        <v>517</v>
      </c>
      <c r="C76" s="204" t="s">
        <v>538</v>
      </c>
      <c r="D76" s="17" t="s">
        <v>640</v>
      </c>
      <c r="E76" s="17" t="s">
        <v>1895</v>
      </c>
      <c r="F76" s="445">
        <v>1949</v>
      </c>
      <c r="G76" s="404">
        <v>0.4</v>
      </c>
      <c r="H76" s="403">
        <f t="shared" si="13"/>
        <v>1169.3999999999999</v>
      </c>
      <c r="I76" s="403">
        <f t="shared" si="14"/>
        <v>0</v>
      </c>
      <c r="J76" s="17" t="s">
        <v>638</v>
      </c>
      <c r="K76" s="17" t="s">
        <v>1894</v>
      </c>
    </row>
    <row r="77" spans="1:16">
      <c r="A77" s="915">
        <v>0</v>
      </c>
      <c r="B77" s="17" t="s">
        <v>517</v>
      </c>
      <c r="C77" s="204" t="s">
        <v>538</v>
      </c>
      <c r="D77" s="17" t="s">
        <v>640</v>
      </c>
      <c r="E77" s="17" t="s">
        <v>1896</v>
      </c>
      <c r="F77" s="445">
        <v>2447</v>
      </c>
      <c r="G77" s="404">
        <v>0.4</v>
      </c>
      <c r="H77" s="403">
        <f t="shared" si="13"/>
        <v>1468.2</v>
      </c>
      <c r="I77" s="403">
        <f t="shared" si="14"/>
        <v>0</v>
      </c>
      <c r="J77" s="17" t="s">
        <v>638</v>
      </c>
      <c r="K77" s="17" t="s">
        <v>1894</v>
      </c>
    </row>
    <row r="78" spans="1:16">
      <c r="A78" s="915">
        <v>0</v>
      </c>
      <c r="B78" s="17" t="s">
        <v>517</v>
      </c>
      <c r="C78" s="204" t="s">
        <v>538</v>
      </c>
      <c r="D78" s="17" t="s">
        <v>640</v>
      </c>
      <c r="E78" s="17" t="s">
        <v>1897</v>
      </c>
      <c r="F78" s="445">
        <v>4395</v>
      </c>
      <c r="G78" s="404">
        <v>0.4</v>
      </c>
      <c r="H78" s="403">
        <f t="shared" si="13"/>
        <v>2637</v>
      </c>
      <c r="I78" s="403">
        <f t="shared" si="14"/>
        <v>0</v>
      </c>
      <c r="J78" s="17" t="s">
        <v>638</v>
      </c>
      <c r="K78" s="17" t="s">
        <v>1894</v>
      </c>
    </row>
    <row r="79" spans="1:16">
      <c r="A79" s="915">
        <v>0</v>
      </c>
      <c r="B79" s="17" t="s">
        <v>517</v>
      </c>
      <c r="C79" s="204" t="s">
        <v>538</v>
      </c>
      <c r="D79" s="17" t="s">
        <v>640</v>
      </c>
      <c r="E79" s="17" t="s">
        <v>1898</v>
      </c>
      <c r="F79" s="445">
        <v>21206</v>
      </c>
      <c r="G79" s="404">
        <v>0.4</v>
      </c>
      <c r="H79" s="403">
        <f t="shared" si="13"/>
        <v>12723.6</v>
      </c>
      <c r="I79" s="403">
        <f t="shared" si="14"/>
        <v>0</v>
      </c>
      <c r="J79" s="17" t="s">
        <v>638</v>
      </c>
      <c r="K79" s="17" t="s">
        <v>1894</v>
      </c>
    </row>
    <row r="80" spans="1:16">
      <c r="A80" s="915">
        <v>0</v>
      </c>
      <c r="B80" s="17" t="s">
        <v>539</v>
      </c>
      <c r="C80" s="204" t="s">
        <v>538</v>
      </c>
      <c r="D80" s="17" t="s">
        <v>643</v>
      </c>
      <c r="E80" s="17" t="s">
        <v>1899</v>
      </c>
      <c r="F80" s="445">
        <v>80</v>
      </c>
      <c r="G80" s="404">
        <v>0.4</v>
      </c>
      <c r="H80" s="403">
        <f t="shared" si="13"/>
        <v>48</v>
      </c>
      <c r="I80" s="403">
        <f t="shared" si="14"/>
        <v>0</v>
      </c>
      <c r="J80" s="17" t="s">
        <v>638</v>
      </c>
      <c r="K80" s="17" t="s">
        <v>1894</v>
      </c>
    </row>
    <row r="81" spans="1:12">
      <c r="A81" s="915">
        <v>0</v>
      </c>
      <c r="B81" s="17" t="s">
        <v>539</v>
      </c>
      <c r="C81" s="204" t="s">
        <v>538</v>
      </c>
      <c r="D81" s="17" t="s">
        <v>643</v>
      </c>
      <c r="E81" s="17" t="s">
        <v>1900</v>
      </c>
      <c r="F81" s="445">
        <v>108</v>
      </c>
      <c r="G81" s="404">
        <v>0.4</v>
      </c>
      <c r="H81" s="403">
        <f t="shared" si="13"/>
        <v>64.8</v>
      </c>
      <c r="I81" s="403">
        <f t="shared" si="14"/>
        <v>0</v>
      </c>
      <c r="J81" s="17" t="s">
        <v>638</v>
      </c>
      <c r="K81" s="17" t="s">
        <v>1894</v>
      </c>
    </row>
    <row r="82" spans="1:12">
      <c r="A82" s="204"/>
      <c r="F82" s="17"/>
      <c r="H82" s="403"/>
      <c r="I82" s="403"/>
    </row>
    <row r="83" spans="1:12">
      <c r="A83" s="204"/>
      <c r="E83" s="449" t="s">
        <v>1901</v>
      </c>
      <c r="F83" s="17"/>
      <c r="H83" s="403"/>
      <c r="I83" s="403"/>
    </row>
    <row r="84" spans="1:12">
      <c r="A84" s="915">
        <v>1</v>
      </c>
      <c r="B84" s="17" t="s">
        <v>517</v>
      </c>
      <c r="C84" s="204" t="s">
        <v>1902</v>
      </c>
      <c r="D84" s="17" t="s">
        <v>636</v>
      </c>
      <c r="E84" s="17" t="s">
        <v>1903</v>
      </c>
      <c r="F84" s="445">
        <v>2507</v>
      </c>
      <c r="G84" s="404">
        <v>0.4</v>
      </c>
      <c r="H84" s="403">
        <f t="shared" si="13"/>
        <v>1504.2</v>
      </c>
      <c r="I84" s="403">
        <f t="shared" si="14"/>
        <v>1504.2</v>
      </c>
      <c r="J84" s="17" t="s">
        <v>638</v>
      </c>
      <c r="K84" s="17" t="s">
        <v>1904</v>
      </c>
    </row>
    <row r="85" spans="1:12">
      <c r="A85" s="915">
        <v>0</v>
      </c>
      <c r="B85" s="17" t="s">
        <v>517</v>
      </c>
      <c r="C85" s="204" t="s">
        <v>1902</v>
      </c>
      <c r="D85" s="17" t="s">
        <v>636</v>
      </c>
      <c r="E85" s="17" t="s">
        <v>1930</v>
      </c>
      <c r="F85" s="445">
        <v>2913</v>
      </c>
      <c r="G85" s="404">
        <v>0.4</v>
      </c>
      <c r="H85" s="403">
        <f t="shared" si="13"/>
        <v>1747.8</v>
      </c>
      <c r="I85" s="403">
        <f t="shared" si="14"/>
        <v>0</v>
      </c>
      <c r="J85" s="17" t="s">
        <v>638</v>
      </c>
      <c r="K85" s="17" t="s">
        <v>1904</v>
      </c>
    </row>
    <row r="86" spans="1:12">
      <c r="A86" s="915">
        <v>0</v>
      </c>
      <c r="B86" s="17" t="s">
        <v>539</v>
      </c>
      <c r="C86" s="204" t="s">
        <v>1902</v>
      </c>
      <c r="D86" s="17" t="s">
        <v>670</v>
      </c>
      <c r="E86" s="17" t="s">
        <v>1931</v>
      </c>
      <c r="F86" s="445">
        <v>107</v>
      </c>
      <c r="G86" s="404">
        <v>0.4</v>
      </c>
      <c r="H86" s="403">
        <f t="shared" si="13"/>
        <v>64.2</v>
      </c>
      <c r="I86" s="403">
        <f t="shared" si="14"/>
        <v>0</v>
      </c>
      <c r="J86" s="17" t="s">
        <v>638</v>
      </c>
      <c r="K86" s="17" t="s">
        <v>1904</v>
      </c>
    </row>
    <row r="87" spans="1:12">
      <c r="A87" s="915">
        <v>0</v>
      </c>
      <c r="B87" s="17" t="s">
        <v>539</v>
      </c>
      <c r="C87" s="204" t="s">
        <v>1902</v>
      </c>
      <c r="D87" s="17" t="s">
        <v>670</v>
      </c>
      <c r="E87" s="17" t="s">
        <v>1932</v>
      </c>
      <c r="F87" s="445">
        <v>108</v>
      </c>
      <c r="G87" s="404">
        <v>0.4</v>
      </c>
      <c r="H87" s="403">
        <f t="shared" si="13"/>
        <v>64.8</v>
      </c>
      <c r="I87" s="403">
        <f t="shared" si="14"/>
        <v>0</v>
      </c>
      <c r="J87" s="17" t="s">
        <v>638</v>
      </c>
      <c r="K87" s="17" t="s">
        <v>1904</v>
      </c>
    </row>
    <row r="88" spans="1:12">
      <c r="A88" s="915">
        <v>0</v>
      </c>
      <c r="B88" s="17" t="s">
        <v>517</v>
      </c>
      <c r="C88" s="204" t="s">
        <v>1902</v>
      </c>
      <c r="D88" s="17" t="s">
        <v>640</v>
      </c>
      <c r="E88" s="17" t="s">
        <v>1933</v>
      </c>
      <c r="F88" s="445">
        <v>1965</v>
      </c>
      <c r="G88" s="404">
        <v>0.4</v>
      </c>
      <c r="H88" s="403">
        <f t="shared" si="13"/>
        <v>1179</v>
      </c>
      <c r="I88" s="403">
        <f t="shared" si="14"/>
        <v>0</v>
      </c>
      <c r="J88" s="17" t="s">
        <v>638</v>
      </c>
      <c r="K88" s="17" t="s">
        <v>1904</v>
      </c>
    </row>
    <row r="89" spans="1:12">
      <c r="A89" s="915">
        <v>0</v>
      </c>
      <c r="B89" s="17" t="s">
        <v>539</v>
      </c>
      <c r="C89" s="204" t="s">
        <v>1902</v>
      </c>
      <c r="D89" s="17" t="s">
        <v>643</v>
      </c>
      <c r="E89" s="17" t="s">
        <v>1934</v>
      </c>
      <c r="F89" s="445">
        <v>95</v>
      </c>
      <c r="G89" s="404">
        <v>0.4</v>
      </c>
      <c r="H89" s="403">
        <f t="shared" si="13"/>
        <v>57</v>
      </c>
      <c r="I89" s="403">
        <f t="shared" si="14"/>
        <v>0</v>
      </c>
      <c r="J89" s="17" t="s">
        <v>638</v>
      </c>
      <c r="K89" s="17" t="s">
        <v>1904</v>
      </c>
    </row>
    <row r="90" spans="1:12">
      <c r="A90" s="204"/>
      <c r="F90" s="485"/>
      <c r="H90" s="403"/>
      <c r="I90" s="403"/>
    </row>
    <row r="91" spans="1:12">
      <c r="A91" s="204"/>
      <c r="E91" s="439" t="s">
        <v>1935</v>
      </c>
      <c r="F91" s="485"/>
      <c r="H91" s="403"/>
      <c r="I91" s="403"/>
    </row>
    <row r="92" spans="1:12" ht="12.45">
      <c r="A92" s="915">
        <v>0</v>
      </c>
      <c r="B92" s="17" t="s">
        <v>517</v>
      </c>
      <c r="C92" s="204" t="s">
        <v>1902</v>
      </c>
      <c r="D92" s="494" t="s">
        <v>1936</v>
      </c>
      <c r="E92" s="204" t="s">
        <v>1937</v>
      </c>
      <c r="F92" s="445">
        <f>1610.95/0.6</f>
        <v>2684.916666666667</v>
      </c>
      <c r="G92" s="404">
        <v>0.4</v>
      </c>
      <c r="H92" s="443">
        <f t="shared" si="13"/>
        <v>1610.95</v>
      </c>
      <c r="I92" s="443">
        <f t="shared" si="14"/>
        <v>0</v>
      </c>
      <c r="J92" s="17" t="s">
        <v>2039</v>
      </c>
    </row>
    <row r="93" spans="1:12" ht="57.45" customHeight="1">
      <c r="A93" s="915">
        <v>0</v>
      </c>
      <c r="B93" s="17" t="s">
        <v>539</v>
      </c>
      <c r="C93" s="204" t="s">
        <v>1902</v>
      </c>
      <c r="D93" s="494" t="s">
        <v>1939</v>
      </c>
      <c r="E93" s="204" t="s">
        <v>1940</v>
      </c>
      <c r="F93" s="445">
        <v>846.22031249999998</v>
      </c>
      <c r="G93" s="404">
        <v>0.4</v>
      </c>
      <c r="H93" s="403">
        <f t="shared" si="13"/>
        <v>507.73218749999995</v>
      </c>
      <c r="I93" s="443">
        <f t="shared" si="14"/>
        <v>0</v>
      </c>
      <c r="J93" s="204" t="s">
        <v>1941</v>
      </c>
      <c r="K93" s="1103" t="s">
        <v>2040</v>
      </c>
      <c r="L93" s="1103"/>
    </row>
    <row r="94" spans="1:12" ht="22.25">
      <c r="A94" s="915">
        <v>46</v>
      </c>
      <c r="B94" s="17" t="s">
        <v>539</v>
      </c>
      <c r="C94" s="204" t="s">
        <v>1902</v>
      </c>
      <c r="D94" s="494" t="s">
        <v>1943</v>
      </c>
      <c r="E94" s="204" t="s">
        <v>1944</v>
      </c>
      <c r="F94" s="445">
        <v>110</v>
      </c>
      <c r="G94" s="404">
        <v>0.4</v>
      </c>
      <c r="H94" s="403">
        <f t="shared" si="13"/>
        <v>66</v>
      </c>
      <c r="I94" s="403">
        <f t="shared" si="14"/>
        <v>3036</v>
      </c>
      <c r="J94" s="17" t="s">
        <v>696</v>
      </c>
    </row>
    <row r="95" spans="1:12" ht="133.55000000000001">
      <c r="A95" s="915">
        <v>1</v>
      </c>
      <c r="B95" s="17" t="s">
        <v>517</v>
      </c>
      <c r="C95" s="204" t="s">
        <v>1902</v>
      </c>
      <c r="D95" s="494" t="s">
        <v>1946</v>
      </c>
      <c r="E95" s="204" t="s">
        <v>2063</v>
      </c>
      <c r="F95" s="445">
        <f>5844.58/0.6</f>
        <v>9740.9666666666672</v>
      </c>
      <c r="G95" s="404">
        <v>0.4</v>
      </c>
      <c r="H95" s="443">
        <f t="shared" si="13"/>
        <v>5844.58</v>
      </c>
      <c r="I95" s="443">
        <f t="shared" si="14"/>
        <v>5844.58</v>
      </c>
      <c r="J95" s="204" t="s">
        <v>2041</v>
      </c>
    </row>
    <row r="96" spans="1:12" ht="79.849999999999994" customHeight="1">
      <c r="A96" s="915">
        <v>0</v>
      </c>
      <c r="B96" s="17" t="s">
        <v>517</v>
      </c>
      <c r="C96" s="204" t="s">
        <v>1902</v>
      </c>
      <c r="D96" s="494" t="s">
        <v>1946</v>
      </c>
      <c r="E96" s="204" t="s">
        <v>2064</v>
      </c>
      <c r="F96" s="445">
        <f>5844.58/0.6*(160/100)^0.8</f>
        <v>14187.244172962894</v>
      </c>
      <c r="G96" s="404">
        <v>0.4</v>
      </c>
      <c r="H96" s="443">
        <f t="shared" si="13"/>
        <v>8512.3465037777351</v>
      </c>
      <c r="I96" s="443">
        <f t="shared" si="14"/>
        <v>0</v>
      </c>
      <c r="J96" s="204" t="s">
        <v>2042</v>
      </c>
      <c r="K96" s="1103" t="s">
        <v>2043</v>
      </c>
      <c r="L96" s="1103"/>
    </row>
    <row r="97" spans="1:17" ht="79.849999999999994" customHeight="1">
      <c r="A97" s="915">
        <v>0</v>
      </c>
      <c r="B97" s="17" t="s">
        <v>517</v>
      </c>
      <c r="C97" s="204" t="s">
        <v>1902</v>
      </c>
      <c r="D97" s="494" t="s">
        <v>1946</v>
      </c>
      <c r="E97" s="204" t="s">
        <v>2065</v>
      </c>
      <c r="F97" s="445">
        <f>1.2*5844.58/0.6*(250/100)^0.8</f>
        <v>24329.619124584198</v>
      </c>
      <c r="G97" s="404">
        <v>0.4</v>
      </c>
      <c r="H97" s="443">
        <f t="shared" si="13"/>
        <v>14597.771474750518</v>
      </c>
      <c r="I97" s="443">
        <f t="shared" si="14"/>
        <v>0</v>
      </c>
      <c r="J97" s="204" t="s">
        <v>2066</v>
      </c>
      <c r="K97" s="1103" t="s">
        <v>2067</v>
      </c>
      <c r="L97" s="1103"/>
    </row>
    <row r="98" spans="1:17" ht="79.849999999999994" customHeight="1">
      <c r="A98" s="915">
        <v>15</v>
      </c>
      <c r="B98" s="17" t="s">
        <v>539</v>
      </c>
      <c r="C98" s="204" t="s">
        <v>1902</v>
      </c>
      <c r="D98" s="494" t="s">
        <v>1950</v>
      </c>
      <c r="E98" s="17" t="s">
        <v>1951</v>
      </c>
      <c r="F98" s="445">
        <v>32.7596512570965</v>
      </c>
      <c r="G98" s="404">
        <v>0.4</v>
      </c>
      <c r="H98" s="403">
        <f t="shared" si="13"/>
        <v>19.6557907542579</v>
      </c>
      <c r="I98" s="443">
        <f t="shared" si="14"/>
        <v>294.8368613138685</v>
      </c>
      <c r="J98" s="204" t="s">
        <v>2044</v>
      </c>
      <c r="K98" s="1103" t="s">
        <v>2045</v>
      </c>
      <c r="L98" s="1103"/>
    </row>
    <row r="99" spans="1:17">
      <c r="A99" s="204"/>
      <c r="F99" s="17"/>
      <c r="H99" s="403"/>
      <c r="I99" s="403"/>
    </row>
    <row r="100" spans="1:17" ht="33.4">
      <c r="A100" s="204">
        <v>1</v>
      </c>
      <c r="B100" s="17" t="s">
        <v>517</v>
      </c>
      <c r="C100" s="204" t="s">
        <v>674</v>
      </c>
      <c r="E100" s="17" t="s">
        <v>675</v>
      </c>
      <c r="F100" s="445">
        <v>161.44</v>
      </c>
      <c r="G100" s="404">
        <v>0</v>
      </c>
      <c r="H100" s="403">
        <f>F100*(1-G100)</f>
        <v>161.44</v>
      </c>
      <c r="I100" s="403">
        <f>A100*H100</f>
        <v>161.44</v>
      </c>
    </row>
    <row r="101" spans="1:17">
      <c r="A101" s="204"/>
      <c r="F101" s="485"/>
      <c r="H101" s="403"/>
      <c r="I101" s="403"/>
    </row>
    <row r="102" spans="1:17" ht="15.75">
      <c r="E102" s="439" t="s">
        <v>676</v>
      </c>
      <c r="I102" s="443">
        <f>SUM(I74:I100)</f>
        <v>10841.056861313868</v>
      </c>
      <c r="Q102" s="438">
        <f>I102</f>
        <v>10841.056861313868</v>
      </c>
    </row>
    <row r="104" spans="1:17" ht="13.75" customHeight="1">
      <c r="A104" s="986" t="s">
        <v>100</v>
      </c>
      <c r="B104" s="986"/>
      <c r="C104" s="986"/>
      <c r="D104" s="986"/>
      <c r="E104" s="986"/>
    </row>
    <row r="106" spans="1:17">
      <c r="E106" s="442" t="s">
        <v>677</v>
      </c>
      <c r="J106" s="403"/>
    </row>
    <row r="107" spans="1:17" ht="22.25">
      <c r="A107" s="407">
        <v>0</v>
      </c>
      <c r="B107" s="407" t="s">
        <v>522</v>
      </c>
      <c r="C107" s="408" t="s">
        <v>678</v>
      </c>
      <c r="D107" s="407" t="s">
        <v>679</v>
      </c>
      <c r="E107" s="408" t="s">
        <v>680</v>
      </c>
      <c r="F107" s="409">
        <v>2801.13</v>
      </c>
      <c r="G107" s="410"/>
      <c r="H107" s="409">
        <f t="shared" ref="H107:H152" si="15">F107*(1-G107)</f>
        <v>2801.13</v>
      </c>
      <c r="I107" s="409"/>
    </row>
    <row r="108" spans="1:17" ht="22.25">
      <c r="A108" s="407">
        <v>0</v>
      </c>
      <c r="B108" s="407" t="s">
        <v>522</v>
      </c>
      <c r="C108" s="408" t="s">
        <v>678</v>
      </c>
      <c r="D108" s="407" t="s">
        <v>681</v>
      </c>
      <c r="E108" s="408" t="s">
        <v>682</v>
      </c>
      <c r="F108" s="409">
        <v>772.15</v>
      </c>
      <c r="G108" s="410"/>
      <c r="H108" s="409">
        <f t="shared" si="15"/>
        <v>772.15</v>
      </c>
      <c r="I108" s="409"/>
    </row>
    <row r="109" spans="1:17" ht="22.25">
      <c r="A109" s="407">
        <v>0</v>
      </c>
      <c r="B109" s="407" t="s">
        <v>522</v>
      </c>
      <c r="C109" s="408" t="s">
        <v>678</v>
      </c>
      <c r="D109" s="407" t="s">
        <v>683</v>
      </c>
      <c r="E109" s="408" t="s">
        <v>684</v>
      </c>
      <c r="F109" s="409">
        <v>150.26</v>
      </c>
      <c r="G109" s="410"/>
      <c r="H109" s="409">
        <f t="shared" si="15"/>
        <v>150.26</v>
      </c>
      <c r="I109" s="409"/>
    </row>
    <row r="110" spans="1:17" ht="22.25">
      <c r="A110" s="407">
        <v>0</v>
      </c>
      <c r="B110" s="407" t="s">
        <v>522</v>
      </c>
      <c r="C110" s="408" t="s">
        <v>678</v>
      </c>
      <c r="D110" s="407" t="s">
        <v>685</v>
      </c>
      <c r="E110" s="408" t="s">
        <v>686</v>
      </c>
      <c r="F110" s="409">
        <v>10.58</v>
      </c>
      <c r="G110" s="410"/>
      <c r="H110" s="409">
        <f t="shared" si="15"/>
        <v>10.58</v>
      </c>
      <c r="I110" s="409"/>
    </row>
    <row r="111" spans="1:17" ht="22.25">
      <c r="A111" s="407">
        <v>0</v>
      </c>
      <c r="B111" s="407" t="s">
        <v>522</v>
      </c>
      <c r="C111" s="408" t="s">
        <v>678</v>
      </c>
      <c r="D111" s="407" t="s">
        <v>687</v>
      </c>
      <c r="E111" s="408" t="s">
        <v>688</v>
      </c>
      <c r="F111" s="409">
        <v>69.78</v>
      </c>
      <c r="G111" s="410"/>
      <c r="H111" s="409">
        <f t="shared" si="15"/>
        <v>69.78</v>
      </c>
      <c r="I111" s="409"/>
      <c r="J111" s="17" t="s">
        <v>689</v>
      </c>
    </row>
    <row r="112" spans="1:17" ht="22.25">
      <c r="A112" s="487">
        <v>0</v>
      </c>
      <c r="B112" s="407" t="s">
        <v>539</v>
      </c>
      <c r="C112" s="408" t="s">
        <v>690</v>
      </c>
      <c r="D112" s="407"/>
      <c r="E112" s="407" t="s">
        <v>691</v>
      </c>
      <c r="F112" s="409">
        <v>7.58</v>
      </c>
      <c r="G112" s="410"/>
      <c r="H112" s="409">
        <f t="shared" si="15"/>
        <v>7.58</v>
      </c>
      <c r="I112" s="409"/>
      <c r="J112" s="17" t="s">
        <v>692</v>
      </c>
    </row>
    <row r="113" spans="1:10" ht="22.25">
      <c r="A113" s="487">
        <v>0</v>
      </c>
      <c r="B113" s="407" t="s">
        <v>539</v>
      </c>
      <c r="C113" s="408" t="s">
        <v>690</v>
      </c>
      <c r="D113" s="407"/>
      <c r="E113" s="407" t="s">
        <v>693</v>
      </c>
      <c r="F113" s="409">
        <v>2.04</v>
      </c>
      <c r="G113" s="410"/>
      <c r="H113" s="409">
        <f t="shared" si="15"/>
        <v>2.04</v>
      </c>
      <c r="I113" s="409"/>
      <c r="J113" s="17" t="s">
        <v>694</v>
      </c>
    </row>
    <row r="114" spans="1:10" ht="22.25">
      <c r="A114" s="407">
        <v>0</v>
      </c>
      <c r="B114" s="407" t="s">
        <v>522</v>
      </c>
      <c r="C114" s="408"/>
      <c r="D114" s="407"/>
      <c r="E114" s="408" t="s">
        <v>695</v>
      </c>
      <c r="F114" s="409">
        <v>50</v>
      </c>
      <c r="G114" s="410"/>
      <c r="H114" s="409">
        <f t="shared" si="15"/>
        <v>50</v>
      </c>
      <c r="I114" s="409"/>
      <c r="J114" s="204" t="s">
        <v>696</v>
      </c>
    </row>
    <row r="115" spans="1:10">
      <c r="A115" s="407">
        <v>0</v>
      </c>
      <c r="B115" s="407" t="s">
        <v>619</v>
      </c>
      <c r="C115" s="408"/>
      <c r="D115" s="407"/>
      <c r="E115" s="408" t="s">
        <v>697</v>
      </c>
      <c r="F115" s="409">
        <f>F64</f>
        <v>55</v>
      </c>
      <c r="G115" s="410"/>
      <c r="H115" s="409">
        <f t="shared" si="15"/>
        <v>55</v>
      </c>
      <c r="I115" s="409"/>
    </row>
    <row r="116" spans="1:10" ht="66.8">
      <c r="A116" s="407">
        <v>0</v>
      </c>
      <c r="B116" s="407" t="s">
        <v>517</v>
      </c>
      <c r="C116" s="408" t="s">
        <v>698</v>
      </c>
      <c r="D116" s="407" t="s">
        <v>636</v>
      </c>
      <c r="E116" s="408" t="s">
        <v>637</v>
      </c>
      <c r="F116" s="409">
        <v>1809</v>
      </c>
      <c r="G116" s="410">
        <v>0.75</v>
      </c>
      <c r="H116" s="409">
        <f t="shared" si="15"/>
        <v>452.25</v>
      </c>
      <c r="I116" s="409"/>
      <c r="J116" s="17" t="s">
        <v>699</v>
      </c>
    </row>
    <row r="117" spans="1:10">
      <c r="A117" s="407"/>
      <c r="B117" s="407"/>
      <c r="C117" s="408"/>
      <c r="D117" s="407"/>
      <c r="E117" s="408"/>
      <c r="F117" s="409"/>
      <c r="G117" s="410"/>
      <c r="H117" s="409"/>
      <c r="I117" s="409"/>
    </row>
    <row r="118" spans="1:10">
      <c r="E118" s="442" t="s">
        <v>700</v>
      </c>
    </row>
    <row r="119" spans="1:10">
      <c r="A119" s="407"/>
      <c r="B119" s="407"/>
      <c r="C119" s="408"/>
      <c r="D119" s="407"/>
      <c r="E119" s="408"/>
      <c r="F119" s="409"/>
      <c r="G119" s="410"/>
      <c r="H119" s="409"/>
      <c r="I119" s="409"/>
    </row>
    <row r="120" spans="1:10">
      <c r="A120" s="407"/>
      <c r="B120" s="407"/>
      <c r="C120" s="408"/>
      <c r="D120" s="407"/>
      <c r="E120" s="408" t="s">
        <v>701</v>
      </c>
      <c r="F120" s="409"/>
      <c r="G120" s="410"/>
      <c r="H120" s="409"/>
      <c r="I120" s="409"/>
    </row>
    <row r="121" spans="1:10">
      <c r="A121" s="407"/>
      <c r="B121" s="407"/>
      <c r="C121" s="408"/>
      <c r="D121" s="407"/>
      <c r="E121" s="408"/>
      <c r="F121" s="409"/>
      <c r="G121" s="410"/>
      <c r="H121" s="409"/>
      <c r="I121" s="409"/>
    </row>
    <row r="122" spans="1:10">
      <c r="A122" s="407"/>
      <c r="B122" s="407"/>
      <c r="C122" s="408"/>
      <c r="D122" s="407"/>
      <c r="E122" s="408"/>
      <c r="F122" s="409"/>
      <c r="G122" s="410"/>
      <c r="H122" s="409"/>
      <c r="I122" s="409"/>
    </row>
    <row r="123" spans="1:10">
      <c r="A123" s="407"/>
      <c r="B123" s="407"/>
      <c r="C123" s="408"/>
      <c r="D123" s="407"/>
      <c r="E123" s="408"/>
      <c r="F123" s="409"/>
      <c r="G123" s="410"/>
      <c r="H123" s="409"/>
      <c r="I123" s="409"/>
    </row>
    <row r="124" spans="1:10">
      <c r="A124" s="407"/>
      <c r="B124" s="407"/>
      <c r="C124" s="408"/>
      <c r="D124" s="407"/>
      <c r="E124" s="408"/>
      <c r="F124" s="409"/>
      <c r="G124" s="410"/>
      <c r="H124" s="409"/>
      <c r="I124" s="409"/>
    </row>
    <row r="125" spans="1:10">
      <c r="A125" s="204"/>
      <c r="F125" s="485"/>
      <c r="H125" s="403"/>
      <c r="I125" s="403"/>
    </row>
    <row r="126" spans="1:10">
      <c r="E126" s="439" t="s">
        <v>702</v>
      </c>
      <c r="I126" s="443">
        <f>SUM(I107:I125)</f>
        <v>0</v>
      </c>
    </row>
    <row r="128" spans="1:10" ht="15.05" customHeight="1">
      <c r="A128" s="1002" t="s">
        <v>90</v>
      </c>
      <c r="B128" s="1002"/>
      <c r="C128" s="1002"/>
      <c r="D128" s="1002"/>
      <c r="E128" s="1002"/>
    </row>
    <row r="130" spans="1:10">
      <c r="A130" s="442">
        <v>1</v>
      </c>
      <c r="B130" s="17" t="s">
        <v>517</v>
      </c>
      <c r="E130" s="17" t="s">
        <v>703</v>
      </c>
      <c r="F130" s="403">
        <v>800</v>
      </c>
      <c r="H130" s="403">
        <f t="shared" si="15"/>
        <v>800</v>
      </c>
      <c r="I130" s="403">
        <f t="shared" ref="I130:I145" si="16">A130*H130</f>
        <v>800</v>
      </c>
      <c r="J130" s="17" t="s">
        <v>704</v>
      </c>
    </row>
    <row r="131" spans="1:10">
      <c r="A131" s="442">
        <v>1</v>
      </c>
      <c r="B131" s="17" t="s">
        <v>517</v>
      </c>
      <c r="E131" s="17" t="s">
        <v>705</v>
      </c>
      <c r="F131" s="403">
        <v>500</v>
      </c>
      <c r="H131" s="403">
        <f t="shared" si="15"/>
        <v>500</v>
      </c>
      <c r="I131" s="403">
        <f t="shared" si="16"/>
        <v>500</v>
      </c>
      <c r="J131" s="17" t="s">
        <v>704</v>
      </c>
    </row>
    <row r="132" spans="1:10">
      <c r="A132" s="442">
        <v>2</v>
      </c>
      <c r="B132" s="17" t="s">
        <v>517</v>
      </c>
      <c r="E132" s="17" t="s">
        <v>707</v>
      </c>
      <c r="F132" s="403">
        <v>1500</v>
      </c>
      <c r="H132" s="403">
        <f t="shared" si="15"/>
        <v>1500</v>
      </c>
      <c r="I132" s="403">
        <f t="shared" si="16"/>
        <v>3000</v>
      </c>
    </row>
    <row r="133" spans="1:10" ht="55.65">
      <c r="A133" s="442">
        <v>0</v>
      </c>
      <c r="B133" s="17" t="s">
        <v>517</v>
      </c>
      <c r="C133" s="204" t="s">
        <v>708</v>
      </c>
      <c r="E133" s="204" t="s">
        <v>709</v>
      </c>
      <c r="F133" s="403">
        <v>460</v>
      </c>
      <c r="H133" s="403">
        <f t="shared" si="15"/>
        <v>460</v>
      </c>
      <c r="I133" s="403">
        <f t="shared" si="16"/>
        <v>0</v>
      </c>
      <c r="J133" s="17" t="s">
        <v>710</v>
      </c>
    </row>
    <row r="134" spans="1:10" ht="55.65">
      <c r="A134" s="442">
        <v>0</v>
      </c>
      <c r="B134" s="17" t="s">
        <v>517</v>
      </c>
      <c r="C134" s="204" t="s">
        <v>711</v>
      </c>
      <c r="E134" s="204" t="s">
        <v>712</v>
      </c>
      <c r="F134" s="403">
        <v>320</v>
      </c>
      <c r="H134" s="403">
        <f t="shared" si="15"/>
        <v>320</v>
      </c>
      <c r="I134" s="403">
        <f t="shared" si="16"/>
        <v>0</v>
      </c>
    </row>
    <row r="135" spans="1:10" ht="55.65">
      <c r="A135" s="442">
        <v>0</v>
      </c>
      <c r="B135" s="17" t="s">
        <v>517</v>
      </c>
      <c r="C135" s="17" t="s">
        <v>713</v>
      </c>
      <c r="D135" s="17" t="s">
        <v>714</v>
      </c>
      <c r="E135" s="204" t="s">
        <v>715</v>
      </c>
      <c r="F135" s="403">
        <v>2725</v>
      </c>
      <c r="H135" s="403">
        <f t="shared" si="15"/>
        <v>2725</v>
      </c>
      <c r="I135" s="403">
        <f t="shared" si="16"/>
        <v>0</v>
      </c>
    </row>
    <row r="136" spans="1:10" ht="33.4">
      <c r="A136" s="442">
        <v>0</v>
      </c>
      <c r="B136" s="17" t="s">
        <v>517</v>
      </c>
      <c r="C136" s="204" t="s">
        <v>716</v>
      </c>
      <c r="E136" s="17" t="s">
        <v>717</v>
      </c>
      <c r="F136" s="403">
        <f>1840*1.04</f>
        <v>1913.6000000000001</v>
      </c>
      <c r="H136" s="403">
        <f t="shared" si="15"/>
        <v>1913.6000000000001</v>
      </c>
      <c r="I136" s="403">
        <f t="shared" si="16"/>
        <v>0</v>
      </c>
      <c r="J136" s="17" t="s">
        <v>718</v>
      </c>
    </row>
    <row r="137" spans="1:10">
      <c r="H137" s="403"/>
      <c r="I137" s="403"/>
    </row>
    <row r="138" spans="1:10">
      <c r="E138" s="446" t="s">
        <v>719</v>
      </c>
      <c r="H138" s="403"/>
      <c r="I138" s="403"/>
    </row>
    <row r="139" spans="1:10" ht="22.25">
      <c r="A139" s="442">
        <v>0</v>
      </c>
      <c r="B139" s="17" t="s">
        <v>619</v>
      </c>
      <c r="C139" s="204" t="s">
        <v>531</v>
      </c>
      <c r="E139" s="17" t="s">
        <v>720</v>
      </c>
      <c r="F139" s="403">
        <v>50</v>
      </c>
      <c r="H139" s="403">
        <f t="shared" si="15"/>
        <v>50</v>
      </c>
      <c r="I139" s="403">
        <f t="shared" si="16"/>
        <v>0</v>
      </c>
    </row>
    <row r="140" spans="1:10">
      <c r="A140" s="442">
        <v>0</v>
      </c>
      <c r="B140" s="17" t="s">
        <v>517</v>
      </c>
      <c r="C140" s="204" t="s">
        <v>721</v>
      </c>
      <c r="E140" s="17" t="s">
        <v>722</v>
      </c>
      <c r="F140" s="403">
        <f>69/100</f>
        <v>0.69</v>
      </c>
      <c r="H140" s="403">
        <f t="shared" si="15"/>
        <v>0.69</v>
      </c>
      <c r="I140" s="403">
        <f t="shared" si="16"/>
        <v>0</v>
      </c>
    </row>
    <row r="141" spans="1:10">
      <c r="A141" s="442">
        <f t="shared" ref="A141:A144" si="17">A140</f>
        <v>0</v>
      </c>
      <c r="B141" s="17" t="s">
        <v>517</v>
      </c>
      <c r="C141" s="204" t="s">
        <v>721</v>
      </c>
      <c r="E141" s="17" t="s">
        <v>723</v>
      </c>
      <c r="F141" s="403">
        <v>0.1</v>
      </c>
      <c r="H141" s="403">
        <f t="shared" si="15"/>
        <v>0.1</v>
      </c>
      <c r="I141" s="403">
        <f t="shared" si="16"/>
        <v>0</v>
      </c>
    </row>
    <row r="142" spans="1:10">
      <c r="A142" s="442">
        <f t="shared" si="17"/>
        <v>0</v>
      </c>
      <c r="B142" s="17" t="s">
        <v>517</v>
      </c>
      <c r="C142" s="204" t="s">
        <v>721</v>
      </c>
      <c r="E142" s="17" t="s">
        <v>724</v>
      </c>
      <c r="F142" s="403">
        <f>13.25/1.2/100</f>
        <v>0.11041666666666668</v>
      </c>
      <c r="H142" s="403">
        <f t="shared" si="15"/>
        <v>0.11041666666666668</v>
      </c>
      <c r="I142" s="403">
        <f t="shared" si="16"/>
        <v>0</v>
      </c>
    </row>
    <row r="143" spans="1:10" ht="22.25">
      <c r="A143" s="442">
        <v>0</v>
      </c>
      <c r="B143" s="17" t="s">
        <v>539</v>
      </c>
      <c r="C143" s="204" t="s">
        <v>725</v>
      </c>
      <c r="E143" s="17" t="s">
        <v>726</v>
      </c>
      <c r="F143" s="403">
        <f>15.73/1.2</f>
        <v>13.108333333333334</v>
      </c>
      <c r="H143" s="403">
        <f t="shared" si="15"/>
        <v>13.108333333333334</v>
      </c>
      <c r="I143" s="403">
        <f t="shared" si="16"/>
        <v>0</v>
      </c>
    </row>
    <row r="144" spans="1:10" ht="22.25">
      <c r="A144" s="442">
        <f t="shared" si="17"/>
        <v>0</v>
      </c>
      <c r="B144" s="17" t="s">
        <v>539</v>
      </c>
      <c r="C144" s="204" t="s">
        <v>531</v>
      </c>
      <c r="E144" s="17" t="s">
        <v>727</v>
      </c>
      <c r="F144" s="403">
        <v>25</v>
      </c>
      <c r="H144" s="403">
        <f t="shared" si="15"/>
        <v>25</v>
      </c>
      <c r="I144" s="403">
        <f t="shared" si="16"/>
        <v>0</v>
      </c>
    </row>
    <row r="145" spans="1:9" ht="22.25">
      <c r="A145" s="442">
        <f>A144*4</f>
        <v>0</v>
      </c>
      <c r="B145" s="17" t="s">
        <v>517</v>
      </c>
      <c r="C145" s="204" t="s">
        <v>531</v>
      </c>
      <c r="E145" s="17" t="s">
        <v>728</v>
      </c>
      <c r="F145" s="403">
        <v>0.1</v>
      </c>
      <c r="H145" s="403">
        <f t="shared" si="15"/>
        <v>0.1</v>
      </c>
      <c r="I145" s="403">
        <f t="shared" si="16"/>
        <v>0</v>
      </c>
    </row>
    <row r="146" spans="1:9">
      <c r="H146" s="403"/>
      <c r="I146" s="403"/>
    </row>
    <row r="147" spans="1:9" ht="15.75">
      <c r="E147" s="439" t="s">
        <v>729</v>
      </c>
      <c r="I147" s="168">
        <f>SUM(I128:I136)</f>
        <v>4300</v>
      </c>
    </row>
    <row r="149" spans="1:9" ht="13.75" customHeight="1">
      <c r="A149" s="997" t="s">
        <v>68</v>
      </c>
      <c r="B149" s="997"/>
      <c r="C149" s="997"/>
      <c r="D149" s="997"/>
      <c r="E149" s="997"/>
    </row>
    <row r="150" spans="1:9">
      <c r="A150" s="442">
        <v>1</v>
      </c>
      <c r="B150" s="17" t="s">
        <v>517</v>
      </c>
      <c r="E150" s="17" t="s">
        <v>730</v>
      </c>
      <c r="F150" s="403">
        <v>500</v>
      </c>
      <c r="H150" s="403">
        <f t="shared" si="15"/>
        <v>500</v>
      </c>
      <c r="I150" s="403">
        <f t="shared" ref="I150:I152" si="18">A150*H150</f>
        <v>500</v>
      </c>
    </row>
    <row r="151" spans="1:9" ht="55.65">
      <c r="A151" s="442">
        <v>1</v>
      </c>
      <c r="B151" s="17" t="s">
        <v>517</v>
      </c>
      <c r="C151" s="204" t="s">
        <v>708</v>
      </c>
      <c r="E151" s="204" t="s">
        <v>731</v>
      </c>
      <c r="F151" s="403">
        <f>460/2</f>
        <v>230</v>
      </c>
      <c r="H151" s="403">
        <f t="shared" si="15"/>
        <v>230</v>
      </c>
      <c r="I151" s="403">
        <f t="shared" si="18"/>
        <v>230</v>
      </c>
    </row>
    <row r="152" spans="1:9" ht="55.65">
      <c r="A152" s="442">
        <v>0</v>
      </c>
      <c r="B152" s="17" t="s">
        <v>517</v>
      </c>
      <c r="C152" s="204" t="s">
        <v>711</v>
      </c>
      <c r="E152" s="204" t="s">
        <v>732</v>
      </c>
      <c r="F152" s="403">
        <f>320/2</f>
        <v>160</v>
      </c>
      <c r="H152" s="403">
        <f t="shared" si="15"/>
        <v>160</v>
      </c>
      <c r="I152" s="403">
        <f t="shared" si="18"/>
        <v>0</v>
      </c>
    </row>
    <row r="154" spans="1:9" ht="15.75">
      <c r="E154" s="439" t="s">
        <v>733</v>
      </c>
      <c r="I154" s="168">
        <f>SUM(I149:I153)</f>
        <v>730</v>
      </c>
    </row>
    <row r="155" spans="1:9">
      <c r="E155" s="439"/>
    </row>
  </sheetData>
  <mergeCells count="10">
    <mergeCell ref="B1:F1"/>
    <mergeCell ref="A2:G2"/>
    <mergeCell ref="J25:L25"/>
    <mergeCell ref="K93:L93"/>
    <mergeCell ref="K96:L96"/>
    <mergeCell ref="K97:L97"/>
    <mergeCell ref="K98:L98"/>
    <mergeCell ref="A104:E104"/>
    <mergeCell ref="A128:E128"/>
    <mergeCell ref="A149:E149"/>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64"/>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8.42578125" style="17" customWidth="1"/>
    <col min="11" max="12" width="18.140625" style="17" customWidth="1"/>
    <col min="13" max="14" width="10.140625" style="403"/>
    <col min="15" max="15" width="12.140625" style="403" customWidth="1"/>
    <col min="16" max="19" width="10.140625" style="403"/>
    <col min="20" max="64" width="10.140625" style="17"/>
  </cols>
  <sheetData>
    <row r="1" spans="1:19" ht="15.05">
      <c r="B1" s="1058" t="s">
        <v>300</v>
      </c>
      <c r="C1" s="1058"/>
      <c r="D1" s="1058"/>
      <c r="E1" s="1058"/>
      <c r="F1" s="1058"/>
      <c r="H1" s="405" t="s">
        <v>493</v>
      </c>
      <c r="I1" s="406">
        <f>VLOOKUP(E4,Catalogue!F:J,5,0)</f>
        <v>360</v>
      </c>
      <c r="J1" s="17" t="s">
        <v>494</v>
      </c>
      <c r="K1" s="17" t="s">
        <v>495</v>
      </c>
      <c r="L1" s="58">
        <f>A4*I1</f>
        <v>173520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33.4">
      <c r="A4" s="413">
        <f>172+100+210</f>
        <v>482</v>
      </c>
      <c r="B4" s="413" t="s">
        <v>505</v>
      </c>
      <c r="C4" s="420" t="s">
        <v>540</v>
      </c>
      <c r="D4" s="413" t="s">
        <v>556</v>
      </c>
      <c r="E4" s="420" t="s">
        <v>1214</v>
      </c>
      <c r="F4" s="421">
        <v>98.59</v>
      </c>
      <c r="G4" s="410"/>
      <c r="H4" s="409">
        <f t="shared" ref="H4:H9" si="0">F4*(1-G4)</f>
        <v>98.59</v>
      </c>
      <c r="I4" s="409">
        <f t="shared" ref="I4:I9" si="1">A4*H4</f>
        <v>47520.380000000005</v>
      </c>
      <c r="J4" s="417">
        <f>F4/$I$1</f>
        <v>0.27386111111111111</v>
      </c>
      <c r="K4" s="403" t="s">
        <v>2068</v>
      </c>
      <c r="L4" s="404"/>
      <c r="M4" s="418">
        <f>I4</f>
        <v>47520.380000000005</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v>172</v>
      </c>
      <c r="B6" s="413" t="s">
        <v>505</v>
      </c>
      <c r="C6" s="413" t="s">
        <v>751</v>
      </c>
      <c r="D6" s="413"/>
      <c r="E6" s="420" t="s">
        <v>1191</v>
      </c>
      <c r="F6" s="421">
        <f>913.68/109</f>
        <v>8.3823853211009176</v>
      </c>
      <c r="G6" s="422"/>
      <c r="H6" s="409">
        <f t="shared" si="0"/>
        <v>8.3823853211009176</v>
      </c>
      <c r="I6" s="409">
        <f t="shared" si="1"/>
        <v>1441.7702752293578</v>
      </c>
      <c r="J6" s="417">
        <f t="shared" ref="J6:J7" si="2">F6/$I$1</f>
        <v>2.3284403669724771E-2</v>
      </c>
      <c r="K6" s="446" t="s">
        <v>2047</v>
      </c>
      <c r="L6" s="446"/>
      <c r="M6" s="418">
        <f t="shared" ref="M6:M7" si="3">I6</f>
        <v>1441.7702752293578</v>
      </c>
      <c r="N6" s="418"/>
      <c r="O6" s="418"/>
      <c r="P6" s="418"/>
      <c r="Q6" s="418"/>
      <c r="R6" s="418"/>
      <c r="S6" s="418"/>
    </row>
    <row r="7" spans="1:19" ht="22.25">
      <c r="A7" s="413">
        <f>100+210</f>
        <v>310</v>
      </c>
      <c r="B7" s="413" t="s">
        <v>505</v>
      </c>
      <c r="C7" s="420" t="s">
        <v>531</v>
      </c>
      <c r="D7" s="413"/>
      <c r="E7" s="420" t="s">
        <v>2037</v>
      </c>
      <c r="F7" s="421">
        <v>12.26</v>
      </c>
      <c r="G7" s="422"/>
      <c r="H7" s="409">
        <f t="shared" si="0"/>
        <v>12.26</v>
      </c>
      <c r="I7" s="409">
        <f t="shared" si="1"/>
        <v>3800.6</v>
      </c>
      <c r="J7" s="417">
        <f t="shared" si="2"/>
        <v>3.4055555555555554E-2</v>
      </c>
      <c r="K7" s="446" t="s">
        <v>2048</v>
      </c>
      <c r="L7" s="446"/>
      <c r="M7" s="418">
        <f t="shared" si="3"/>
        <v>3800.6</v>
      </c>
      <c r="N7" s="418"/>
      <c r="O7" s="418"/>
      <c r="P7" s="418"/>
      <c r="Q7" s="418"/>
      <c r="R7" s="418"/>
      <c r="S7" s="418"/>
    </row>
    <row r="8" spans="1:19" ht="111.3">
      <c r="A8" s="423">
        <v>1</v>
      </c>
      <c r="B8" s="423" t="s">
        <v>522</v>
      </c>
      <c r="C8" s="423" t="s">
        <v>531</v>
      </c>
      <c r="D8" s="423" t="s">
        <v>829</v>
      </c>
      <c r="E8" s="424" t="s">
        <v>1252</v>
      </c>
      <c r="F8" s="425">
        <f>635.23+100+100</f>
        <v>835.23</v>
      </c>
      <c r="G8" s="410"/>
      <c r="H8" s="409">
        <f t="shared" si="0"/>
        <v>835.23</v>
      </c>
      <c r="I8" s="409">
        <f t="shared" si="1"/>
        <v>835.23</v>
      </c>
      <c r="J8" s="204"/>
      <c r="K8" s="442" t="s">
        <v>2049</v>
      </c>
      <c r="L8" s="442"/>
      <c r="M8" s="418"/>
      <c r="N8" s="418"/>
      <c r="O8" s="418"/>
      <c r="P8" s="418"/>
      <c r="Q8" s="418"/>
      <c r="R8" s="418">
        <f t="shared" ref="R8:R9" si="4">I8</f>
        <v>835.23</v>
      </c>
      <c r="S8" s="418"/>
    </row>
    <row r="9" spans="1:19" ht="244.8">
      <c r="A9" s="423">
        <v>1</v>
      </c>
      <c r="B9" s="423" t="s">
        <v>522</v>
      </c>
      <c r="C9" s="423" t="s">
        <v>974</v>
      </c>
      <c r="D9" s="413" t="s">
        <v>1121</v>
      </c>
      <c r="E9" s="420" t="s">
        <v>2050</v>
      </c>
      <c r="F9" s="421">
        <f>1584.09+100</f>
        <v>1684.09</v>
      </c>
      <c r="G9" s="410"/>
      <c r="H9" s="409">
        <f t="shared" si="0"/>
        <v>1684.09</v>
      </c>
      <c r="I9" s="409">
        <f t="shared" si="1"/>
        <v>1684.09</v>
      </c>
      <c r="J9" s="204"/>
      <c r="K9" s="442" t="s">
        <v>2051</v>
      </c>
      <c r="L9" s="442"/>
      <c r="M9" s="418"/>
      <c r="N9" s="418"/>
      <c r="O9" s="418"/>
      <c r="P9" s="418"/>
      <c r="Q9" s="418"/>
      <c r="R9" s="418">
        <f t="shared" si="4"/>
        <v>1684.09</v>
      </c>
      <c r="S9" s="418"/>
    </row>
    <row r="10" spans="1:19">
      <c r="A10" s="413">
        <v>5</v>
      </c>
      <c r="B10" s="413" t="s">
        <v>505</v>
      </c>
      <c r="C10" s="413" t="s">
        <v>751</v>
      </c>
      <c r="D10" s="413"/>
      <c r="E10" s="420" t="s">
        <v>1489</v>
      </c>
      <c r="F10" s="421">
        <v>316.67</v>
      </c>
      <c r="G10" s="410"/>
      <c r="H10" s="409">
        <f t="shared" ref="H10:H65" si="5">F10*(1-G10)</f>
        <v>316.67</v>
      </c>
      <c r="I10" s="409">
        <f t="shared" ref="I10:I35" si="6">A10*H10</f>
        <v>1583.3500000000001</v>
      </c>
      <c r="J10" s="204"/>
      <c r="K10" s="442" t="s">
        <v>1529</v>
      </c>
      <c r="M10" s="418"/>
      <c r="N10" s="418"/>
      <c r="O10" s="418"/>
      <c r="P10" s="418"/>
      <c r="Q10" s="418"/>
      <c r="R10" s="418">
        <f t="shared" ref="R10:R26" si="7">I10</f>
        <v>1583.3500000000001</v>
      </c>
      <c r="S10" s="418"/>
    </row>
    <row r="11" spans="1:19">
      <c r="A11" s="413">
        <v>1</v>
      </c>
      <c r="B11" s="413" t="s">
        <v>505</v>
      </c>
      <c r="C11" s="413" t="s">
        <v>751</v>
      </c>
      <c r="D11" s="413"/>
      <c r="E11" s="420" t="s">
        <v>752</v>
      </c>
      <c r="F11" s="421">
        <v>132.22</v>
      </c>
      <c r="G11" s="410"/>
      <c r="H11" s="409">
        <f t="shared" si="5"/>
        <v>132.22</v>
      </c>
      <c r="I11" s="409">
        <f t="shared" si="6"/>
        <v>132.22</v>
      </c>
      <c r="J11" s="204"/>
      <c r="K11" s="442" t="s">
        <v>1926</v>
      </c>
      <c r="M11" s="418"/>
      <c r="N11" s="418"/>
      <c r="O11" s="418"/>
      <c r="P11" s="418"/>
      <c r="Q11" s="418"/>
      <c r="R11" s="418">
        <f t="shared" si="7"/>
        <v>132.22</v>
      </c>
      <c r="S11" s="418"/>
    </row>
    <row r="12" spans="1:19">
      <c r="A12" s="413">
        <v>2</v>
      </c>
      <c r="B12" s="413" t="s">
        <v>530</v>
      </c>
      <c r="C12" s="413" t="s">
        <v>531</v>
      </c>
      <c r="D12" s="413"/>
      <c r="E12" s="413" t="s">
        <v>1073</v>
      </c>
      <c r="F12" s="421">
        <v>500</v>
      </c>
      <c r="G12" s="410"/>
      <c r="H12" s="409">
        <f t="shared" si="5"/>
        <v>500</v>
      </c>
      <c r="I12" s="409">
        <f t="shared" si="6"/>
        <v>1000</v>
      </c>
      <c r="J12" s="204"/>
      <c r="K12" s="442" t="s">
        <v>2052</v>
      </c>
      <c r="M12" s="418"/>
      <c r="N12" s="418"/>
      <c r="O12" s="418"/>
      <c r="P12" s="418"/>
      <c r="Q12" s="418"/>
      <c r="R12" s="418">
        <f t="shared" si="7"/>
        <v>1000</v>
      </c>
      <c r="S12" s="418"/>
    </row>
    <row r="13" spans="1:19" ht="22.25">
      <c r="A13" s="413">
        <v>0</v>
      </c>
      <c r="B13" s="413" t="s">
        <v>505</v>
      </c>
      <c r="C13" s="420" t="s">
        <v>534</v>
      </c>
      <c r="D13" s="413"/>
      <c r="E13" s="420" t="s">
        <v>535</v>
      </c>
      <c r="F13" s="421">
        <v>3.71</v>
      </c>
      <c r="G13" s="410"/>
      <c r="H13" s="409">
        <f t="shared" si="5"/>
        <v>3.71</v>
      </c>
      <c r="I13" s="409">
        <f t="shared" si="6"/>
        <v>0</v>
      </c>
      <c r="J13" s="204" t="s">
        <v>795</v>
      </c>
      <c r="M13" s="418"/>
      <c r="N13" s="418"/>
      <c r="O13" s="418"/>
      <c r="P13" s="418"/>
      <c r="Q13" s="418"/>
      <c r="R13" s="418">
        <f t="shared" si="7"/>
        <v>0</v>
      </c>
      <c r="S13" s="418"/>
    </row>
    <row r="14" spans="1:19" ht="22.25">
      <c r="A14" s="413">
        <f>A13</f>
        <v>0</v>
      </c>
      <c r="B14" s="413" t="s">
        <v>505</v>
      </c>
      <c r="C14" s="420" t="s">
        <v>534</v>
      </c>
      <c r="D14" s="413"/>
      <c r="E14" s="420" t="s">
        <v>537</v>
      </c>
      <c r="F14" s="421">
        <v>3.81</v>
      </c>
      <c r="G14" s="410"/>
      <c r="H14" s="409">
        <f t="shared" si="5"/>
        <v>3.81</v>
      </c>
      <c r="I14" s="409">
        <f t="shared" si="6"/>
        <v>0</v>
      </c>
      <c r="J14" s="204" t="s">
        <v>538</v>
      </c>
      <c r="M14" s="418"/>
      <c r="N14" s="418"/>
      <c r="O14" s="418"/>
      <c r="P14" s="418"/>
      <c r="Q14" s="418"/>
      <c r="R14" s="418">
        <f t="shared" si="7"/>
        <v>0</v>
      </c>
      <c r="S14" s="418"/>
    </row>
    <row r="15" spans="1:19" ht="33.4">
      <c r="A15" s="413">
        <f>(8*(10+40/2+9/2)+15*(10+46/2+17/2))*1.1</f>
        <v>988.35000000000014</v>
      </c>
      <c r="B15" s="413" t="s">
        <v>539</v>
      </c>
      <c r="C15" s="420" t="s">
        <v>540</v>
      </c>
      <c r="D15" s="413" t="s">
        <v>541</v>
      </c>
      <c r="E15" s="420" t="s">
        <v>542</v>
      </c>
      <c r="F15" s="421">
        <v>0.55647999999999997</v>
      </c>
      <c r="G15" s="410"/>
      <c r="H15" s="409">
        <f t="shared" si="5"/>
        <v>0.55647999999999997</v>
      </c>
      <c r="I15" s="409">
        <f t="shared" si="6"/>
        <v>549.99700800000005</v>
      </c>
      <c r="J15" s="442" t="s">
        <v>796</v>
      </c>
      <c r="K15" s="442" t="s">
        <v>2053</v>
      </c>
      <c r="M15" s="418"/>
      <c r="N15" s="418"/>
      <c r="O15" s="418">
        <f t="shared" ref="O15:O30" si="8">I15</f>
        <v>549.99700800000005</v>
      </c>
      <c r="P15" s="418"/>
      <c r="Q15" s="418"/>
      <c r="R15" s="418"/>
      <c r="S15" s="418"/>
    </row>
    <row r="16" spans="1:19" ht="33.4">
      <c r="A16" s="413">
        <f>A15+(172+100+210)*1</f>
        <v>1470.3500000000001</v>
      </c>
      <c r="B16" s="413" t="s">
        <v>539</v>
      </c>
      <c r="C16" s="420" t="s">
        <v>540</v>
      </c>
      <c r="D16" s="413" t="s">
        <v>543</v>
      </c>
      <c r="E16" s="420" t="s">
        <v>544</v>
      </c>
      <c r="F16" s="421">
        <v>0.55647999999999997</v>
      </c>
      <c r="G16" s="410"/>
      <c r="H16" s="409">
        <f t="shared" si="5"/>
        <v>0.55647999999999997</v>
      </c>
      <c r="I16" s="409">
        <f t="shared" si="6"/>
        <v>818.22036800000001</v>
      </c>
      <c r="J16" s="442" t="s">
        <v>796</v>
      </c>
      <c r="K16" s="442" t="s">
        <v>2054</v>
      </c>
      <c r="M16" s="418"/>
      <c r="N16" s="418"/>
      <c r="O16" s="418">
        <f t="shared" si="8"/>
        <v>818.22036800000001</v>
      </c>
      <c r="P16" s="418"/>
      <c r="Q16" s="418"/>
      <c r="R16" s="418"/>
      <c r="S16" s="418"/>
    </row>
    <row r="17" spans="1:19" ht="33.4">
      <c r="A17" s="413">
        <v>60</v>
      </c>
      <c r="B17" s="413" t="s">
        <v>517</v>
      </c>
      <c r="C17" s="420" t="s">
        <v>540</v>
      </c>
      <c r="D17" s="413" t="s">
        <v>797</v>
      </c>
      <c r="E17" s="420" t="s">
        <v>798</v>
      </c>
      <c r="F17" s="421">
        <v>0.88</v>
      </c>
      <c r="G17" s="410"/>
      <c r="H17" s="409">
        <f t="shared" si="5"/>
        <v>0.88</v>
      </c>
      <c r="I17" s="409">
        <f t="shared" si="6"/>
        <v>52.8</v>
      </c>
      <c r="J17" s="204"/>
      <c r="K17" s="442" t="s">
        <v>2055</v>
      </c>
      <c r="M17" s="418"/>
      <c r="N17" s="418"/>
      <c r="O17" s="418">
        <f t="shared" si="8"/>
        <v>52.8</v>
      </c>
      <c r="P17" s="418"/>
      <c r="Q17" s="418"/>
      <c r="R17" s="418"/>
      <c r="S17" s="418"/>
    </row>
    <row r="18" spans="1:19" ht="33.4">
      <c r="A18" s="413">
        <f>A17</f>
        <v>60</v>
      </c>
      <c r="B18" s="413" t="s">
        <v>517</v>
      </c>
      <c r="C18" s="420" t="s">
        <v>540</v>
      </c>
      <c r="D18" s="413" t="s">
        <v>800</v>
      </c>
      <c r="E18" s="420" t="s">
        <v>801</v>
      </c>
      <c r="F18" s="421">
        <v>0.67</v>
      </c>
      <c r="G18" s="410"/>
      <c r="H18" s="409">
        <f t="shared" si="5"/>
        <v>0.67</v>
      </c>
      <c r="I18" s="409">
        <f t="shared" si="6"/>
        <v>40.200000000000003</v>
      </c>
      <c r="J18" s="204"/>
      <c r="M18" s="418"/>
      <c r="N18" s="418"/>
      <c r="O18" s="418">
        <f t="shared" si="8"/>
        <v>40.200000000000003</v>
      </c>
      <c r="P18" s="418"/>
      <c r="Q18" s="418"/>
      <c r="R18" s="418"/>
      <c r="S18" s="418"/>
    </row>
    <row r="19" spans="1:19" ht="33.4">
      <c r="A19" s="413">
        <v>0</v>
      </c>
      <c r="B19" s="413" t="s">
        <v>517</v>
      </c>
      <c r="C19" s="420" t="s">
        <v>540</v>
      </c>
      <c r="D19" s="413" t="s">
        <v>556</v>
      </c>
      <c r="E19" s="420" t="s">
        <v>557</v>
      </c>
      <c r="F19" s="421">
        <v>6.58</v>
      </c>
      <c r="G19" s="410"/>
      <c r="H19" s="409">
        <f t="shared" si="5"/>
        <v>6.58</v>
      </c>
      <c r="I19" s="409">
        <f t="shared" si="6"/>
        <v>0</v>
      </c>
      <c r="J19" s="204"/>
      <c r="M19" s="418"/>
      <c r="N19" s="418"/>
      <c r="O19" s="418">
        <f t="shared" si="8"/>
        <v>0</v>
      </c>
      <c r="P19" s="418"/>
      <c r="Q19" s="418"/>
      <c r="R19" s="418"/>
      <c r="S19" s="418"/>
    </row>
    <row r="20" spans="1:19" ht="44.55">
      <c r="A20" s="413">
        <v>5</v>
      </c>
      <c r="B20" s="413" t="s">
        <v>517</v>
      </c>
      <c r="C20" s="420" t="s">
        <v>540</v>
      </c>
      <c r="D20" s="413" t="s">
        <v>821</v>
      </c>
      <c r="E20" s="420" t="s">
        <v>822</v>
      </c>
      <c r="F20" s="421">
        <v>1810</v>
      </c>
      <c r="G20" s="410"/>
      <c r="H20" s="409">
        <f t="shared" si="5"/>
        <v>1810</v>
      </c>
      <c r="I20" s="409">
        <f t="shared" si="6"/>
        <v>9050</v>
      </c>
      <c r="J20" s="204"/>
      <c r="K20" s="442" t="s">
        <v>2056</v>
      </c>
      <c r="M20" s="418"/>
      <c r="N20" s="418">
        <f t="shared" ref="N20:N23" si="9">I20</f>
        <v>9050</v>
      </c>
      <c r="O20" s="418"/>
      <c r="P20" s="418"/>
      <c r="Q20" s="418"/>
      <c r="R20" s="418"/>
      <c r="S20" s="418"/>
    </row>
    <row r="21" spans="1:19">
      <c r="A21" s="413">
        <v>1</v>
      </c>
      <c r="B21" s="413" t="s">
        <v>505</v>
      </c>
      <c r="C21" s="413" t="s">
        <v>751</v>
      </c>
      <c r="D21" s="413"/>
      <c r="E21" s="420" t="s">
        <v>1209</v>
      </c>
      <c r="F21" s="421">
        <v>1688.73</v>
      </c>
      <c r="G21" s="422"/>
      <c r="H21" s="409">
        <f t="shared" si="5"/>
        <v>1688.73</v>
      </c>
      <c r="I21" s="409">
        <f t="shared" si="6"/>
        <v>1688.73</v>
      </c>
      <c r="J21" s="204"/>
      <c r="K21" s="442" t="s">
        <v>2057</v>
      </c>
      <c r="M21" s="418"/>
      <c r="N21" s="418">
        <f t="shared" si="9"/>
        <v>1688.73</v>
      </c>
      <c r="O21" s="418"/>
      <c r="P21" s="418"/>
      <c r="Q21" s="418"/>
      <c r="R21" s="418"/>
      <c r="S21" s="418"/>
    </row>
    <row r="22" spans="1:19" ht="33.4">
      <c r="A22" s="413">
        <v>1</v>
      </c>
      <c r="B22" s="413" t="s">
        <v>517</v>
      </c>
      <c r="C22" s="420" t="s">
        <v>540</v>
      </c>
      <c r="D22" s="413" t="s">
        <v>990</v>
      </c>
      <c r="E22" s="420" t="s">
        <v>991</v>
      </c>
      <c r="F22" s="421">
        <v>33.21</v>
      </c>
      <c r="G22" s="410"/>
      <c r="H22" s="409">
        <f t="shared" si="5"/>
        <v>33.21</v>
      </c>
      <c r="I22" s="409">
        <f t="shared" si="6"/>
        <v>33.21</v>
      </c>
      <c r="J22" s="204"/>
      <c r="M22" s="418"/>
      <c r="N22" s="418">
        <f t="shared" si="9"/>
        <v>33.21</v>
      </c>
      <c r="O22" s="418"/>
      <c r="P22" s="418"/>
      <c r="Q22" s="418"/>
      <c r="R22" s="418"/>
      <c r="S22" s="418"/>
    </row>
    <row r="23" spans="1:19" ht="33.4">
      <c r="A23" s="413">
        <v>5</v>
      </c>
      <c r="B23" s="413" t="s">
        <v>517</v>
      </c>
      <c r="C23" s="420" t="s">
        <v>540</v>
      </c>
      <c r="D23" s="413" t="s">
        <v>998</v>
      </c>
      <c r="E23" s="420" t="s">
        <v>999</v>
      </c>
      <c r="F23" s="421">
        <v>116.67</v>
      </c>
      <c r="G23" s="410"/>
      <c r="H23" s="409">
        <f t="shared" si="5"/>
        <v>116.67</v>
      </c>
      <c r="I23" s="409">
        <f t="shared" si="6"/>
        <v>583.35</v>
      </c>
      <c r="J23" s="204"/>
      <c r="M23" s="418"/>
      <c r="N23" s="418">
        <f t="shared" si="9"/>
        <v>583.35</v>
      </c>
      <c r="O23" s="418"/>
      <c r="P23" s="418"/>
      <c r="Q23" s="418"/>
      <c r="R23" s="418"/>
      <c r="S23" s="418"/>
    </row>
    <row r="24" spans="1:19" ht="33.4">
      <c r="A24" s="413">
        <v>40</v>
      </c>
      <c r="B24" s="413" t="s">
        <v>517</v>
      </c>
      <c r="C24" s="420" t="s">
        <v>540</v>
      </c>
      <c r="D24" s="413" t="s">
        <v>761</v>
      </c>
      <c r="E24" s="420" t="s">
        <v>762</v>
      </c>
      <c r="F24" s="421">
        <v>2.5</v>
      </c>
      <c r="G24" s="410"/>
      <c r="H24" s="409">
        <f t="shared" si="5"/>
        <v>2.5</v>
      </c>
      <c r="I24" s="409">
        <f t="shared" si="6"/>
        <v>100</v>
      </c>
      <c r="J24" s="204"/>
      <c r="M24" s="418"/>
      <c r="N24" s="418"/>
      <c r="O24" s="418"/>
      <c r="P24" s="418"/>
      <c r="Q24" s="418"/>
      <c r="R24" s="418">
        <f t="shared" si="7"/>
        <v>100</v>
      </c>
      <c r="S24" s="418"/>
    </row>
    <row r="25" spans="1:19" ht="35.85" customHeight="1">
      <c r="A25" s="413">
        <v>1</v>
      </c>
      <c r="B25" s="413" t="s">
        <v>522</v>
      </c>
      <c r="C25" s="420" t="s">
        <v>678</v>
      </c>
      <c r="D25" s="413"/>
      <c r="E25" s="420" t="s">
        <v>1159</v>
      </c>
      <c r="F25" s="421">
        <v>1061.32</v>
      </c>
      <c r="G25" s="410"/>
      <c r="H25" s="409">
        <f t="shared" si="5"/>
        <v>1061.32</v>
      </c>
      <c r="I25" s="409">
        <f t="shared" si="6"/>
        <v>1061.32</v>
      </c>
      <c r="J25" s="1054"/>
      <c r="K25" s="1054"/>
      <c r="L25" s="1054"/>
      <c r="M25" s="418"/>
      <c r="N25" s="418"/>
      <c r="O25" s="418"/>
      <c r="P25" s="418"/>
      <c r="Q25" s="418"/>
      <c r="R25" s="418">
        <f t="shared" si="7"/>
        <v>1061.32</v>
      </c>
      <c r="S25" s="418"/>
    </row>
    <row r="26" spans="1:19">
      <c r="A26" s="407"/>
      <c r="B26" s="407"/>
      <c r="C26" s="408"/>
      <c r="D26" s="407"/>
      <c r="E26" s="408"/>
      <c r="F26" s="409"/>
      <c r="G26" s="410"/>
      <c r="H26" s="409">
        <f t="shared" si="5"/>
        <v>0</v>
      </c>
      <c r="I26" s="409">
        <f t="shared" si="6"/>
        <v>0</v>
      </c>
      <c r="J26" s="204"/>
      <c r="M26" s="418"/>
      <c r="N26" s="418"/>
      <c r="O26" s="418"/>
      <c r="P26" s="418"/>
      <c r="Q26" s="418"/>
      <c r="R26" s="418">
        <f t="shared" si="7"/>
        <v>0</v>
      </c>
      <c r="S26" s="418"/>
    </row>
    <row r="27" spans="1:19" ht="22.25">
      <c r="A27" s="413">
        <v>1</v>
      </c>
      <c r="B27" s="413" t="s">
        <v>522</v>
      </c>
      <c r="C27" s="420" t="s">
        <v>531</v>
      </c>
      <c r="D27" s="413"/>
      <c r="E27" s="420" t="s">
        <v>695</v>
      </c>
      <c r="F27" s="421">
        <v>100</v>
      </c>
      <c r="G27" s="410"/>
      <c r="H27" s="409">
        <f t="shared" si="5"/>
        <v>100</v>
      </c>
      <c r="I27" s="409">
        <f t="shared" si="6"/>
        <v>100</v>
      </c>
      <c r="J27" s="204"/>
      <c r="M27" s="418"/>
      <c r="N27" s="418"/>
      <c r="O27" s="418">
        <f t="shared" si="8"/>
        <v>100</v>
      </c>
      <c r="P27" s="418"/>
      <c r="Q27" s="418"/>
      <c r="R27" s="418"/>
      <c r="S27" s="418"/>
    </row>
    <row r="28" spans="1:19" ht="33.4">
      <c r="A28" s="413">
        <v>1</v>
      </c>
      <c r="B28" s="413" t="s">
        <v>517</v>
      </c>
      <c r="C28" s="420" t="s">
        <v>540</v>
      </c>
      <c r="D28" s="413" t="s">
        <v>769</v>
      </c>
      <c r="E28" s="420" t="s">
        <v>567</v>
      </c>
      <c r="F28" s="421">
        <v>750</v>
      </c>
      <c r="G28" s="410"/>
      <c r="H28" s="409">
        <f t="shared" si="5"/>
        <v>750</v>
      </c>
      <c r="I28" s="409">
        <f t="shared" si="6"/>
        <v>750</v>
      </c>
      <c r="J28" s="204"/>
      <c r="M28" s="418">
        <f>F28</f>
        <v>750</v>
      </c>
      <c r="N28" s="418"/>
      <c r="O28" s="418"/>
      <c r="P28" s="418"/>
      <c r="Q28" s="418"/>
      <c r="R28" s="418"/>
      <c r="S28" s="418"/>
    </row>
    <row r="29" spans="1:19">
      <c r="A29" s="413">
        <v>65</v>
      </c>
      <c r="B29" s="413" t="s">
        <v>539</v>
      </c>
      <c r="C29" s="413" t="s">
        <v>552</v>
      </c>
      <c r="D29" s="413"/>
      <c r="E29" s="413" t="s">
        <v>1063</v>
      </c>
      <c r="F29" s="421">
        <v>38.520000000000003</v>
      </c>
      <c r="G29" s="428"/>
      <c r="H29" s="409">
        <f t="shared" si="5"/>
        <v>38.520000000000003</v>
      </c>
      <c r="I29" s="409">
        <f t="shared" si="6"/>
        <v>2503.8000000000002</v>
      </c>
      <c r="J29" s="442" t="s">
        <v>2069</v>
      </c>
      <c r="M29" s="418"/>
      <c r="N29" s="418"/>
      <c r="O29" s="418">
        <f t="shared" si="8"/>
        <v>2503.8000000000002</v>
      </c>
      <c r="P29" s="418"/>
      <c r="Q29" s="418"/>
      <c r="R29" s="418"/>
      <c r="S29" s="418"/>
    </row>
    <row r="30" spans="1:19">
      <c r="A30" s="413">
        <v>50</v>
      </c>
      <c r="B30" s="413" t="s">
        <v>539</v>
      </c>
      <c r="C30" s="423" t="s">
        <v>531</v>
      </c>
      <c r="D30" s="413"/>
      <c r="E30" s="420" t="s">
        <v>2059</v>
      </c>
      <c r="F30" s="421">
        <f>13.69*(150/120)^0.8</f>
        <v>16.365582152657005</v>
      </c>
      <c r="G30" s="428"/>
      <c r="H30" s="409">
        <f t="shared" si="5"/>
        <v>16.365582152657005</v>
      </c>
      <c r="I30" s="409">
        <f t="shared" si="6"/>
        <v>818.27910763285024</v>
      </c>
      <c r="J30" s="442" t="s">
        <v>2070</v>
      </c>
      <c r="L30" s="442"/>
      <c r="M30" s="418"/>
      <c r="N30" s="418"/>
      <c r="O30" s="418">
        <f t="shared" si="8"/>
        <v>818.27910763285024</v>
      </c>
      <c r="P30" s="418"/>
      <c r="Q30" s="418"/>
      <c r="R30" s="418"/>
      <c r="S30" s="418"/>
    </row>
    <row r="31" spans="1:19" ht="44.55">
      <c r="A31" s="413">
        <v>0</v>
      </c>
      <c r="B31" s="413" t="s">
        <v>517</v>
      </c>
      <c r="C31" s="420" t="s">
        <v>569</v>
      </c>
      <c r="D31" s="413" t="s">
        <v>570</v>
      </c>
      <c r="E31" s="420" t="s">
        <v>571</v>
      </c>
      <c r="F31" s="421">
        <v>1040</v>
      </c>
      <c r="G31" s="495">
        <v>0.48</v>
      </c>
      <c r="H31" s="430">
        <f t="shared" si="5"/>
        <v>540.80000000000007</v>
      </c>
      <c r="I31" s="409">
        <f t="shared" si="6"/>
        <v>0</v>
      </c>
      <c r="J31" s="204"/>
      <c r="M31" s="418"/>
      <c r="N31" s="418"/>
      <c r="O31" s="418"/>
      <c r="P31" s="418"/>
      <c r="Q31" s="418"/>
      <c r="R31" s="418"/>
      <c r="S31" s="418">
        <f t="shared" ref="S31:S35" si="10">I31</f>
        <v>0</v>
      </c>
    </row>
    <row r="32" spans="1:19" ht="55.65">
      <c r="A32" s="413">
        <v>1</v>
      </c>
      <c r="B32" s="413" t="s">
        <v>517</v>
      </c>
      <c r="C32" s="424" t="s">
        <v>569</v>
      </c>
      <c r="D32" s="423" t="s">
        <v>572</v>
      </c>
      <c r="E32" s="424" t="s">
        <v>573</v>
      </c>
      <c r="F32" s="425">
        <v>1190</v>
      </c>
      <c r="G32" s="495">
        <v>0.48</v>
      </c>
      <c r="H32" s="430">
        <f t="shared" si="5"/>
        <v>618.80000000000007</v>
      </c>
      <c r="I32" s="409">
        <f t="shared" si="6"/>
        <v>618.80000000000007</v>
      </c>
      <c r="J32" s="204"/>
      <c r="M32" s="418"/>
      <c r="N32" s="418"/>
      <c r="O32" s="418"/>
      <c r="P32" s="418"/>
      <c r="Q32" s="418"/>
      <c r="R32" s="418"/>
      <c r="S32" s="418">
        <f t="shared" si="10"/>
        <v>618.80000000000007</v>
      </c>
    </row>
    <row r="33" spans="1:19">
      <c r="A33" s="413">
        <v>3</v>
      </c>
      <c r="B33" s="413" t="s">
        <v>517</v>
      </c>
      <c r="C33" s="420" t="s">
        <v>574</v>
      </c>
      <c r="D33" s="413" t="s">
        <v>575</v>
      </c>
      <c r="E33" s="413" t="s">
        <v>576</v>
      </c>
      <c r="F33" s="421">
        <v>36.700000000000003</v>
      </c>
      <c r="G33" s="422"/>
      <c r="H33" s="409">
        <f t="shared" si="5"/>
        <v>36.700000000000003</v>
      </c>
      <c r="I33" s="409">
        <f t="shared" si="6"/>
        <v>110.10000000000001</v>
      </c>
      <c r="J33" s="204"/>
      <c r="M33" s="418"/>
      <c r="N33" s="418"/>
      <c r="O33" s="418"/>
      <c r="P33" s="418"/>
      <c r="Q33" s="418"/>
      <c r="R33" s="418"/>
      <c r="S33" s="418">
        <f t="shared" si="10"/>
        <v>110.10000000000001</v>
      </c>
    </row>
    <row r="34" spans="1:19">
      <c r="A34" s="413">
        <v>5</v>
      </c>
      <c r="B34" s="413" t="s">
        <v>517</v>
      </c>
      <c r="C34" s="420" t="s">
        <v>574</v>
      </c>
      <c r="D34" s="413" t="s">
        <v>577</v>
      </c>
      <c r="E34" s="413" t="s">
        <v>578</v>
      </c>
      <c r="F34" s="421">
        <v>75</v>
      </c>
      <c r="G34" s="422"/>
      <c r="H34" s="409">
        <f t="shared" si="5"/>
        <v>75</v>
      </c>
      <c r="I34" s="409">
        <f t="shared" si="6"/>
        <v>375</v>
      </c>
      <c r="J34" s="204"/>
      <c r="M34" s="418"/>
      <c r="N34" s="418"/>
      <c r="O34" s="418"/>
      <c r="P34" s="418"/>
      <c r="Q34" s="418"/>
      <c r="R34" s="418"/>
      <c r="S34" s="418">
        <f t="shared" si="10"/>
        <v>375</v>
      </c>
    </row>
    <row r="35" spans="1:19">
      <c r="A35" s="413">
        <v>1</v>
      </c>
      <c r="B35" s="413" t="s">
        <v>517</v>
      </c>
      <c r="C35" s="420" t="s">
        <v>574</v>
      </c>
      <c r="D35" s="413"/>
      <c r="E35" s="413" t="s">
        <v>579</v>
      </c>
      <c r="F35" s="421">
        <f>35/4</f>
        <v>8.75</v>
      </c>
      <c r="G35" s="422"/>
      <c r="H35" s="409">
        <f t="shared" si="5"/>
        <v>8.75</v>
      </c>
      <c r="I35" s="409">
        <f t="shared" si="6"/>
        <v>8.75</v>
      </c>
      <c r="J35" s="204"/>
      <c r="M35" s="418"/>
      <c r="N35" s="418"/>
      <c r="O35" s="418"/>
      <c r="P35" s="418"/>
      <c r="Q35" s="418"/>
      <c r="R35" s="418"/>
      <c r="S35" s="418">
        <f t="shared" si="10"/>
        <v>8.75</v>
      </c>
    </row>
    <row r="36" spans="1:19" ht="12.45">
      <c r="A36" s="407"/>
      <c r="B36" s="407"/>
      <c r="C36" s="408"/>
      <c r="D36" s="407"/>
      <c r="E36" s="431"/>
      <c r="F36" s="409"/>
      <c r="G36" s="410"/>
      <c r="H36" s="409"/>
      <c r="I36" s="409"/>
      <c r="J36" s="204"/>
      <c r="M36" s="418"/>
      <c r="N36" s="418"/>
      <c r="O36" s="418"/>
      <c r="P36" s="418"/>
      <c r="Q36" s="418"/>
      <c r="R36" s="418"/>
      <c r="S36" s="418"/>
    </row>
    <row r="37" spans="1:19">
      <c r="A37" s="407"/>
      <c r="B37" s="407"/>
      <c r="C37" s="408"/>
      <c r="D37" s="407"/>
      <c r="E37" s="407"/>
      <c r="F37" s="409"/>
      <c r="G37" s="410"/>
      <c r="H37" s="409"/>
      <c r="I37" s="409"/>
      <c r="J37" s="204"/>
      <c r="M37" s="418"/>
      <c r="N37" s="418"/>
      <c r="O37" s="418"/>
      <c r="P37" s="418"/>
      <c r="Q37" s="418"/>
      <c r="R37" s="418"/>
      <c r="S37" s="418"/>
    </row>
    <row r="38" spans="1:19">
      <c r="A38" s="407"/>
      <c r="B38" s="407"/>
      <c r="C38" s="408"/>
      <c r="D38" s="407"/>
      <c r="E38" s="432" t="s">
        <v>580</v>
      </c>
      <c r="F38" s="409"/>
      <c r="G38" s="410"/>
      <c r="H38" s="409"/>
      <c r="I38" s="421">
        <f>SUM(I4:I36)</f>
        <v>77260.196758862236</v>
      </c>
      <c r="J38" s="204"/>
      <c r="M38" s="418">
        <f>SUM(M4:M36)</f>
        <v>53512.750275229359</v>
      </c>
      <c r="N38" s="418">
        <f>SUM(N4:N36)</f>
        <v>11355.289999999999</v>
      </c>
      <c r="O38" s="418">
        <f>SUM(O4:O36)</f>
        <v>4883.2964836328501</v>
      </c>
      <c r="P38" s="418"/>
      <c r="Q38" s="418"/>
      <c r="R38" s="418">
        <f>SUM(R4:R36)</f>
        <v>6396.21</v>
      </c>
      <c r="S38" s="418">
        <f>SUM(S4:S36)</f>
        <v>1112.6500000000001</v>
      </c>
    </row>
    <row r="39" spans="1:19">
      <c r="A39" s="407"/>
      <c r="B39" s="407"/>
      <c r="C39" s="408"/>
      <c r="D39" s="407"/>
      <c r="E39" s="413" t="s">
        <v>581</v>
      </c>
      <c r="F39" s="409"/>
      <c r="G39" s="410">
        <v>0.25</v>
      </c>
      <c r="H39" s="409"/>
      <c r="I39" s="421"/>
      <c r="J39" s="204"/>
      <c r="M39" s="418"/>
      <c r="N39" s="418"/>
      <c r="O39" s="418"/>
      <c r="P39" s="418"/>
      <c r="Q39" s="418"/>
      <c r="R39" s="418"/>
      <c r="S39" s="418"/>
    </row>
    <row r="40" spans="1:19" ht="15.75">
      <c r="E40" s="433" t="s">
        <v>582</v>
      </c>
      <c r="F40" s="418"/>
      <c r="G40" s="434"/>
      <c r="H40" s="418"/>
      <c r="I40" s="435">
        <f>I38*(1+$G$39)</f>
        <v>96575.245948577794</v>
      </c>
      <c r="J40" s="436"/>
      <c r="K40" s="437"/>
      <c r="L40" s="437"/>
      <c r="M40" s="438">
        <f>M38*(1+$G$39)</f>
        <v>66890.9378440367</v>
      </c>
      <c r="N40" s="438">
        <f>N38*(1+$G$39)</f>
        <v>14194.112499999999</v>
      </c>
      <c r="O40" s="438">
        <f>O38*(1+$G$39)</f>
        <v>6104.1206045410627</v>
      </c>
      <c r="P40" s="438">
        <f>P69</f>
        <v>22120</v>
      </c>
      <c r="Q40" s="438">
        <f>Q102</f>
        <v>19700.998336064386</v>
      </c>
      <c r="R40" s="438">
        <f>R38*(1+$G$39)</f>
        <v>7995.2624999999998</v>
      </c>
      <c r="S40" s="438">
        <f>S38*(1+$G$39)</f>
        <v>1390.8125</v>
      </c>
    </row>
    <row r="43" spans="1:19">
      <c r="E43" s="439" t="s">
        <v>585</v>
      </c>
    </row>
    <row r="44" spans="1:19">
      <c r="A44" s="441">
        <f>2*16</f>
        <v>32</v>
      </c>
      <c r="B44" s="17" t="s">
        <v>619</v>
      </c>
      <c r="E44" s="17" t="s">
        <v>586</v>
      </c>
      <c r="F44" s="403">
        <f t="shared" ref="F44:F60" si="11">F$64</f>
        <v>55</v>
      </c>
      <c r="H44" s="403">
        <f t="shared" si="5"/>
        <v>55</v>
      </c>
      <c r="I44" s="403">
        <f t="shared" ref="I44:I66" si="12">A44*H44</f>
        <v>1760</v>
      </c>
    </row>
    <row r="45" spans="1:19">
      <c r="A45" s="441">
        <f>(A6+A7)/120*8*2</f>
        <v>64.266666666666666</v>
      </c>
      <c r="B45" s="17" t="s">
        <v>619</v>
      </c>
      <c r="E45" s="17" t="s">
        <v>589</v>
      </c>
      <c r="F45" s="403">
        <f t="shared" si="11"/>
        <v>55</v>
      </c>
      <c r="H45" s="403">
        <f t="shared" si="5"/>
        <v>55</v>
      </c>
      <c r="I45" s="403">
        <f t="shared" si="12"/>
        <v>3534.6666666666665</v>
      </c>
      <c r="J45" s="17" t="s">
        <v>592</v>
      </c>
    </row>
    <row r="46" spans="1:19">
      <c r="A46" s="441">
        <v>8</v>
      </c>
      <c r="B46" s="17" t="s">
        <v>619</v>
      </c>
      <c r="E46" s="17" t="s">
        <v>1426</v>
      </c>
      <c r="F46" s="403">
        <f t="shared" si="11"/>
        <v>55</v>
      </c>
      <c r="H46" s="403">
        <f t="shared" si="5"/>
        <v>55</v>
      </c>
      <c r="I46" s="403">
        <f t="shared" si="12"/>
        <v>440</v>
      </c>
      <c r="J46" s="17" t="s">
        <v>2060</v>
      </c>
    </row>
    <row r="47" spans="1:19">
      <c r="A47" s="441">
        <f>A4/120*16*2</f>
        <v>128.53333333333333</v>
      </c>
      <c r="B47" s="17" t="s">
        <v>619</v>
      </c>
      <c r="E47" s="17" t="s">
        <v>591</v>
      </c>
      <c r="F47" s="403">
        <f t="shared" si="11"/>
        <v>55</v>
      </c>
      <c r="H47" s="403">
        <f t="shared" si="5"/>
        <v>55</v>
      </c>
      <c r="I47" s="403">
        <f t="shared" si="12"/>
        <v>7069.333333333333</v>
      </c>
      <c r="J47" s="17" t="s">
        <v>592</v>
      </c>
    </row>
    <row r="48" spans="1:19">
      <c r="A48" s="441">
        <v>4</v>
      </c>
      <c r="B48" s="17" t="s">
        <v>619</v>
      </c>
      <c r="E48" s="17" t="s">
        <v>1428</v>
      </c>
      <c r="F48" s="403">
        <f t="shared" si="11"/>
        <v>55</v>
      </c>
      <c r="H48" s="403">
        <f t="shared" si="5"/>
        <v>55</v>
      </c>
      <c r="I48" s="403">
        <f t="shared" si="12"/>
        <v>220</v>
      </c>
    </row>
    <row r="49" spans="1:10">
      <c r="A49" s="441">
        <v>4</v>
      </c>
      <c r="B49" s="17" t="s">
        <v>619</v>
      </c>
      <c r="E49" s="17" t="s">
        <v>1429</v>
      </c>
      <c r="F49" s="403">
        <f t="shared" si="11"/>
        <v>55</v>
      </c>
      <c r="H49" s="403">
        <f t="shared" si="5"/>
        <v>55</v>
      </c>
      <c r="I49" s="403">
        <f t="shared" si="12"/>
        <v>220</v>
      </c>
    </row>
    <row r="50" spans="1:10">
      <c r="A50" s="441">
        <f>8/6*8</f>
        <v>10.666666666666666</v>
      </c>
      <c r="B50" s="17" t="s">
        <v>619</v>
      </c>
      <c r="E50" s="17" t="s">
        <v>605</v>
      </c>
      <c r="F50" s="403">
        <f t="shared" si="11"/>
        <v>55</v>
      </c>
      <c r="H50" s="403">
        <f t="shared" si="5"/>
        <v>55</v>
      </c>
      <c r="I50" s="403">
        <f t="shared" si="12"/>
        <v>586.66666666666663</v>
      </c>
      <c r="J50" s="17" t="s">
        <v>1561</v>
      </c>
    </row>
    <row r="51" spans="1:10">
      <c r="A51" s="441">
        <f>2*6</f>
        <v>12</v>
      </c>
      <c r="B51" s="17" t="s">
        <v>619</v>
      </c>
      <c r="E51" s="17" t="s">
        <v>607</v>
      </c>
      <c r="F51" s="403">
        <f t="shared" si="11"/>
        <v>55</v>
      </c>
      <c r="H51" s="403">
        <f t="shared" si="5"/>
        <v>55</v>
      </c>
      <c r="I51" s="403">
        <f t="shared" si="12"/>
        <v>660</v>
      </c>
      <c r="J51" s="17" t="s">
        <v>2061</v>
      </c>
    </row>
    <row r="52" spans="1:10">
      <c r="A52" s="441">
        <v>0.5</v>
      </c>
      <c r="B52" s="17" t="s">
        <v>619</v>
      </c>
      <c r="E52" s="17" t="s">
        <v>609</v>
      </c>
      <c r="F52" s="403">
        <f t="shared" si="11"/>
        <v>55</v>
      </c>
      <c r="H52" s="403">
        <f t="shared" si="5"/>
        <v>55</v>
      </c>
      <c r="I52" s="403">
        <f t="shared" si="12"/>
        <v>27.5</v>
      </c>
    </row>
    <row r="53" spans="1:10">
      <c r="A53" s="441">
        <v>32</v>
      </c>
      <c r="B53" s="17" t="s">
        <v>619</v>
      </c>
      <c r="E53" s="17" t="s">
        <v>610</v>
      </c>
      <c r="F53" s="403">
        <f t="shared" si="11"/>
        <v>55</v>
      </c>
      <c r="H53" s="403">
        <f t="shared" si="5"/>
        <v>55</v>
      </c>
      <c r="I53" s="403">
        <f t="shared" si="12"/>
        <v>1760</v>
      </c>
    </row>
    <row r="54" spans="1:10">
      <c r="A54" s="441">
        <v>2</v>
      </c>
      <c r="B54" s="17" t="s">
        <v>619</v>
      </c>
      <c r="E54" s="17" t="s">
        <v>611</v>
      </c>
      <c r="F54" s="403">
        <f t="shared" si="11"/>
        <v>55</v>
      </c>
      <c r="H54" s="403">
        <f t="shared" si="5"/>
        <v>55</v>
      </c>
      <c r="I54" s="403">
        <f t="shared" si="12"/>
        <v>110</v>
      </c>
    </row>
    <row r="55" spans="1:10">
      <c r="A55" s="441">
        <v>1</v>
      </c>
      <c r="B55" s="17" t="s">
        <v>619</v>
      </c>
      <c r="E55" s="17" t="s">
        <v>1431</v>
      </c>
      <c r="F55" s="403">
        <f t="shared" si="11"/>
        <v>55</v>
      </c>
      <c r="H55" s="403">
        <f t="shared" si="5"/>
        <v>55</v>
      </c>
      <c r="I55" s="403">
        <f t="shared" si="12"/>
        <v>55</v>
      </c>
    </row>
    <row r="56" spans="1:10">
      <c r="A56" s="441">
        <v>4</v>
      </c>
      <c r="B56" s="17" t="s">
        <v>619</v>
      </c>
      <c r="E56" s="17" t="s">
        <v>612</v>
      </c>
      <c r="F56" s="403">
        <f t="shared" si="11"/>
        <v>55</v>
      </c>
      <c r="H56" s="403">
        <f t="shared" si="5"/>
        <v>55</v>
      </c>
      <c r="I56" s="403">
        <f t="shared" si="12"/>
        <v>220</v>
      </c>
    </row>
    <row r="57" spans="1:10">
      <c r="A57" s="441">
        <f>A44</f>
        <v>32</v>
      </c>
      <c r="B57" s="17" t="s">
        <v>619</v>
      </c>
      <c r="E57" s="17" t="s">
        <v>614</v>
      </c>
      <c r="F57" s="403">
        <f t="shared" si="11"/>
        <v>55</v>
      </c>
      <c r="H57" s="403">
        <f t="shared" si="5"/>
        <v>55</v>
      </c>
      <c r="I57" s="403">
        <f t="shared" si="12"/>
        <v>1760</v>
      </c>
    </row>
    <row r="58" spans="1:10">
      <c r="A58" s="441">
        <v>8</v>
      </c>
      <c r="B58" s="17" t="s">
        <v>619</v>
      </c>
      <c r="E58" s="17" t="s">
        <v>615</v>
      </c>
      <c r="F58" s="403">
        <f t="shared" si="11"/>
        <v>55</v>
      </c>
      <c r="H58" s="403">
        <f t="shared" si="5"/>
        <v>55</v>
      </c>
      <c r="I58" s="403">
        <f t="shared" si="12"/>
        <v>440</v>
      </c>
      <c r="J58" s="17" t="s">
        <v>2062</v>
      </c>
    </row>
    <row r="59" spans="1:10">
      <c r="A59" s="441">
        <v>4</v>
      </c>
      <c r="B59" s="17" t="s">
        <v>619</v>
      </c>
      <c r="E59" s="17" t="s">
        <v>616</v>
      </c>
      <c r="F59" s="403">
        <f t="shared" si="11"/>
        <v>55</v>
      </c>
      <c r="H59" s="403">
        <f t="shared" si="5"/>
        <v>55</v>
      </c>
      <c r="I59" s="403">
        <f t="shared" si="12"/>
        <v>220</v>
      </c>
    </row>
    <row r="60" spans="1:10">
      <c r="A60" s="745">
        <f>105*0.25</f>
        <v>26.25</v>
      </c>
      <c r="B60" s="442" t="s">
        <v>619</v>
      </c>
      <c r="C60" s="446"/>
      <c r="D60" s="442"/>
      <c r="E60" s="17" t="s">
        <v>617</v>
      </c>
      <c r="F60" s="443">
        <f t="shared" si="11"/>
        <v>55</v>
      </c>
      <c r="G60" s="444"/>
      <c r="H60" s="443">
        <f t="shared" si="5"/>
        <v>55</v>
      </c>
      <c r="I60" s="443">
        <f t="shared" si="12"/>
        <v>1443.75</v>
      </c>
      <c r="J60" s="17" t="s">
        <v>618</v>
      </c>
    </row>
    <row r="62" spans="1:10">
      <c r="A62" s="17">
        <f>SUM(A44:A61)</f>
        <v>373.2166666666667</v>
      </c>
      <c r="B62" s="17" t="s">
        <v>619</v>
      </c>
      <c r="E62" s="17" t="s">
        <v>620</v>
      </c>
    </row>
    <row r="63" spans="1:10">
      <c r="A63" s="441">
        <v>3</v>
      </c>
      <c r="B63" s="17" t="s">
        <v>517</v>
      </c>
      <c r="E63" s="17" t="s">
        <v>621</v>
      </c>
    </row>
    <row r="64" spans="1:10">
      <c r="A64" s="17">
        <v>1</v>
      </c>
      <c r="B64" s="17" t="s">
        <v>517</v>
      </c>
      <c r="E64" s="17" t="s">
        <v>622</v>
      </c>
      <c r="F64" s="445">
        <v>55</v>
      </c>
      <c r="H64" s="403">
        <f t="shared" si="5"/>
        <v>55</v>
      </c>
      <c r="I64" s="403">
        <f t="shared" si="12"/>
        <v>55</v>
      </c>
      <c r="J64" s="17" t="s">
        <v>623</v>
      </c>
    </row>
    <row r="65" spans="1:16">
      <c r="A65" s="17">
        <f>ROUNDUP(A62/8/A63,0)</f>
        <v>16</v>
      </c>
      <c r="B65" s="17" t="s">
        <v>624</v>
      </c>
      <c r="E65" s="17" t="s">
        <v>625</v>
      </c>
      <c r="F65" s="403">
        <f>A63*8*F64</f>
        <v>1320</v>
      </c>
      <c r="H65" s="403">
        <f t="shared" si="5"/>
        <v>1320</v>
      </c>
      <c r="I65" s="403">
        <f t="shared" si="12"/>
        <v>21120</v>
      </c>
    </row>
    <row r="66" spans="1:16">
      <c r="A66" s="441">
        <v>1</v>
      </c>
      <c r="B66" s="442" t="s">
        <v>517</v>
      </c>
      <c r="C66" s="446"/>
      <c r="D66" s="442"/>
      <c r="E66" s="442" t="s">
        <v>626</v>
      </c>
      <c r="F66" s="447">
        <v>500</v>
      </c>
      <c r="G66" s="444"/>
      <c r="H66" s="403">
        <v>1000</v>
      </c>
      <c r="I66" s="403">
        <f t="shared" si="12"/>
        <v>1000</v>
      </c>
      <c r="J66" s="17" t="s">
        <v>627</v>
      </c>
    </row>
    <row r="67" spans="1:16">
      <c r="A67" s="441"/>
      <c r="F67" s="447"/>
      <c r="H67" s="403"/>
      <c r="I67" s="403"/>
    </row>
    <row r="68" spans="1:16">
      <c r="A68" s="441"/>
      <c r="F68" s="447"/>
      <c r="H68" s="403"/>
      <c r="I68" s="403"/>
    </row>
    <row r="69" spans="1:16" ht="15.75">
      <c r="E69" s="439" t="s">
        <v>628</v>
      </c>
      <c r="I69" s="443">
        <f>SUM(I65:I68)</f>
        <v>22120</v>
      </c>
      <c r="P69" s="438">
        <f>I69</f>
        <v>22120</v>
      </c>
    </row>
    <row r="72" spans="1:16">
      <c r="E72" s="449" t="s">
        <v>630</v>
      </c>
    </row>
    <row r="73" spans="1:16">
      <c r="E73" s="449" t="s">
        <v>635</v>
      </c>
    </row>
    <row r="74" spans="1:16" ht="66.8">
      <c r="A74" s="915">
        <v>0</v>
      </c>
      <c r="B74" s="17" t="s">
        <v>517</v>
      </c>
      <c r="C74" s="204" t="s">
        <v>698</v>
      </c>
      <c r="D74" s="17" t="s">
        <v>636</v>
      </c>
      <c r="E74" s="17" t="s">
        <v>637</v>
      </c>
      <c r="F74" s="445">
        <v>1809</v>
      </c>
      <c r="G74" s="404">
        <v>0.4</v>
      </c>
      <c r="H74" s="403">
        <f t="shared" ref="H74:H98" si="13">F74*(1-G74)</f>
        <v>1085.3999999999999</v>
      </c>
      <c r="I74" s="403">
        <f t="shared" ref="I74:I98" si="14">A74*H74</f>
        <v>0</v>
      </c>
      <c r="J74" s="17" t="s">
        <v>638</v>
      </c>
      <c r="K74" s="17" t="s">
        <v>1892</v>
      </c>
    </row>
    <row r="75" spans="1:16">
      <c r="A75" s="915">
        <v>0</v>
      </c>
      <c r="B75" s="17" t="s">
        <v>517</v>
      </c>
      <c r="C75" s="204" t="s">
        <v>538</v>
      </c>
      <c r="D75" s="17" t="s">
        <v>640</v>
      </c>
      <c r="E75" s="17" t="s">
        <v>1893</v>
      </c>
      <c r="F75" s="445">
        <v>1949</v>
      </c>
      <c r="G75" s="404">
        <v>0.4</v>
      </c>
      <c r="H75" s="403">
        <f t="shared" si="13"/>
        <v>1169.3999999999999</v>
      </c>
      <c r="I75" s="403">
        <f t="shared" si="14"/>
        <v>0</v>
      </c>
      <c r="J75" s="17" t="s">
        <v>638</v>
      </c>
      <c r="K75" s="17" t="s">
        <v>1894</v>
      </c>
    </row>
    <row r="76" spans="1:16">
      <c r="A76" s="915">
        <v>0</v>
      </c>
      <c r="B76" s="17" t="s">
        <v>517</v>
      </c>
      <c r="C76" s="204" t="s">
        <v>538</v>
      </c>
      <c r="D76" s="17" t="s">
        <v>640</v>
      </c>
      <c r="E76" s="17" t="s">
        <v>1895</v>
      </c>
      <c r="F76" s="445">
        <v>1949</v>
      </c>
      <c r="G76" s="404">
        <v>0.4</v>
      </c>
      <c r="H76" s="403">
        <f t="shared" si="13"/>
        <v>1169.3999999999999</v>
      </c>
      <c r="I76" s="403">
        <f t="shared" si="14"/>
        <v>0</v>
      </c>
      <c r="J76" s="17" t="s">
        <v>638</v>
      </c>
      <c r="K76" s="17" t="s">
        <v>1894</v>
      </c>
    </row>
    <row r="77" spans="1:16">
      <c r="A77" s="915">
        <v>0</v>
      </c>
      <c r="B77" s="17" t="s">
        <v>517</v>
      </c>
      <c r="C77" s="204" t="s">
        <v>538</v>
      </c>
      <c r="D77" s="17" t="s">
        <v>640</v>
      </c>
      <c r="E77" s="17" t="s">
        <v>1896</v>
      </c>
      <c r="F77" s="445">
        <v>2447</v>
      </c>
      <c r="G77" s="404">
        <v>0.4</v>
      </c>
      <c r="H77" s="403">
        <f t="shared" si="13"/>
        <v>1468.2</v>
      </c>
      <c r="I77" s="403">
        <f t="shared" si="14"/>
        <v>0</v>
      </c>
      <c r="J77" s="17" t="s">
        <v>638</v>
      </c>
      <c r="K77" s="17" t="s">
        <v>1894</v>
      </c>
    </row>
    <row r="78" spans="1:16">
      <c r="A78" s="915">
        <v>0</v>
      </c>
      <c r="B78" s="17" t="s">
        <v>517</v>
      </c>
      <c r="C78" s="204" t="s">
        <v>538</v>
      </c>
      <c r="D78" s="17" t="s">
        <v>640</v>
      </c>
      <c r="E78" s="17" t="s">
        <v>1897</v>
      </c>
      <c r="F78" s="445">
        <v>4395</v>
      </c>
      <c r="G78" s="404">
        <v>0.4</v>
      </c>
      <c r="H78" s="403">
        <f t="shared" si="13"/>
        <v>2637</v>
      </c>
      <c r="I78" s="403">
        <f t="shared" si="14"/>
        <v>0</v>
      </c>
      <c r="J78" s="17" t="s">
        <v>638</v>
      </c>
      <c r="K78" s="17" t="s">
        <v>1894</v>
      </c>
    </row>
    <row r="79" spans="1:16">
      <c r="A79" s="915">
        <v>0</v>
      </c>
      <c r="B79" s="17" t="s">
        <v>517</v>
      </c>
      <c r="C79" s="204" t="s">
        <v>538</v>
      </c>
      <c r="D79" s="17" t="s">
        <v>640</v>
      </c>
      <c r="E79" s="17" t="s">
        <v>1898</v>
      </c>
      <c r="F79" s="445">
        <v>21206</v>
      </c>
      <c r="G79" s="404">
        <v>0.4</v>
      </c>
      <c r="H79" s="403">
        <f t="shared" si="13"/>
        <v>12723.6</v>
      </c>
      <c r="I79" s="403">
        <f t="shared" si="14"/>
        <v>0</v>
      </c>
      <c r="J79" s="17" t="s">
        <v>638</v>
      </c>
      <c r="K79" s="17" t="s">
        <v>1894</v>
      </c>
    </row>
    <row r="80" spans="1:16">
      <c r="A80" s="915">
        <v>0</v>
      </c>
      <c r="B80" s="17" t="s">
        <v>539</v>
      </c>
      <c r="C80" s="204" t="s">
        <v>538</v>
      </c>
      <c r="D80" s="17" t="s">
        <v>643</v>
      </c>
      <c r="E80" s="17" t="s">
        <v>1899</v>
      </c>
      <c r="F80" s="445">
        <v>80</v>
      </c>
      <c r="G80" s="404">
        <v>0.4</v>
      </c>
      <c r="H80" s="403">
        <f t="shared" si="13"/>
        <v>48</v>
      </c>
      <c r="I80" s="403">
        <f t="shared" si="14"/>
        <v>0</v>
      </c>
      <c r="J80" s="17" t="s">
        <v>638</v>
      </c>
      <c r="K80" s="17" t="s">
        <v>1894</v>
      </c>
    </row>
    <row r="81" spans="1:12">
      <c r="A81" s="915">
        <v>0</v>
      </c>
      <c r="B81" s="17" t="s">
        <v>539</v>
      </c>
      <c r="C81" s="204" t="s">
        <v>538</v>
      </c>
      <c r="D81" s="17" t="s">
        <v>643</v>
      </c>
      <c r="E81" s="17" t="s">
        <v>1900</v>
      </c>
      <c r="F81" s="445">
        <v>108</v>
      </c>
      <c r="G81" s="404">
        <v>0.4</v>
      </c>
      <c r="H81" s="403">
        <f t="shared" si="13"/>
        <v>64.8</v>
      </c>
      <c r="I81" s="403">
        <f t="shared" si="14"/>
        <v>0</v>
      </c>
      <c r="J81" s="17" t="s">
        <v>638</v>
      </c>
      <c r="K81" s="17" t="s">
        <v>1894</v>
      </c>
    </row>
    <row r="82" spans="1:12">
      <c r="A82" s="204"/>
      <c r="F82" s="17"/>
      <c r="H82" s="403"/>
      <c r="I82" s="403"/>
    </row>
    <row r="83" spans="1:12">
      <c r="A83" s="204"/>
      <c r="E83" s="449" t="s">
        <v>1901</v>
      </c>
      <c r="F83" s="17"/>
      <c r="H83" s="403"/>
      <c r="I83" s="403"/>
    </row>
    <row r="84" spans="1:12">
      <c r="A84" s="915">
        <v>0</v>
      </c>
      <c r="B84" s="17" t="s">
        <v>517</v>
      </c>
      <c r="C84" s="204" t="s">
        <v>1902</v>
      </c>
      <c r="D84" s="17" t="s">
        <v>636</v>
      </c>
      <c r="E84" s="17" t="s">
        <v>1903</v>
      </c>
      <c r="F84" s="445">
        <v>2507</v>
      </c>
      <c r="G84" s="404">
        <v>0.4</v>
      </c>
      <c r="H84" s="403">
        <f t="shared" si="13"/>
        <v>1504.2</v>
      </c>
      <c r="I84" s="403">
        <f t="shared" si="14"/>
        <v>0</v>
      </c>
      <c r="J84" s="17" t="s">
        <v>638</v>
      </c>
      <c r="K84" s="17" t="s">
        <v>1904</v>
      </c>
    </row>
    <row r="85" spans="1:12">
      <c r="A85" s="915">
        <v>0</v>
      </c>
      <c r="B85" s="17" t="s">
        <v>517</v>
      </c>
      <c r="C85" s="204" t="s">
        <v>1902</v>
      </c>
      <c r="D85" s="17" t="s">
        <v>636</v>
      </c>
      <c r="E85" s="17" t="s">
        <v>1930</v>
      </c>
      <c r="F85" s="445">
        <v>2913</v>
      </c>
      <c r="G85" s="404">
        <v>0.4</v>
      </c>
      <c r="H85" s="403">
        <f t="shared" si="13"/>
        <v>1747.8</v>
      </c>
      <c r="I85" s="403">
        <f t="shared" si="14"/>
        <v>0</v>
      </c>
      <c r="J85" s="17" t="s">
        <v>638</v>
      </c>
      <c r="K85" s="17" t="s">
        <v>1904</v>
      </c>
    </row>
    <row r="86" spans="1:12">
      <c r="A86" s="915">
        <v>0</v>
      </c>
      <c r="B86" s="17" t="s">
        <v>539</v>
      </c>
      <c r="C86" s="204" t="s">
        <v>1902</v>
      </c>
      <c r="D86" s="17" t="s">
        <v>670</v>
      </c>
      <c r="E86" s="17" t="s">
        <v>1931</v>
      </c>
      <c r="F86" s="445">
        <v>107</v>
      </c>
      <c r="G86" s="404">
        <v>0.4</v>
      </c>
      <c r="H86" s="403">
        <f t="shared" si="13"/>
        <v>64.2</v>
      </c>
      <c r="I86" s="403">
        <f t="shared" si="14"/>
        <v>0</v>
      </c>
      <c r="J86" s="17" t="s">
        <v>638</v>
      </c>
      <c r="K86" s="17" t="s">
        <v>1904</v>
      </c>
    </row>
    <row r="87" spans="1:12">
      <c r="A87" s="915">
        <v>0</v>
      </c>
      <c r="B87" s="17" t="s">
        <v>539</v>
      </c>
      <c r="C87" s="204" t="s">
        <v>1902</v>
      </c>
      <c r="D87" s="17" t="s">
        <v>670</v>
      </c>
      <c r="E87" s="17" t="s">
        <v>1932</v>
      </c>
      <c r="F87" s="445">
        <v>108</v>
      </c>
      <c r="G87" s="404">
        <v>0.4</v>
      </c>
      <c r="H87" s="403">
        <f t="shared" si="13"/>
        <v>64.8</v>
      </c>
      <c r="I87" s="403">
        <f t="shared" si="14"/>
        <v>0</v>
      </c>
      <c r="J87" s="17" t="s">
        <v>638</v>
      </c>
      <c r="K87" s="17" t="s">
        <v>1904</v>
      </c>
    </row>
    <row r="88" spans="1:12">
      <c r="A88" s="915">
        <v>0</v>
      </c>
      <c r="B88" s="17" t="s">
        <v>517</v>
      </c>
      <c r="C88" s="204" t="s">
        <v>1902</v>
      </c>
      <c r="D88" s="17" t="s">
        <v>640</v>
      </c>
      <c r="E88" s="17" t="s">
        <v>1933</v>
      </c>
      <c r="F88" s="445">
        <v>1965</v>
      </c>
      <c r="G88" s="404">
        <v>0.4</v>
      </c>
      <c r="H88" s="403">
        <f t="shared" si="13"/>
        <v>1179</v>
      </c>
      <c r="I88" s="403">
        <f t="shared" si="14"/>
        <v>0</v>
      </c>
      <c r="J88" s="17" t="s">
        <v>638</v>
      </c>
      <c r="K88" s="17" t="s">
        <v>1904</v>
      </c>
    </row>
    <row r="89" spans="1:12">
      <c r="A89" s="915">
        <v>0</v>
      </c>
      <c r="B89" s="17" t="s">
        <v>539</v>
      </c>
      <c r="C89" s="204" t="s">
        <v>1902</v>
      </c>
      <c r="D89" s="17" t="s">
        <v>643</v>
      </c>
      <c r="E89" s="17" t="s">
        <v>1934</v>
      </c>
      <c r="F89" s="445">
        <v>95</v>
      </c>
      <c r="G89" s="404">
        <v>0.4</v>
      </c>
      <c r="H89" s="403">
        <f t="shared" si="13"/>
        <v>57</v>
      </c>
      <c r="I89" s="403">
        <f t="shared" si="14"/>
        <v>0</v>
      </c>
      <c r="J89" s="17" t="s">
        <v>638</v>
      </c>
      <c r="K89" s="17" t="s">
        <v>1904</v>
      </c>
    </row>
    <row r="90" spans="1:12">
      <c r="A90" s="204"/>
      <c r="F90" s="485"/>
      <c r="H90" s="403"/>
      <c r="I90" s="403"/>
    </row>
    <row r="91" spans="1:12">
      <c r="A91" s="204"/>
      <c r="E91" s="439" t="s">
        <v>1935</v>
      </c>
      <c r="F91" s="485"/>
      <c r="H91" s="403"/>
      <c r="I91" s="403"/>
    </row>
    <row r="92" spans="1:12" ht="12.45">
      <c r="A92" s="915">
        <v>1</v>
      </c>
      <c r="B92" s="17" t="s">
        <v>517</v>
      </c>
      <c r="C92" s="204" t="s">
        <v>1902</v>
      </c>
      <c r="D92" s="494" t="s">
        <v>1936</v>
      </c>
      <c r="E92" s="17" t="s">
        <v>1937</v>
      </c>
      <c r="F92" s="445">
        <f>1610.95/0.6</f>
        <v>2684.916666666667</v>
      </c>
      <c r="G92" s="404">
        <v>0.4</v>
      </c>
      <c r="H92" s="443">
        <f t="shared" si="13"/>
        <v>1610.95</v>
      </c>
      <c r="I92" s="443">
        <f t="shared" si="14"/>
        <v>1610.95</v>
      </c>
      <c r="J92" s="17" t="s">
        <v>2039</v>
      </c>
    </row>
    <row r="93" spans="1:12" ht="57.45" customHeight="1">
      <c r="A93" s="915">
        <v>0</v>
      </c>
      <c r="B93" s="17" t="s">
        <v>539</v>
      </c>
      <c r="C93" s="204" t="s">
        <v>1902</v>
      </c>
      <c r="D93" s="494" t="s">
        <v>1939</v>
      </c>
      <c r="E93" s="17" t="s">
        <v>1940</v>
      </c>
      <c r="F93" s="445">
        <v>846.22031249999998</v>
      </c>
      <c r="G93" s="404">
        <v>0.4</v>
      </c>
      <c r="H93" s="403">
        <f t="shared" si="13"/>
        <v>507.73218749999995</v>
      </c>
      <c r="I93" s="443">
        <f t="shared" si="14"/>
        <v>0</v>
      </c>
      <c r="J93" s="204" t="s">
        <v>1941</v>
      </c>
      <c r="K93" s="1103" t="s">
        <v>2040</v>
      </c>
      <c r="L93" s="1103"/>
    </row>
    <row r="94" spans="1:12" ht="22.25">
      <c r="A94" s="915">
        <v>46</v>
      </c>
      <c r="B94" s="17" t="s">
        <v>539</v>
      </c>
      <c r="C94" s="204" t="s">
        <v>1902</v>
      </c>
      <c r="D94" s="494" t="s">
        <v>1943</v>
      </c>
      <c r="E94" s="204" t="s">
        <v>1944</v>
      </c>
      <c r="F94" s="445">
        <v>110</v>
      </c>
      <c r="G94" s="404">
        <v>0.4</v>
      </c>
      <c r="H94" s="403">
        <f t="shared" si="13"/>
        <v>66</v>
      </c>
      <c r="I94" s="403">
        <f t="shared" si="14"/>
        <v>3036</v>
      </c>
      <c r="J94" s="17" t="s">
        <v>696</v>
      </c>
    </row>
    <row r="95" spans="1:12" ht="133.55000000000001">
      <c r="A95" s="915">
        <v>0</v>
      </c>
      <c r="B95" s="17" t="s">
        <v>517</v>
      </c>
      <c r="C95" s="204" t="s">
        <v>1902</v>
      </c>
      <c r="D95" s="494" t="s">
        <v>1946</v>
      </c>
      <c r="E95" s="204" t="s">
        <v>2063</v>
      </c>
      <c r="F95" s="445">
        <f>5844.58/0.6</f>
        <v>9740.9666666666672</v>
      </c>
      <c r="G95" s="404">
        <v>0.4</v>
      </c>
      <c r="H95" s="443">
        <f t="shared" si="13"/>
        <v>5844.58</v>
      </c>
      <c r="I95" s="443">
        <f t="shared" si="14"/>
        <v>0</v>
      </c>
      <c r="J95" s="204" t="s">
        <v>2041</v>
      </c>
    </row>
    <row r="96" spans="1:12" ht="79.849999999999994" customHeight="1">
      <c r="A96" s="915">
        <v>0</v>
      </c>
      <c r="B96" s="17" t="s">
        <v>517</v>
      </c>
      <c r="C96" s="204" t="s">
        <v>1902</v>
      </c>
      <c r="D96" s="494" t="s">
        <v>1946</v>
      </c>
      <c r="E96" s="204" t="s">
        <v>2064</v>
      </c>
      <c r="F96" s="445">
        <f>5844.58/0.6*(160/100)^0.8</f>
        <v>14187.244172962894</v>
      </c>
      <c r="G96" s="404">
        <v>0.4</v>
      </c>
      <c r="H96" s="443">
        <f t="shared" si="13"/>
        <v>8512.3465037777351</v>
      </c>
      <c r="I96" s="443">
        <f t="shared" si="14"/>
        <v>0</v>
      </c>
      <c r="J96" s="204" t="s">
        <v>2042</v>
      </c>
      <c r="K96" s="1103" t="s">
        <v>2043</v>
      </c>
      <c r="L96" s="1103"/>
    </row>
    <row r="97" spans="1:17" ht="79.849999999999994" customHeight="1">
      <c r="A97" s="915">
        <v>1</v>
      </c>
      <c r="B97" s="17" t="s">
        <v>517</v>
      </c>
      <c r="C97" s="204" t="s">
        <v>1902</v>
      </c>
      <c r="D97" s="494" t="s">
        <v>1946</v>
      </c>
      <c r="E97" s="204" t="s">
        <v>2065</v>
      </c>
      <c r="F97" s="445">
        <f>1.2*5844.58/0.6*(250/100)^0.8</f>
        <v>24329.619124584198</v>
      </c>
      <c r="G97" s="404">
        <v>0.4</v>
      </c>
      <c r="H97" s="443">
        <f t="shared" si="13"/>
        <v>14597.771474750518</v>
      </c>
      <c r="I97" s="443">
        <f t="shared" si="14"/>
        <v>14597.771474750518</v>
      </c>
      <c r="J97" s="204" t="s">
        <v>2066</v>
      </c>
      <c r="K97" s="1103" t="s">
        <v>2067</v>
      </c>
      <c r="L97" s="1103"/>
    </row>
    <row r="98" spans="1:17" ht="79.849999999999994" customHeight="1">
      <c r="A98" s="915">
        <v>15</v>
      </c>
      <c r="B98" s="17" t="s">
        <v>539</v>
      </c>
      <c r="C98" s="204" t="s">
        <v>1902</v>
      </c>
      <c r="D98" s="494" t="s">
        <v>1950</v>
      </c>
      <c r="E98" s="204" t="s">
        <v>1951</v>
      </c>
      <c r="F98" s="445">
        <v>32.7596512570965</v>
      </c>
      <c r="G98" s="404">
        <v>0.4</v>
      </c>
      <c r="H98" s="403">
        <f t="shared" si="13"/>
        <v>19.6557907542579</v>
      </c>
      <c r="I98" s="443">
        <f t="shared" si="14"/>
        <v>294.8368613138685</v>
      </c>
      <c r="J98" s="204" t="s">
        <v>2044</v>
      </c>
      <c r="K98" s="1103" t="s">
        <v>2045</v>
      </c>
      <c r="L98" s="1103"/>
    </row>
    <row r="99" spans="1:17">
      <c r="A99" s="204"/>
      <c r="E99" s="204"/>
      <c r="F99" s="17"/>
      <c r="H99" s="403"/>
      <c r="I99" s="403"/>
    </row>
    <row r="100" spans="1:17" ht="33.4">
      <c r="A100" s="204">
        <v>1</v>
      </c>
      <c r="B100" s="17" t="s">
        <v>517</v>
      </c>
      <c r="C100" s="204" t="s">
        <v>674</v>
      </c>
      <c r="E100" s="204" t="s">
        <v>675</v>
      </c>
      <c r="F100" s="445">
        <v>161.44</v>
      </c>
      <c r="G100" s="404">
        <v>0</v>
      </c>
      <c r="H100" s="403">
        <f>F100*(1-G100)</f>
        <v>161.44</v>
      </c>
      <c r="I100" s="403">
        <f>A100*H100</f>
        <v>161.44</v>
      </c>
    </row>
    <row r="101" spans="1:17">
      <c r="A101" s="204"/>
      <c r="E101" s="204"/>
      <c r="F101" s="485"/>
      <c r="H101" s="403"/>
      <c r="I101" s="403"/>
    </row>
    <row r="102" spans="1:17" ht="15.75">
      <c r="E102" s="916" t="s">
        <v>676</v>
      </c>
      <c r="I102" s="443">
        <f>SUM(I74:I100)</f>
        <v>19700.998336064386</v>
      </c>
      <c r="Q102" s="438">
        <f>I102</f>
        <v>19700.998336064386</v>
      </c>
    </row>
    <row r="103" spans="1:17">
      <c r="E103" s="204"/>
    </row>
    <row r="104" spans="1:17" ht="13.75" customHeight="1">
      <c r="A104" s="986" t="s">
        <v>100</v>
      </c>
      <c r="B104" s="986"/>
      <c r="C104" s="986"/>
      <c r="D104" s="986"/>
      <c r="E104" s="986"/>
    </row>
    <row r="105" spans="1:17">
      <c r="E105" s="204"/>
    </row>
    <row r="106" spans="1:17">
      <c r="E106" s="446" t="s">
        <v>677</v>
      </c>
      <c r="J106" s="403"/>
    </row>
    <row r="107" spans="1:17" ht="22.25">
      <c r="A107" s="407">
        <v>0</v>
      </c>
      <c r="B107" s="407" t="s">
        <v>522</v>
      </c>
      <c r="C107" s="408" t="s">
        <v>678</v>
      </c>
      <c r="D107" s="407" t="s">
        <v>679</v>
      </c>
      <c r="E107" s="408" t="s">
        <v>680</v>
      </c>
      <c r="F107" s="409">
        <v>2801.13</v>
      </c>
      <c r="G107" s="410"/>
      <c r="H107" s="409">
        <f t="shared" ref="H107:H116" si="15">F107*(1-G107)</f>
        <v>2801.13</v>
      </c>
      <c r="I107" s="409"/>
    </row>
    <row r="108" spans="1:17" ht="22.25">
      <c r="A108" s="407">
        <v>0</v>
      </c>
      <c r="B108" s="407" t="s">
        <v>522</v>
      </c>
      <c r="C108" s="408" t="s">
        <v>678</v>
      </c>
      <c r="D108" s="407" t="s">
        <v>681</v>
      </c>
      <c r="E108" s="408" t="s">
        <v>682</v>
      </c>
      <c r="F108" s="409">
        <v>772.15</v>
      </c>
      <c r="G108" s="410"/>
      <c r="H108" s="409">
        <f t="shared" si="15"/>
        <v>772.15</v>
      </c>
      <c r="I108" s="409"/>
    </row>
    <row r="109" spans="1:17" ht="22.25">
      <c r="A109" s="407">
        <v>0</v>
      </c>
      <c r="B109" s="407" t="s">
        <v>522</v>
      </c>
      <c r="C109" s="408" t="s">
        <v>678</v>
      </c>
      <c r="D109" s="407" t="s">
        <v>683</v>
      </c>
      <c r="E109" s="408" t="s">
        <v>684</v>
      </c>
      <c r="F109" s="409">
        <v>150.26</v>
      </c>
      <c r="G109" s="410"/>
      <c r="H109" s="409">
        <f t="shared" si="15"/>
        <v>150.26</v>
      </c>
      <c r="I109" s="409"/>
    </row>
    <row r="110" spans="1:17" ht="22.25">
      <c r="A110" s="407">
        <v>0</v>
      </c>
      <c r="B110" s="407" t="s">
        <v>522</v>
      </c>
      <c r="C110" s="408" t="s">
        <v>678</v>
      </c>
      <c r="D110" s="407" t="s">
        <v>685</v>
      </c>
      <c r="E110" s="408" t="s">
        <v>686</v>
      </c>
      <c r="F110" s="409">
        <v>10.58</v>
      </c>
      <c r="G110" s="410"/>
      <c r="H110" s="409">
        <f t="shared" si="15"/>
        <v>10.58</v>
      </c>
      <c r="I110" s="409"/>
    </row>
    <row r="111" spans="1:17" ht="22.25">
      <c r="A111" s="407">
        <v>0</v>
      </c>
      <c r="B111" s="407" t="s">
        <v>522</v>
      </c>
      <c r="C111" s="408" t="s">
        <v>678</v>
      </c>
      <c r="D111" s="407" t="s">
        <v>687</v>
      </c>
      <c r="E111" s="408" t="s">
        <v>688</v>
      </c>
      <c r="F111" s="409">
        <v>69.78</v>
      </c>
      <c r="G111" s="410"/>
      <c r="H111" s="409">
        <f t="shared" si="15"/>
        <v>69.78</v>
      </c>
      <c r="I111" s="409"/>
      <c r="J111" s="17" t="s">
        <v>689</v>
      </c>
    </row>
    <row r="112" spans="1:17" ht="22.25">
      <c r="A112" s="487">
        <v>0</v>
      </c>
      <c r="B112" s="407" t="s">
        <v>539</v>
      </c>
      <c r="C112" s="408" t="s">
        <v>690</v>
      </c>
      <c r="D112" s="407"/>
      <c r="E112" s="408" t="s">
        <v>691</v>
      </c>
      <c r="F112" s="409">
        <v>7.58</v>
      </c>
      <c r="G112" s="410"/>
      <c r="H112" s="409">
        <f t="shared" si="15"/>
        <v>7.58</v>
      </c>
      <c r="I112" s="409"/>
      <c r="J112" s="17" t="s">
        <v>692</v>
      </c>
    </row>
    <row r="113" spans="1:11" ht="22.25">
      <c r="A113" s="487">
        <v>0</v>
      </c>
      <c r="B113" s="407" t="s">
        <v>539</v>
      </c>
      <c r="C113" s="408" t="s">
        <v>690</v>
      </c>
      <c r="D113" s="407"/>
      <c r="E113" s="408" t="s">
        <v>693</v>
      </c>
      <c r="F113" s="409">
        <v>2.04</v>
      </c>
      <c r="G113" s="410"/>
      <c r="H113" s="409">
        <f t="shared" si="15"/>
        <v>2.04</v>
      </c>
      <c r="I113" s="409"/>
      <c r="J113" s="17" t="s">
        <v>694</v>
      </c>
    </row>
    <row r="114" spans="1:11" ht="22.25">
      <c r="A114" s="407">
        <v>0</v>
      </c>
      <c r="B114" s="407" t="s">
        <v>522</v>
      </c>
      <c r="C114" s="408"/>
      <c r="D114" s="407"/>
      <c r="E114" s="408" t="s">
        <v>695</v>
      </c>
      <c r="F114" s="409">
        <v>50</v>
      </c>
      <c r="G114" s="410"/>
      <c r="H114" s="409">
        <f t="shared" si="15"/>
        <v>50</v>
      </c>
      <c r="I114" s="409"/>
      <c r="J114" s="204" t="s">
        <v>696</v>
      </c>
    </row>
    <row r="115" spans="1:11">
      <c r="A115" s="407">
        <v>0</v>
      </c>
      <c r="B115" s="407" t="s">
        <v>619</v>
      </c>
      <c r="C115" s="408"/>
      <c r="D115" s="407"/>
      <c r="E115" s="408" t="s">
        <v>697</v>
      </c>
      <c r="F115" s="409">
        <f>F64</f>
        <v>55</v>
      </c>
      <c r="G115" s="410"/>
      <c r="H115" s="409">
        <f t="shared" si="15"/>
        <v>55</v>
      </c>
      <c r="I115" s="409"/>
    </row>
    <row r="116" spans="1:11" ht="66.8">
      <c r="A116" s="407">
        <v>0</v>
      </c>
      <c r="B116" s="407" t="s">
        <v>517</v>
      </c>
      <c r="C116" s="408" t="s">
        <v>698</v>
      </c>
      <c r="D116" s="407" t="s">
        <v>636</v>
      </c>
      <c r="E116" s="408" t="s">
        <v>637</v>
      </c>
      <c r="F116" s="409">
        <v>1809</v>
      </c>
      <c r="G116" s="410">
        <v>0.75</v>
      </c>
      <c r="H116" s="409">
        <f t="shared" si="15"/>
        <v>452.25</v>
      </c>
      <c r="I116" s="409"/>
      <c r="J116" s="17" t="s">
        <v>699</v>
      </c>
    </row>
    <row r="117" spans="1:11">
      <c r="A117" s="407"/>
      <c r="B117" s="407"/>
      <c r="C117" s="408"/>
      <c r="D117" s="407"/>
      <c r="E117" s="408"/>
      <c r="F117" s="409"/>
      <c r="G117" s="410"/>
      <c r="H117" s="409"/>
      <c r="I117" s="409"/>
    </row>
    <row r="118" spans="1:11">
      <c r="E118" s="442" t="s">
        <v>700</v>
      </c>
    </row>
    <row r="119" spans="1:11">
      <c r="A119" s="407"/>
      <c r="B119" s="407"/>
      <c r="C119" s="408"/>
      <c r="D119" s="407"/>
      <c r="E119" s="408"/>
      <c r="F119" s="409"/>
      <c r="G119" s="410"/>
      <c r="H119" s="409"/>
      <c r="I119" s="409"/>
    </row>
    <row r="120" spans="1:11">
      <c r="A120" s="407"/>
      <c r="B120" s="407"/>
      <c r="C120" s="408"/>
      <c r="D120" s="407"/>
      <c r="E120" s="408" t="s">
        <v>701</v>
      </c>
      <c r="F120" s="409"/>
      <c r="G120" s="410"/>
      <c r="H120" s="409"/>
      <c r="I120" s="409"/>
    </row>
    <row r="121" spans="1:11">
      <c r="A121" s="407"/>
      <c r="B121" s="407"/>
      <c r="C121" s="408"/>
      <c r="D121" s="407"/>
      <c r="E121" s="408"/>
      <c r="F121" s="409"/>
      <c r="G121" s="410"/>
      <c r="H121" s="409"/>
      <c r="I121" s="409"/>
    </row>
    <row r="122" spans="1:11">
      <c r="A122" s="407"/>
      <c r="B122" s="407"/>
      <c r="C122" s="408"/>
      <c r="D122" s="407"/>
      <c r="E122" s="408"/>
      <c r="F122" s="409"/>
      <c r="G122" s="410"/>
      <c r="H122" s="409"/>
      <c r="I122" s="409"/>
    </row>
    <row r="123" spans="1:11">
      <c r="E123" s="442" t="s">
        <v>1508</v>
      </c>
    </row>
    <row r="124" spans="1:11">
      <c r="A124" s="407"/>
      <c r="B124" s="407"/>
      <c r="C124" s="408"/>
      <c r="D124" s="407"/>
      <c r="E124" s="408"/>
      <c r="F124" s="409"/>
      <c r="G124" s="410"/>
      <c r="H124" s="409"/>
      <c r="I124" s="409"/>
    </row>
    <row r="125" spans="1:11" ht="33.4">
      <c r="A125" s="407">
        <v>740</v>
      </c>
      <c r="B125" s="407" t="s">
        <v>1289</v>
      </c>
      <c r="C125" s="408" t="s">
        <v>1509</v>
      </c>
      <c r="D125" s="407"/>
      <c r="E125" s="749" t="s">
        <v>1510</v>
      </c>
      <c r="F125" s="409">
        <v>71239</v>
      </c>
      <c r="G125" s="410"/>
      <c r="H125" s="409">
        <f>F125*(A125/900)^0.8</f>
        <v>60912.886880552614</v>
      </c>
      <c r="I125" s="421">
        <f>H125</f>
        <v>60912.886880552614</v>
      </c>
      <c r="J125" s="403">
        <f>I125/A125</f>
        <v>82.314712000746781</v>
      </c>
      <c r="K125" s="17" t="s">
        <v>1511</v>
      </c>
    </row>
    <row r="126" spans="1:11">
      <c r="A126" s="407"/>
      <c r="B126" s="407"/>
      <c r="C126" s="408"/>
      <c r="D126" s="407"/>
      <c r="E126" s="408"/>
      <c r="F126" s="409"/>
      <c r="G126" s="410"/>
      <c r="H126" s="409"/>
      <c r="I126" s="409"/>
    </row>
    <row r="127" spans="1:11">
      <c r="A127" s="407"/>
      <c r="B127" s="407"/>
      <c r="C127" s="408"/>
      <c r="D127" s="407"/>
      <c r="E127" s="408"/>
      <c r="F127" s="409"/>
      <c r="G127" s="410"/>
      <c r="H127" s="409"/>
      <c r="I127" s="409"/>
    </row>
    <row r="128" spans="1:11">
      <c r="A128" s="407"/>
      <c r="B128" s="407"/>
      <c r="C128" s="408"/>
      <c r="D128" s="407"/>
      <c r="E128" s="408"/>
      <c r="F128" s="409"/>
      <c r="G128" s="410"/>
      <c r="H128" s="409"/>
      <c r="I128" s="409"/>
    </row>
    <row r="129" spans="1:10">
      <c r="A129" s="407"/>
      <c r="B129" s="407"/>
      <c r="C129" s="408"/>
      <c r="D129" s="407"/>
      <c r="E129" s="408"/>
      <c r="F129" s="409"/>
      <c r="G129" s="410"/>
      <c r="H129" s="409"/>
      <c r="I129" s="409"/>
    </row>
    <row r="130" spans="1:10">
      <c r="A130" s="407"/>
      <c r="B130" s="407"/>
      <c r="C130" s="408"/>
      <c r="D130" s="407"/>
      <c r="E130" s="408"/>
      <c r="F130" s="409"/>
      <c r="G130" s="410"/>
      <c r="H130" s="409"/>
      <c r="I130" s="409"/>
    </row>
    <row r="131" spans="1:10">
      <c r="A131" s="407"/>
      <c r="B131" s="407"/>
      <c r="C131" s="408"/>
      <c r="D131" s="407"/>
      <c r="E131" s="408"/>
      <c r="F131" s="409"/>
      <c r="G131" s="410"/>
      <c r="H131" s="409"/>
      <c r="I131" s="409"/>
    </row>
    <row r="132" spans="1:10">
      <c r="A132" s="407"/>
      <c r="B132" s="407"/>
      <c r="C132" s="408"/>
      <c r="D132" s="407"/>
      <c r="E132" s="408"/>
      <c r="F132" s="409"/>
      <c r="G132" s="410"/>
      <c r="H132" s="409"/>
      <c r="I132" s="409"/>
    </row>
    <row r="133" spans="1:10">
      <c r="A133" s="407"/>
      <c r="B133" s="407"/>
      <c r="C133" s="408"/>
      <c r="D133" s="407"/>
      <c r="E133" s="408"/>
      <c r="F133" s="409"/>
      <c r="G133" s="410"/>
      <c r="H133" s="409"/>
      <c r="I133" s="409"/>
    </row>
    <row r="134" spans="1:10">
      <c r="A134" s="204"/>
      <c r="F134" s="485"/>
      <c r="H134" s="403"/>
      <c r="I134" s="403"/>
    </row>
    <row r="135" spans="1:10" ht="15.75">
      <c r="E135" s="439" t="s">
        <v>702</v>
      </c>
      <c r="I135" s="168">
        <f>SUM(I107:I134)</f>
        <v>60912.886880552614</v>
      </c>
    </row>
    <row r="137" spans="1:10" ht="15.05" customHeight="1">
      <c r="A137" s="1002" t="s">
        <v>90</v>
      </c>
      <c r="B137" s="1002"/>
      <c r="C137" s="1002"/>
      <c r="D137" s="1002"/>
      <c r="E137" s="1002"/>
    </row>
    <row r="139" spans="1:10">
      <c r="A139" s="442">
        <v>1</v>
      </c>
      <c r="B139" s="17" t="s">
        <v>517</v>
      </c>
      <c r="E139" s="17" t="s">
        <v>703</v>
      </c>
      <c r="F139" s="403">
        <v>800</v>
      </c>
      <c r="H139" s="403">
        <f t="shared" ref="H139:H161" si="16">F139*(1-G139)</f>
        <v>800</v>
      </c>
      <c r="I139" s="403">
        <f t="shared" ref="I139:I154" si="17">A139*H139</f>
        <v>800</v>
      </c>
      <c r="J139" s="17" t="s">
        <v>704</v>
      </c>
    </row>
    <row r="140" spans="1:10">
      <c r="A140" s="442">
        <v>1</v>
      </c>
      <c r="B140" s="17" t="s">
        <v>517</v>
      </c>
      <c r="E140" s="17" t="s">
        <v>705</v>
      </c>
      <c r="F140" s="403">
        <v>500</v>
      </c>
      <c r="H140" s="403">
        <f t="shared" si="16"/>
        <v>500</v>
      </c>
      <c r="I140" s="403">
        <f t="shared" si="17"/>
        <v>500</v>
      </c>
      <c r="J140" s="17" t="s">
        <v>704</v>
      </c>
    </row>
    <row r="141" spans="1:10">
      <c r="A141" s="442">
        <v>2</v>
      </c>
      <c r="B141" s="17" t="s">
        <v>517</v>
      </c>
      <c r="E141" s="17" t="s">
        <v>707</v>
      </c>
      <c r="F141" s="403">
        <v>1500</v>
      </c>
      <c r="H141" s="403">
        <f t="shared" si="16"/>
        <v>1500</v>
      </c>
      <c r="I141" s="403">
        <f t="shared" si="17"/>
        <v>3000</v>
      </c>
    </row>
    <row r="142" spans="1:10" ht="55.65">
      <c r="A142" s="442">
        <v>0</v>
      </c>
      <c r="B142" s="17" t="s">
        <v>517</v>
      </c>
      <c r="C142" s="204" t="s">
        <v>708</v>
      </c>
      <c r="E142" s="204" t="s">
        <v>709</v>
      </c>
      <c r="F142" s="403">
        <v>460</v>
      </c>
      <c r="H142" s="403">
        <f t="shared" si="16"/>
        <v>460</v>
      </c>
      <c r="I142" s="403">
        <f t="shared" si="17"/>
        <v>0</v>
      </c>
      <c r="J142" s="17" t="s">
        <v>710</v>
      </c>
    </row>
    <row r="143" spans="1:10" ht="55.65">
      <c r="A143" s="442">
        <v>0</v>
      </c>
      <c r="B143" s="17" t="s">
        <v>517</v>
      </c>
      <c r="C143" s="204" t="s">
        <v>711</v>
      </c>
      <c r="E143" s="204" t="s">
        <v>712</v>
      </c>
      <c r="F143" s="403">
        <v>320</v>
      </c>
      <c r="H143" s="403">
        <f t="shared" si="16"/>
        <v>320</v>
      </c>
      <c r="I143" s="403">
        <f t="shared" si="17"/>
        <v>0</v>
      </c>
    </row>
    <row r="144" spans="1:10" ht="55.65">
      <c r="A144" s="442">
        <v>1</v>
      </c>
      <c r="B144" s="17" t="s">
        <v>517</v>
      </c>
      <c r="C144" s="17" t="s">
        <v>713</v>
      </c>
      <c r="D144" s="17" t="s">
        <v>714</v>
      </c>
      <c r="E144" s="204" t="s">
        <v>715</v>
      </c>
      <c r="F144" s="403">
        <v>2725</v>
      </c>
      <c r="H144" s="403">
        <f t="shared" si="16"/>
        <v>2725</v>
      </c>
      <c r="I144" s="403">
        <f t="shared" si="17"/>
        <v>2725</v>
      </c>
    </row>
    <row r="145" spans="1:10" ht="33.4">
      <c r="A145" s="442">
        <v>0</v>
      </c>
      <c r="B145" s="17" t="s">
        <v>517</v>
      </c>
      <c r="C145" s="204" t="s">
        <v>716</v>
      </c>
      <c r="E145" s="17" t="s">
        <v>717</v>
      </c>
      <c r="F145" s="403">
        <f>1840*1.04</f>
        <v>1913.6000000000001</v>
      </c>
      <c r="H145" s="403">
        <f t="shared" si="16"/>
        <v>1913.6000000000001</v>
      </c>
      <c r="I145" s="403">
        <f t="shared" si="17"/>
        <v>0</v>
      </c>
      <c r="J145" s="17" t="s">
        <v>718</v>
      </c>
    </row>
    <row r="146" spans="1:10">
      <c r="H146" s="403"/>
      <c r="I146" s="403"/>
    </row>
    <row r="147" spans="1:10">
      <c r="E147" s="446" t="s">
        <v>719</v>
      </c>
      <c r="H147" s="403"/>
      <c r="I147" s="403"/>
    </row>
    <row r="148" spans="1:10" ht="22.25">
      <c r="A148" s="442">
        <v>0</v>
      </c>
      <c r="B148" s="17" t="s">
        <v>619</v>
      </c>
      <c r="C148" s="204" t="s">
        <v>531</v>
      </c>
      <c r="E148" s="17" t="s">
        <v>720</v>
      </c>
      <c r="F148" s="403">
        <v>50</v>
      </c>
      <c r="H148" s="403">
        <f t="shared" si="16"/>
        <v>50</v>
      </c>
      <c r="I148" s="403">
        <f t="shared" si="17"/>
        <v>0</v>
      </c>
    </row>
    <row r="149" spans="1:10">
      <c r="A149" s="442">
        <v>0</v>
      </c>
      <c r="B149" s="17" t="s">
        <v>517</v>
      </c>
      <c r="C149" s="204" t="s">
        <v>721</v>
      </c>
      <c r="E149" s="17" t="s">
        <v>722</v>
      </c>
      <c r="F149" s="403">
        <f>69/100</f>
        <v>0.69</v>
      </c>
      <c r="H149" s="403">
        <f t="shared" si="16"/>
        <v>0.69</v>
      </c>
      <c r="I149" s="403">
        <f t="shared" si="17"/>
        <v>0</v>
      </c>
    </row>
    <row r="150" spans="1:10">
      <c r="A150" s="442">
        <f t="shared" ref="A150:A153" si="18">A149</f>
        <v>0</v>
      </c>
      <c r="B150" s="17" t="s">
        <v>517</v>
      </c>
      <c r="C150" s="204" t="s">
        <v>721</v>
      </c>
      <c r="E150" s="17" t="s">
        <v>723</v>
      </c>
      <c r="F150" s="403">
        <v>0.1</v>
      </c>
      <c r="H150" s="403">
        <f t="shared" si="16"/>
        <v>0.1</v>
      </c>
      <c r="I150" s="403">
        <f t="shared" si="17"/>
        <v>0</v>
      </c>
    </row>
    <row r="151" spans="1:10">
      <c r="A151" s="442">
        <f t="shared" si="18"/>
        <v>0</v>
      </c>
      <c r="B151" s="17" t="s">
        <v>517</v>
      </c>
      <c r="C151" s="204" t="s">
        <v>721</v>
      </c>
      <c r="E151" s="17" t="s">
        <v>724</v>
      </c>
      <c r="F151" s="403">
        <f>13.25/1.2/100</f>
        <v>0.11041666666666668</v>
      </c>
      <c r="H151" s="403">
        <f t="shared" si="16"/>
        <v>0.11041666666666668</v>
      </c>
      <c r="I151" s="403">
        <f t="shared" si="17"/>
        <v>0</v>
      </c>
    </row>
    <row r="152" spans="1:10" ht="22.25">
      <c r="A152" s="442">
        <v>0</v>
      </c>
      <c r="B152" s="17" t="s">
        <v>539</v>
      </c>
      <c r="C152" s="204" t="s">
        <v>725</v>
      </c>
      <c r="E152" s="17" t="s">
        <v>726</v>
      </c>
      <c r="F152" s="403">
        <f>15.73/1.2</f>
        <v>13.108333333333334</v>
      </c>
      <c r="H152" s="403">
        <f t="shared" si="16"/>
        <v>13.108333333333334</v>
      </c>
      <c r="I152" s="403">
        <f t="shared" si="17"/>
        <v>0</v>
      </c>
    </row>
    <row r="153" spans="1:10" ht="22.25">
      <c r="A153" s="442">
        <f t="shared" si="18"/>
        <v>0</v>
      </c>
      <c r="B153" s="17" t="s">
        <v>539</v>
      </c>
      <c r="C153" s="204" t="s">
        <v>531</v>
      </c>
      <c r="E153" s="17" t="s">
        <v>727</v>
      </c>
      <c r="F153" s="403">
        <v>25</v>
      </c>
      <c r="H153" s="403">
        <f t="shared" si="16"/>
        <v>25</v>
      </c>
      <c r="I153" s="403">
        <f t="shared" si="17"/>
        <v>0</v>
      </c>
    </row>
    <row r="154" spans="1:10" ht="22.25">
      <c r="A154" s="442">
        <f>A153*4</f>
        <v>0</v>
      </c>
      <c r="B154" s="17" t="s">
        <v>517</v>
      </c>
      <c r="C154" s="204" t="s">
        <v>531</v>
      </c>
      <c r="E154" s="17" t="s">
        <v>728</v>
      </c>
      <c r="F154" s="403">
        <v>0.1</v>
      </c>
      <c r="H154" s="403">
        <f t="shared" si="16"/>
        <v>0.1</v>
      </c>
      <c r="I154" s="403">
        <f t="shared" si="17"/>
        <v>0</v>
      </c>
    </row>
    <row r="155" spans="1:10">
      <c r="H155" s="403"/>
      <c r="I155" s="403"/>
    </row>
    <row r="156" spans="1:10" ht="15.75">
      <c r="E156" s="439" t="s">
        <v>729</v>
      </c>
      <c r="I156" s="168">
        <f>SUM(I137:I145)</f>
        <v>7025</v>
      </c>
    </row>
    <row r="158" spans="1:10" ht="13.75" customHeight="1">
      <c r="A158" s="997" t="s">
        <v>68</v>
      </c>
      <c r="B158" s="997"/>
      <c r="C158" s="997"/>
      <c r="D158" s="997"/>
      <c r="E158" s="997"/>
    </row>
    <row r="159" spans="1:10">
      <c r="A159" s="442">
        <v>1</v>
      </c>
      <c r="B159" s="17" t="s">
        <v>517</v>
      </c>
      <c r="E159" s="17" t="s">
        <v>730</v>
      </c>
      <c r="F159" s="403">
        <v>1000</v>
      </c>
      <c r="H159" s="403">
        <f t="shared" si="16"/>
        <v>1000</v>
      </c>
      <c r="I159" s="403">
        <f t="shared" ref="I159:I161" si="19">A159*H159</f>
        <v>1000</v>
      </c>
    </row>
    <row r="160" spans="1:10" ht="55.65">
      <c r="A160" s="442">
        <v>2</v>
      </c>
      <c r="B160" s="17" t="s">
        <v>517</v>
      </c>
      <c r="C160" s="204" t="s">
        <v>708</v>
      </c>
      <c r="E160" s="204" t="s">
        <v>731</v>
      </c>
      <c r="F160" s="403">
        <f>460/2</f>
        <v>230</v>
      </c>
      <c r="H160" s="403">
        <f t="shared" si="16"/>
        <v>230</v>
      </c>
      <c r="I160" s="403">
        <f t="shared" si="19"/>
        <v>460</v>
      </c>
    </row>
    <row r="161" spans="1:9" ht="55.65">
      <c r="A161" s="442">
        <v>0</v>
      </c>
      <c r="B161" s="17" t="s">
        <v>517</v>
      </c>
      <c r="C161" s="204" t="s">
        <v>711</v>
      </c>
      <c r="E161" s="204" t="s">
        <v>732</v>
      </c>
      <c r="F161" s="403">
        <f>320/2</f>
        <v>160</v>
      </c>
      <c r="H161" s="403">
        <f t="shared" si="16"/>
        <v>160</v>
      </c>
      <c r="I161" s="403">
        <f t="shared" si="19"/>
        <v>0</v>
      </c>
    </row>
    <row r="163" spans="1:9" ht="15.75">
      <c r="E163" s="439" t="s">
        <v>733</v>
      </c>
      <c r="I163" s="168">
        <f>SUM(I158:I162)</f>
        <v>1460</v>
      </c>
    </row>
    <row r="164" spans="1:9">
      <c r="E164" s="439"/>
    </row>
  </sheetData>
  <mergeCells count="10">
    <mergeCell ref="B1:F1"/>
    <mergeCell ref="A2:G2"/>
    <mergeCell ref="J25:L25"/>
    <mergeCell ref="K93:L93"/>
    <mergeCell ref="K96:L96"/>
    <mergeCell ref="K97:L97"/>
    <mergeCell ref="K98:L98"/>
    <mergeCell ref="A104:E104"/>
    <mergeCell ref="A137:E137"/>
    <mergeCell ref="A158:E158"/>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52"/>
  <sheetViews>
    <sheetView zoomScale="95"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3.5703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24.42578125" style="17" customWidth="1"/>
    <col min="11" max="11" width="18.140625" style="17" customWidth="1"/>
    <col min="12" max="12" width="12.140625" style="17" customWidth="1"/>
    <col min="13" max="19" width="10.140625" style="403"/>
    <col min="20" max="64" width="10.140625" style="17"/>
  </cols>
  <sheetData>
    <row r="1" spans="1:19" ht="15.05">
      <c r="B1" s="1058" t="s">
        <v>306</v>
      </c>
      <c r="C1" s="1058"/>
      <c r="D1" s="1058"/>
      <c r="E1" s="1058"/>
      <c r="F1" s="1058"/>
      <c r="H1" s="405" t="s">
        <v>493</v>
      </c>
      <c r="I1" s="406">
        <f>VLOOKUP(E4,Catalogue!F:J,5,0)</f>
        <v>360</v>
      </c>
      <c r="J1" s="17" t="s">
        <v>494</v>
      </c>
      <c r="K1" s="17" t="s">
        <v>495</v>
      </c>
      <c r="L1" s="58">
        <f>A4*I1</f>
        <v>99720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33.4">
      <c r="A4" s="413">
        <v>277</v>
      </c>
      <c r="B4" s="413" t="s">
        <v>505</v>
      </c>
      <c r="C4" s="420" t="s">
        <v>540</v>
      </c>
      <c r="D4" s="413" t="s">
        <v>556</v>
      </c>
      <c r="E4" s="420" t="s">
        <v>1214</v>
      </c>
      <c r="F4" s="421">
        <v>98.59</v>
      </c>
      <c r="G4" s="410"/>
      <c r="H4" s="409">
        <f t="shared" ref="H4:H9" si="0">F4*(1-G4)</f>
        <v>98.59</v>
      </c>
      <c r="I4" s="409">
        <f t="shared" ref="I4:I9" si="1">A4*H4</f>
        <v>27309.43</v>
      </c>
      <c r="J4" s="417">
        <f>F4/$I$1</f>
        <v>0.27386111111111111</v>
      </c>
      <c r="K4" s="403" t="s">
        <v>1421</v>
      </c>
      <c r="L4" s="404"/>
      <c r="M4" s="418">
        <f>I4</f>
        <v>27309.43</v>
      </c>
      <c r="N4" s="418"/>
      <c r="O4" s="418"/>
      <c r="P4" s="418"/>
      <c r="Q4" s="418"/>
      <c r="R4" s="418"/>
      <c r="S4" s="418"/>
    </row>
    <row r="5" spans="1:19" ht="55.65">
      <c r="A5" s="413">
        <v>0</v>
      </c>
      <c r="B5" s="407" t="s">
        <v>505</v>
      </c>
      <c r="C5" s="408" t="s">
        <v>817</v>
      </c>
      <c r="D5" s="407" t="s">
        <v>818</v>
      </c>
      <c r="E5" s="408" t="s">
        <v>819</v>
      </c>
      <c r="F5" s="409">
        <v>267.5</v>
      </c>
      <c r="G5" s="410"/>
      <c r="H5" s="409">
        <f t="shared" si="0"/>
        <v>267.5</v>
      </c>
      <c r="I5" s="409">
        <f t="shared" si="1"/>
        <v>0</v>
      </c>
      <c r="J5" s="417"/>
      <c r="K5" s="403"/>
      <c r="L5" s="404"/>
      <c r="M5" s="418"/>
      <c r="N5" s="418"/>
      <c r="O5" s="418"/>
      <c r="P5" s="418"/>
      <c r="Q5" s="418"/>
      <c r="R5" s="418"/>
      <c r="S5" s="418"/>
    </row>
    <row r="6" spans="1:19" ht="22.25">
      <c r="A6" s="413">
        <f>A4+A5</f>
        <v>277</v>
      </c>
      <c r="B6" s="413" t="s">
        <v>505</v>
      </c>
      <c r="C6" s="413" t="s">
        <v>751</v>
      </c>
      <c r="D6" s="413"/>
      <c r="E6" s="420" t="s">
        <v>1191</v>
      </c>
      <c r="F6" s="421">
        <f>913.68/109</f>
        <v>8.3823853211009176</v>
      </c>
      <c r="G6" s="422"/>
      <c r="H6" s="409">
        <f t="shared" si="0"/>
        <v>8.3823853211009176</v>
      </c>
      <c r="I6" s="409">
        <f t="shared" si="1"/>
        <v>2321.920733944954</v>
      </c>
      <c r="J6" s="417">
        <f>F6/$I$1</f>
        <v>2.3284403669724771E-2</v>
      </c>
      <c r="K6" s="417"/>
      <c r="L6" s="204"/>
      <c r="M6" s="418">
        <f>I6</f>
        <v>2321.920733944954</v>
      </c>
      <c r="N6" s="418"/>
      <c r="O6" s="418"/>
      <c r="P6" s="418"/>
      <c r="Q6" s="418"/>
      <c r="R6" s="418"/>
      <c r="S6" s="418"/>
    </row>
    <row r="7" spans="1:19">
      <c r="A7" s="423">
        <v>1</v>
      </c>
      <c r="B7" s="423" t="s">
        <v>522</v>
      </c>
      <c r="C7" s="413" t="s">
        <v>531</v>
      </c>
      <c r="D7" s="413"/>
      <c r="E7" s="420" t="s">
        <v>2071</v>
      </c>
      <c r="F7" s="421">
        <v>1326.67</v>
      </c>
      <c r="G7" s="410"/>
      <c r="H7" s="409">
        <f t="shared" si="0"/>
        <v>1326.67</v>
      </c>
      <c r="I7" s="409">
        <f t="shared" si="1"/>
        <v>1326.67</v>
      </c>
      <c r="J7" s="204"/>
      <c r="L7" s="442" t="s">
        <v>2072</v>
      </c>
      <c r="M7" s="418"/>
      <c r="N7" s="418"/>
      <c r="O7" s="418"/>
      <c r="P7" s="418"/>
      <c r="Q7" s="418"/>
      <c r="R7" s="418">
        <f t="shared" ref="R7:R9" si="2">I7</f>
        <v>1326.67</v>
      </c>
      <c r="S7" s="418"/>
    </row>
    <row r="8" spans="1:19" ht="55.65">
      <c r="A8" s="423">
        <v>1</v>
      </c>
      <c r="B8" s="423" t="s">
        <v>522</v>
      </c>
      <c r="C8" s="423" t="s">
        <v>1030</v>
      </c>
      <c r="D8" s="413" t="s">
        <v>1015</v>
      </c>
      <c r="E8" s="420" t="s">
        <v>1016</v>
      </c>
      <c r="F8" s="421">
        <v>466.67</v>
      </c>
      <c r="G8" s="410"/>
      <c r="H8" s="409">
        <f t="shared" si="0"/>
        <v>466.67</v>
      </c>
      <c r="I8" s="409">
        <f t="shared" si="1"/>
        <v>466.67</v>
      </c>
      <c r="J8" s="204"/>
      <c r="L8" s="442" t="s">
        <v>2073</v>
      </c>
      <c r="M8" s="418"/>
      <c r="N8" s="418"/>
      <c r="O8" s="418"/>
      <c r="P8" s="418"/>
      <c r="Q8" s="418"/>
      <c r="R8" s="418">
        <f t="shared" si="2"/>
        <v>466.67</v>
      </c>
      <c r="S8" s="418"/>
    </row>
    <row r="9" spans="1:19">
      <c r="A9" s="413">
        <v>4</v>
      </c>
      <c r="B9" s="413" t="s">
        <v>505</v>
      </c>
      <c r="C9" s="413" t="s">
        <v>751</v>
      </c>
      <c r="D9" s="413"/>
      <c r="E9" s="420" t="s">
        <v>1489</v>
      </c>
      <c r="F9" s="421">
        <v>316.67</v>
      </c>
      <c r="G9" s="410"/>
      <c r="H9" s="409">
        <f t="shared" si="0"/>
        <v>316.67</v>
      </c>
      <c r="I9" s="409">
        <f t="shared" si="1"/>
        <v>1266.68</v>
      </c>
      <c r="J9" s="204"/>
      <c r="M9" s="418"/>
      <c r="N9" s="418"/>
      <c r="O9" s="418"/>
      <c r="P9" s="418"/>
      <c r="Q9" s="418"/>
      <c r="R9" s="418">
        <f t="shared" si="2"/>
        <v>1266.68</v>
      </c>
      <c r="S9" s="418"/>
    </row>
    <row r="10" spans="1:19">
      <c r="A10" s="407"/>
      <c r="B10" s="407"/>
      <c r="C10" s="407"/>
      <c r="D10" s="407"/>
      <c r="E10" s="408"/>
      <c r="F10" s="409"/>
      <c r="G10" s="410"/>
      <c r="H10" s="409">
        <f t="shared" ref="H10:H73" si="3">F10*(1-G10)</f>
        <v>0</v>
      </c>
      <c r="I10" s="409">
        <f t="shared" ref="I10:I33" si="4">A10*H10</f>
        <v>0</v>
      </c>
      <c r="J10" s="204"/>
      <c r="M10" s="418"/>
      <c r="N10" s="418"/>
      <c r="O10" s="418"/>
      <c r="P10" s="418"/>
      <c r="Q10" s="418"/>
      <c r="R10" s="418">
        <f t="shared" ref="R10:R25" si="5">I10</f>
        <v>0</v>
      </c>
      <c r="S10" s="418"/>
    </row>
    <row r="11" spans="1:19">
      <c r="A11" s="413">
        <v>1</v>
      </c>
      <c r="B11" s="413" t="s">
        <v>530</v>
      </c>
      <c r="C11" s="420" t="s">
        <v>792</v>
      </c>
      <c r="D11" s="413" t="s">
        <v>1248</v>
      </c>
      <c r="E11" s="420" t="s">
        <v>794</v>
      </c>
      <c r="F11" s="421">
        <v>2600</v>
      </c>
      <c r="G11" s="410"/>
      <c r="H11" s="409">
        <f t="shared" si="3"/>
        <v>2600</v>
      </c>
      <c r="I11" s="409">
        <f t="shared" si="4"/>
        <v>2600</v>
      </c>
      <c r="J11" s="204"/>
      <c r="M11" s="418"/>
      <c r="N11" s="418"/>
      <c r="O11" s="418"/>
      <c r="P11" s="418"/>
      <c r="Q11" s="418"/>
      <c r="R11" s="418">
        <f t="shared" si="5"/>
        <v>2600</v>
      </c>
      <c r="S11" s="418"/>
    </row>
    <row r="12" spans="1:19" ht="22.25">
      <c r="A12" s="413">
        <v>0</v>
      </c>
      <c r="B12" s="413" t="s">
        <v>505</v>
      </c>
      <c r="C12" s="420" t="s">
        <v>534</v>
      </c>
      <c r="D12" s="413"/>
      <c r="E12" s="420" t="s">
        <v>535</v>
      </c>
      <c r="F12" s="421">
        <v>3.71</v>
      </c>
      <c r="G12" s="410"/>
      <c r="H12" s="409">
        <f t="shared" si="3"/>
        <v>3.71</v>
      </c>
      <c r="I12" s="409">
        <f t="shared" si="4"/>
        <v>0</v>
      </c>
      <c r="J12" s="204" t="s">
        <v>795</v>
      </c>
      <c r="M12" s="418"/>
      <c r="N12" s="418"/>
      <c r="O12" s="418"/>
      <c r="P12" s="418"/>
      <c r="Q12" s="418"/>
      <c r="R12" s="418">
        <f t="shared" si="5"/>
        <v>0</v>
      </c>
      <c r="S12" s="418"/>
    </row>
    <row r="13" spans="1:19" ht="22.25">
      <c r="A13" s="413">
        <f>A12</f>
        <v>0</v>
      </c>
      <c r="B13" s="413" t="s">
        <v>505</v>
      </c>
      <c r="C13" s="420" t="s">
        <v>534</v>
      </c>
      <c r="D13" s="413"/>
      <c r="E13" s="420" t="s">
        <v>537</v>
      </c>
      <c r="F13" s="421">
        <v>3.81</v>
      </c>
      <c r="G13" s="410"/>
      <c r="H13" s="409">
        <f t="shared" si="3"/>
        <v>3.81</v>
      </c>
      <c r="I13" s="409">
        <f t="shared" si="4"/>
        <v>0</v>
      </c>
      <c r="J13" s="204" t="s">
        <v>538</v>
      </c>
      <c r="M13" s="418"/>
      <c r="N13" s="418"/>
      <c r="O13" s="418"/>
      <c r="P13" s="418"/>
      <c r="Q13" s="418"/>
      <c r="R13" s="418">
        <f t="shared" si="5"/>
        <v>0</v>
      </c>
      <c r="S13" s="418"/>
    </row>
    <row r="14" spans="1:19" ht="33.4">
      <c r="A14" s="413">
        <v>130</v>
      </c>
      <c r="B14" s="413" t="s">
        <v>539</v>
      </c>
      <c r="C14" s="420" t="s">
        <v>540</v>
      </c>
      <c r="D14" s="413" t="s">
        <v>541</v>
      </c>
      <c r="E14" s="420" t="s">
        <v>542</v>
      </c>
      <c r="F14" s="421">
        <v>0.55647999999999997</v>
      </c>
      <c r="G14" s="410"/>
      <c r="H14" s="409">
        <f t="shared" si="3"/>
        <v>0.55647999999999997</v>
      </c>
      <c r="I14" s="409">
        <f t="shared" si="4"/>
        <v>72.342399999999998</v>
      </c>
      <c r="M14" s="418"/>
      <c r="N14" s="418"/>
      <c r="O14" s="418">
        <f t="shared" ref="O14:O28" si="6">I14</f>
        <v>72.342399999999998</v>
      </c>
      <c r="P14" s="418"/>
      <c r="Q14" s="418"/>
      <c r="R14" s="418"/>
      <c r="S14" s="418"/>
    </row>
    <row r="15" spans="1:19" ht="33.4">
      <c r="A15" s="413">
        <f>A14+A4*2</f>
        <v>684</v>
      </c>
      <c r="B15" s="413" t="s">
        <v>539</v>
      </c>
      <c r="C15" s="420" t="s">
        <v>540</v>
      </c>
      <c r="D15" s="413" t="s">
        <v>543</v>
      </c>
      <c r="E15" s="420" t="s">
        <v>544</v>
      </c>
      <c r="F15" s="421">
        <v>0.55647999999999997</v>
      </c>
      <c r="G15" s="410"/>
      <c r="H15" s="409">
        <f t="shared" si="3"/>
        <v>0.55647999999999997</v>
      </c>
      <c r="I15" s="409">
        <f t="shared" si="4"/>
        <v>380.63231999999999</v>
      </c>
      <c r="M15" s="418"/>
      <c r="N15" s="418"/>
      <c r="O15" s="418">
        <f t="shared" si="6"/>
        <v>380.63231999999999</v>
      </c>
      <c r="P15" s="418"/>
      <c r="Q15" s="418"/>
      <c r="R15" s="418"/>
      <c r="S15" s="418"/>
    </row>
    <row r="16" spans="1:19" ht="33.4">
      <c r="A16" s="413">
        <f>4*10</f>
        <v>40</v>
      </c>
      <c r="B16" s="413" t="s">
        <v>517</v>
      </c>
      <c r="C16" s="420" t="s">
        <v>540</v>
      </c>
      <c r="D16" s="413" t="s">
        <v>797</v>
      </c>
      <c r="E16" s="420" t="s">
        <v>798</v>
      </c>
      <c r="F16" s="421">
        <v>0.88</v>
      </c>
      <c r="G16" s="410"/>
      <c r="H16" s="409">
        <f t="shared" si="3"/>
        <v>0.88</v>
      </c>
      <c r="I16" s="409">
        <f t="shared" si="4"/>
        <v>35.200000000000003</v>
      </c>
      <c r="J16" s="204"/>
      <c r="M16" s="418"/>
      <c r="N16" s="418"/>
      <c r="O16" s="418">
        <f t="shared" si="6"/>
        <v>35.200000000000003</v>
      </c>
      <c r="P16" s="418"/>
      <c r="Q16" s="418"/>
      <c r="R16" s="418"/>
      <c r="S16" s="418"/>
    </row>
    <row r="17" spans="1:19" ht="33.4">
      <c r="A17" s="413">
        <f>A16</f>
        <v>40</v>
      </c>
      <c r="B17" s="413" t="s">
        <v>517</v>
      </c>
      <c r="C17" s="420" t="s">
        <v>540</v>
      </c>
      <c r="D17" s="413" t="s">
        <v>800</v>
      </c>
      <c r="E17" s="420" t="s">
        <v>801</v>
      </c>
      <c r="F17" s="421">
        <v>0.67</v>
      </c>
      <c r="G17" s="410"/>
      <c r="H17" s="409">
        <f t="shared" si="3"/>
        <v>0.67</v>
      </c>
      <c r="I17" s="409">
        <f t="shared" si="4"/>
        <v>26.8</v>
      </c>
      <c r="J17" s="204"/>
      <c r="M17" s="418"/>
      <c r="N17" s="418"/>
      <c r="O17" s="418">
        <f t="shared" si="6"/>
        <v>26.8</v>
      </c>
      <c r="P17" s="418"/>
      <c r="Q17" s="418"/>
      <c r="R17" s="418"/>
      <c r="S17" s="418"/>
    </row>
    <row r="18" spans="1:19" ht="33.4">
      <c r="A18" s="413">
        <v>0</v>
      </c>
      <c r="B18" s="413" t="s">
        <v>517</v>
      </c>
      <c r="C18" s="420" t="s">
        <v>540</v>
      </c>
      <c r="D18" s="413" t="s">
        <v>556</v>
      </c>
      <c r="E18" s="420" t="s">
        <v>557</v>
      </c>
      <c r="F18" s="421">
        <v>6.58</v>
      </c>
      <c r="G18" s="410"/>
      <c r="H18" s="409">
        <f t="shared" si="3"/>
        <v>6.58</v>
      </c>
      <c r="I18" s="409">
        <f t="shared" si="4"/>
        <v>0</v>
      </c>
      <c r="J18" s="204"/>
      <c r="M18" s="418"/>
      <c r="N18" s="418"/>
      <c r="O18" s="418">
        <f t="shared" si="6"/>
        <v>0</v>
      </c>
      <c r="P18" s="418"/>
      <c r="Q18" s="418"/>
      <c r="R18" s="418"/>
      <c r="S18" s="418"/>
    </row>
    <row r="19" spans="1:19" ht="44.55">
      <c r="A19" s="413">
        <v>3</v>
      </c>
      <c r="B19" s="413" t="s">
        <v>517</v>
      </c>
      <c r="C19" s="420" t="s">
        <v>540</v>
      </c>
      <c r="D19" s="413" t="s">
        <v>821</v>
      </c>
      <c r="E19" s="420" t="s">
        <v>822</v>
      </c>
      <c r="F19" s="421">
        <v>1810</v>
      </c>
      <c r="G19" s="410"/>
      <c r="H19" s="409">
        <f t="shared" si="3"/>
        <v>1810</v>
      </c>
      <c r="I19" s="409">
        <f t="shared" si="4"/>
        <v>5430</v>
      </c>
      <c r="J19" s="204"/>
      <c r="M19" s="418"/>
      <c r="N19" s="418">
        <f t="shared" ref="N19:N22" si="7">I19</f>
        <v>5430</v>
      </c>
      <c r="O19" s="418"/>
      <c r="P19" s="418"/>
      <c r="Q19" s="418"/>
      <c r="R19" s="418"/>
      <c r="S19" s="418"/>
    </row>
    <row r="20" spans="1:19">
      <c r="A20" s="413">
        <v>1</v>
      </c>
      <c r="B20" s="413" t="s">
        <v>505</v>
      </c>
      <c r="C20" s="413" t="s">
        <v>531</v>
      </c>
      <c r="D20" s="413"/>
      <c r="E20" s="420" t="s">
        <v>2074</v>
      </c>
      <c r="F20" s="421">
        <f>1810+500</f>
        <v>2310</v>
      </c>
      <c r="G20" s="422"/>
      <c r="H20" s="409">
        <f t="shared" si="3"/>
        <v>2310</v>
      </c>
      <c r="I20" s="409">
        <f t="shared" si="4"/>
        <v>2310</v>
      </c>
      <c r="J20" s="204"/>
      <c r="M20" s="418"/>
      <c r="N20" s="418">
        <f t="shared" si="7"/>
        <v>2310</v>
      </c>
      <c r="O20" s="418"/>
      <c r="P20" s="418"/>
      <c r="Q20" s="418"/>
      <c r="R20" s="418"/>
      <c r="S20" s="418"/>
    </row>
    <row r="21" spans="1:19" ht="33.4">
      <c r="A21" s="407">
        <v>0</v>
      </c>
      <c r="B21" s="407" t="s">
        <v>517</v>
      </c>
      <c r="C21" s="408" t="s">
        <v>540</v>
      </c>
      <c r="D21" s="407" t="s">
        <v>990</v>
      </c>
      <c r="E21" s="408" t="s">
        <v>991</v>
      </c>
      <c r="F21" s="409">
        <v>33.21</v>
      </c>
      <c r="G21" s="410"/>
      <c r="H21" s="409">
        <f t="shared" si="3"/>
        <v>33.21</v>
      </c>
      <c r="I21" s="409">
        <f t="shared" si="4"/>
        <v>0</v>
      </c>
      <c r="J21" s="204"/>
      <c r="M21" s="418"/>
      <c r="N21" s="418">
        <f t="shared" si="7"/>
        <v>0</v>
      </c>
      <c r="O21" s="418"/>
      <c r="P21" s="418"/>
      <c r="Q21" s="418"/>
      <c r="R21" s="418"/>
      <c r="S21" s="418"/>
    </row>
    <row r="22" spans="1:19" ht="33.4">
      <c r="A22" s="413">
        <v>4</v>
      </c>
      <c r="B22" s="413" t="s">
        <v>517</v>
      </c>
      <c r="C22" s="420" t="s">
        <v>540</v>
      </c>
      <c r="D22" s="413" t="s">
        <v>998</v>
      </c>
      <c r="E22" s="420" t="s">
        <v>999</v>
      </c>
      <c r="F22" s="421">
        <v>116.67</v>
      </c>
      <c r="G22" s="410"/>
      <c r="H22" s="409">
        <f t="shared" si="3"/>
        <v>116.67</v>
      </c>
      <c r="I22" s="409">
        <f t="shared" si="4"/>
        <v>466.68</v>
      </c>
      <c r="J22" s="204"/>
      <c r="M22" s="418"/>
      <c r="N22" s="418">
        <f t="shared" si="7"/>
        <v>466.68</v>
      </c>
      <c r="O22" s="418"/>
      <c r="P22" s="418"/>
      <c r="Q22" s="418"/>
      <c r="R22" s="418"/>
      <c r="S22" s="418"/>
    </row>
    <row r="23" spans="1:19" ht="33.4">
      <c r="A23" s="413">
        <v>16</v>
      </c>
      <c r="B23" s="413" t="s">
        <v>517</v>
      </c>
      <c r="C23" s="420" t="s">
        <v>540</v>
      </c>
      <c r="D23" s="413" t="s">
        <v>761</v>
      </c>
      <c r="E23" s="420" t="s">
        <v>762</v>
      </c>
      <c r="F23" s="421">
        <v>2.5</v>
      </c>
      <c r="G23" s="410"/>
      <c r="H23" s="409">
        <f t="shared" si="3"/>
        <v>2.5</v>
      </c>
      <c r="I23" s="409">
        <f t="shared" si="4"/>
        <v>40</v>
      </c>
      <c r="J23" s="204"/>
      <c r="M23" s="418"/>
      <c r="N23" s="418"/>
      <c r="O23" s="418"/>
      <c r="P23" s="418"/>
      <c r="Q23" s="418"/>
      <c r="R23" s="418">
        <f t="shared" si="5"/>
        <v>40</v>
      </c>
      <c r="S23" s="418"/>
    </row>
    <row r="24" spans="1:19" ht="35.85" customHeight="1">
      <c r="A24" s="413">
        <v>0</v>
      </c>
      <c r="B24" s="413" t="s">
        <v>522</v>
      </c>
      <c r="C24" s="420" t="s">
        <v>678</v>
      </c>
      <c r="D24" s="413"/>
      <c r="E24" s="420" t="s">
        <v>1159</v>
      </c>
      <c r="F24" s="421">
        <v>1061.32</v>
      </c>
      <c r="G24" s="410"/>
      <c r="H24" s="409">
        <f t="shared" si="3"/>
        <v>1061.32</v>
      </c>
      <c r="I24" s="409">
        <f t="shared" si="4"/>
        <v>0</v>
      </c>
      <c r="J24" s="1054" t="s">
        <v>833</v>
      </c>
      <c r="K24" s="1054"/>
      <c r="L24" s="1054"/>
      <c r="M24" s="418"/>
      <c r="N24" s="418"/>
      <c r="O24" s="418"/>
      <c r="P24" s="418"/>
      <c r="Q24" s="418"/>
      <c r="R24" s="418">
        <f t="shared" si="5"/>
        <v>0</v>
      </c>
      <c r="S24" s="418"/>
    </row>
    <row r="25" spans="1:19">
      <c r="A25" s="413"/>
      <c r="B25" s="413"/>
      <c r="C25" s="420"/>
      <c r="D25" s="413"/>
      <c r="E25" s="420"/>
      <c r="F25" s="421"/>
      <c r="G25" s="410"/>
      <c r="H25" s="409">
        <f t="shared" si="3"/>
        <v>0</v>
      </c>
      <c r="I25" s="409">
        <f t="shared" si="4"/>
        <v>0</v>
      </c>
      <c r="J25" s="204"/>
      <c r="M25" s="418"/>
      <c r="N25" s="418"/>
      <c r="O25" s="418"/>
      <c r="P25" s="418"/>
      <c r="Q25" s="418"/>
      <c r="R25" s="418">
        <f t="shared" si="5"/>
        <v>0</v>
      </c>
      <c r="S25" s="418"/>
    </row>
    <row r="26" spans="1:19" ht="22.25">
      <c r="A26" s="413">
        <v>1</v>
      </c>
      <c r="B26" s="413" t="s">
        <v>522</v>
      </c>
      <c r="C26" s="420" t="s">
        <v>531</v>
      </c>
      <c r="D26" s="413"/>
      <c r="E26" s="420" t="s">
        <v>695</v>
      </c>
      <c r="F26" s="421">
        <v>100</v>
      </c>
      <c r="G26" s="410"/>
      <c r="H26" s="409">
        <f t="shared" si="3"/>
        <v>100</v>
      </c>
      <c r="I26" s="409">
        <f t="shared" si="4"/>
        <v>100</v>
      </c>
      <c r="J26" s="204"/>
      <c r="M26" s="418"/>
      <c r="N26" s="418"/>
      <c r="O26" s="418">
        <f t="shared" si="6"/>
        <v>100</v>
      </c>
      <c r="P26" s="418"/>
      <c r="Q26" s="418"/>
      <c r="R26" s="418"/>
      <c r="S26" s="418"/>
    </row>
    <row r="27" spans="1:19" ht="33.4">
      <c r="A27" s="413">
        <v>1</v>
      </c>
      <c r="B27" s="413" t="s">
        <v>517</v>
      </c>
      <c r="C27" s="420" t="s">
        <v>540</v>
      </c>
      <c r="D27" s="413" t="s">
        <v>769</v>
      </c>
      <c r="E27" s="420" t="s">
        <v>567</v>
      </c>
      <c r="F27" s="421">
        <v>750</v>
      </c>
      <c r="G27" s="410"/>
      <c r="H27" s="409">
        <f t="shared" si="3"/>
        <v>750</v>
      </c>
      <c r="I27" s="409">
        <f t="shared" si="4"/>
        <v>750</v>
      </c>
      <c r="J27" s="204"/>
      <c r="M27" s="418">
        <f>F27</f>
        <v>750</v>
      </c>
      <c r="N27" s="418"/>
      <c r="O27" s="418"/>
      <c r="P27" s="418"/>
      <c r="Q27" s="418"/>
      <c r="R27" s="418"/>
      <c r="S27" s="418"/>
    </row>
    <row r="28" spans="1:19">
      <c r="A28" s="413">
        <v>60</v>
      </c>
      <c r="B28" s="413" t="s">
        <v>539</v>
      </c>
      <c r="C28" s="413" t="s">
        <v>552</v>
      </c>
      <c r="D28" s="413"/>
      <c r="E28" s="413" t="s">
        <v>1063</v>
      </c>
      <c r="F28" s="421">
        <v>38.520000000000003</v>
      </c>
      <c r="G28" s="428"/>
      <c r="H28" s="409">
        <f t="shared" si="3"/>
        <v>38.520000000000003</v>
      </c>
      <c r="I28" s="409">
        <f t="shared" si="4"/>
        <v>2311.2000000000003</v>
      </c>
      <c r="J28" s="204"/>
      <c r="M28" s="418"/>
      <c r="N28" s="418"/>
      <c r="O28" s="418">
        <f t="shared" si="6"/>
        <v>2311.2000000000003</v>
      </c>
      <c r="P28" s="418"/>
      <c r="Q28" s="418"/>
      <c r="R28" s="418"/>
      <c r="S28" s="418"/>
    </row>
    <row r="29" spans="1:19" ht="44.55">
      <c r="A29" s="413">
        <v>0</v>
      </c>
      <c r="B29" s="413" t="s">
        <v>517</v>
      </c>
      <c r="C29" s="420" t="s">
        <v>569</v>
      </c>
      <c r="D29" s="413" t="s">
        <v>570</v>
      </c>
      <c r="E29" s="420" t="s">
        <v>571</v>
      </c>
      <c r="F29" s="421">
        <v>1040</v>
      </c>
      <c r="G29" s="429">
        <v>0.48</v>
      </c>
      <c r="H29" s="430">
        <f t="shared" si="3"/>
        <v>540.80000000000007</v>
      </c>
      <c r="I29" s="409">
        <f t="shared" si="4"/>
        <v>0</v>
      </c>
      <c r="J29" s="204"/>
      <c r="M29" s="418"/>
      <c r="N29" s="418"/>
      <c r="O29" s="418"/>
      <c r="P29" s="418"/>
      <c r="Q29" s="418"/>
      <c r="R29" s="418"/>
      <c r="S29" s="418">
        <f t="shared" ref="S29:S33" si="8">I29</f>
        <v>0</v>
      </c>
    </row>
    <row r="30" spans="1:19" ht="55.65">
      <c r="A30" s="413">
        <v>1</v>
      </c>
      <c r="B30" s="413" t="s">
        <v>517</v>
      </c>
      <c r="C30" s="424" t="s">
        <v>569</v>
      </c>
      <c r="D30" s="423" t="s">
        <v>572</v>
      </c>
      <c r="E30" s="424" t="s">
        <v>573</v>
      </c>
      <c r="F30" s="425">
        <v>1190</v>
      </c>
      <c r="G30" s="429">
        <v>0.48</v>
      </c>
      <c r="H30" s="430">
        <f t="shared" si="3"/>
        <v>618.80000000000007</v>
      </c>
      <c r="I30" s="409">
        <f t="shared" si="4"/>
        <v>618.80000000000007</v>
      </c>
      <c r="J30" s="204"/>
      <c r="M30" s="418"/>
      <c r="N30" s="418"/>
      <c r="O30" s="418"/>
      <c r="P30" s="418"/>
      <c r="Q30" s="418"/>
      <c r="R30" s="418"/>
      <c r="S30" s="418">
        <f t="shared" si="8"/>
        <v>618.80000000000007</v>
      </c>
    </row>
    <row r="31" spans="1:19">
      <c r="A31" s="413">
        <v>3</v>
      </c>
      <c r="B31" s="413" t="s">
        <v>517</v>
      </c>
      <c r="C31" s="420" t="s">
        <v>574</v>
      </c>
      <c r="D31" s="413" t="s">
        <v>575</v>
      </c>
      <c r="E31" s="413" t="s">
        <v>576</v>
      </c>
      <c r="F31" s="421">
        <v>36.700000000000003</v>
      </c>
      <c r="G31" s="410"/>
      <c r="H31" s="409">
        <f t="shared" si="3"/>
        <v>36.700000000000003</v>
      </c>
      <c r="I31" s="409">
        <f t="shared" si="4"/>
        <v>110.10000000000001</v>
      </c>
      <c r="J31" s="204"/>
      <c r="M31" s="418"/>
      <c r="N31" s="418"/>
      <c r="O31" s="418"/>
      <c r="P31" s="418"/>
      <c r="Q31" s="418"/>
      <c r="R31" s="418"/>
      <c r="S31" s="418">
        <f t="shared" si="8"/>
        <v>110.10000000000001</v>
      </c>
    </row>
    <row r="32" spans="1:19">
      <c r="A32" s="413">
        <v>5</v>
      </c>
      <c r="B32" s="413" t="s">
        <v>517</v>
      </c>
      <c r="C32" s="420" t="s">
        <v>574</v>
      </c>
      <c r="D32" s="413" t="s">
        <v>577</v>
      </c>
      <c r="E32" s="413" t="s">
        <v>578</v>
      </c>
      <c r="F32" s="421">
        <v>75</v>
      </c>
      <c r="G32" s="410"/>
      <c r="H32" s="409">
        <f t="shared" si="3"/>
        <v>75</v>
      </c>
      <c r="I32" s="409">
        <f t="shared" si="4"/>
        <v>375</v>
      </c>
      <c r="J32" s="204"/>
      <c r="M32" s="418"/>
      <c r="N32" s="418"/>
      <c r="O32" s="418"/>
      <c r="P32" s="418"/>
      <c r="Q32" s="418"/>
      <c r="R32" s="418"/>
      <c r="S32" s="418">
        <f t="shared" si="8"/>
        <v>375</v>
      </c>
    </row>
    <row r="33" spans="1:19">
      <c r="A33" s="413">
        <v>1</v>
      </c>
      <c r="B33" s="413" t="s">
        <v>517</v>
      </c>
      <c r="C33" s="420" t="s">
        <v>574</v>
      </c>
      <c r="D33" s="413"/>
      <c r="E33" s="413" t="s">
        <v>579</v>
      </c>
      <c r="F33" s="421">
        <f>35/4</f>
        <v>8.75</v>
      </c>
      <c r="G33" s="410"/>
      <c r="H33" s="409">
        <f t="shared" si="3"/>
        <v>8.75</v>
      </c>
      <c r="I33" s="409">
        <f t="shared" si="4"/>
        <v>8.75</v>
      </c>
      <c r="J33" s="204"/>
      <c r="M33" s="418"/>
      <c r="N33" s="418"/>
      <c r="O33" s="418"/>
      <c r="P33" s="418"/>
      <c r="Q33" s="418"/>
      <c r="R33" s="418"/>
      <c r="S33" s="418">
        <f t="shared" si="8"/>
        <v>8.75</v>
      </c>
    </row>
    <row r="34" spans="1:19" ht="12.45">
      <c r="A34" s="407"/>
      <c r="B34" s="407"/>
      <c r="C34" s="408"/>
      <c r="D34" s="407"/>
      <c r="E34" s="431"/>
      <c r="F34" s="409"/>
      <c r="G34" s="410"/>
      <c r="H34" s="409"/>
      <c r="I34" s="409"/>
      <c r="J34" s="204"/>
      <c r="M34" s="418"/>
      <c r="N34" s="418"/>
      <c r="O34" s="418"/>
      <c r="P34" s="418"/>
      <c r="Q34" s="418"/>
      <c r="R34" s="418"/>
      <c r="S34" s="418"/>
    </row>
    <row r="35" spans="1:19">
      <c r="A35" s="407"/>
      <c r="B35" s="407"/>
      <c r="C35" s="408"/>
      <c r="D35" s="407"/>
      <c r="E35" s="407"/>
      <c r="F35" s="409"/>
      <c r="G35" s="410"/>
      <c r="H35" s="409"/>
      <c r="I35" s="409"/>
      <c r="J35" s="204"/>
      <c r="M35" s="418"/>
      <c r="N35" s="418"/>
      <c r="O35" s="418"/>
      <c r="P35" s="418"/>
      <c r="Q35" s="418"/>
      <c r="R35" s="418"/>
      <c r="S35" s="418"/>
    </row>
    <row r="36" spans="1:19">
      <c r="A36" s="407"/>
      <c r="B36" s="407"/>
      <c r="C36" s="408"/>
      <c r="D36" s="407"/>
      <c r="E36" s="432" t="s">
        <v>580</v>
      </c>
      <c r="F36" s="409"/>
      <c r="G36" s="410"/>
      <c r="H36" s="409"/>
      <c r="I36" s="421">
        <f>SUM(I4:I34)</f>
        <v>48326.875453944951</v>
      </c>
      <c r="J36" s="204"/>
      <c r="M36" s="418">
        <f>SUM(M4:M34)</f>
        <v>30381.350733944953</v>
      </c>
      <c r="N36" s="418">
        <f>SUM(N4:N34)</f>
        <v>8206.68</v>
      </c>
      <c r="O36" s="418">
        <f>SUM(O4:O34)</f>
        <v>2926.17472</v>
      </c>
      <c r="P36" s="418"/>
      <c r="Q36" s="418"/>
      <c r="R36" s="418">
        <f>SUM(R4:R34)</f>
        <v>5700.02</v>
      </c>
      <c r="S36" s="418">
        <f>SUM(S4:S34)</f>
        <v>1112.6500000000001</v>
      </c>
    </row>
    <row r="37" spans="1:19">
      <c r="A37" s="407"/>
      <c r="B37" s="407"/>
      <c r="C37" s="408"/>
      <c r="D37" s="407"/>
      <c r="E37" s="413" t="s">
        <v>581</v>
      </c>
      <c r="F37" s="409"/>
      <c r="G37" s="410">
        <v>0.25</v>
      </c>
      <c r="H37" s="409"/>
      <c r="I37" s="421"/>
      <c r="J37" s="204"/>
      <c r="M37" s="418"/>
      <c r="N37" s="418"/>
      <c r="O37" s="418"/>
      <c r="P37" s="418"/>
      <c r="Q37" s="418"/>
      <c r="R37" s="418"/>
      <c r="S37" s="418"/>
    </row>
    <row r="38" spans="1:19" ht="15.75">
      <c r="E38" s="433" t="s">
        <v>582</v>
      </c>
      <c r="F38" s="418"/>
      <c r="G38" s="434"/>
      <c r="H38" s="418"/>
      <c r="I38" s="435">
        <f>I36*(1+$G$37)</f>
        <v>60408.594317431191</v>
      </c>
      <c r="J38" s="436"/>
      <c r="K38" s="437"/>
      <c r="L38" s="437"/>
      <c r="M38" s="438">
        <f>M36*(1+$G$37)</f>
        <v>37976.688417431193</v>
      </c>
      <c r="N38" s="438">
        <f>N36*(1+$G$37)</f>
        <v>10258.35</v>
      </c>
      <c r="O38" s="438">
        <f>O36*(1+$G$37)</f>
        <v>3657.7183999999997</v>
      </c>
      <c r="P38" s="438">
        <f>P67</f>
        <v>12880</v>
      </c>
      <c r="Q38" s="438">
        <f>Q99</f>
        <v>6742.24</v>
      </c>
      <c r="R38" s="438">
        <f>R36*(1+$G$37)</f>
        <v>7125.0250000000005</v>
      </c>
      <c r="S38" s="438">
        <f>S36*(1+$G$37)</f>
        <v>1390.8125</v>
      </c>
    </row>
    <row r="41" spans="1:19">
      <c r="E41" s="439" t="s">
        <v>585</v>
      </c>
    </row>
    <row r="42" spans="1:19">
      <c r="A42" s="441">
        <v>16</v>
      </c>
      <c r="B42" s="17" t="s">
        <v>619</v>
      </c>
      <c r="E42" s="17" t="s">
        <v>586</v>
      </c>
      <c r="F42" s="403">
        <f t="shared" ref="F42:F58" si="9">F$62</f>
        <v>55</v>
      </c>
      <c r="H42" s="403">
        <f t="shared" si="3"/>
        <v>55</v>
      </c>
      <c r="I42" s="403">
        <f t="shared" ref="I42:I64" si="10">A42*H42</f>
        <v>880</v>
      </c>
    </row>
    <row r="43" spans="1:19">
      <c r="A43" s="441">
        <f>A6/120*8*2</f>
        <v>36.93333333333333</v>
      </c>
      <c r="B43" s="17" t="s">
        <v>619</v>
      </c>
      <c r="E43" s="17" t="s">
        <v>589</v>
      </c>
      <c r="F43" s="403">
        <f t="shared" si="9"/>
        <v>55</v>
      </c>
      <c r="H43" s="403">
        <f t="shared" si="3"/>
        <v>55</v>
      </c>
      <c r="I43" s="403">
        <f t="shared" si="10"/>
        <v>2031.3333333333333</v>
      </c>
      <c r="J43" s="17" t="s">
        <v>592</v>
      </c>
    </row>
    <row r="44" spans="1:19">
      <c r="A44" s="441">
        <v>8</v>
      </c>
      <c r="B44" s="17" t="s">
        <v>619</v>
      </c>
      <c r="E44" s="17" t="s">
        <v>1426</v>
      </c>
      <c r="F44" s="403">
        <f t="shared" si="9"/>
        <v>55</v>
      </c>
      <c r="H44" s="403">
        <f t="shared" si="3"/>
        <v>55</v>
      </c>
      <c r="I44" s="403">
        <f t="shared" si="10"/>
        <v>440</v>
      </c>
      <c r="J44" s="17" t="s">
        <v>1486</v>
      </c>
    </row>
    <row r="45" spans="1:19">
      <c r="A45" s="441">
        <f>A6/120*16*2</f>
        <v>73.86666666666666</v>
      </c>
      <c r="B45" s="17" t="s">
        <v>619</v>
      </c>
      <c r="E45" s="17" t="s">
        <v>591</v>
      </c>
      <c r="F45" s="403">
        <f t="shared" si="9"/>
        <v>55</v>
      </c>
      <c r="H45" s="403">
        <f t="shared" si="3"/>
        <v>55</v>
      </c>
      <c r="I45" s="403">
        <f t="shared" si="10"/>
        <v>4062.6666666666665</v>
      </c>
      <c r="J45" s="17" t="s">
        <v>592</v>
      </c>
    </row>
    <row r="46" spans="1:19">
      <c r="A46" s="441">
        <v>4</v>
      </c>
      <c r="B46" s="17" t="s">
        <v>619</v>
      </c>
      <c r="E46" s="17" t="s">
        <v>1428</v>
      </c>
      <c r="F46" s="403">
        <f t="shared" si="9"/>
        <v>55</v>
      </c>
      <c r="H46" s="403">
        <f t="shared" si="3"/>
        <v>55</v>
      </c>
      <c r="I46" s="403">
        <f t="shared" si="10"/>
        <v>220</v>
      </c>
    </row>
    <row r="47" spans="1:19">
      <c r="A47" s="441">
        <v>4</v>
      </c>
      <c r="B47" s="17" t="s">
        <v>619</v>
      </c>
      <c r="E47" s="17" t="s">
        <v>1429</v>
      </c>
      <c r="F47" s="403">
        <f t="shared" si="9"/>
        <v>55</v>
      </c>
      <c r="H47" s="403">
        <f t="shared" si="3"/>
        <v>55</v>
      </c>
      <c r="I47" s="403">
        <f t="shared" si="10"/>
        <v>220</v>
      </c>
    </row>
    <row r="48" spans="1:19">
      <c r="A48" s="441">
        <v>8</v>
      </c>
      <c r="B48" s="17" t="s">
        <v>619</v>
      </c>
      <c r="E48" s="17" t="s">
        <v>605</v>
      </c>
      <c r="F48" s="403">
        <f t="shared" si="9"/>
        <v>55</v>
      </c>
      <c r="H48" s="403">
        <f t="shared" si="3"/>
        <v>55</v>
      </c>
      <c r="I48" s="403">
        <f t="shared" si="10"/>
        <v>440</v>
      </c>
      <c r="J48" s="17" t="s">
        <v>1487</v>
      </c>
    </row>
    <row r="49" spans="1:10">
      <c r="A49" s="441">
        <v>6</v>
      </c>
      <c r="B49" s="17" t="s">
        <v>619</v>
      </c>
      <c r="E49" s="17" t="s">
        <v>607</v>
      </c>
      <c r="F49" s="403">
        <f t="shared" si="9"/>
        <v>55</v>
      </c>
      <c r="H49" s="403">
        <f t="shared" si="3"/>
        <v>55</v>
      </c>
      <c r="I49" s="403">
        <f t="shared" si="10"/>
        <v>330</v>
      </c>
      <c r="J49" s="17" t="s">
        <v>608</v>
      </c>
    </row>
    <row r="50" spans="1:10">
      <c r="A50" s="441">
        <v>0.5</v>
      </c>
      <c r="B50" s="17" t="s">
        <v>619</v>
      </c>
      <c r="E50" s="17" t="s">
        <v>609</v>
      </c>
      <c r="F50" s="403">
        <f t="shared" si="9"/>
        <v>55</v>
      </c>
      <c r="H50" s="403">
        <f t="shared" si="3"/>
        <v>55</v>
      </c>
      <c r="I50" s="403">
        <f t="shared" si="10"/>
        <v>27.5</v>
      </c>
    </row>
    <row r="51" spans="1:10">
      <c r="A51" s="441">
        <v>16</v>
      </c>
      <c r="B51" s="17" t="s">
        <v>619</v>
      </c>
      <c r="E51" s="17" t="s">
        <v>610</v>
      </c>
      <c r="F51" s="403">
        <f t="shared" si="9"/>
        <v>55</v>
      </c>
      <c r="H51" s="403">
        <f t="shared" si="3"/>
        <v>55</v>
      </c>
      <c r="I51" s="403">
        <f t="shared" si="10"/>
        <v>880</v>
      </c>
    </row>
    <row r="52" spans="1:10">
      <c r="A52" s="441">
        <v>1</v>
      </c>
      <c r="B52" s="17" t="s">
        <v>619</v>
      </c>
      <c r="E52" s="17" t="s">
        <v>611</v>
      </c>
      <c r="F52" s="403">
        <f t="shared" si="9"/>
        <v>55</v>
      </c>
      <c r="H52" s="403">
        <f t="shared" si="3"/>
        <v>55</v>
      </c>
      <c r="I52" s="403">
        <f t="shared" si="10"/>
        <v>55</v>
      </c>
    </row>
    <row r="53" spans="1:10">
      <c r="A53" s="441">
        <v>1</v>
      </c>
      <c r="B53" s="17" t="s">
        <v>619</v>
      </c>
      <c r="E53" s="17" t="s">
        <v>1431</v>
      </c>
      <c r="F53" s="403">
        <f t="shared" si="9"/>
        <v>55</v>
      </c>
      <c r="H53" s="403">
        <f t="shared" si="3"/>
        <v>55</v>
      </c>
      <c r="I53" s="403">
        <f t="shared" si="10"/>
        <v>55</v>
      </c>
    </row>
    <row r="54" spans="1:10">
      <c r="A54" s="441">
        <v>4</v>
      </c>
      <c r="B54" s="17" t="s">
        <v>619</v>
      </c>
      <c r="E54" s="17" t="s">
        <v>612</v>
      </c>
      <c r="F54" s="403">
        <f t="shared" si="9"/>
        <v>55</v>
      </c>
      <c r="H54" s="403">
        <f t="shared" si="3"/>
        <v>55</v>
      </c>
      <c r="I54" s="403">
        <f t="shared" si="10"/>
        <v>220</v>
      </c>
    </row>
    <row r="55" spans="1:10">
      <c r="A55" s="441">
        <f>A42</f>
        <v>16</v>
      </c>
      <c r="B55" s="17" t="s">
        <v>619</v>
      </c>
      <c r="E55" s="17" t="s">
        <v>614</v>
      </c>
      <c r="F55" s="403">
        <f t="shared" si="9"/>
        <v>55</v>
      </c>
      <c r="H55" s="403">
        <f t="shared" si="3"/>
        <v>55</v>
      </c>
      <c r="I55" s="403">
        <f t="shared" si="10"/>
        <v>880</v>
      </c>
    </row>
    <row r="56" spans="1:10">
      <c r="A56" s="441">
        <v>4</v>
      </c>
      <c r="B56" s="17" t="s">
        <v>619</v>
      </c>
      <c r="E56" s="17" t="s">
        <v>615</v>
      </c>
      <c r="F56" s="403">
        <f t="shared" si="9"/>
        <v>55</v>
      </c>
      <c r="H56" s="403">
        <f t="shared" si="3"/>
        <v>55</v>
      </c>
      <c r="I56" s="403">
        <f t="shared" si="10"/>
        <v>220</v>
      </c>
    </row>
    <row r="57" spans="1:10">
      <c r="A57" s="441">
        <v>4</v>
      </c>
      <c r="B57" s="17" t="s">
        <v>619</v>
      </c>
      <c r="E57" s="17" t="s">
        <v>616</v>
      </c>
      <c r="F57" s="403">
        <f t="shared" si="9"/>
        <v>55</v>
      </c>
      <c r="H57" s="403">
        <f t="shared" si="3"/>
        <v>55</v>
      </c>
      <c r="I57" s="403">
        <f t="shared" si="10"/>
        <v>220</v>
      </c>
    </row>
    <row r="58" spans="1:10">
      <c r="A58" s="441">
        <f>10*0.25</f>
        <v>2.5</v>
      </c>
      <c r="B58" s="442" t="s">
        <v>619</v>
      </c>
      <c r="C58" s="446"/>
      <c r="D58" s="442"/>
      <c r="E58" s="17" t="s">
        <v>617</v>
      </c>
      <c r="F58" s="443">
        <f t="shared" si="9"/>
        <v>55</v>
      </c>
      <c r="G58" s="444"/>
      <c r="H58" s="443">
        <f t="shared" si="3"/>
        <v>55</v>
      </c>
      <c r="I58" s="443">
        <f t="shared" si="10"/>
        <v>137.5</v>
      </c>
      <c r="J58" s="17" t="s">
        <v>618</v>
      </c>
    </row>
    <row r="60" spans="1:10">
      <c r="A60" s="17">
        <f>SUM(A42:A59)</f>
        <v>205.79999999999998</v>
      </c>
      <c r="B60" s="17" t="s">
        <v>619</v>
      </c>
      <c r="E60" s="17" t="s">
        <v>620</v>
      </c>
    </row>
    <row r="61" spans="1:10">
      <c r="A61" s="441">
        <v>3</v>
      </c>
      <c r="B61" s="17" t="s">
        <v>517</v>
      </c>
      <c r="E61" s="17" t="s">
        <v>621</v>
      </c>
    </row>
    <row r="62" spans="1:10">
      <c r="A62" s="17">
        <v>1</v>
      </c>
      <c r="B62" s="17" t="s">
        <v>517</v>
      </c>
      <c r="E62" s="17" t="s">
        <v>622</v>
      </c>
      <c r="F62" s="445">
        <v>55</v>
      </c>
      <c r="H62" s="403">
        <f t="shared" si="3"/>
        <v>55</v>
      </c>
      <c r="I62" s="403">
        <f t="shared" si="10"/>
        <v>55</v>
      </c>
      <c r="J62" s="17" t="s">
        <v>623</v>
      </c>
    </row>
    <row r="63" spans="1:10">
      <c r="A63" s="17">
        <f>ROUNDUP(A60/8/A61,0)</f>
        <v>9</v>
      </c>
      <c r="B63" s="17" t="s">
        <v>624</v>
      </c>
      <c r="E63" s="17" t="s">
        <v>625</v>
      </c>
      <c r="F63" s="403">
        <f>A61*8*F62</f>
        <v>1320</v>
      </c>
      <c r="H63" s="403">
        <f t="shared" si="3"/>
        <v>1320</v>
      </c>
      <c r="I63" s="403">
        <f t="shared" si="10"/>
        <v>11880</v>
      </c>
    </row>
    <row r="64" spans="1:10">
      <c r="A64" s="441">
        <v>1</v>
      </c>
      <c r="B64" s="442" t="s">
        <v>517</v>
      </c>
      <c r="C64" s="446"/>
      <c r="D64" s="442"/>
      <c r="E64" s="442" t="s">
        <v>626</v>
      </c>
      <c r="F64" s="447">
        <v>500</v>
      </c>
      <c r="G64" s="444"/>
      <c r="H64" s="403">
        <v>1000</v>
      </c>
      <c r="I64" s="403">
        <f t="shared" si="10"/>
        <v>1000</v>
      </c>
      <c r="J64" s="17" t="s">
        <v>627</v>
      </c>
    </row>
    <row r="65" spans="1:16">
      <c r="A65" s="441"/>
      <c r="F65" s="447"/>
      <c r="H65" s="403"/>
      <c r="I65" s="403"/>
    </row>
    <row r="66" spans="1:16">
      <c r="A66" s="441"/>
      <c r="F66" s="447"/>
      <c r="H66" s="403"/>
      <c r="I66" s="403"/>
    </row>
    <row r="67" spans="1:16" ht="15.75">
      <c r="E67" s="439" t="s">
        <v>628</v>
      </c>
      <c r="I67" s="443">
        <f>SUM(I63:I66)</f>
        <v>12880</v>
      </c>
      <c r="P67" s="438">
        <f>I67</f>
        <v>12880</v>
      </c>
    </row>
    <row r="70" spans="1:16">
      <c r="E70" s="449" t="s">
        <v>630</v>
      </c>
    </row>
    <row r="71" spans="1:16">
      <c r="E71" s="449" t="s">
        <v>635</v>
      </c>
    </row>
    <row r="72" spans="1:16" ht="66.8">
      <c r="A72" s="915">
        <v>0</v>
      </c>
      <c r="B72" s="17" t="s">
        <v>517</v>
      </c>
      <c r="C72" s="204" t="s">
        <v>698</v>
      </c>
      <c r="D72" s="17" t="s">
        <v>636</v>
      </c>
      <c r="E72" s="17" t="s">
        <v>637</v>
      </c>
      <c r="F72" s="445">
        <v>1809</v>
      </c>
      <c r="G72" s="404">
        <v>0.4</v>
      </c>
      <c r="H72" s="403">
        <f t="shared" si="3"/>
        <v>1085.3999999999999</v>
      </c>
      <c r="I72" s="403">
        <f t="shared" ref="I72:I97" si="11">A72*H72</f>
        <v>0</v>
      </c>
      <c r="J72" s="17" t="s">
        <v>638</v>
      </c>
      <c r="K72" s="17" t="s">
        <v>1892</v>
      </c>
    </row>
    <row r="73" spans="1:16">
      <c r="A73" s="915">
        <v>0</v>
      </c>
      <c r="B73" s="17" t="s">
        <v>517</v>
      </c>
      <c r="C73" s="204" t="s">
        <v>538</v>
      </c>
      <c r="D73" s="17" t="s">
        <v>640</v>
      </c>
      <c r="E73" s="17" t="s">
        <v>1893</v>
      </c>
      <c r="F73" s="445">
        <v>1949</v>
      </c>
      <c r="G73" s="404">
        <v>0.4</v>
      </c>
      <c r="H73" s="403">
        <f t="shared" si="3"/>
        <v>1169.3999999999999</v>
      </c>
      <c r="I73" s="403">
        <f t="shared" si="11"/>
        <v>0</v>
      </c>
      <c r="J73" s="17" t="s">
        <v>638</v>
      </c>
      <c r="K73" s="17" t="s">
        <v>1894</v>
      </c>
    </row>
    <row r="74" spans="1:16">
      <c r="A74" s="915">
        <v>0</v>
      </c>
      <c r="B74" s="17" t="s">
        <v>517</v>
      </c>
      <c r="C74" s="204" t="s">
        <v>538</v>
      </c>
      <c r="D74" s="17" t="s">
        <v>640</v>
      </c>
      <c r="E74" s="17" t="s">
        <v>1895</v>
      </c>
      <c r="F74" s="445">
        <v>1949</v>
      </c>
      <c r="G74" s="404">
        <v>0.4</v>
      </c>
      <c r="H74" s="403">
        <f t="shared" ref="H74:H97" si="12">F74*(1-G74)</f>
        <v>1169.3999999999999</v>
      </c>
      <c r="I74" s="403">
        <f t="shared" si="11"/>
        <v>0</v>
      </c>
      <c r="J74" s="17" t="s">
        <v>638</v>
      </c>
      <c r="K74" s="17" t="s">
        <v>1894</v>
      </c>
    </row>
    <row r="75" spans="1:16">
      <c r="A75" s="915">
        <v>0</v>
      </c>
      <c r="B75" s="17" t="s">
        <v>517</v>
      </c>
      <c r="C75" s="204" t="s">
        <v>538</v>
      </c>
      <c r="D75" s="17" t="s">
        <v>640</v>
      </c>
      <c r="E75" s="17" t="s">
        <v>1896</v>
      </c>
      <c r="F75" s="445">
        <v>2447</v>
      </c>
      <c r="G75" s="404">
        <v>0.4</v>
      </c>
      <c r="H75" s="403">
        <f t="shared" si="12"/>
        <v>1468.2</v>
      </c>
      <c r="I75" s="403">
        <f t="shared" si="11"/>
        <v>0</v>
      </c>
      <c r="J75" s="17" t="s">
        <v>638</v>
      </c>
      <c r="K75" s="17" t="s">
        <v>1894</v>
      </c>
    </row>
    <row r="76" spans="1:16">
      <c r="A76" s="915">
        <v>0</v>
      </c>
      <c r="B76" s="17" t="s">
        <v>517</v>
      </c>
      <c r="C76" s="204" t="s">
        <v>538</v>
      </c>
      <c r="D76" s="17" t="s">
        <v>640</v>
      </c>
      <c r="E76" s="17" t="s">
        <v>1897</v>
      </c>
      <c r="F76" s="445">
        <v>4395</v>
      </c>
      <c r="G76" s="404">
        <v>0.4</v>
      </c>
      <c r="H76" s="403">
        <f t="shared" si="12"/>
        <v>2637</v>
      </c>
      <c r="I76" s="403">
        <f t="shared" si="11"/>
        <v>0</v>
      </c>
      <c r="J76" s="17" t="s">
        <v>638</v>
      </c>
      <c r="K76" s="17" t="s">
        <v>1894</v>
      </c>
    </row>
    <row r="77" spans="1:16">
      <c r="A77" s="915">
        <v>0</v>
      </c>
      <c r="B77" s="17" t="s">
        <v>517</v>
      </c>
      <c r="C77" s="204" t="s">
        <v>538</v>
      </c>
      <c r="D77" s="17" t="s">
        <v>640</v>
      </c>
      <c r="E77" s="17" t="s">
        <v>1898</v>
      </c>
      <c r="F77" s="445">
        <v>21206</v>
      </c>
      <c r="G77" s="404">
        <v>0.4</v>
      </c>
      <c r="H77" s="403">
        <f t="shared" si="12"/>
        <v>12723.6</v>
      </c>
      <c r="I77" s="403">
        <f t="shared" si="11"/>
        <v>0</v>
      </c>
      <c r="J77" s="17" t="s">
        <v>638</v>
      </c>
      <c r="K77" s="17" t="s">
        <v>1894</v>
      </c>
    </row>
    <row r="78" spans="1:16">
      <c r="A78" s="915">
        <v>0</v>
      </c>
      <c r="B78" s="17" t="s">
        <v>539</v>
      </c>
      <c r="C78" s="204" t="s">
        <v>538</v>
      </c>
      <c r="D78" s="17" t="s">
        <v>643</v>
      </c>
      <c r="E78" s="17" t="s">
        <v>1899</v>
      </c>
      <c r="F78" s="445">
        <v>80</v>
      </c>
      <c r="G78" s="404">
        <v>0.4</v>
      </c>
      <c r="H78" s="403">
        <f t="shared" si="12"/>
        <v>48</v>
      </c>
      <c r="I78" s="403">
        <f t="shared" si="11"/>
        <v>0</v>
      </c>
      <c r="J78" s="17" t="s">
        <v>638</v>
      </c>
      <c r="K78" s="17" t="s">
        <v>1894</v>
      </c>
    </row>
    <row r="79" spans="1:16">
      <c r="A79" s="915">
        <v>0</v>
      </c>
      <c r="B79" s="17" t="s">
        <v>539</v>
      </c>
      <c r="C79" s="204" t="s">
        <v>538</v>
      </c>
      <c r="D79" s="17" t="s">
        <v>643</v>
      </c>
      <c r="E79" s="17" t="s">
        <v>1900</v>
      </c>
      <c r="F79" s="445">
        <v>108</v>
      </c>
      <c r="G79" s="404">
        <v>0.4</v>
      </c>
      <c r="H79" s="403">
        <f t="shared" si="12"/>
        <v>64.8</v>
      </c>
      <c r="I79" s="403">
        <f t="shared" si="11"/>
        <v>0</v>
      </c>
      <c r="J79" s="17" t="s">
        <v>638</v>
      </c>
      <c r="K79" s="17" t="s">
        <v>1894</v>
      </c>
    </row>
    <row r="80" spans="1:16">
      <c r="A80" s="204"/>
      <c r="F80" s="17"/>
      <c r="H80" s="403"/>
      <c r="I80" s="403"/>
    </row>
    <row r="81" spans="1:12">
      <c r="A81" s="204"/>
      <c r="E81" s="449" t="s">
        <v>1901</v>
      </c>
      <c r="F81" s="17"/>
      <c r="H81" s="403"/>
      <c r="I81" s="403"/>
    </row>
    <row r="82" spans="1:12">
      <c r="A82" s="915">
        <v>0</v>
      </c>
      <c r="B82" s="17" t="s">
        <v>517</v>
      </c>
      <c r="C82" s="204" t="s">
        <v>1902</v>
      </c>
      <c r="D82" s="17" t="s">
        <v>636</v>
      </c>
      <c r="E82" s="17" t="s">
        <v>1903</v>
      </c>
      <c r="F82" s="445">
        <v>2507</v>
      </c>
      <c r="G82" s="404">
        <v>0.4</v>
      </c>
      <c r="H82" s="403">
        <f t="shared" si="12"/>
        <v>1504.2</v>
      </c>
      <c r="I82" s="403">
        <f t="shared" si="11"/>
        <v>0</v>
      </c>
      <c r="J82" s="17" t="s">
        <v>638</v>
      </c>
      <c r="K82" s="17" t="s">
        <v>1904</v>
      </c>
    </row>
    <row r="83" spans="1:12">
      <c r="A83" s="915">
        <v>1</v>
      </c>
      <c r="B83" s="17" t="s">
        <v>517</v>
      </c>
      <c r="C83" s="204" t="s">
        <v>1902</v>
      </c>
      <c r="D83" s="17" t="s">
        <v>636</v>
      </c>
      <c r="E83" s="17" t="s">
        <v>1930</v>
      </c>
      <c r="F83" s="445">
        <v>2913</v>
      </c>
      <c r="G83" s="404">
        <v>0.4</v>
      </c>
      <c r="H83" s="403">
        <f t="shared" si="12"/>
        <v>1747.8</v>
      </c>
      <c r="I83" s="403">
        <f t="shared" si="11"/>
        <v>1747.8</v>
      </c>
      <c r="J83" s="17" t="s">
        <v>638</v>
      </c>
      <c r="K83" s="17" t="s">
        <v>1904</v>
      </c>
    </row>
    <row r="84" spans="1:12">
      <c r="A84" s="915">
        <v>0</v>
      </c>
      <c r="B84" s="17" t="s">
        <v>539</v>
      </c>
      <c r="C84" s="204" t="s">
        <v>1902</v>
      </c>
      <c r="D84" s="17" t="s">
        <v>670</v>
      </c>
      <c r="E84" s="17" t="s">
        <v>1931</v>
      </c>
      <c r="F84" s="445">
        <v>107</v>
      </c>
      <c r="G84" s="404">
        <v>0.4</v>
      </c>
      <c r="H84" s="403">
        <f t="shared" si="12"/>
        <v>64.2</v>
      </c>
      <c r="I84" s="403">
        <f t="shared" si="11"/>
        <v>0</v>
      </c>
      <c r="J84" s="17" t="s">
        <v>638</v>
      </c>
      <c r="K84" s="17" t="s">
        <v>1904</v>
      </c>
    </row>
    <row r="85" spans="1:12">
      <c r="A85" s="915">
        <v>30</v>
      </c>
      <c r="B85" s="17" t="s">
        <v>539</v>
      </c>
      <c r="C85" s="204" t="s">
        <v>1902</v>
      </c>
      <c r="D85" s="17" t="s">
        <v>670</v>
      </c>
      <c r="E85" s="17" t="s">
        <v>1932</v>
      </c>
      <c r="F85" s="445">
        <v>108</v>
      </c>
      <c r="G85" s="404">
        <v>0.4</v>
      </c>
      <c r="H85" s="403">
        <f t="shared" si="12"/>
        <v>64.8</v>
      </c>
      <c r="I85" s="403">
        <f t="shared" si="11"/>
        <v>1944</v>
      </c>
      <c r="J85" s="17" t="s">
        <v>638</v>
      </c>
      <c r="K85" s="17" t="s">
        <v>1904</v>
      </c>
    </row>
    <row r="86" spans="1:12">
      <c r="A86" s="915">
        <v>1</v>
      </c>
      <c r="B86" s="17" t="s">
        <v>517</v>
      </c>
      <c r="C86" s="204" t="s">
        <v>1902</v>
      </c>
      <c r="D86" s="17" t="s">
        <v>640</v>
      </c>
      <c r="E86" s="17" t="s">
        <v>1933</v>
      </c>
      <c r="F86" s="445">
        <v>1965</v>
      </c>
      <c r="G86" s="404">
        <v>0.4</v>
      </c>
      <c r="H86" s="403">
        <f t="shared" si="12"/>
        <v>1179</v>
      </c>
      <c r="I86" s="403">
        <f t="shared" si="11"/>
        <v>1179</v>
      </c>
      <c r="J86" s="17" t="s">
        <v>638</v>
      </c>
      <c r="K86" s="17" t="s">
        <v>1904</v>
      </c>
    </row>
    <row r="87" spans="1:12">
      <c r="A87" s="915">
        <v>30</v>
      </c>
      <c r="B87" s="17" t="s">
        <v>539</v>
      </c>
      <c r="C87" s="204" t="s">
        <v>1902</v>
      </c>
      <c r="D87" s="17" t="s">
        <v>643</v>
      </c>
      <c r="E87" s="17" t="s">
        <v>1934</v>
      </c>
      <c r="F87" s="445">
        <v>95</v>
      </c>
      <c r="G87" s="404">
        <v>0.4</v>
      </c>
      <c r="H87" s="403">
        <f t="shared" si="12"/>
        <v>57</v>
      </c>
      <c r="I87" s="403">
        <f t="shared" si="11"/>
        <v>1710</v>
      </c>
      <c r="J87" s="17" t="s">
        <v>638</v>
      </c>
      <c r="K87" s="17" t="s">
        <v>1904</v>
      </c>
    </row>
    <row r="88" spans="1:12">
      <c r="A88" s="204"/>
      <c r="F88" s="485"/>
      <c r="H88" s="403"/>
      <c r="I88" s="403"/>
    </row>
    <row r="89" spans="1:12">
      <c r="A89" s="204"/>
      <c r="E89" s="439" t="s">
        <v>1935</v>
      </c>
      <c r="F89" s="485"/>
      <c r="H89" s="403"/>
      <c r="I89" s="403"/>
    </row>
    <row r="90" spans="1:12" ht="12.45">
      <c r="A90" s="915">
        <v>0</v>
      </c>
      <c r="B90" s="17" t="s">
        <v>517</v>
      </c>
      <c r="C90" s="204" t="s">
        <v>1902</v>
      </c>
      <c r="D90" s="494" t="s">
        <v>1936</v>
      </c>
      <c r="E90" s="17" t="s">
        <v>1937</v>
      </c>
      <c r="F90" s="445">
        <f>1610.95/0.6</f>
        <v>2684.916666666667</v>
      </c>
      <c r="G90" s="404">
        <v>0.4</v>
      </c>
      <c r="H90" s="443">
        <f t="shared" si="12"/>
        <v>1610.95</v>
      </c>
      <c r="I90" s="443">
        <f t="shared" si="11"/>
        <v>0</v>
      </c>
      <c r="J90" s="17" t="s">
        <v>2039</v>
      </c>
    </row>
    <row r="91" spans="1:12" ht="57.45" customHeight="1">
      <c r="A91" s="915">
        <v>0</v>
      </c>
      <c r="B91" s="17" t="s">
        <v>539</v>
      </c>
      <c r="C91" s="204" t="s">
        <v>1902</v>
      </c>
      <c r="D91" s="494" t="s">
        <v>1939</v>
      </c>
      <c r="E91" s="17" t="s">
        <v>1940</v>
      </c>
      <c r="F91" s="445">
        <v>846.22031249999998</v>
      </c>
      <c r="G91" s="404">
        <v>0.4</v>
      </c>
      <c r="H91" s="403">
        <f t="shared" si="12"/>
        <v>507.73218749999995</v>
      </c>
      <c r="I91" s="443">
        <f t="shared" si="11"/>
        <v>0</v>
      </c>
      <c r="J91" s="204" t="s">
        <v>1941</v>
      </c>
      <c r="K91" s="1103" t="s">
        <v>2040</v>
      </c>
      <c r="L91" s="1103"/>
    </row>
    <row r="92" spans="1:12" ht="13.75">
      <c r="A92" s="915">
        <v>0</v>
      </c>
      <c r="B92" s="17" t="s">
        <v>539</v>
      </c>
      <c r="C92" s="204" t="s">
        <v>1902</v>
      </c>
      <c r="D92" s="494" t="s">
        <v>1943</v>
      </c>
      <c r="E92" s="17" t="s">
        <v>1944</v>
      </c>
      <c r="F92" s="445">
        <v>110</v>
      </c>
      <c r="G92" s="404">
        <v>0.4</v>
      </c>
      <c r="H92" s="403">
        <f t="shared" si="12"/>
        <v>66</v>
      </c>
      <c r="I92" s="403">
        <f t="shared" si="11"/>
        <v>0</v>
      </c>
      <c r="J92" s="17" t="s">
        <v>696</v>
      </c>
    </row>
    <row r="93" spans="1:12" ht="89.05">
      <c r="A93" s="915">
        <v>0</v>
      </c>
      <c r="B93" s="17" t="s">
        <v>517</v>
      </c>
      <c r="C93" s="204" t="s">
        <v>1902</v>
      </c>
      <c r="D93" s="494" t="s">
        <v>1946</v>
      </c>
      <c r="E93" s="17" t="s">
        <v>1947</v>
      </c>
      <c r="F93" s="445">
        <f>5844.58/0.6</f>
        <v>9740.9666666666672</v>
      </c>
      <c r="G93" s="404">
        <v>0.4</v>
      </c>
      <c r="H93" s="443">
        <f t="shared" si="12"/>
        <v>5844.58</v>
      </c>
      <c r="I93" s="443">
        <f t="shared" si="11"/>
        <v>0</v>
      </c>
      <c r="J93" s="204" t="s">
        <v>2041</v>
      </c>
    </row>
    <row r="94" spans="1:12" ht="57.45" customHeight="1">
      <c r="A94" s="915">
        <v>0</v>
      </c>
      <c r="B94" s="17" t="s">
        <v>517</v>
      </c>
      <c r="C94" s="204" t="s">
        <v>1902</v>
      </c>
      <c r="D94" s="494" t="s">
        <v>1946</v>
      </c>
      <c r="E94" s="17" t="s">
        <v>1947</v>
      </c>
      <c r="F94" s="445">
        <f>5844.58/0.6*(160/100)^0.8</f>
        <v>14187.244172962894</v>
      </c>
      <c r="G94" s="404">
        <v>0.4</v>
      </c>
      <c r="H94" s="443">
        <f t="shared" si="12"/>
        <v>8512.3465037777351</v>
      </c>
      <c r="I94" s="443">
        <f t="shared" si="11"/>
        <v>0</v>
      </c>
      <c r="J94" s="204" t="s">
        <v>2042</v>
      </c>
      <c r="K94" s="1103" t="s">
        <v>2075</v>
      </c>
      <c r="L94" s="1103"/>
    </row>
    <row r="95" spans="1:12" ht="79.849999999999994" customHeight="1">
      <c r="A95" s="915">
        <v>0</v>
      </c>
      <c r="B95" s="17" t="s">
        <v>539</v>
      </c>
      <c r="C95" s="204" t="s">
        <v>1902</v>
      </c>
      <c r="D95" s="494" t="s">
        <v>1950</v>
      </c>
      <c r="E95" s="17" t="s">
        <v>1951</v>
      </c>
      <c r="F95" s="445">
        <v>32.7596512570965</v>
      </c>
      <c r="G95" s="404">
        <v>0.4</v>
      </c>
      <c r="H95" s="403">
        <f t="shared" si="12"/>
        <v>19.6557907542579</v>
      </c>
      <c r="I95" s="443">
        <f t="shared" si="11"/>
        <v>0</v>
      </c>
      <c r="J95" s="204" t="s">
        <v>2044</v>
      </c>
      <c r="K95" s="1103" t="s">
        <v>2045</v>
      </c>
      <c r="L95" s="1103"/>
    </row>
    <row r="96" spans="1:12">
      <c r="A96" s="204"/>
      <c r="F96" s="17"/>
      <c r="H96" s="403"/>
      <c r="I96" s="403"/>
    </row>
    <row r="97" spans="1:17" ht="33.4">
      <c r="A97" s="204">
        <v>1</v>
      </c>
      <c r="B97" s="17" t="s">
        <v>517</v>
      </c>
      <c r="C97" s="204" t="s">
        <v>674</v>
      </c>
      <c r="E97" s="17" t="s">
        <v>675</v>
      </c>
      <c r="F97" s="445">
        <v>161.44</v>
      </c>
      <c r="G97" s="404">
        <v>0</v>
      </c>
      <c r="H97" s="403">
        <f t="shared" si="12"/>
        <v>161.44</v>
      </c>
      <c r="I97" s="403">
        <f t="shared" si="11"/>
        <v>161.44</v>
      </c>
    </row>
    <row r="98" spans="1:17">
      <c r="A98" s="204"/>
      <c r="F98" s="485"/>
      <c r="H98" s="403"/>
      <c r="I98" s="403"/>
    </row>
    <row r="99" spans="1:17" ht="15.75">
      <c r="E99" s="439" t="s">
        <v>676</v>
      </c>
      <c r="I99" s="443">
        <f>SUM(I72:I97)</f>
        <v>6742.24</v>
      </c>
      <c r="Q99" s="438">
        <f>I99</f>
        <v>6742.24</v>
      </c>
    </row>
    <row r="101" spans="1:17" ht="13.75" customHeight="1">
      <c r="A101" s="986" t="s">
        <v>100</v>
      </c>
      <c r="B101" s="986"/>
      <c r="C101" s="986"/>
      <c r="D101" s="986"/>
      <c r="E101" s="986"/>
    </row>
    <row r="103" spans="1:17">
      <c r="E103" s="442" t="s">
        <v>677</v>
      </c>
      <c r="J103" s="403"/>
    </row>
    <row r="104" spans="1:17" ht="22.25">
      <c r="A104" s="407">
        <v>0</v>
      </c>
      <c r="B104" s="407" t="s">
        <v>522</v>
      </c>
      <c r="C104" s="408" t="s">
        <v>678</v>
      </c>
      <c r="D104" s="407" t="s">
        <v>679</v>
      </c>
      <c r="E104" s="408" t="s">
        <v>680</v>
      </c>
      <c r="F104" s="409">
        <v>2801.13</v>
      </c>
      <c r="G104" s="410"/>
      <c r="H104" s="409">
        <f t="shared" ref="H104:H149" si="13">F104*(1-G104)</f>
        <v>2801.13</v>
      </c>
      <c r="I104" s="409"/>
    </row>
    <row r="105" spans="1:17" ht="22.25">
      <c r="A105" s="407">
        <v>0</v>
      </c>
      <c r="B105" s="407" t="s">
        <v>522</v>
      </c>
      <c r="C105" s="408" t="s">
        <v>678</v>
      </c>
      <c r="D105" s="407" t="s">
        <v>681</v>
      </c>
      <c r="E105" s="408" t="s">
        <v>682</v>
      </c>
      <c r="F105" s="409">
        <v>772.15</v>
      </c>
      <c r="G105" s="410"/>
      <c r="H105" s="409">
        <f t="shared" si="13"/>
        <v>772.15</v>
      </c>
      <c r="I105" s="409"/>
    </row>
    <row r="106" spans="1:17" ht="22.25">
      <c r="A106" s="407">
        <v>0</v>
      </c>
      <c r="B106" s="407" t="s">
        <v>522</v>
      </c>
      <c r="C106" s="408" t="s">
        <v>678</v>
      </c>
      <c r="D106" s="407" t="s">
        <v>683</v>
      </c>
      <c r="E106" s="408" t="s">
        <v>684</v>
      </c>
      <c r="F106" s="409">
        <v>150.26</v>
      </c>
      <c r="G106" s="410"/>
      <c r="H106" s="409">
        <f t="shared" si="13"/>
        <v>150.26</v>
      </c>
      <c r="I106" s="409"/>
    </row>
    <row r="107" spans="1:17" ht="22.25">
      <c r="A107" s="407">
        <v>0</v>
      </c>
      <c r="B107" s="407" t="s">
        <v>522</v>
      </c>
      <c r="C107" s="408" t="s">
        <v>678</v>
      </c>
      <c r="D107" s="407" t="s">
        <v>685</v>
      </c>
      <c r="E107" s="408" t="s">
        <v>686</v>
      </c>
      <c r="F107" s="409">
        <v>10.58</v>
      </c>
      <c r="G107" s="410"/>
      <c r="H107" s="409">
        <f t="shared" si="13"/>
        <v>10.58</v>
      </c>
      <c r="I107" s="409"/>
    </row>
    <row r="108" spans="1:17" ht="22.25">
      <c r="A108" s="407">
        <v>0</v>
      </c>
      <c r="B108" s="407" t="s">
        <v>522</v>
      </c>
      <c r="C108" s="408" t="s">
        <v>678</v>
      </c>
      <c r="D108" s="407" t="s">
        <v>687</v>
      </c>
      <c r="E108" s="408" t="s">
        <v>688</v>
      </c>
      <c r="F108" s="409">
        <v>69.78</v>
      </c>
      <c r="G108" s="410"/>
      <c r="H108" s="409">
        <f t="shared" si="13"/>
        <v>69.78</v>
      </c>
      <c r="I108" s="409"/>
      <c r="J108" s="17" t="s">
        <v>689</v>
      </c>
    </row>
    <row r="109" spans="1:17" ht="22.25">
      <c r="A109" s="487">
        <v>0</v>
      </c>
      <c r="B109" s="407" t="s">
        <v>539</v>
      </c>
      <c r="C109" s="408" t="s">
        <v>690</v>
      </c>
      <c r="D109" s="407"/>
      <c r="E109" s="407" t="s">
        <v>691</v>
      </c>
      <c r="F109" s="409">
        <v>7.58</v>
      </c>
      <c r="G109" s="410"/>
      <c r="H109" s="409">
        <f t="shared" si="13"/>
        <v>7.58</v>
      </c>
      <c r="I109" s="409"/>
      <c r="J109" s="17" t="s">
        <v>692</v>
      </c>
    </row>
    <row r="110" spans="1:17" ht="22.25">
      <c r="A110" s="487">
        <v>0</v>
      </c>
      <c r="B110" s="407" t="s">
        <v>539</v>
      </c>
      <c r="C110" s="408" t="s">
        <v>690</v>
      </c>
      <c r="D110" s="407"/>
      <c r="E110" s="407" t="s">
        <v>693</v>
      </c>
      <c r="F110" s="409">
        <v>2.04</v>
      </c>
      <c r="G110" s="410"/>
      <c r="H110" s="409">
        <f t="shared" si="13"/>
        <v>2.04</v>
      </c>
      <c r="I110" s="409"/>
      <c r="J110" s="17" t="s">
        <v>694</v>
      </c>
    </row>
    <row r="111" spans="1:17">
      <c r="A111" s="407">
        <v>0</v>
      </c>
      <c r="B111" s="407" t="s">
        <v>522</v>
      </c>
      <c r="C111" s="408"/>
      <c r="D111" s="407"/>
      <c r="E111" s="408" t="s">
        <v>695</v>
      </c>
      <c r="F111" s="409">
        <v>50</v>
      </c>
      <c r="G111" s="410"/>
      <c r="H111" s="409">
        <f t="shared" si="13"/>
        <v>50</v>
      </c>
      <c r="I111" s="409"/>
      <c r="J111" s="204" t="s">
        <v>696</v>
      </c>
    </row>
    <row r="112" spans="1:17">
      <c r="A112" s="407">
        <v>0</v>
      </c>
      <c r="B112" s="407" t="s">
        <v>619</v>
      </c>
      <c r="C112" s="408"/>
      <c r="D112" s="407"/>
      <c r="E112" s="408" t="s">
        <v>697</v>
      </c>
      <c r="F112" s="409">
        <f>F62</f>
        <v>55</v>
      </c>
      <c r="G112" s="410"/>
      <c r="H112" s="409">
        <f t="shared" si="13"/>
        <v>55</v>
      </c>
      <c r="I112" s="409"/>
    </row>
    <row r="113" spans="1:10" ht="66.8">
      <c r="A113" s="407">
        <v>0</v>
      </c>
      <c r="B113" s="407" t="s">
        <v>517</v>
      </c>
      <c r="C113" s="408" t="s">
        <v>698</v>
      </c>
      <c r="D113" s="407" t="s">
        <v>636</v>
      </c>
      <c r="E113" s="408" t="s">
        <v>637</v>
      </c>
      <c r="F113" s="409">
        <v>1809</v>
      </c>
      <c r="G113" s="410">
        <v>0.75</v>
      </c>
      <c r="H113" s="409">
        <f t="shared" si="13"/>
        <v>452.25</v>
      </c>
      <c r="I113" s="409"/>
      <c r="J113" s="17" t="s">
        <v>699</v>
      </c>
    </row>
    <row r="114" spans="1:10">
      <c r="A114" s="407"/>
      <c r="B114" s="407"/>
      <c r="C114" s="408"/>
      <c r="D114" s="407"/>
      <c r="E114" s="408"/>
      <c r="F114" s="409"/>
      <c r="G114" s="410"/>
      <c r="H114" s="409"/>
      <c r="I114" s="409"/>
    </row>
    <row r="115" spans="1:10">
      <c r="E115" s="442" t="s">
        <v>700</v>
      </c>
    </row>
    <row r="116" spans="1:10">
      <c r="A116" s="407"/>
      <c r="B116" s="407"/>
      <c r="C116" s="408"/>
      <c r="D116" s="407"/>
      <c r="E116" s="408"/>
      <c r="F116" s="409"/>
      <c r="G116" s="410"/>
      <c r="H116" s="409"/>
      <c r="I116" s="409"/>
    </row>
    <row r="117" spans="1:10">
      <c r="A117" s="407"/>
      <c r="B117" s="407"/>
      <c r="C117" s="408"/>
      <c r="D117" s="407"/>
      <c r="E117" s="408" t="s">
        <v>701</v>
      </c>
      <c r="F117" s="409"/>
      <c r="G117" s="410"/>
      <c r="H117" s="409"/>
      <c r="I117" s="409"/>
    </row>
    <row r="118" spans="1:10">
      <c r="A118" s="407"/>
      <c r="B118" s="407"/>
      <c r="C118" s="408"/>
      <c r="D118" s="407"/>
      <c r="E118" s="408"/>
      <c r="F118" s="409"/>
      <c r="G118" s="410"/>
      <c r="H118" s="409"/>
      <c r="I118" s="409"/>
    </row>
    <row r="119" spans="1:10">
      <c r="A119" s="407"/>
      <c r="B119" s="407"/>
      <c r="C119" s="408"/>
      <c r="D119" s="407"/>
      <c r="E119" s="408"/>
      <c r="F119" s="409"/>
      <c r="G119" s="410"/>
      <c r="H119" s="409"/>
      <c r="I119" s="409"/>
    </row>
    <row r="120" spans="1:10">
      <c r="A120" s="407"/>
      <c r="B120" s="407"/>
      <c r="C120" s="408"/>
      <c r="D120" s="407"/>
      <c r="E120" s="408"/>
      <c r="F120" s="409"/>
      <c r="G120" s="410"/>
      <c r="H120" s="409"/>
      <c r="I120" s="409"/>
    </row>
    <row r="121" spans="1:10">
      <c r="A121" s="407"/>
      <c r="B121" s="407"/>
      <c r="C121" s="408"/>
      <c r="D121" s="407"/>
      <c r="E121" s="408"/>
      <c r="F121" s="409"/>
      <c r="G121" s="410"/>
      <c r="H121" s="409"/>
      <c r="I121" s="409"/>
    </row>
    <row r="122" spans="1:10">
      <c r="A122" s="204"/>
      <c r="F122" s="485"/>
      <c r="H122" s="403"/>
      <c r="I122" s="403"/>
    </row>
    <row r="123" spans="1:10">
      <c r="E123" s="439" t="s">
        <v>702</v>
      </c>
      <c r="I123" s="443">
        <f>SUM(I104:I122)</f>
        <v>0</v>
      </c>
    </row>
    <row r="125" spans="1:10" ht="15.05" customHeight="1">
      <c r="A125" s="1002" t="s">
        <v>90</v>
      </c>
      <c r="B125" s="1002"/>
      <c r="C125" s="1002"/>
      <c r="D125" s="1002"/>
      <c r="E125" s="1002"/>
    </row>
    <row r="127" spans="1:10">
      <c r="A127" s="442">
        <v>0</v>
      </c>
      <c r="B127" s="17" t="s">
        <v>517</v>
      </c>
      <c r="E127" s="17" t="s">
        <v>703</v>
      </c>
      <c r="F127" s="403">
        <v>800</v>
      </c>
      <c r="H127" s="403">
        <f t="shared" si="13"/>
        <v>800</v>
      </c>
      <c r="I127" s="403">
        <f t="shared" ref="I127:I142" si="14">A127*H127</f>
        <v>0</v>
      </c>
      <c r="J127" s="17" t="s">
        <v>704</v>
      </c>
    </row>
    <row r="128" spans="1:10">
      <c r="A128" s="442">
        <v>0</v>
      </c>
      <c r="B128" s="17" t="s">
        <v>517</v>
      </c>
      <c r="E128" s="17" t="s">
        <v>705</v>
      </c>
      <c r="F128" s="403">
        <v>500</v>
      </c>
      <c r="H128" s="403">
        <f t="shared" si="13"/>
        <v>500</v>
      </c>
      <c r="I128" s="403">
        <f t="shared" si="14"/>
        <v>0</v>
      </c>
      <c r="J128" s="17" t="s">
        <v>704</v>
      </c>
    </row>
    <row r="129" spans="1:10">
      <c r="A129" s="442">
        <v>0</v>
      </c>
      <c r="B129" s="17" t="s">
        <v>517</v>
      </c>
      <c r="E129" s="17" t="s">
        <v>707</v>
      </c>
      <c r="F129" s="403">
        <v>1500</v>
      </c>
      <c r="H129" s="403">
        <f t="shared" si="13"/>
        <v>1500</v>
      </c>
      <c r="I129" s="403">
        <f t="shared" si="14"/>
        <v>0</v>
      </c>
    </row>
    <row r="130" spans="1:10" ht="55.65">
      <c r="A130" s="442">
        <v>0</v>
      </c>
      <c r="B130" s="17" t="s">
        <v>517</v>
      </c>
      <c r="C130" s="204" t="s">
        <v>708</v>
      </c>
      <c r="E130" s="204" t="s">
        <v>709</v>
      </c>
      <c r="F130" s="403">
        <v>460</v>
      </c>
      <c r="H130" s="403">
        <f t="shared" si="13"/>
        <v>460</v>
      </c>
      <c r="I130" s="403">
        <f t="shared" si="14"/>
        <v>0</v>
      </c>
      <c r="J130" s="17" t="s">
        <v>710</v>
      </c>
    </row>
    <row r="131" spans="1:10" ht="55.65">
      <c r="A131" s="442">
        <v>0</v>
      </c>
      <c r="B131" s="17" t="s">
        <v>517</v>
      </c>
      <c r="C131" s="204" t="s">
        <v>711</v>
      </c>
      <c r="E131" s="204" t="s">
        <v>712</v>
      </c>
      <c r="F131" s="403">
        <v>320</v>
      </c>
      <c r="H131" s="403">
        <f t="shared" si="13"/>
        <v>320</v>
      </c>
      <c r="I131" s="403">
        <f t="shared" si="14"/>
        <v>0</v>
      </c>
    </row>
    <row r="132" spans="1:10" ht="55.65">
      <c r="A132" s="442">
        <v>0</v>
      </c>
      <c r="B132" s="17" t="s">
        <v>517</v>
      </c>
      <c r="C132" s="17" t="s">
        <v>713</v>
      </c>
      <c r="D132" s="17" t="s">
        <v>714</v>
      </c>
      <c r="E132" s="204" t="s">
        <v>715</v>
      </c>
      <c r="F132" s="403">
        <v>2725</v>
      </c>
      <c r="H132" s="403">
        <f t="shared" si="13"/>
        <v>2725</v>
      </c>
      <c r="I132" s="403">
        <f t="shared" si="14"/>
        <v>0</v>
      </c>
    </row>
    <row r="133" spans="1:10" ht="33.4">
      <c r="A133" s="442">
        <v>0</v>
      </c>
      <c r="B133" s="17" t="s">
        <v>517</v>
      </c>
      <c r="C133" s="204" t="s">
        <v>716</v>
      </c>
      <c r="E133" s="17" t="s">
        <v>717</v>
      </c>
      <c r="F133" s="403">
        <f>1840*1.04</f>
        <v>1913.6000000000001</v>
      </c>
      <c r="H133" s="403">
        <f t="shared" si="13"/>
        <v>1913.6000000000001</v>
      </c>
      <c r="I133" s="403">
        <f t="shared" si="14"/>
        <v>0</v>
      </c>
      <c r="J133" s="17" t="s">
        <v>718</v>
      </c>
    </row>
    <row r="134" spans="1:10">
      <c r="H134" s="403"/>
      <c r="I134" s="403"/>
    </row>
    <row r="135" spans="1:10">
      <c r="E135" s="446" t="s">
        <v>719</v>
      </c>
      <c r="H135" s="403"/>
      <c r="I135" s="403"/>
    </row>
    <row r="136" spans="1:10" ht="22.25">
      <c r="A136" s="442">
        <v>0</v>
      </c>
      <c r="B136" s="17" t="s">
        <v>619</v>
      </c>
      <c r="C136" s="204" t="s">
        <v>531</v>
      </c>
      <c r="E136" s="17" t="s">
        <v>720</v>
      </c>
      <c r="F136" s="403">
        <v>50</v>
      </c>
      <c r="H136" s="403">
        <f t="shared" si="13"/>
        <v>50</v>
      </c>
      <c r="I136" s="403">
        <f t="shared" si="14"/>
        <v>0</v>
      </c>
    </row>
    <row r="137" spans="1:10">
      <c r="A137" s="442">
        <v>0</v>
      </c>
      <c r="B137" s="17" t="s">
        <v>517</v>
      </c>
      <c r="C137" s="204" t="s">
        <v>721</v>
      </c>
      <c r="E137" s="17" t="s">
        <v>722</v>
      </c>
      <c r="F137" s="403">
        <f>69/100</f>
        <v>0.69</v>
      </c>
      <c r="H137" s="403">
        <f t="shared" si="13"/>
        <v>0.69</v>
      </c>
      <c r="I137" s="403">
        <f t="shared" si="14"/>
        <v>0</v>
      </c>
    </row>
    <row r="138" spans="1:10">
      <c r="A138" s="442">
        <f t="shared" ref="A138:A141" si="15">A137</f>
        <v>0</v>
      </c>
      <c r="B138" s="17" t="s">
        <v>517</v>
      </c>
      <c r="C138" s="204" t="s">
        <v>721</v>
      </c>
      <c r="E138" s="17" t="s">
        <v>723</v>
      </c>
      <c r="F138" s="403">
        <v>0.1</v>
      </c>
      <c r="H138" s="403">
        <f t="shared" si="13"/>
        <v>0.1</v>
      </c>
      <c r="I138" s="403">
        <f t="shared" si="14"/>
        <v>0</v>
      </c>
    </row>
    <row r="139" spans="1:10">
      <c r="A139" s="442">
        <f t="shared" si="15"/>
        <v>0</v>
      </c>
      <c r="B139" s="17" t="s">
        <v>517</v>
      </c>
      <c r="C139" s="204" t="s">
        <v>721</v>
      </c>
      <c r="E139" s="17" t="s">
        <v>724</v>
      </c>
      <c r="F139" s="403">
        <f>13.25/1.2/100</f>
        <v>0.11041666666666668</v>
      </c>
      <c r="H139" s="403">
        <f t="shared" si="13"/>
        <v>0.11041666666666668</v>
      </c>
      <c r="I139" s="403">
        <f t="shared" si="14"/>
        <v>0</v>
      </c>
    </row>
    <row r="140" spans="1:10" ht="22.25">
      <c r="A140" s="442">
        <v>0</v>
      </c>
      <c r="B140" s="17" t="s">
        <v>539</v>
      </c>
      <c r="C140" s="204" t="s">
        <v>725</v>
      </c>
      <c r="E140" s="17" t="s">
        <v>726</v>
      </c>
      <c r="F140" s="403">
        <f>15.73/1.2</f>
        <v>13.108333333333334</v>
      </c>
      <c r="H140" s="403">
        <f t="shared" si="13"/>
        <v>13.108333333333334</v>
      </c>
      <c r="I140" s="403">
        <f t="shared" si="14"/>
        <v>0</v>
      </c>
    </row>
    <row r="141" spans="1:10" ht="22.25">
      <c r="A141" s="442">
        <f t="shared" si="15"/>
        <v>0</v>
      </c>
      <c r="B141" s="17" t="s">
        <v>539</v>
      </c>
      <c r="C141" s="204" t="s">
        <v>531</v>
      </c>
      <c r="E141" s="17" t="s">
        <v>727</v>
      </c>
      <c r="F141" s="403">
        <v>25</v>
      </c>
      <c r="H141" s="403">
        <f t="shared" si="13"/>
        <v>25</v>
      </c>
      <c r="I141" s="403">
        <f t="shared" si="14"/>
        <v>0</v>
      </c>
    </row>
    <row r="142" spans="1:10" ht="22.25">
      <c r="A142" s="442">
        <f>A141*4</f>
        <v>0</v>
      </c>
      <c r="B142" s="17" t="s">
        <v>517</v>
      </c>
      <c r="C142" s="204" t="s">
        <v>531</v>
      </c>
      <c r="E142" s="17" t="s">
        <v>728</v>
      </c>
      <c r="F142" s="403">
        <v>0.1</v>
      </c>
      <c r="H142" s="403">
        <f t="shared" si="13"/>
        <v>0.1</v>
      </c>
      <c r="I142" s="403">
        <f t="shared" si="14"/>
        <v>0</v>
      </c>
    </row>
    <row r="143" spans="1:10">
      <c r="H143" s="403"/>
      <c r="I143" s="403"/>
    </row>
    <row r="144" spans="1:10" ht="15.75">
      <c r="E144" s="439" t="s">
        <v>729</v>
      </c>
      <c r="I144" s="168">
        <f>SUM(I125:I133)</f>
        <v>0</v>
      </c>
    </row>
    <row r="146" spans="1:9" ht="13.75" customHeight="1">
      <c r="A146" s="997" t="s">
        <v>68</v>
      </c>
      <c r="B146" s="997"/>
      <c r="C146" s="997"/>
      <c r="D146" s="997"/>
      <c r="E146" s="997"/>
    </row>
    <row r="147" spans="1:9">
      <c r="A147" s="442">
        <v>1</v>
      </c>
      <c r="B147" s="17" t="s">
        <v>517</v>
      </c>
      <c r="E147" s="17" t="s">
        <v>730</v>
      </c>
      <c r="F147" s="403">
        <v>500</v>
      </c>
      <c r="H147" s="403">
        <f t="shared" si="13"/>
        <v>500</v>
      </c>
      <c r="I147" s="403">
        <f t="shared" ref="I147:I149" si="16">A147*H147</f>
        <v>500</v>
      </c>
    </row>
    <row r="148" spans="1:9" ht="55.65">
      <c r="A148" s="442">
        <v>0</v>
      </c>
      <c r="B148" s="17" t="s">
        <v>517</v>
      </c>
      <c r="C148" s="204" t="s">
        <v>708</v>
      </c>
      <c r="E148" s="204" t="s">
        <v>731</v>
      </c>
      <c r="F148" s="403">
        <f>460/2</f>
        <v>230</v>
      </c>
      <c r="H148" s="403">
        <f t="shared" si="13"/>
        <v>230</v>
      </c>
      <c r="I148" s="403">
        <f t="shared" si="16"/>
        <v>0</v>
      </c>
    </row>
    <row r="149" spans="1:9" ht="55.65">
      <c r="A149" s="442">
        <v>0</v>
      </c>
      <c r="B149" s="17" t="s">
        <v>517</v>
      </c>
      <c r="C149" s="204" t="s">
        <v>711</v>
      </c>
      <c r="E149" s="204" t="s">
        <v>732</v>
      </c>
      <c r="F149" s="403">
        <f>320/2</f>
        <v>160</v>
      </c>
      <c r="H149" s="403">
        <f t="shared" si="13"/>
        <v>160</v>
      </c>
      <c r="I149" s="403">
        <f t="shared" si="16"/>
        <v>0</v>
      </c>
    </row>
    <row r="151" spans="1:9" ht="15.75">
      <c r="E151" s="439" t="s">
        <v>733</v>
      </c>
      <c r="I151" s="168">
        <f>SUM(I146:I150)</f>
        <v>500</v>
      </c>
    </row>
    <row r="152" spans="1:9">
      <c r="E152" s="439"/>
    </row>
  </sheetData>
  <mergeCells count="9">
    <mergeCell ref="K95:L95"/>
    <mergeCell ref="A101:E101"/>
    <mergeCell ref="A125:E125"/>
    <mergeCell ref="A146:E146"/>
    <mergeCell ref="B1:F1"/>
    <mergeCell ref="A2:G2"/>
    <mergeCell ref="J24:L24"/>
    <mergeCell ref="K91:L91"/>
    <mergeCell ref="K94:L94"/>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zoomScale="95" workbookViewId="0">
      <selection activeCell="AE25" activeCellId="1" sqref="G16 AE25"/>
    </sheetView>
  </sheetViews>
  <sheetFormatPr baseColWidth="10" defaultColWidth="10.140625" defaultRowHeight="11.15"/>
  <cols>
    <col min="6" max="6" width="12.140625" customWidth="1"/>
    <col min="8" max="8" width="11.140625" customWidth="1"/>
    <col min="9" max="9" width="8" customWidth="1"/>
    <col min="14" max="14" width="11" customWidth="1"/>
  </cols>
  <sheetData>
    <row r="1" spans="1:32">
      <c r="A1" t="s">
        <v>2076</v>
      </c>
      <c r="C1" t="s">
        <v>2077</v>
      </c>
    </row>
    <row r="2" spans="1:32">
      <c r="C2" t="s">
        <v>2078</v>
      </c>
    </row>
    <row r="3" spans="1:32">
      <c r="C3" t="s">
        <v>2079</v>
      </c>
    </row>
    <row r="4" spans="1:32">
      <c r="C4" t="s">
        <v>2080</v>
      </c>
    </row>
    <row r="5" spans="1:32">
      <c r="C5" t="s">
        <v>2081</v>
      </c>
      <c r="L5" s="922"/>
      <c r="M5" s="923" t="s">
        <v>2082</v>
      </c>
      <c r="N5" s="924"/>
      <c r="O5" s="924"/>
      <c r="P5" s="924"/>
      <c r="Q5" s="924"/>
      <c r="R5" s="924"/>
      <c r="S5" s="924"/>
      <c r="T5" s="924"/>
      <c r="U5" s="925"/>
      <c r="W5" s="926"/>
      <c r="X5" s="1104" t="s">
        <v>2083</v>
      </c>
      <c r="Y5" s="1104"/>
      <c r="Z5" s="1104"/>
      <c r="AA5" s="1105" t="s">
        <v>2084</v>
      </c>
      <c r="AB5" s="1105"/>
      <c r="AC5" s="1105"/>
      <c r="AD5" s="1106" t="s">
        <v>2085</v>
      </c>
      <c r="AE5" s="1106"/>
      <c r="AF5" s="1106"/>
    </row>
    <row r="6" spans="1:32" ht="44.55">
      <c r="A6" s="220" t="s">
        <v>33</v>
      </c>
      <c r="B6" s="220" t="str">
        <f>Installations!K5</f>
        <v>Puissance (kWc)</v>
      </c>
      <c r="C6" s="220" t="str">
        <f>Installations!W4</f>
        <v>Total inv directs (€ HT)</v>
      </c>
      <c r="D6" s="220" t="str">
        <f>Installations!AH3</f>
        <v>Total travaux</v>
      </c>
      <c r="E6" s="220" t="str">
        <f>Installations!AS3</f>
        <v>TOTAL CHARGES</v>
      </c>
      <c r="F6" s="220" t="str">
        <f>Installations!AY4</f>
        <v>Tarif d'achat (cts d'euros / kWh)</v>
      </c>
      <c r="G6" t="s">
        <v>2086</v>
      </c>
      <c r="H6" s="220" t="s">
        <v>2083</v>
      </c>
      <c r="I6" s="220" t="s">
        <v>2084</v>
      </c>
      <c r="J6" s="220" t="s">
        <v>2085</v>
      </c>
      <c r="L6" s="927" t="s">
        <v>2086</v>
      </c>
      <c r="M6" s="928" t="s">
        <v>2087</v>
      </c>
      <c r="N6" s="929" t="s">
        <v>2087</v>
      </c>
      <c r="O6" s="929" t="s">
        <v>2087</v>
      </c>
      <c r="P6" s="929" t="s">
        <v>2088</v>
      </c>
      <c r="Q6" s="929" t="s">
        <v>2088</v>
      </c>
      <c r="R6" s="929" t="s">
        <v>2088</v>
      </c>
      <c r="S6" s="929" t="s">
        <v>2089</v>
      </c>
      <c r="T6" s="929" t="s">
        <v>2089</v>
      </c>
      <c r="U6" s="930" t="s">
        <v>2089</v>
      </c>
      <c r="W6" s="931" t="s">
        <v>2086</v>
      </c>
      <c r="X6" s="932" t="s">
        <v>2090</v>
      </c>
      <c r="Y6" s="932" t="s">
        <v>2091</v>
      </c>
      <c r="Z6" s="932" t="s">
        <v>2092</v>
      </c>
      <c r="AA6" s="932" t="s">
        <v>2090</v>
      </c>
      <c r="AB6" s="932" t="s">
        <v>2091</v>
      </c>
      <c r="AC6" s="932" t="s">
        <v>2092</v>
      </c>
      <c r="AD6" s="932" t="s">
        <v>2090</v>
      </c>
      <c r="AE6" s="933" t="s">
        <v>2091</v>
      </c>
      <c r="AF6" s="934" t="s">
        <v>2092</v>
      </c>
    </row>
    <row r="7" spans="1:32">
      <c r="A7">
        <f>Installations!C7</f>
        <v>41</v>
      </c>
      <c r="B7" s="935">
        <f>Installations!K7</f>
        <v>9</v>
      </c>
      <c r="C7" s="935">
        <f>Installations!W7</f>
        <v>17186.414763384786</v>
      </c>
      <c r="D7" s="935">
        <f>Installations!AH7</f>
        <v>18862.754259151847</v>
      </c>
      <c r="E7" s="935">
        <f>Installations!AS7</f>
        <v>335.76</v>
      </c>
      <c r="F7" s="935">
        <f>Installations!AY7</f>
        <v>17.920000000000002</v>
      </c>
      <c r="G7">
        <v>9</v>
      </c>
      <c r="H7" s="57">
        <f t="shared" ref="H7:H9" si="0">ROUND(C7/$B7*$G7,-2)</f>
        <v>17200</v>
      </c>
      <c r="I7" s="57">
        <f t="shared" ref="I7:I9" si="1">ROUND(D7/$B7*$G7,-2)</f>
        <v>18900</v>
      </c>
      <c r="J7" s="57">
        <f t="shared" ref="J7:J9" si="2">ROUND(E7/$B7*$G7,-2)</f>
        <v>300</v>
      </c>
      <c r="L7" s="936">
        <v>9</v>
      </c>
      <c r="M7" s="937">
        <v>9600</v>
      </c>
      <c r="N7" s="938">
        <v>9600</v>
      </c>
      <c r="O7" s="938">
        <v>9600</v>
      </c>
      <c r="P7" s="938">
        <v>9800</v>
      </c>
      <c r="Q7" s="938">
        <v>9800</v>
      </c>
      <c r="R7" s="938">
        <v>9800</v>
      </c>
      <c r="S7" s="938">
        <v>200</v>
      </c>
      <c r="T7" s="938">
        <v>200</v>
      </c>
      <c r="U7" s="939">
        <v>200</v>
      </c>
      <c r="W7" s="940">
        <v>9</v>
      </c>
      <c r="X7" s="941">
        <f t="shared" ref="X7:X9" si="3">M7</f>
        <v>9600</v>
      </c>
      <c r="Y7" s="942">
        <f t="shared" ref="Y7:Y9" si="4">N7</f>
        <v>9600</v>
      </c>
      <c r="Z7" s="942">
        <f t="shared" ref="Z7:Z9" si="5">O7</f>
        <v>9600</v>
      </c>
      <c r="AA7" s="942">
        <f t="shared" ref="AA7:AA9" si="6">P7</f>
        <v>9800</v>
      </c>
      <c r="AB7" s="942">
        <f t="shared" ref="AB7:AB9" si="7">Q7</f>
        <v>9800</v>
      </c>
      <c r="AC7" s="942">
        <f t="shared" ref="AC7:AC9" si="8">R7</f>
        <v>9800</v>
      </c>
      <c r="AD7" s="942">
        <f t="shared" ref="AD7:AD9" si="9">S7</f>
        <v>200</v>
      </c>
      <c r="AE7" s="942">
        <f t="shared" ref="AE7:AE9" si="10">T7</f>
        <v>200</v>
      </c>
      <c r="AF7" s="943">
        <f t="shared" ref="AF7:AF9" si="11">U7</f>
        <v>200</v>
      </c>
    </row>
    <row r="8" spans="1:32">
      <c r="A8">
        <f>Installations!C8</f>
        <v>245</v>
      </c>
      <c r="B8" s="935">
        <f>Installations!K8</f>
        <v>9</v>
      </c>
      <c r="C8" s="935">
        <f>Installations!W8</f>
        <v>15771.254873639336</v>
      </c>
      <c r="D8" s="935">
        <f>Installations!AH8</f>
        <v>15771.254873639336</v>
      </c>
      <c r="E8" s="935">
        <f>Installations!AS8</f>
        <v>368.56</v>
      </c>
      <c r="F8" s="935">
        <f>Installations!AY8</f>
        <v>17.920000000000002</v>
      </c>
      <c r="G8">
        <v>9</v>
      </c>
      <c r="H8" s="57">
        <f t="shared" si="0"/>
        <v>15800</v>
      </c>
      <c r="I8" s="57">
        <f t="shared" si="1"/>
        <v>15800</v>
      </c>
      <c r="J8" s="57">
        <f t="shared" si="2"/>
        <v>400</v>
      </c>
      <c r="L8" s="944">
        <v>36</v>
      </c>
      <c r="M8" s="945">
        <v>35100</v>
      </c>
      <c r="N8" s="946">
        <v>35100</v>
      </c>
      <c r="O8" s="946">
        <v>35100</v>
      </c>
      <c r="P8" s="946">
        <v>37400</v>
      </c>
      <c r="Q8" s="946">
        <v>37400</v>
      </c>
      <c r="R8" s="946">
        <v>37400</v>
      </c>
      <c r="S8" s="946">
        <v>500</v>
      </c>
      <c r="T8" s="946">
        <v>500</v>
      </c>
      <c r="U8" s="947">
        <v>500</v>
      </c>
      <c r="W8" s="948">
        <v>36</v>
      </c>
      <c r="X8" s="949">
        <f t="shared" si="3"/>
        <v>35100</v>
      </c>
      <c r="Y8" s="57">
        <f t="shared" si="4"/>
        <v>35100</v>
      </c>
      <c r="Z8" s="57">
        <f t="shared" si="5"/>
        <v>35100</v>
      </c>
      <c r="AA8" s="57">
        <f t="shared" si="6"/>
        <v>37400</v>
      </c>
      <c r="AB8" s="57">
        <f t="shared" si="7"/>
        <v>37400</v>
      </c>
      <c r="AC8" s="57">
        <f t="shared" si="8"/>
        <v>37400</v>
      </c>
      <c r="AD8" s="57">
        <f t="shared" si="9"/>
        <v>500</v>
      </c>
      <c r="AE8" s="57">
        <f t="shared" si="10"/>
        <v>500</v>
      </c>
      <c r="AF8" s="950">
        <f t="shared" si="11"/>
        <v>500</v>
      </c>
    </row>
    <row r="9" spans="1:32">
      <c r="A9">
        <f>Installations!C9</f>
        <v>51</v>
      </c>
      <c r="B9" s="935">
        <f>Installations!K9</f>
        <v>9</v>
      </c>
      <c r="C9" s="935">
        <f>Installations!W9</f>
        <v>19818.699131177647</v>
      </c>
      <c r="D9" s="935">
        <f>Installations!AH9</f>
        <v>19818.699131177647</v>
      </c>
      <c r="E9" s="935">
        <f>Installations!AS9</f>
        <v>446.76</v>
      </c>
      <c r="F9" s="935">
        <f>Installations!AY9</f>
        <v>17.920000000000002</v>
      </c>
      <c r="G9">
        <v>9</v>
      </c>
      <c r="H9" s="57">
        <f t="shared" si="0"/>
        <v>19800</v>
      </c>
      <c r="I9" s="57">
        <f t="shared" si="1"/>
        <v>19800</v>
      </c>
      <c r="J9" s="57">
        <f t="shared" si="2"/>
        <v>400</v>
      </c>
      <c r="L9" s="944">
        <v>100</v>
      </c>
      <c r="M9" s="951" t="e">
        <f>#VALUE!</f>
        <v>#VALUE!</v>
      </c>
      <c r="N9" s="952" t="e">
        <f>#VALUE!</f>
        <v>#VALUE!</v>
      </c>
      <c r="O9" s="952" t="e">
        <f>#VALUE!</f>
        <v>#VALUE!</v>
      </c>
      <c r="P9" s="952" t="e">
        <f>#VALUE!</f>
        <v>#VALUE!</v>
      </c>
      <c r="Q9" s="952" t="e">
        <f>#VALUE!</f>
        <v>#VALUE!</v>
      </c>
      <c r="R9" s="952" t="e">
        <f>#VALUE!</f>
        <v>#VALUE!</v>
      </c>
      <c r="S9" s="952" t="e">
        <f>#VALUE!</f>
        <v>#VALUE!</v>
      </c>
      <c r="T9" s="952" t="e">
        <f>#VALUE!</f>
        <v>#VALUE!</v>
      </c>
      <c r="U9" s="953" t="e">
        <f>#VALUE!</f>
        <v>#VALUE!</v>
      </c>
      <c r="W9" s="948">
        <v>100</v>
      </c>
      <c r="X9" s="949" t="e">
        <f t="shared" si="3"/>
        <v>#VALUE!</v>
      </c>
      <c r="Y9" s="57" t="e">
        <f t="shared" si="4"/>
        <v>#VALUE!</v>
      </c>
      <c r="Z9" s="57" t="e">
        <f t="shared" si="5"/>
        <v>#VALUE!</v>
      </c>
      <c r="AA9" s="57" t="e">
        <f t="shared" si="6"/>
        <v>#VALUE!</v>
      </c>
      <c r="AB9" s="57" t="e">
        <f t="shared" si="7"/>
        <v>#VALUE!</v>
      </c>
      <c r="AC9" s="57" t="e">
        <f t="shared" si="8"/>
        <v>#VALUE!</v>
      </c>
      <c r="AD9" s="57" t="e">
        <f t="shared" si="9"/>
        <v>#VALUE!</v>
      </c>
      <c r="AE9" s="57" t="e">
        <f t="shared" si="10"/>
        <v>#VALUE!</v>
      </c>
      <c r="AF9" s="950" t="e">
        <f t="shared" si="11"/>
        <v>#VALUE!</v>
      </c>
    </row>
    <row r="10" spans="1:32">
      <c r="A10">
        <f>Installations!C10</f>
        <v>76</v>
      </c>
      <c r="B10" s="935">
        <f>Installations!K10</f>
        <v>9</v>
      </c>
      <c r="C10" s="935">
        <f>Installations!W10</f>
        <v>18694.18471357652</v>
      </c>
      <c r="D10" s="935">
        <f>Installations!AH10</f>
        <v>18694.18471357652</v>
      </c>
      <c r="E10" s="935">
        <f>Installations!AS10</f>
        <v>660.56</v>
      </c>
      <c r="F10" s="935">
        <f>Installations!AY10</f>
        <v>17.260000000000002</v>
      </c>
      <c r="G10">
        <v>9</v>
      </c>
      <c r="H10" s="57">
        <f t="shared" ref="H10:H45" si="12">ROUND(C10/$B10*$G10,-2)</f>
        <v>18700</v>
      </c>
      <c r="I10" s="57">
        <f t="shared" ref="I10:I45" si="13">ROUND(D10/$B10*$G10,-2)</f>
        <v>18700</v>
      </c>
      <c r="J10" s="57">
        <f t="shared" ref="J10:J45" si="14">ROUND(E10/$B10*$G10,-2)</f>
        <v>700</v>
      </c>
      <c r="L10" s="944">
        <v>500</v>
      </c>
      <c r="M10" s="954" t="e">
        <f>#VALUE!</f>
        <v>#VALUE!</v>
      </c>
      <c r="N10" s="955" t="e">
        <f>#VALUE!</f>
        <v>#VALUE!</v>
      </c>
      <c r="O10" s="955" t="e">
        <f>#VALUE!</f>
        <v>#VALUE!</v>
      </c>
      <c r="P10" s="955" t="e">
        <f>#VALUE!</f>
        <v>#VALUE!</v>
      </c>
      <c r="Q10" s="955" t="e">
        <f>#VALUE!</f>
        <v>#VALUE!</v>
      </c>
      <c r="R10" s="955" t="e">
        <f>#VALUE!</f>
        <v>#VALUE!</v>
      </c>
      <c r="S10" s="955" t="e">
        <f>#VALUE!</f>
        <v>#VALUE!</v>
      </c>
      <c r="T10" s="955" t="e">
        <f>#VALUE!</f>
        <v>#VALUE!</v>
      </c>
      <c r="U10" s="956" t="e">
        <f>#VALUE!</f>
        <v>#VALUE!</v>
      </c>
      <c r="W10" s="957">
        <v>500</v>
      </c>
      <c r="X10" s="958" t="e">
        <f t="shared" ref="X10:AF10" si="15">M10</f>
        <v>#VALUE!</v>
      </c>
      <c r="Y10" s="959" t="e">
        <f t="shared" si="15"/>
        <v>#VALUE!</v>
      </c>
      <c r="Z10" s="959" t="e">
        <f t="shared" si="15"/>
        <v>#VALUE!</v>
      </c>
      <c r="AA10" s="959" t="e">
        <f t="shared" si="15"/>
        <v>#VALUE!</v>
      </c>
      <c r="AB10" s="959" t="e">
        <f t="shared" si="15"/>
        <v>#VALUE!</v>
      </c>
      <c r="AC10" s="959" t="e">
        <f t="shared" si="15"/>
        <v>#VALUE!</v>
      </c>
      <c r="AD10" s="959" t="e">
        <f t="shared" si="15"/>
        <v>#VALUE!</v>
      </c>
      <c r="AE10" s="959" t="e">
        <f t="shared" si="15"/>
        <v>#VALUE!</v>
      </c>
      <c r="AF10" s="960" t="e">
        <f t="shared" si="15"/>
        <v>#VALUE!</v>
      </c>
    </row>
    <row r="11" spans="1:32">
      <c r="A11">
        <f>Installations!C11</f>
        <v>58</v>
      </c>
      <c r="B11" s="935">
        <f>Installations!K11</f>
        <v>31.62</v>
      </c>
      <c r="C11" s="935">
        <f>Installations!W11</f>
        <v>46653.177570698928</v>
      </c>
      <c r="D11" s="935">
        <f>Installations!AH11</f>
        <v>46653.177570698928</v>
      </c>
      <c r="E11" s="935">
        <f>Installations!AS11</f>
        <v>605.29999999999995</v>
      </c>
      <c r="F11" s="935">
        <f>Installations!AY11</f>
        <v>10.89</v>
      </c>
      <c r="G11">
        <v>36</v>
      </c>
      <c r="H11" s="57">
        <f t="shared" si="12"/>
        <v>53100</v>
      </c>
      <c r="I11" s="57">
        <f t="shared" si="13"/>
        <v>53100</v>
      </c>
      <c r="J11" s="57">
        <f t="shared" si="14"/>
        <v>700</v>
      </c>
      <c r="L11" s="961" t="s">
        <v>2093</v>
      </c>
      <c r="M11" s="962" t="e">
        <f>#VALUE!</f>
        <v>#VALUE!</v>
      </c>
      <c r="N11" s="963" t="e">
        <f>#VALUE!</f>
        <v>#VALUE!</v>
      </c>
      <c r="O11" s="963" t="e">
        <f>#VALUE!</f>
        <v>#VALUE!</v>
      </c>
      <c r="P11" s="963" t="e">
        <f>#VALUE!</f>
        <v>#VALUE!</v>
      </c>
      <c r="Q11" s="963" t="e">
        <f>#VALUE!</f>
        <v>#VALUE!</v>
      </c>
      <c r="R11" s="963" t="e">
        <f>#VALUE!</f>
        <v>#VALUE!</v>
      </c>
      <c r="S11" s="963" t="e">
        <f>#VALUE!</f>
        <v>#VALUE!</v>
      </c>
      <c r="T11" s="963" t="e">
        <f>#VALUE!</f>
        <v>#VALUE!</v>
      </c>
      <c r="U11" s="964" t="e">
        <f>#VALUE!</f>
        <v>#VALUE!</v>
      </c>
    </row>
    <row r="12" spans="1:32">
      <c r="A12">
        <f>Installations!C14</f>
        <v>337</v>
      </c>
      <c r="B12" s="935">
        <f>Installations!K14</f>
        <v>35.36</v>
      </c>
      <c r="C12" s="935">
        <f>Installations!W14</f>
        <v>37788.418432458144</v>
      </c>
      <c r="D12" s="935">
        <f>Installations!AH14</f>
        <v>37788.418432458144</v>
      </c>
      <c r="E12" s="935">
        <f>Installations!AS14</f>
        <v>960.26</v>
      </c>
      <c r="F12" s="935">
        <f>Installations!AY14</f>
        <v>10.89</v>
      </c>
      <c r="G12">
        <v>36</v>
      </c>
      <c r="H12" s="57">
        <f t="shared" si="12"/>
        <v>38500</v>
      </c>
      <c r="I12" s="57">
        <f t="shared" si="13"/>
        <v>38500</v>
      </c>
      <c r="J12" s="57">
        <f t="shared" si="14"/>
        <v>1000</v>
      </c>
    </row>
    <row r="13" spans="1:32">
      <c r="A13">
        <f>Installations!C15</f>
        <v>337</v>
      </c>
      <c r="B13" s="935">
        <f>Installations!K15</f>
        <v>36</v>
      </c>
      <c r="C13" s="935">
        <f>Installations!W15</f>
        <v>61963.77112415903</v>
      </c>
      <c r="D13" s="935">
        <f>Installations!AH15</f>
        <v>61963.77112415903</v>
      </c>
      <c r="E13" s="935">
        <f>Installations!AS15</f>
        <v>1035.06</v>
      </c>
      <c r="F13" s="935">
        <f>Installations!AY15</f>
        <v>10.89</v>
      </c>
      <c r="G13">
        <v>36</v>
      </c>
      <c r="H13" s="57">
        <f t="shared" si="12"/>
        <v>62000</v>
      </c>
      <c r="I13" s="57">
        <f t="shared" si="13"/>
        <v>62000</v>
      </c>
      <c r="J13" s="57">
        <f t="shared" si="14"/>
        <v>1000</v>
      </c>
    </row>
    <row r="14" spans="1:32">
      <c r="A14">
        <f>Installations!C16</f>
        <v>337</v>
      </c>
      <c r="B14" s="935">
        <f>Installations!K16</f>
        <v>36</v>
      </c>
      <c r="C14" s="935">
        <f>Installations!W16</f>
        <v>35144.150313192084</v>
      </c>
      <c r="D14" s="935">
        <f>Installations!AH16</f>
        <v>44724.150313192084</v>
      </c>
      <c r="E14" s="935">
        <f>Installations!AS16</f>
        <v>875.06</v>
      </c>
      <c r="F14" s="935">
        <f>Installations!AY16</f>
        <v>10.89</v>
      </c>
      <c r="G14">
        <v>36</v>
      </c>
      <c r="H14" s="57">
        <f t="shared" si="12"/>
        <v>35100</v>
      </c>
      <c r="I14" s="57">
        <f t="shared" si="13"/>
        <v>44700</v>
      </c>
      <c r="J14" s="57">
        <f t="shared" si="14"/>
        <v>900</v>
      </c>
    </row>
    <row r="15" spans="1:32">
      <c r="A15">
        <f>Installations!C22</f>
        <v>338</v>
      </c>
      <c r="B15" s="935">
        <f>Installations!K22</f>
        <v>79.56</v>
      </c>
      <c r="C15" s="935">
        <f>Installations!W22</f>
        <v>86440.546433066062</v>
      </c>
      <c r="D15" s="935">
        <f>Installations!AH22</f>
        <v>86440.546433066062</v>
      </c>
      <c r="E15" s="935">
        <f>Installations!AS22</f>
        <v>1774.48</v>
      </c>
      <c r="F15" s="935">
        <f>Installations!AY22</f>
        <v>9.4700000000000006</v>
      </c>
      <c r="G15">
        <v>100</v>
      </c>
      <c r="H15" s="57">
        <f t="shared" si="12"/>
        <v>108600</v>
      </c>
      <c r="I15" s="57">
        <f t="shared" si="13"/>
        <v>108600</v>
      </c>
      <c r="J15" s="57">
        <f t="shared" si="14"/>
        <v>2200</v>
      </c>
    </row>
    <row r="16" spans="1:32">
      <c r="A16">
        <f>Installations!C23</f>
        <v>354</v>
      </c>
      <c r="B16" s="935">
        <f>Installations!K23</f>
        <v>31.28</v>
      </c>
      <c r="C16" s="935">
        <f>Installations!W23</f>
        <v>33504.949954545453</v>
      </c>
      <c r="D16" s="935">
        <f>Installations!AH23</f>
        <v>34504.949954545453</v>
      </c>
      <c r="E16" s="935">
        <f>Installations!AS23</f>
        <v>999.66</v>
      </c>
      <c r="F16" s="935">
        <f>Installations!AY23</f>
        <v>10.89</v>
      </c>
      <c r="G16">
        <v>36</v>
      </c>
      <c r="H16" s="57">
        <f t="shared" si="12"/>
        <v>38600</v>
      </c>
      <c r="I16" s="57">
        <f t="shared" si="13"/>
        <v>39700</v>
      </c>
      <c r="J16" s="57">
        <f t="shared" si="14"/>
        <v>1200</v>
      </c>
    </row>
    <row r="17" spans="1:10">
      <c r="A17">
        <f>Installations!C19</f>
        <v>337</v>
      </c>
      <c r="B17" s="935">
        <f>Installations!K19</f>
        <v>36</v>
      </c>
      <c r="C17" s="935">
        <f>Installations!W19</f>
        <v>39892.53</v>
      </c>
      <c r="D17" s="935">
        <f>Installations!AH19</f>
        <v>41472.53</v>
      </c>
      <c r="E17" s="935">
        <f>Installations!AS19</f>
        <v>605.05999999999995</v>
      </c>
      <c r="F17" s="935">
        <f>Installations!AY19</f>
        <v>10.89</v>
      </c>
      <c r="G17">
        <v>36</v>
      </c>
      <c r="H17" s="57">
        <f t="shared" si="12"/>
        <v>39900</v>
      </c>
      <c r="I17" s="57">
        <f t="shared" si="13"/>
        <v>41500</v>
      </c>
      <c r="J17" s="57">
        <f t="shared" si="14"/>
        <v>600</v>
      </c>
    </row>
    <row r="18" spans="1:10">
      <c r="A18">
        <f>Installations!C22</f>
        <v>338</v>
      </c>
      <c r="B18" s="935">
        <f>Installations!K22</f>
        <v>79.56</v>
      </c>
      <c r="C18" s="935">
        <f>Installations!W22</f>
        <v>86440.546433066062</v>
      </c>
      <c r="D18" s="935">
        <f>Installations!AH22</f>
        <v>86440.546433066062</v>
      </c>
      <c r="E18" s="935">
        <f>Installations!AS22</f>
        <v>1774.48</v>
      </c>
      <c r="F18" s="935">
        <f>Installations!AY22</f>
        <v>9.4700000000000006</v>
      </c>
      <c r="G18">
        <v>9</v>
      </c>
      <c r="H18" s="57">
        <f t="shared" si="12"/>
        <v>9800</v>
      </c>
      <c r="I18" s="57">
        <f t="shared" si="13"/>
        <v>9800</v>
      </c>
      <c r="J18" s="57">
        <f t="shared" si="14"/>
        <v>200</v>
      </c>
    </row>
    <row r="19" spans="1:10">
      <c r="A19">
        <f>Installations!C23</f>
        <v>354</v>
      </c>
      <c r="B19" s="935">
        <f>Installations!K23</f>
        <v>31.28</v>
      </c>
      <c r="C19" s="935">
        <f>Installations!W23</f>
        <v>33504.949954545453</v>
      </c>
      <c r="D19" s="935">
        <f>Installations!AH23</f>
        <v>34504.949954545453</v>
      </c>
      <c r="E19" s="935">
        <f>Installations!AS23</f>
        <v>999.66</v>
      </c>
      <c r="F19" s="935">
        <f>Installations!AY23</f>
        <v>10.89</v>
      </c>
      <c r="G19">
        <v>9</v>
      </c>
      <c r="H19" s="57">
        <f t="shared" si="12"/>
        <v>9600</v>
      </c>
      <c r="I19" s="57">
        <f t="shared" si="13"/>
        <v>9900</v>
      </c>
      <c r="J19" s="57">
        <f t="shared" si="14"/>
        <v>300</v>
      </c>
    </row>
    <row r="20" spans="1:10">
      <c r="A20">
        <f>Installations!C23</f>
        <v>354</v>
      </c>
      <c r="B20" s="935">
        <f>Installations!K23</f>
        <v>31.28</v>
      </c>
      <c r="C20" s="935">
        <f>Installations!W23</f>
        <v>33504.949954545453</v>
      </c>
      <c r="D20" s="935">
        <f>Installations!AH23</f>
        <v>34504.949954545453</v>
      </c>
      <c r="E20" s="935">
        <f>Installations!AS23</f>
        <v>999.66</v>
      </c>
      <c r="F20" s="935">
        <f>Installations!AY23</f>
        <v>10.89</v>
      </c>
      <c r="G20">
        <v>36</v>
      </c>
      <c r="H20" s="57">
        <f t="shared" si="12"/>
        <v>38600</v>
      </c>
      <c r="I20" s="57">
        <f t="shared" si="13"/>
        <v>39700</v>
      </c>
      <c r="J20" s="57">
        <f t="shared" si="14"/>
        <v>1200</v>
      </c>
    </row>
    <row r="21" spans="1:10">
      <c r="A21">
        <f>Installations!C23</f>
        <v>354</v>
      </c>
      <c r="B21" s="935">
        <f>Installations!K23</f>
        <v>31.28</v>
      </c>
      <c r="C21" s="935">
        <f>Installations!W23</f>
        <v>33504.949954545453</v>
      </c>
      <c r="D21" s="935">
        <f>Installations!AH23</f>
        <v>34504.949954545453</v>
      </c>
      <c r="E21" s="935">
        <f>Installations!AS23</f>
        <v>999.66</v>
      </c>
      <c r="F21" s="935">
        <f>Installations!AY23</f>
        <v>10.89</v>
      </c>
      <c r="G21">
        <v>36</v>
      </c>
      <c r="H21" s="57">
        <f t="shared" si="12"/>
        <v>38600</v>
      </c>
      <c r="I21" s="57">
        <f t="shared" si="13"/>
        <v>39700</v>
      </c>
      <c r="J21" s="57">
        <f t="shared" si="14"/>
        <v>1200</v>
      </c>
    </row>
    <row r="22" spans="1:10">
      <c r="A22">
        <f>Installations!C24</f>
        <v>354</v>
      </c>
      <c r="B22" s="935">
        <f>Installations!K24</f>
        <v>30.24</v>
      </c>
      <c r="C22" s="935">
        <f>Installations!W24</f>
        <v>28292.498666666663</v>
      </c>
      <c r="D22" s="935">
        <f>Installations!AH24</f>
        <v>29292.498666666663</v>
      </c>
      <c r="E22" s="935">
        <f>Installations!AS24</f>
        <v>916.26</v>
      </c>
      <c r="F22" s="935">
        <f>Installations!AY24</f>
        <v>10.89</v>
      </c>
      <c r="G22">
        <v>100</v>
      </c>
      <c r="H22" s="57">
        <f t="shared" si="12"/>
        <v>93600</v>
      </c>
      <c r="I22" s="57">
        <f t="shared" si="13"/>
        <v>96900</v>
      </c>
      <c r="J22" s="57">
        <f t="shared" si="14"/>
        <v>3000</v>
      </c>
    </row>
    <row r="23" spans="1:10">
      <c r="A23">
        <f>Installations!C25</f>
        <v>356</v>
      </c>
      <c r="B23" s="935">
        <f>Installations!K25</f>
        <v>14</v>
      </c>
      <c r="C23" s="935">
        <f>Installations!W25</f>
        <v>23191.351388888888</v>
      </c>
      <c r="D23" s="935">
        <f>Installations!AH25</f>
        <v>23191.351388888888</v>
      </c>
      <c r="E23" s="935">
        <f>Installations!AS25</f>
        <v>940.06</v>
      </c>
      <c r="F23" s="935">
        <f>Installations!AY25</f>
        <v>10.89</v>
      </c>
      <c r="G23">
        <v>36</v>
      </c>
      <c r="H23" s="57">
        <f t="shared" si="12"/>
        <v>59600</v>
      </c>
      <c r="I23" s="57">
        <f t="shared" si="13"/>
        <v>59600</v>
      </c>
      <c r="J23" s="57">
        <f t="shared" si="14"/>
        <v>2400</v>
      </c>
    </row>
    <row r="24" spans="1:10">
      <c r="A24">
        <f>Installations!C26</f>
        <v>360</v>
      </c>
      <c r="B24" s="935">
        <f>Installations!K26</f>
        <v>9</v>
      </c>
      <c r="C24" s="935">
        <f>Installations!W26</f>
        <v>20914.092755112975</v>
      </c>
      <c r="D24" s="935">
        <f>Installations!AH26</f>
        <v>20914.092755112975</v>
      </c>
      <c r="E24" s="935">
        <f>Installations!AS26</f>
        <v>402.56</v>
      </c>
      <c r="F24" s="935">
        <f>Installations!AY26</f>
        <v>15.21</v>
      </c>
      <c r="G24">
        <v>36</v>
      </c>
      <c r="H24" s="57">
        <f t="shared" si="12"/>
        <v>83700</v>
      </c>
      <c r="I24" s="57">
        <f t="shared" si="13"/>
        <v>83700</v>
      </c>
      <c r="J24" s="57">
        <f t="shared" si="14"/>
        <v>1600</v>
      </c>
    </row>
    <row r="25" spans="1:10">
      <c r="A25">
        <f>Installations!C27</f>
        <v>387</v>
      </c>
      <c r="B25" s="935">
        <f>Installations!K27</f>
        <v>34.409999999999997</v>
      </c>
      <c r="C25" s="935">
        <f>Installations!W27</f>
        <v>48847.400499999996</v>
      </c>
      <c r="D25" s="935">
        <f>Installations!AH27</f>
        <v>48847.400499999996</v>
      </c>
      <c r="E25" s="935">
        <f>Installations!AS27</f>
        <v>953.13499999999999</v>
      </c>
      <c r="F25" s="935">
        <f>Installations!AY27</f>
        <v>10.89</v>
      </c>
      <c r="G25">
        <v>36</v>
      </c>
      <c r="H25" s="57">
        <f t="shared" si="12"/>
        <v>51100</v>
      </c>
      <c r="I25" s="57">
        <f t="shared" si="13"/>
        <v>51100</v>
      </c>
      <c r="J25" s="57">
        <f t="shared" si="14"/>
        <v>1000</v>
      </c>
    </row>
    <row r="26" spans="1:10">
      <c r="A26">
        <f>Installations!C30</f>
        <v>446</v>
      </c>
      <c r="B26" s="935">
        <f>Installations!K30</f>
        <v>35.96</v>
      </c>
      <c r="C26" s="935">
        <f>Installations!W30</f>
        <v>37361.912499999999</v>
      </c>
      <c r="D26" s="935">
        <f>Installations!AH30</f>
        <v>37361.912499999999</v>
      </c>
      <c r="E26" s="935">
        <f>Installations!AS30</f>
        <v>864.76</v>
      </c>
      <c r="F26" s="935">
        <f>Installations!AY30</f>
        <v>10.89</v>
      </c>
      <c r="G26">
        <v>36</v>
      </c>
      <c r="H26" s="57">
        <f t="shared" si="12"/>
        <v>37400</v>
      </c>
      <c r="I26" s="57">
        <f t="shared" si="13"/>
        <v>37400</v>
      </c>
      <c r="J26" s="57">
        <f t="shared" si="14"/>
        <v>900</v>
      </c>
    </row>
    <row r="27" spans="1:10">
      <c r="A27">
        <f>Installations!C31</f>
        <v>461</v>
      </c>
      <c r="B27" s="935">
        <f>Installations!K31</f>
        <v>33.479999999999997</v>
      </c>
      <c r="C27" s="935">
        <f>Installations!W31</f>
        <v>43127.975443425079</v>
      </c>
      <c r="D27" s="935">
        <f>Installations!AH31</f>
        <v>43127.975443425079</v>
      </c>
      <c r="E27" s="935">
        <f>Installations!AS31</f>
        <v>866.15999999999985</v>
      </c>
      <c r="F27" s="935">
        <f>Installations!AY31</f>
        <v>10.89</v>
      </c>
      <c r="G27">
        <v>36</v>
      </c>
      <c r="H27" s="57">
        <f t="shared" si="12"/>
        <v>46400</v>
      </c>
      <c r="I27" s="57">
        <f t="shared" si="13"/>
        <v>46400</v>
      </c>
      <c r="J27" s="57">
        <f t="shared" si="14"/>
        <v>900</v>
      </c>
    </row>
    <row r="28" spans="1:10">
      <c r="A28">
        <f>Installations!C32</f>
        <v>505</v>
      </c>
      <c r="B28" s="935">
        <f>Installations!K32</f>
        <v>35.89</v>
      </c>
      <c r="C28" s="935">
        <f>Installations!W32</f>
        <v>53061.590225</v>
      </c>
      <c r="D28" s="935">
        <f>Installations!AH32</f>
        <v>53061.590225</v>
      </c>
      <c r="E28" s="935">
        <f>Installations!AS32</f>
        <v>765.06</v>
      </c>
      <c r="F28" s="935">
        <f>Installations!AY32</f>
        <v>10.89</v>
      </c>
      <c r="G28">
        <v>100</v>
      </c>
      <c r="H28" s="57">
        <f t="shared" si="12"/>
        <v>147800</v>
      </c>
      <c r="I28" s="57">
        <f t="shared" si="13"/>
        <v>147800</v>
      </c>
      <c r="J28" s="57">
        <f t="shared" si="14"/>
        <v>2100</v>
      </c>
    </row>
    <row r="29" spans="1:10">
      <c r="A29">
        <f>Installations!C35</f>
        <v>527</v>
      </c>
      <c r="B29" s="935">
        <f>Installations!K35</f>
        <v>30.69</v>
      </c>
      <c r="C29" s="935">
        <f>Installations!W35</f>
        <v>45750.438161764709</v>
      </c>
      <c r="D29" s="935">
        <f>Installations!AH35</f>
        <v>45750.438161764709</v>
      </c>
      <c r="E29" s="935">
        <f>Installations!AS35</f>
        <v>465.23500000000001</v>
      </c>
      <c r="F29" s="935">
        <f>Installations!AY35</f>
        <v>10.89</v>
      </c>
      <c r="G29">
        <v>36</v>
      </c>
      <c r="H29" s="57">
        <f t="shared" si="12"/>
        <v>53700</v>
      </c>
      <c r="I29" s="57">
        <f t="shared" si="13"/>
        <v>53700</v>
      </c>
      <c r="J29" s="57">
        <f t="shared" si="14"/>
        <v>500</v>
      </c>
    </row>
    <row r="30" spans="1:10">
      <c r="A30">
        <f>Installations!C36</f>
        <v>533</v>
      </c>
      <c r="B30" s="935">
        <f>Installations!K36</f>
        <v>25.125</v>
      </c>
      <c r="C30" s="935">
        <f>Installations!W36</f>
        <v>25928.642782514653</v>
      </c>
      <c r="D30" s="935">
        <f>Installations!AH36</f>
        <v>28776.142782514653</v>
      </c>
      <c r="E30" s="935">
        <f>Installations!AS36</f>
        <v>473.4975</v>
      </c>
      <c r="F30" s="935">
        <f>Installations!AY36</f>
        <v>10.89</v>
      </c>
      <c r="G30">
        <v>100</v>
      </c>
      <c r="H30" s="57">
        <f t="shared" si="12"/>
        <v>103200</v>
      </c>
      <c r="I30" s="57">
        <f t="shared" si="13"/>
        <v>114500</v>
      </c>
      <c r="J30" s="57">
        <f t="shared" si="14"/>
        <v>1900</v>
      </c>
    </row>
    <row r="31" spans="1:10">
      <c r="A31">
        <f>Installations!C37</f>
        <v>543</v>
      </c>
      <c r="B31" s="935">
        <f>Installations!K37</f>
        <v>102.49</v>
      </c>
      <c r="C31" s="935">
        <f>Installations!W37</f>
        <v>103592.13999999998</v>
      </c>
      <c r="D31" s="935">
        <f>Installations!AH37</f>
        <v>103592.13999999998</v>
      </c>
      <c r="E31" s="935">
        <f>Installations!AS37</f>
        <v>2301.2629399999996</v>
      </c>
      <c r="F31" s="935">
        <f>Installations!AY37</f>
        <v>9.8000000000000007</v>
      </c>
      <c r="G31">
        <v>100</v>
      </c>
      <c r="H31" s="57">
        <f t="shared" si="12"/>
        <v>101100</v>
      </c>
      <c r="I31" s="57">
        <f t="shared" si="13"/>
        <v>101100</v>
      </c>
      <c r="J31" s="57">
        <f t="shared" si="14"/>
        <v>2200</v>
      </c>
    </row>
    <row r="32" spans="1:10">
      <c r="A32">
        <f>Installations!C38</f>
        <v>543</v>
      </c>
      <c r="B32" s="935">
        <f>Installations!K38</f>
        <v>141.75</v>
      </c>
      <c r="C32" s="935">
        <f>Installations!W38</f>
        <v>139394.95699999999</v>
      </c>
      <c r="D32" s="935">
        <f>Installations!AH38</f>
        <v>139394.95699999999</v>
      </c>
      <c r="E32" s="935">
        <f>Installations!AS38</f>
        <v>2819.7304999999997</v>
      </c>
      <c r="F32" s="935">
        <f>Installations!AY38</f>
        <v>9.8000000000000007</v>
      </c>
      <c r="G32">
        <v>250</v>
      </c>
      <c r="H32" s="57">
        <f t="shared" si="12"/>
        <v>245800</v>
      </c>
      <c r="I32" s="57">
        <f t="shared" si="13"/>
        <v>245800</v>
      </c>
      <c r="J32" s="57">
        <f t="shared" si="14"/>
        <v>5000</v>
      </c>
    </row>
    <row r="33" spans="1:10">
      <c r="A33">
        <f>Installations!C39</f>
        <v>543</v>
      </c>
      <c r="B33" s="935">
        <f>Installations!K39</f>
        <v>99.75</v>
      </c>
      <c r="C33" s="935">
        <f>Installations!W39</f>
        <v>122718.989</v>
      </c>
      <c r="D33" s="935">
        <f>Installations!AH39</f>
        <v>122718.989</v>
      </c>
      <c r="E33" s="935">
        <f>Installations!AS39</f>
        <v>1945.28</v>
      </c>
      <c r="F33" s="935">
        <f>Installations!AY39</f>
        <v>9.4700000000000006</v>
      </c>
      <c r="G33">
        <v>100</v>
      </c>
      <c r="H33" s="57">
        <f t="shared" si="12"/>
        <v>123000</v>
      </c>
      <c r="I33" s="57">
        <f t="shared" si="13"/>
        <v>123000</v>
      </c>
      <c r="J33" s="57">
        <f t="shared" si="14"/>
        <v>2000</v>
      </c>
    </row>
    <row r="34" spans="1:10">
      <c r="A34">
        <f>Installations!C40</f>
        <v>543</v>
      </c>
      <c r="B34" s="935">
        <f>Installations!K40</f>
        <v>143.52000000000001</v>
      </c>
      <c r="C34" s="935">
        <f>Installations!W40</f>
        <v>144676.19832</v>
      </c>
      <c r="D34" s="935">
        <f>Installations!AH40</f>
        <v>144676.19832</v>
      </c>
      <c r="E34" s="935">
        <f>Installations!AS40</f>
        <v>4206.5451200000007</v>
      </c>
      <c r="F34" s="935">
        <f>Installations!AY40</f>
        <v>9.8000000000000007</v>
      </c>
      <c r="G34">
        <v>250</v>
      </c>
      <c r="H34" s="57">
        <f t="shared" si="12"/>
        <v>252000</v>
      </c>
      <c r="I34" s="57">
        <f t="shared" si="13"/>
        <v>252000</v>
      </c>
      <c r="J34" s="57">
        <f t="shared" si="14"/>
        <v>7300</v>
      </c>
    </row>
    <row r="35" spans="1:10">
      <c r="A35">
        <f>Installations!C44</f>
        <v>546</v>
      </c>
      <c r="B35" s="935">
        <f>Installations!K44</f>
        <v>30.375</v>
      </c>
      <c r="C35" s="935">
        <f>Installations!W44</f>
        <v>29252.081332514652</v>
      </c>
      <c r="D35" s="935">
        <f>Installations!AH44</f>
        <v>29252.081332514652</v>
      </c>
      <c r="E35" s="935">
        <f>Installations!AS44</f>
        <v>512.87249999999995</v>
      </c>
      <c r="F35" s="935">
        <f>Installations!AY44</f>
        <v>10.89</v>
      </c>
      <c r="G35">
        <v>100</v>
      </c>
      <c r="H35" s="57">
        <f t="shared" si="12"/>
        <v>96300</v>
      </c>
      <c r="I35" s="57">
        <f t="shared" si="13"/>
        <v>96300</v>
      </c>
      <c r="J35" s="57">
        <f t="shared" si="14"/>
        <v>1700</v>
      </c>
    </row>
    <row r="36" spans="1:10">
      <c r="A36">
        <f>Installations!C45</f>
        <v>550</v>
      </c>
      <c r="B36" s="935">
        <f>Installations!K45</f>
        <v>55.5</v>
      </c>
      <c r="C36" s="935">
        <f>Installations!W45</f>
        <v>43036.959374999999</v>
      </c>
      <c r="D36" s="935">
        <f>Installations!AH45</f>
        <v>78314.451154343638</v>
      </c>
      <c r="E36" s="935">
        <f>Installations!AS45</f>
        <v>1114.03</v>
      </c>
      <c r="F36" s="935">
        <f>Installations!AY45</f>
        <v>9.4700000000000006</v>
      </c>
      <c r="G36">
        <v>500</v>
      </c>
      <c r="H36" s="57">
        <f t="shared" si="12"/>
        <v>387700</v>
      </c>
      <c r="I36" s="57">
        <f t="shared" si="13"/>
        <v>705500</v>
      </c>
      <c r="J36" s="57">
        <f t="shared" si="14"/>
        <v>10000</v>
      </c>
    </row>
    <row r="37" spans="1:10">
      <c r="A37">
        <f>Installations!C46</f>
        <v>550</v>
      </c>
      <c r="B37" s="935">
        <f>Installations!K46</f>
        <v>60</v>
      </c>
      <c r="C37" s="935">
        <f>Installations!W46</f>
        <v>76764.103399999993</v>
      </c>
      <c r="D37" s="935">
        <f>Installations!AH46</f>
        <v>76764.103399999993</v>
      </c>
      <c r="E37" s="935">
        <f>Installations!AS46</f>
        <v>1147.78</v>
      </c>
      <c r="F37" s="935">
        <f>Installations!AY46</f>
        <v>9.4700000000000006</v>
      </c>
      <c r="G37">
        <v>100</v>
      </c>
      <c r="H37" s="57">
        <f t="shared" si="12"/>
        <v>127900</v>
      </c>
      <c r="I37" s="57">
        <f t="shared" si="13"/>
        <v>127900</v>
      </c>
      <c r="J37" s="57">
        <f t="shared" si="14"/>
        <v>1900</v>
      </c>
    </row>
    <row r="38" spans="1:10">
      <c r="A38">
        <f>Installations!C47</f>
        <v>550</v>
      </c>
      <c r="B38" s="935">
        <f>Installations!K47</f>
        <v>60</v>
      </c>
      <c r="C38" s="935">
        <f>Installations!W47</f>
        <v>82464.103399999993</v>
      </c>
      <c r="D38" s="935">
        <f>Installations!AH47</f>
        <v>82464.103399999993</v>
      </c>
      <c r="E38" s="935">
        <f>Installations!AS47</f>
        <v>1147.78</v>
      </c>
      <c r="F38" s="935">
        <f>Installations!AY47</f>
        <v>9.4700000000000006</v>
      </c>
      <c r="G38">
        <v>100</v>
      </c>
      <c r="H38" s="57">
        <f t="shared" si="12"/>
        <v>137400</v>
      </c>
      <c r="I38" s="57">
        <f t="shared" si="13"/>
        <v>137400</v>
      </c>
      <c r="J38" s="57">
        <f t="shared" si="14"/>
        <v>1900</v>
      </c>
    </row>
    <row r="39" spans="1:10">
      <c r="A39">
        <f>Installations!C47</f>
        <v>550</v>
      </c>
      <c r="B39" s="935">
        <f>Installations!K47</f>
        <v>60</v>
      </c>
      <c r="C39" s="935">
        <f>Installations!W47</f>
        <v>82464.103399999993</v>
      </c>
      <c r="D39" s="935">
        <f>Installations!AH47</f>
        <v>82464.103399999993</v>
      </c>
      <c r="E39" s="935">
        <f>Installations!AS47</f>
        <v>1147.78</v>
      </c>
      <c r="F39" s="935">
        <f>Installations!AY47</f>
        <v>9.4700000000000006</v>
      </c>
      <c r="G39">
        <v>500</v>
      </c>
      <c r="H39" s="57">
        <f t="shared" si="12"/>
        <v>687200</v>
      </c>
      <c r="I39" s="57">
        <f t="shared" si="13"/>
        <v>687200</v>
      </c>
      <c r="J39" s="57">
        <f t="shared" si="14"/>
        <v>9600</v>
      </c>
    </row>
    <row r="40" spans="1:10">
      <c r="A40">
        <f>Installations!C48</f>
        <v>550</v>
      </c>
      <c r="B40" s="935">
        <f>Installations!K48</f>
        <v>35.15</v>
      </c>
      <c r="C40" s="935">
        <f>Installations!W48</f>
        <v>32139.214737500002</v>
      </c>
      <c r="D40" s="935">
        <f>Installations!AH48</f>
        <v>53662.879997482945</v>
      </c>
      <c r="E40" s="935">
        <f>Installations!AS48</f>
        <v>961.40499999999997</v>
      </c>
      <c r="F40" s="935">
        <f>Installations!AY48</f>
        <v>10.89</v>
      </c>
      <c r="G40">
        <v>500</v>
      </c>
      <c r="H40" s="57">
        <f t="shared" si="12"/>
        <v>457200</v>
      </c>
      <c r="I40" s="57">
        <f t="shared" si="13"/>
        <v>763300</v>
      </c>
      <c r="J40" s="57">
        <f t="shared" si="14"/>
        <v>13700</v>
      </c>
    </row>
    <row r="41" spans="1:10">
      <c r="A41">
        <f>Installations!C48</f>
        <v>550</v>
      </c>
      <c r="B41" s="935">
        <f>Installations!K48</f>
        <v>35.15</v>
      </c>
      <c r="C41" s="935">
        <f>Installations!W48</f>
        <v>32139.214737500002</v>
      </c>
      <c r="D41" s="935">
        <f>Installations!AH48</f>
        <v>53662.879997482945</v>
      </c>
      <c r="E41" s="935">
        <f>Installations!AS48</f>
        <v>961.40499999999997</v>
      </c>
      <c r="F41" s="935">
        <f>Installations!AY48</f>
        <v>10.89</v>
      </c>
      <c r="G41">
        <v>100</v>
      </c>
      <c r="H41" s="57">
        <f t="shared" si="12"/>
        <v>91400</v>
      </c>
      <c r="I41" s="57">
        <f t="shared" si="13"/>
        <v>152700</v>
      </c>
      <c r="J41" s="57">
        <f t="shared" si="14"/>
        <v>2700</v>
      </c>
    </row>
    <row r="42" spans="1:10">
      <c r="A42">
        <f>Installations!C49</f>
        <v>556</v>
      </c>
      <c r="B42" s="935">
        <f>Installations!K49</f>
        <v>74.52</v>
      </c>
      <c r="C42" s="935">
        <f>Installations!W49</f>
        <v>78584.000900000014</v>
      </c>
      <c r="D42" s="935">
        <f>Installations!AH49</f>
        <v>78584.000900000014</v>
      </c>
      <c r="E42" s="935">
        <f>Installations!AS49</f>
        <v>1320.3799999999999</v>
      </c>
      <c r="F42" s="935">
        <f>Installations!AY49</f>
        <v>9.4700000000000006</v>
      </c>
      <c r="G42">
        <v>36</v>
      </c>
      <c r="H42" s="57">
        <f t="shared" si="12"/>
        <v>38000</v>
      </c>
      <c r="I42" s="57">
        <f t="shared" si="13"/>
        <v>38000</v>
      </c>
      <c r="J42" s="57">
        <f t="shared" si="14"/>
        <v>600</v>
      </c>
    </row>
    <row r="43" spans="1:10">
      <c r="A43">
        <f>Installations!C49</f>
        <v>556</v>
      </c>
      <c r="B43" s="935">
        <f>Installations!K49</f>
        <v>74.52</v>
      </c>
      <c r="C43" s="935">
        <f>Installations!W49</f>
        <v>78584.000900000014</v>
      </c>
      <c r="D43" s="935">
        <f>Installations!AH49</f>
        <v>78584.000900000014</v>
      </c>
      <c r="E43" s="935">
        <f>Installations!AS49</f>
        <v>1320.3799999999999</v>
      </c>
      <c r="F43" s="935">
        <f>Installations!AY49</f>
        <v>9.4700000000000006</v>
      </c>
      <c r="G43">
        <v>36</v>
      </c>
      <c r="H43" s="57">
        <f t="shared" si="12"/>
        <v>38000</v>
      </c>
      <c r="I43" s="57">
        <f t="shared" si="13"/>
        <v>38000</v>
      </c>
      <c r="J43" s="57">
        <f t="shared" si="14"/>
        <v>600</v>
      </c>
    </row>
    <row r="44" spans="1:10">
      <c r="A44">
        <f>Installations!C50</f>
        <v>561</v>
      </c>
      <c r="B44" s="935">
        <f>Installations!K50</f>
        <v>173.52</v>
      </c>
      <c r="C44" s="935">
        <f>Installations!W50</f>
        <v>138396.24428464216</v>
      </c>
      <c r="D44" s="935">
        <f>Installations!AH50</f>
        <v>199309.13116519479</v>
      </c>
      <c r="E44" s="935">
        <f>Installations!AS50</f>
        <v>3331.6851199999996</v>
      </c>
      <c r="F44" s="935">
        <f>Installations!AY50</f>
        <v>9.8000000000000007</v>
      </c>
      <c r="G44">
        <v>36</v>
      </c>
      <c r="H44" s="57">
        <f t="shared" si="12"/>
        <v>28700</v>
      </c>
      <c r="I44" s="57">
        <f t="shared" si="13"/>
        <v>41400</v>
      </c>
      <c r="J44" s="57">
        <f t="shared" si="14"/>
        <v>700</v>
      </c>
    </row>
    <row r="45" spans="1:10">
      <c r="A45">
        <f>Installations!C51</f>
        <v>561</v>
      </c>
      <c r="B45" s="935">
        <f>Installations!K51</f>
        <v>61.92</v>
      </c>
      <c r="C45" s="935">
        <f>Installations!W51</f>
        <v>65689.618725350563</v>
      </c>
      <c r="D45" s="935">
        <f>Installations!AH51</f>
        <v>65689.618725350563</v>
      </c>
      <c r="E45" s="935">
        <f>Installations!AS51</f>
        <v>1487.38</v>
      </c>
      <c r="F45" s="935">
        <f>Installations!AY51</f>
        <v>9.4700000000000006</v>
      </c>
      <c r="G45">
        <v>500</v>
      </c>
      <c r="H45" s="57">
        <f t="shared" si="12"/>
        <v>530400</v>
      </c>
      <c r="I45" s="57">
        <f t="shared" si="13"/>
        <v>530400</v>
      </c>
      <c r="J45" s="57">
        <f t="shared" si="14"/>
        <v>12000</v>
      </c>
    </row>
  </sheetData>
  <mergeCells count="3">
    <mergeCell ref="X5:Z5"/>
    <mergeCell ref="AA5:AC5"/>
    <mergeCell ref="AD5:AF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9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85546875" style="17" customWidth="1"/>
    <col min="2" max="2" width="7.425781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5" width="10.140625" style="403"/>
    <col min="16" max="16" width="11.7109375" style="403" customWidth="1"/>
    <col min="17" max="17" width="13" style="403" customWidth="1"/>
    <col min="18" max="19" width="10.140625" style="403"/>
    <col min="20" max="64" width="10.140625" style="17"/>
  </cols>
  <sheetData>
    <row r="1" spans="1:19" ht="15.75">
      <c r="B1" s="1053" t="s">
        <v>271</v>
      </c>
      <c r="C1" s="1053"/>
      <c r="D1" s="1053"/>
      <c r="E1" s="1053"/>
      <c r="F1" s="1053"/>
      <c r="H1" s="405" t="s">
        <v>493</v>
      </c>
      <c r="I1" s="406">
        <v>405</v>
      </c>
      <c r="J1" s="17" t="s">
        <v>494</v>
      </c>
      <c r="K1" s="17" t="s">
        <v>495</v>
      </c>
      <c r="L1" s="58">
        <f>A4*I1</f>
        <v>156330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386</v>
      </c>
      <c r="B4" s="413" t="s">
        <v>505</v>
      </c>
      <c r="C4" s="420" t="s">
        <v>734</v>
      </c>
      <c r="D4" s="413"/>
      <c r="E4" s="420" t="s">
        <v>735</v>
      </c>
      <c r="F4" s="421">
        <v>146.04</v>
      </c>
      <c r="G4" s="422"/>
      <c r="H4" s="421">
        <f t="shared" ref="H4:H9" si="0">F4*(1-G4)</f>
        <v>146.04</v>
      </c>
      <c r="I4" s="409">
        <f t="shared" ref="I4:I9" si="1">A4*H4</f>
        <v>56371.439999999995</v>
      </c>
      <c r="J4" s="417">
        <f>F4/$I$1</f>
        <v>0.36059259259259258</v>
      </c>
      <c r="K4" s="403" t="s">
        <v>736</v>
      </c>
      <c r="L4" s="404"/>
      <c r="M4" s="418">
        <f t="shared" ref="M4:M6" si="2">I4</f>
        <v>56371.439999999995</v>
      </c>
      <c r="N4" s="418"/>
      <c r="O4" s="418"/>
      <c r="P4" s="418"/>
      <c r="Q4" s="418"/>
      <c r="R4" s="418"/>
      <c r="S4" s="418"/>
    </row>
    <row r="5" spans="1:19" ht="22.25">
      <c r="A5" s="413">
        <v>2</v>
      </c>
      <c r="B5" s="413" t="s">
        <v>505</v>
      </c>
      <c r="C5" s="420" t="s">
        <v>734</v>
      </c>
      <c r="D5" s="413"/>
      <c r="E5" s="420" t="s">
        <v>735</v>
      </c>
      <c r="F5" s="421">
        <f>F4</f>
        <v>146.04</v>
      </c>
      <c r="G5" s="410"/>
      <c r="H5" s="409">
        <f t="shared" si="0"/>
        <v>146.04</v>
      </c>
      <c r="I5" s="409">
        <f t="shared" si="1"/>
        <v>292.08</v>
      </c>
      <c r="J5" s="417"/>
      <c r="K5" s="403" t="s">
        <v>737</v>
      </c>
      <c r="L5" s="404"/>
      <c r="M5" s="418">
        <f t="shared" si="2"/>
        <v>292.08</v>
      </c>
      <c r="N5" s="418"/>
      <c r="O5" s="418"/>
      <c r="P5" s="418"/>
      <c r="Q5" s="418"/>
      <c r="R5" s="418"/>
      <c r="S5" s="418"/>
    </row>
    <row r="6" spans="1:19" ht="66.8">
      <c r="A6" s="413">
        <f>A4+A5</f>
        <v>388</v>
      </c>
      <c r="B6" s="413" t="s">
        <v>505</v>
      </c>
      <c r="C6" s="420" t="s">
        <v>738</v>
      </c>
      <c r="D6" s="413"/>
      <c r="E6" s="420" t="s">
        <v>739</v>
      </c>
      <c r="F6" s="421">
        <f>5823.74/A6</f>
        <v>15.009639175257732</v>
      </c>
      <c r="G6" s="410"/>
      <c r="H6" s="409">
        <f t="shared" si="0"/>
        <v>15.009639175257732</v>
      </c>
      <c r="I6" s="409">
        <f t="shared" si="1"/>
        <v>5823.74</v>
      </c>
      <c r="J6" s="417">
        <f>F6/$I$1</f>
        <v>3.7060837469772179E-2</v>
      </c>
      <c r="K6" s="417" t="s">
        <v>740</v>
      </c>
      <c r="L6" s="204" t="s">
        <v>741</v>
      </c>
      <c r="M6" s="418">
        <f t="shared" si="2"/>
        <v>5823.74</v>
      </c>
      <c r="N6" s="418"/>
      <c r="O6" s="418"/>
      <c r="P6" s="418"/>
      <c r="Q6" s="418"/>
      <c r="R6" s="418"/>
      <c r="S6" s="418"/>
    </row>
    <row r="7" spans="1:19" ht="22.6" customHeight="1">
      <c r="A7" s="423"/>
      <c r="B7" s="423"/>
      <c r="C7" s="420"/>
      <c r="D7" s="423"/>
      <c r="E7" s="420"/>
      <c r="F7" s="421"/>
      <c r="G7" s="422"/>
      <c r="H7" s="409"/>
      <c r="I7" s="409"/>
      <c r="J7" s="417"/>
      <c r="K7" s="417"/>
      <c r="L7" s="204"/>
      <c r="M7" s="418"/>
      <c r="N7" s="418">
        <f t="shared" ref="N7:N9" si="3">I7</f>
        <v>0</v>
      </c>
      <c r="O7" s="418"/>
      <c r="P7" s="418"/>
      <c r="Q7" s="418"/>
      <c r="R7" s="418"/>
      <c r="S7" s="418"/>
    </row>
    <row r="8" spans="1:19" ht="23.25" customHeight="1">
      <c r="A8" s="423">
        <v>1</v>
      </c>
      <c r="B8" s="423" t="s">
        <v>522</v>
      </c>
      <c r="C8" s="420" t="s">
        <v>742</v>
      </c>
      <c r="D8" s="413"/>
      <c r="E8" s="415" t="s">
        <v>743</v>
      </c>
      <c r="F8" s="416">
        <v>4909.0200000000004</v>
      </c>
      <c r="G8" s="422"/>
      <c r="H8" s="421">
        <f t="shared" si="0"/>
        <v>4909.0200000000004</v>
      </c>
      <c r="I8" s="409">
        <f t="shared" si="1"/>
        <v>4909.0200000000004</v>
      </c>
      <c r="J8" s="417"/>
      <c r="K8" s="204" t="s">
        <v>744</v>
      </c>
      <c r="L8" s="204"/>
      <c r="M8" s="418"/>
      <c r="N8" s="418">
        <f t="shared" si="3"/>
        <v>4909.0200000000004</v>
      </c>
      <c r="O8" s="418"/>
      <c r="P8" s="418"/>
      <c r="Q8" s="418"/>
      <c r="R8" s="418"/>
      <c r="S8" s="418"/>
    </row>
    <row r="9" spans="1:19" ht="22.6" customHeight="1">
      <c r="A9" s="423">
        <v>1</v>
      </c>
      <c r="B9" s="423" t="s">
        <v>522</v>
      </c>
      <c r="C9" s="420" t="s">
        <v>742</v>
      </c>
      <c r="D9" s="423"/>
      <c r="E9" s="415" t="s">
        <v>745</v>
      </c>
      <c r="F9" s="416">
        <v>3572.58</v>
      </c>
      <c r="G9" s="422"/>
      <c r="H9" s="421">
        <f t="shared" si="0"/>
        <v>3572.58</v>
      </c>
      <c r="I9" s="409">
        <f t="shared" si="1"/>
        <v>3572.58</v>
      </c>
      <c r="J9" s="417"/>
      <c r="K9" s="417" t="s">
        <v>746</v>
      </c>
      <c r="L9" s="204"/>
      <c r="M9" s="418"/>
      <c r="N9" s="418">
        <f t="shared" si="3"/>
        <v>3572.58</v>
      </c>
      <c r="O9" s="418"/>
      <c r="P9" s="418"/>
      <c r="Q9" s="418"/>
      <c r="R9" s="418"/>
      <c r="S9" s="418"/>
    </row>
    <row r="10" spans="1:19" ht="22.6" customHeight="1">
      <c r="A10" s="423">
        <v>2</v>
      </c>
      <c r="B10" s="414" t="s">
        <v>505</v>
      </c>
      <c r="C10" s="415" t="s">
        <v>747</v>
      </c>
      <c r="D10" s="414"/>
      <c r="E10" s="415" t="s">
        <v>748</v>
      </c>
      <c r="F10" s="416">
        <v>137.78</v>
      </c>
      <c r="G10" s="419"/>
      <c r="H10" s="416">
        <f t="shared" ref="H10:H73" si="4">F10*(1-G10)</f>
        <v>137.78</v>
      </c>
      <c r="I10" s="409">
        <f t="shared" ref="I10:I41" si="5">A10*H10</f>
        <v>275.56</v>
      </c>
      <c r="J10" s="417"/>
      <c r="K10" s="417"/>
      <c r="L10" s="204"/>
      <c r="M10" s="418"/>
      <c r="N10" s="418">
        <f>I10</f>
        <v>275.56</v>
      </c>
      <c r="O10" s="418"/>
      <c r="P10" s="418"/>
      <c r="Q10" s="418"/>
      <c r="R10" s="418"/>
      <c r="S10" s="418"/>
    </row>
    <row r="11" spans="1:19" ht="122.4">
      <c r="A11" s="423">
        <v>0</v>
      </c>
      <c r="B11" s="423" t="s">
        <v>530</v>
      </c>
      <c r="C11" s="420" t="s">
        <v>749</v>
      </c>
      <c r="D11" s="423"/>
      <c r="E11" s="420" t="s">
        <v>750</v>
      </c>
      <c r="F11" s="421">
        <v>400.03</v>
      </c>
      <c r="G11" s="422"/>
      <c r="H11" s="421">
        <f t="shared" si="4"/>
        <v>400.03</v>
      </c>
      <c r="I11" s="409">
        <f t="shared" si="5"/>
        <v>0</v>
      </c>
      <c r="J11" s="204"/>
      <c r="M11" s="418"/>
      <c r="N11" s="418"/>
      <c r="O11" s="418"/>
      <c r="P11" s="418"/>
      <c r="Q11" s="418"/>
      <c r="R11" s="418">
        <f t="shared" ref="R11:R30" si="6">I11</f>
        <v>0</v>
      </c>
      <c r="S11" s="418"/>
    </row>
    <row r="12" spans="1:19" ht="44.55">
      <c r="A12" s="423">
        <v>0</v>
      </c>
      <c r="B12" s="423" t="s">
        <v>505</v>
      </c>
      <c r="C12" s="420" t="s">
        <v>751</v>
      </c>
      <c r="D12" s="423"/>
      <c r="E12" s="420" t="s">
        <v>752</v>
      </c>
      <c r="F12" s="421">
        <v>132.22</v>
      </c>
      <c r="G12" s="422"/>
      <c r="H12" s="421">
        <f t="shared" si="4"/>
        <v>132.22</v>
      </c>
      <c r="I12" s="409">
        <f t="shared" si="5"/>
        <v>0</v>
      </c>
      <c r="J12" s="204"/>
      <c r="M12" s="418"/>
      <c r="N12" s="418"/>
      <c r="O12" s="418"/>
      <c r="P12" s="418"/>
      <c r="Q12" s="418"/>
      <c r="R12" s="418">
        <f t="shared" si="6"/>
        <v>0</v>
      </c>
      <c r="S12" s="418"/>
    </row>
    <row r="13" spans="1:19" ht="44.55">
      <c r="A13" s="423">
        <v>0</v>
      </c>
      <c r="B13" s="423" t="s">
        <v>505</v>
      </c>
      <c r="C13" s="420" t="s">
        <v>751</v>
      </c>
      <c r="D13" s="423"/>
      <c r="E13" s="420" t="s">
        <v>753</v>
      </c>
      <c r="F13" s="421">
        <v>277.77999999999997</v>
      </c>
      <c r="G13" s="422"/>
      <c r="H13" s="421">
        <f t="shared" si="4"/>
        <v>277.77999999999997</v>
      </c>
      <c r="I13" s="409">
        <f t="shared" si="5"/>
        <v>0</v>
      </c>
      <c r="J13" s="204"/>
      <c r="M13" s="418"/>
      <c r="N13" s="418"/>
      <c r="O13" s="418"/>
      <c r="P13" s="418"/>
      <c r="Q13" s="418"/>
      <c r="R13" s="418">
        <f t="shared" si="6"/>
        <v>0</v>
      </c>
      <c r="S13" s="418"/>
    </row>
    <row r="14" spans="1:19" ht="44.55">
      <c r="A14" s="413">
        <v>1</v>
      </c>
      <c r="B14" s="413" t="s">
        <v>505</v>
      </c>
      <c r="C14" s="415" t="s">
        <v>747</v>
      </c>
      <c r="D14" s="414"/>
      <c r="E14" s="415" t="s">
        <v>754</v>
      </c>
      <c r="F14" s="416">
        <v>2728.51</v>
      </c>
      <c r="G14" s="419"/>
      <c r="H14" s="416">
        <f t="shared" si="4"/>
        <v>2728.51</v>
      </c>
      <c r="I14" s="409">
        <f t="shared" si="5"/>
        <v>2728.51</v>
      </c>
      <c r="J14" s="204"/>
      <c r="M14" s="418"/>
      <c r="N14" s="418"/>
      <c r="O14" s="418"/>
      <c r="P14" s="418"/>
      <c r="Q14" s="418"/>
      <c r="R14" s="418">
        <f t="shared" si="6"/>
        <v>2728.51</v>
      </c>
      <c r="S14" s="418"/>
    </row>
    <row r="15" spans="1:19">
      <c r="A15" s="488"/>
      <c r="B15" s="488"/>
      <c r="C15" s="489"/>
      <c r="D15" s="488"/>
      <c r="E15" s="489"/>
      <c r="F15" s="490"/>
      <c r="G15" s="410"/>
      <c r="H15" s="409">
        <f t="shared" si="4"/>
        <v>0</v>
      </c>
      <c r="I15" s="409">
        <f t="shared" si="5"/>
        <v>0</v>
      </c>
      <c r="J15" s="204"/>
      <c r="M15" s="418"/>
      <c r="N15" s="418"/>
      <c r="O15" s="418"/>
      <c r="P15" s="418"/>
      <c r="Q15" s="418"/>
      <c r="R15" s="418">
        <f t="shared" si="6"/>
        <v>0</v>
      </c>
      <c r="S15" s="418"/>
    </row>
    <row r="16" spans="1:19" ht="22.25">
      <c r="A16" s="413">
        <v>2</v>
      </c>
      <c r="B16" s="413" t="s">
        <v>530</v>
      </c>
      <c r="C16" s="420" t="s">
        <v>531</v>
      </c>
      <c r="D16" s="413"/>
      <c r="E16" s="413" t="s">
        <v>532</v>
      </c>
      <c r="F16" s="421">
        <v>1000</v>
      </c>
      <c r="G16" s="410"/>
      <c r="H16" s="409">
        <f t="shared" si="4"/>
        <v>1000</v>
      </c>
      <c r="I16" s="409">
        <f t="shared" si="5"/>
        <v>2000</v>
      </c>
      <c r="J16" s="204"/>
      <c r="M16" s="418"/>
      <c r="N16" s="418"/>
      <c r="O16" s="418"/>
      <c r="P16" s="418"/>
      <c r="Q16" s="418"/>
      <c r="R16" s="418">
        <f t="shared" si="6"/>
        <v>2000</v>
      </c>
      <c r="S16" s="418"/>
    </row>
    <row r="17" spans="1:19" ht="22.25">
      <c r="A17" s="407">
        <v>0</v>
      </c>
      <c r="B17" s="407" t="s">
        <v>505</v>
      </c>
      <c r="C17" s="408" t="s">
        <v>534</v>
      </c>
      <c r="D17" s="407"/>
      <c r="E17" s="408" t="s">
        <v>535</v>
      </c>
      <c r="F17" s="409">
        <v>3.71</v>
      </c>
      <c r="G17" s="410"/>
      <c r="H17" s="409">
        <f t="shared" si="4"/>
        <v>3.71</v>
      </c>
      <c r="I17" s="409">
        <f t="shared" si="5"/>
        <v>0</v>
      </c>
      <c r="J17" s="204"/>
      <c r="M17" s="418"/>
      <c r="N17" s="418"/>
      <c r="O17" s="418"/>
      <c r="P17" s="418"/>
      <c r="Q17" s="418"/>
      <c r="R17" s="418">
        <f t="shared" si="6"/>
        <v>0</v>
      </c>
      <c r="S17" s="418"/>
    </row>
    <row r="18" spans="1:19" ht="22.25">
      <c r="A18" s="407">
        <f>A17</f>
        <v>0</v>
      </c>
      <c r="B18" s="407" t="s">
        <v>505</v>
      </c>
      <c r="C18" s="408" t="s">
        <v>534</v>
      </c>
      <c r="D18" s="407"/>
      <c r="E18" s="408" t="s">
        <v>537</v>
      </c>
      <c r="F18" s="409">
        <v>3.81</v>
      </c>
      <c r="G18" s="410"/>
      <c r="H18" s="409">
        <f t="shared" si="4"/>
        <v>3.81</v>
      </c>
      <c r="I18" s="409">
        <f t="shared" si="5"/>
        <v>0</v>
      </c>
      <c r="J18" s="204"/>
      <c r="M18" s="418"/>
      <c r="N18" s="418"/>
      <c r="O18" s="418"/>
      <c r="P18" s="418"/>
      <c r="Q18" s="418"/>
      <c r="R18" s="418">
        <f t="shared" si="6"/>
        <v>0</v>
      </c>
      <c r="S18" s="418"/>
    </row>
    <row r="19" spans="1:19" ht="44.55">
      <c r="A19" s="413">
        <f>246*1.1</f>
        <v>270.60000000000002</v>
      </c>
      <c r="B19" s="413" t="s">
        <v>539</v>
      </c>
      <c r="C19" s="415" t="s">
        <v>747</v>
      </c>
      <c r="D19" s="413"/>
      <c r="E19" s="420" t="s">
        <v>755</v>
      </c>
      <c r="F19" s="421">
        <f t="shared" ref="F19:F20" si="7">362.73/500</f>
        <v>0.72545999999999999</v>
      </c>
      <c r="G19" s="410"/>
      <c r="H19" s="409">
        <f t="shared" si="4"/>
        <v>0.72545999999999999</v>
      </c>
      <c r="I19" s="409">
        <f t="shared" si="5"/>
        <v>196.30947600000002</v>
      </c>
      <c r="J19" s="491" t="s">
        <v>756</v>
      </c>
      <c r="M19" s="418"/>
      <c r="N19" s="418"/>
      <c r="O19" s="418">
        <f t="shared" ref="O19:O35" si="8">I19</f>
        <v>196.30947600000002</v>
      </c>
      <c r="P19" s="418"/>
      <c r="Q19" s="418"/>
      <c r="R19" s="418"/>
      <c r="S19" s="418"/>
    </row>
    <row r="20" spans="1:19" ht="44.55">
      <c r="A20" s="413">
        <f>721*1.1</f>
        <v>793.1</v>
      </c>
      <c r="B20" s="413" t="s">
        <v>539</v>
      </c>
      <c r="C20" s="415" t="s">
        <v>747</v>
      </c>
      <c r="D20" s="413"/>
      <c r="E20" s="420" t="s">
        <v>757</v>
      </c>
      <c r="F20" s="421">
        <f t="shared" si="7"/>
        <v>0.72545999999999999</v>
      </c>
      <c r="G20" s="410"/>
      <c r="H20" s="409">
        <f t="shared" si="4"/>
        <v>0.72545999999999999</v>
      </c>
      <c r="I20" s="409">
        <f t="shared" si="5"/>
        <v>575.36232600000005</v>
      </c>
      <c r="J20" s="491" t="s">
        <v>758</v>
      </c>
      <c r="M20" s="418"/>
      <c r="N20" s="418"/>
      <c r="O20" s="418">
        <f t="shared" si="8"/>
        <v>575.36232600000005</v>
      </c>
      <c r="P20" s="418"/>
      <c r="Q20" s="418"/>
      <c r="R20" s="418"/>
      <c r="S20" s="418"/>
    </row>
    <row r="21" spans="1:19" ht="22.25">
      <c r="A21" s="413">
        <v>0</v>
      </c>
      <c r="B21" s="413" t="s">
        <v>539</v>
      </c>
      <c r="C21" s="420" t="s">
        <v>545</v>
      </c>
      <c r="D21" s="413"/>
      <c r="E21" s="420" t="s">
        <v>546</v>
      </c>
      <c r="F21" s="409">
        <v>8.9420000000000002</v>
      </c>
      <c r="G21" s="410"/>
      <c r="H21" s="409">
        <f t="shared" si="4"/>
        <v>8.9420000000000002</v>
      </c>
      <c r="I21" s="409">
        <f t="shared" si="5"/>
        <v>0</v>
      </c>
      <c r="J21" s="204"/>
      <c r="M21" s="418"/>
      <c r="N21" s="418"/>
      <c r="O21" s="418">
        <f t="shared" si="8"/>
        <v>0</v>
      </c>
      <c r="P21" s="418"/>
      <c r="Q21" s="418"/>
      <c r="R21" s="418"/>
      <c r="S21" s="418"/>
    </row>
    <row r="22" spans="1:19" ht="44.55">
      <c r="A22" s="413">
        <v>34</v>
      </c>
      <c r="B22" s="413" t="s">
        <v>517</v>
      </c>
      <c r="C22" s="415" t="s">
        <v>747</v>
      </c>
      <c r="D22" s="414"/>
      <c r="E22" s="415" t="s">
        <v>759</v>
      </c>
      <c r="F22" s="416">
        <v>0.77</v>
      </c>
      <c r="G22" s="419"/>
      <c r="H22" s="416">
        <f t="shared" si="4"/>
        <v>0.77</v>
      </c>
      <c r="I22" s="409">
        <f t="shared" si="5"/>
        <v>26.18</v>
      </c>
      <c r="J22" s="204"/>
      <c r="M22" s="418"/>
      <c r="N22" s="418"/>
      <c r="O22" s="418">
        <f t="shared" si="8"/>
        <v>26.18</v>
      </c>
      <c r="P22" s="418"/>
      <c r="Q22" s="418"/>
      <c r="R22" s="418"/>
      <c r="S22" s="418"/>
    </row>
    <row r="23" spans="1:19" ht="44.55">
      <c r="A23" s="413">
        <f>A22</f>
        <v>34</v>
      </c>
      <c r="B23" s="413" t="s">
        <v>517</v>
      </c>
      <c r="C23" s="415" t="s">
        <v>747</v>
      </c>
      <c r="D23" s="414"/>
      <c r="E23" s="415" t="s">
        <v>760</v>
      </c>
      <c r="F23" s="416">
        <v>1.02</v>
      </c>
      <c r="G23" s="419"/>
      <c r="H23" s="416">
        <f t="shared" si="4"/>
        <v>1.02</v>
      </c>
      <c r="I23" s="409">
        <f t="shared" si="5"/>
        <v>34.68</v>
      </c>
      <c r="J23" s="204"/>
      <c r="M23" s="418"/>
      <c r="N23" s="418"/>
      <c r="O23" s="418">
        <f t="shared" si="8"/>
        <v>34.68</v>
      </c>
      <c r="P23" s="418"/>
      <c r="Q23" s="418"/>
      <c r="R23" s="418"/>
      <c r="S23" s="418"/>
    </row>
    <row r="24" spans="1:19" ht="44.55">
      <c r="A24" s="413">
        <v>4</v>
      </c>
      <c r="B24" s="413" t="s">
        <v>551</v>
      </c>
      <c r="C24" s="420" t="s">
        <v>552</v>
      </c>
      <c r="D24" s="413" t="s">
        <v>553</v>
      </c>
      <c r="E24" s="420" t="s">
        <v>554</v>
      </c>
      <c r="F24" s="421">
        <v>100</v>
      </c>
      <c r="G24" s="426"/>
      <c r="H24" s="425">
        <f t="shared" si="4"/>
        <v>100</v>
      </c>
      <c r="I24" s="409">
        <f t="shared" si="5"/>
        <v>400</v>
      </c>
      <c r="J24" s="204"/>
      <c r="K24" s="17" t="s">
        <v>555</v>
      </c>
      <c r="M24" s="418"/>
      <c r="N24" s="418"/>
      <c r="O24" s="418">
        <f t="shared" si="8"/>
        <v>400</v>
      </c>
      <c r="P24" s="418"/>
      <c r="Q24" s="418"/>
      <c r="R24" s="418"/>
      <c r="S24" s="418"/>
    </row>
    <row r="25" spans="1:19" ht="33.4">
      <c r="A25" s="413">
        <v>0</v>
      </c>
      <c r="B25" s="413" t="s">
        <v>517</v>
      </c>
      <c r="C25" s="420" t="s">
        <v>540</v>
      </c>
      <c r="D25" s="413" t="s">
        <v>761</v>
      </c>
      <c r="E25" s="420" t="s">
        <v>762</v>
      </c>
      <c r="F25" s="421">
        <v>2.5</v>
      </c>
      <c r="G25" s="410"/>
      <c r="H25" s="409">
        <f t="shared" si="4"/>
        <v>2.5</v>
      </c>
      <c r="I25" s="409">
        <f t="shared" si="5"/>
        <v>0</v>
      </c>
      <c r="J25" s="204"/>
      <c r="M25" s="418"/>
      <c r="N25" s="418"/>
      <c r="O25" s="418"/>
      <c r="P25" s="418"/>
      <c r="Q25" s="418"/>
      <c r="R25" s="418">
        <f t="shared" si="6"/>
        <v>0</v>
      </c>
      <c r="S25" s="418"/>
    </row>
    <row r="26" spans="1:19" ht="35.85" customHeight="1">
      <c r="A26" s="413">
        <v>1</v>
      </c>
      <c r="B26" s="414" t="s">
        <v>505</v>
      </c>
      <c r="C26" s="415" t="s">
        <v>747</v>
      </c>
      <c r="D26" s="414"/>
      <c r="E26" s="415" t="s">
        <v>763</v>
      </c>
      <c r="F26" s="416">
        <v>887.09</v>
      </c>
      <c r="G26" s="419"/>
      <c r="H26" s="416">
        <f t="shared" si="4"/>
        <v>887.09</v>
      </c>
      <c r="I26" s="409">
        <f t="shared" si="5"/>
        <v>887.09</v>
      </c>
      <c r="J26" s="1054"/>
      <c r="K26" s="1054"/>
      <c r="L26" s="1054"/>
      <c r="M26" s="418"/>
      <c r="N26" s="418"/>
      <c r="O26" s="418"/>
      <c r="P26" s="418"/>
      <c r="Q26" s="418"/>
      <c r="R26" s="418">
        <f t="shared" si="6"/>
        <v>887.09</v>
      </c>
      <c r="S26" s="418"/>
    </row>
    <row r="27" spans="1:19" ht="35.85" customHeight="1">
      <c r="A27" s="413">
        <v>1</v>
      </c>
      <c r="B27" s="414" t="s">
        <v>505</v>
      </c>
      <c r="C27" s="415" t="s">
        <v>747</v>
      </c>
      <c r="D27" s="414"/>
      <c r="E27" s="415" t="s">
        <v>764</v>
      </c>
      <c r="F27" s="416">
        <v>20.2</v>
      </c>
      <c r="G27" s="419"/>
      <c r="H27" s="416">
        <f t="shared" si="4"/>
        <v>20.2</v>
      </c>
      <c r="I27" s="409">
        <f t="shared" si="5"/>
        <v>20.2</v>
      </c>
      <c r="J27" s="1054"/>
      <c r="K27" s="1054"/>
      <c r="L27" s="1054"/>
      <c r="M27" s="418"/>
      <c r="N27" s="418"/>
      <c r="O27" s="418"/>
      <c r="P27" s="418"/>
      <c r="Q27" s="418"/>
      <c r="R27" s="418">
        <f t="shared" si="6"/>
        <v>20.2</v>
      </c>
      <c r="S27" s="418"/>
    </row>
    <row r="28" spans="1:19" ht="35.85" customHeight="1">
      <c r="A28" s="413">
        <v>1</v>
      </c>
      <c r="B28" s="414" t="s">
        <v>522</v>
      </c>
      <c r="C28" s="415" t="s">
        <v>747</v>
      </c>
      <c r="D28" s="414"/>
      <c r="E28" s="415" t="s">
        <v>765</v>
      </c>
      <c r="F28" s="416">
        <v>19.14</v>
      </c>
      <c r="G28" s="419"/>
      <c r="H28" s="416">
        <f t="shared" si="4"/>
        <v>19.14</v>
      </c>
      <c r="I28" s="409">
        <f t="shared" si="5"/>
        <v>19.14</v>
      </c>
      <c r="J28" s="1054"/>
      <c r="K28" s="1054"/>
      <c r="L28" s="1054"/>
      <c r="M28" s="418"/>
      <c r="N28" s="418"/>
      <c r="O28" s="418"/>
      <c r="P28" s="418"/>
      <c r="Q28" s="418"/>
      <c r="R28" s="418">
        <f t="shared" si="6"/>
        <v>19.14</v>
      </c>
      <c r="S28" s="418"/>
    </row>
    <row r="29" spans="1:19" ht="35.85" customHeight="1">
      <c r="A29" s="413">
        <v>1</v>
      </c>
      <c r="B29" s="414" t="s">
        <v>522</v>
      </c>
      <c r="C29" s="415" t="s">
        <v>747</v>
      </c>
      <c r="D29" s="414"/>
      <c r="E29" s="415" t="s">
        <v>766</v>
      </c>
      <c r="F29" s="416">
        <v>19.809999999999999</v>
      </c>
      <c r="G29" s="419"/>
      <c r="H29" s="416">
        <f t="shared" si="4"/>
        <v>19.809999999999999</v>
      </c>
      <c r="I29" s="409">
        <f t="shared" si="5"/>
        <v>19.809999999999999</v>
      </c>
      <c r="J29" s="1054"/>
      <c r="K29" s="1054"/>
      <c r="L29" s="1054"/>
      <c r="M29" s="418"/>
      <c r="N29" s="418"/>
      <c r="O29" s="418"/>
      <c r="P29" s="418"/>
      <c r="Q29" s="418"/>
      <c r="R29" s="418">
        <f t="shared" si="6"/>
        <v>19.809999999999999</v>
      </c>
      <c r="S29" s="418"/>
    </row>
    <row r="30" spans="1:19" ht="35.85" customHeight="1">
      <c r="A30" s="413">
        <v>1</v>
      </c>
      <c r="B30" s="414" t="s">
        <v>522</v>
      </c>
      <c r="C30" s="415" t="s">
        <v>747</v>
      </c>
      <c r="D30" s="414"/>
      <c r="E30" s="415" t="s">
        <v>767</v>
      </c>
      <c r="F30" s="416">
        <v>133.46</v>
      </c>
      <c r="G30" s="419"/>
      <c r="H30" s="416">
        <f t="shared" si="4"/>
        <v>133.46</v>
      </c>
      <c r="I30" s="409">
        <f t="shared" si="5"/>
        <v>133.46</v>
      </c>
      <c r="J30" s="1054"/>
      <c r="K30" s="1054"/>
      <c r="L30" s="1054"/>
      <c r="M30" s="418"/>
      <c r="N30" s="418"/>
      <c r="O30" s="418"/>
      <c r="P30" s="418"/>
      <c r="Q30" s="418"/>
      <c r="R30" s="418">
        <f t="shared" si="6"/>
        <v>133.46</v>
      </c>
      <c r="S30" s="418"/>
    </row>
    <row r="31" spans="1:19" ht="35.85" customHeight="1">
      <c r="A31" s="413"/>
      <c r="B31" s="414"/>
      <c r="C31" s="415"/>
      <c r="D31" s="414"/>
      <c r="E31" s="415"/>
      <c r="F31" s="416"/>
      <c r="G31" s="419"/>
      <c r="H31" s="416"/>
      <c r="I31" s="409"/>
      <c r="J31" s="427"/>
      <c r="K31" s="427"/>
      <c r="L31" s="427"/>
      <c r="M31" s="418"/>
      <c r="N31" s="418"/>
      <c r="O31" s="418"/>
      <c r="P31" s="418"/>
      <c r="Q31" s="418"/>
      <c r="R31" s="418"/>
      <c r="S31" s="418"/>
    </row>
    <row r="32" spans="1:19" ht="22.25">
      <c r="A32" s="407">
        <v>1</v>
      </c>
      <c r="B32" s="413" t="s">
        <v>563</v>
      </c>
      <c r="C32" s="420" t="s">
        <v>545</v>
      </c>
      <c r="D32" s="413"/>
      <c r="E32" s="420" t="s">
        <v>564</v>
      </c>
      <c r="F32" s="421">
        <v>47.85</v>
      </c>
      <c r="G32" s="410"/>
      <c r="H32" s="409">
        <f t="shared" si="4"/>
        <v>47.85</v>
      </c>
      <c r="I32" s="409">
        <f t="shared" si="5"/>
        <v>47.85</v>
      </c>
      <c r="J32" s="204"/>
      <c r="K32" s="17" t="s">
        <v>768</v>
      </c>
      <c r="M32" s="418"/>
      <c r="N32" s="418"/>
      <c r="O32" s="418">
        <f t="shared" si="8"/>
        <v>47.85</v>
      </c>
      <c r="P32" s="418"/>
      <c r="Q32" s="418"/>
      <c r="R32" s="418"/>
      <c r="S32" s="418"/>
    </row>
    <row r="33" spans="1:19" ht="22.25">
      <c r="A33" s="407">
        <v>1</v>
      </c>
      <c r="B33" s="407" t="s">
        <v>522</v>
      </c>
      <c r="C33" s="408" t="s">
        <v>531</v>
      </c>
      <c r="D33" s="407"/>
      <c r="E33" s="420" t="s">
        <v>566</v>
      </c>
      <c r="F33" s="409">
        <v>100</v>
      </c>
      <c r="G33" s="410"/>
      <c r="H33" s="409">
        <f t="shared" si="4"/>
        <v>100</v>
      </c>
      <c r="I33" s="409">
        <f t="shared" si="5"/>
        <v>100</v>
      </c>
      <c r="J33" s="204"/>
      <c r="M33" s="418"/>
      <c r="N33" s="418"/>
      <c r="O33" s="418">
        <f t="shared" si="8"/>
        <v>100</v>
      </c>
      <c r="P33" s="418"/>
      <c r="Q33" s="418"/>
      <c r="R33" s="418"/>
      <c r="S33" s="418"/>
    </row>
    <row r="34" spans="1:19" ht="22.25">
      <c r="A34" s="488">
        <v>1</v>
      </c>
      <c r="B34" s="488" t="s">
        <v>517</v>
      </c>
      <c r="C34" s="489" t="s">
        <v>540</v>
      </c>
      <c r="D34" s="488" t="s">
        <v>769</v>
      </c>
      <c r="E34" s="489" t="s">
        <v>567</v>
      </c>
      <c r="F34" s="490">
        <v>750</v>
      </c>
      <c r="G34" s="410"/>
      <c r="H34" s="409">
        <f t="shared" si="4"/>
        <v>750</v>
      </c>
      <c r="I34" s="409">
        <f t="shared" si="5"/>
        <v>750</v>
      </c>
      <c r="J34" s="204"/>
      <c r="M34" s="418">
        <f>F34</f>
        <v>750</v>
      </c>
      <c r="N34" s="418"/>
      <c r="O34" s="418"/>
      <c r="P34" s="418"/>
      <c r="Q34" s="418"/>
      <c r="R34" s="418"/>
      <c r="S34" s="418"/>
    </row>
    <row r="35" spans="1:19" ht="44.55">
      <c r="A35" s="413">
        <f>2*62</f>
        <v>124</v>
      </c>
      <c r="B35" s="413" t="s">
        <v>539</v>
      </c>
      <c r="C35" s="420" t="s">
        <v>552</v>
      </c>
      <c r="D35" s="413"/>
      <c r="E35" s="415" t="s">
        <v>770</v>
      </c>
      <c r="F35" s="416">
        <f>19.78/1.2</f>
        <v>16.483333333333334</v>
      </c>
      <c r="G35" s="410"/>
      <c r="H35" s="430">
        <f t="shared" si="4"/>
        <v>16.483333333333334</v>
      </c>
      <c r="I35" s="409">
        <f t="shared" si="5"/>
        <v>2043.9333333333334</v>
      </c>
      <c r="J35" s="204"/>
      <c r="K35" s="17" t="s">
        <v>771</v>
      </c>
      <c r="M35" s="418"/>
      <c r="N35" s="418"/>
      <c r="O35" s="418">
        <f t="shared" si="8"/>
        <v>2043.9333333333334</v>
      </c>
      <c r="P35" s="418"/>
      <c r="Q35" s="418"/>
      <c r="R35" s="418"/>
      <c r="S35" s="418"/>
    </row>
    <row r="36" spans="1:19" ht="44.55">
      <c r="A36" s="413">
        <v>40</v>
      </c>
      <c r="B36" s="413" t="s">
        <v>539</v>
      </c>
      <c r="C36" s="420" t="s">
        <v>552</v>
      </c>
      <c r="D36" s="413"/>
      <c r="E36" s="415" t="s">
        <v>772</v>
      </c>
      <c r="F36" s="416">
        <f>16.07/1.2</f>
        <v>13.391666666666667</v>
      </c>
      <c r="G36" s="410"/>
      <c r="H36" s="430">
        <f t="shared" si="4"/>
        <v>13.391666666666667</v>
      </c>
      <c r="I36" s="409">
        <f t="shared" si="5"/>
        <v>535.66666666666674</v>
      </c>
      <c r="J36" s="204"/>
      <c r="K36" s="17" t="s">
        <v>773</v>
      </c>
      <c r="L36" s="17" t="s">
        <v>774</v>
      </c>
      <c r="M36" s="418"/>
      <c r="N36" s="418"/>
      <c r="O36" s="418"/>
      <c r="P36" s="418"/>
      <c r="Q36" s="418"/>
      <c r="R36" s="418"/>
      <c r="S36" s="418"/>
    </row>
    <row r="37" spans="1:19" ht="44.55">
      <c r="A37" s="407">
        <v>0</v>
      </c>
      <c r="B37" s="407" t="s">
        <v>517</v>
      </c>
      <c r="C37" s="408" t="s">
        <v>569</v>
      </c>
      <c r="D37" s="407" t="s">
        <v>570</v>
      </c>
      <c r="E37" s="408" t="s">
        <v>571</v>
      </c>
      <c r="F37" s="409">
        <v>1040</v>
      </c>
      <c r="G37" s="429">
        <v>0.48</v>
      </c>
      <c r="H37" s="430">
        <f t="shared" si="4"/>
        <v>540.80000000000007</v>
      </c>
      <c r="I37" s="409">
        <f t="shared" si="5"/>
        <v>0</v>
      </c>
      <c r="J37" s="204"/>
      <c r="M37" s="418"/>
      <c r="N37" s="418"/>
      <c r="O37" s="418"/>
      <c r="P37" s="418"/>
      <c r="Q37" s="418"/>
      <c r="R37" s="418"/>
      <c r="S37" s="418">
        <f t="shared" ref="S37:S41" si="9">I37</f>
        <v>0</v>
      </c>
    </row>
    <row r="38" spans="1:19" ht="44.55">
      <c r="A38" s="407">
        <v>1</v>
      </c>
      <c r="B38" s="407" t="s">
        <v>517</v>
      </c>
      <c r="C38" s="492" t="s">
        <v>569</v>
      </c>
      <c r="D38" s="487" t="s">
        <v>572</v>
      </c>
      <c r="E38" s="492" t="s">
        <v>573</v>
      </c>
      <c r="F38" s="430">
        <v>1190</v>
      </c>
      <c r="G38" s="429">
        <v>0.48</v>
      </c>
      <c r="H38" s="430">
        <f t="shared" si="4"/>
        <v>618.80000000000007</v>
      </c>
      <c r="I38" s="409">
        <f t="shared" si="5"/>
        <v>618.80000000000007</v>
      </c>
      <c r="J38" s="204"/>
      <c r="M38" s="418"/>
      <c r="N38" s="418"/>
      <c r="O38" s="418"/>
      <c r="P38" s="418"/>
      <c r="Q38" s="418"/>
      <c r="R38" s="418"/>
      <c r="S38" s="418">
        <f t="shared" si="9"/>
        <v>618.80000000000007</v>
      </c>
    </row>
    <row r="39" spans="1:19">
      <c r="A39" s="407">
        <v>3</v>
      </c>
      <c r="B39" s="407" t="s">
        <v>517</v>
      </c>
      <c r="C39" s="408" t="s">
        <v>574</v>
      </c>
      <c r="D39" s="407" t="s">
        <v>575</v>
      </c>
      <c r="E39" s="407" t="s">
        <v>576</v>
      </c>
      <c r="F39" s="409">
        <v>36.700000000000003</v>
      </c>
      <c r="G39" s="410"/>
      <c r="H39" s="409">
        <f t="shared" si="4"/>
        <v>36.700000000000003</v>
      </c>
      <c r="I39" s="409">
        <f t="shared" si="5"/>
        <v>110.10000000000001</v>
      </c>
      <c r="J39" s="204"/>
      <c r="M39" s="418"/>
      <c r="N39" s="418"/>
      <c r="O39" s="418"/>
      <c r="P39" s="418"/>
      <c r="Q39" s="418"/>
      <c r="R39" s="418"/>
      <c r="S39" s="418">
        <f t="shared" si="9"/>
        <v>110.10000000000001</v>
      </c>
    </row>
    <row r="40" spans="1:19">
      <c r="A40" s="407">
        <v>5</v>
      </c>
      <c r="B40" s="407" t="s">
        <v>517</v>
      </c>
      <c r="C40" s="408" t="s">
        <v>574</v>
      </c>
      <c r="D40" s="407" t="s">
        <v>577</v>
      </c>
      <c r="E40" s="407" t="s">
        <v>578</v>
      </c>
      <c r="F40" s="409">
        <v>75</v>
      </c>
      <c r="G40" s="410"/>
      <c r="H40" s="409">
        <f t="shared" si="4"/>
        <v>75</v>
      </c>
      <c r="I40" s="409">
        <f t="shared" si="5"/>
        <v>375</v>
      </c>
      <c r="J40" s="204"/>
      <c r="M40" s="418"/>
      <c r="N40" s="418"/>
      <c r="O40" s="418"/>
      <c r="P40" s="418"/>
      <c r="Q40" s="418"/>
      <c r="R40" s="418"/>
      <c r="S40" s="418">
        <f t="shared" si="9"/>
        <v>375</v>
      </c>
    </row>
    <row r="41" spans="1:19">
      <c r="A41" s="407">
        <v>1</v>
      </c>
      <c r="B41" s="407" t="s">
        <v>517</v>
      </c>
      <c r="C41" s="408" t="s">
        <v>574</v>
      </c>
      <c r="D41" s="407"/>
      <c r="E41" s="407" t="s">
        <v>579</v>
      </c>
      <c r="F41" s="409">
        <f>35/4</f>
        <v>8.75</v>
      </c>
      <c r="G41" s="410"/>
      <c r="H41" s="409">
        <f t="shared" si="4"/>
        <v>8.75</v>
      </c>
      <c r="I41" s="409">
        <f t="shared" si="5"/>
        <v>8.75</v>
      </c>
      <c r="J41" s="204"/>
      <c r="M41" s="418"/>
      <c r="N41" s="418"/>
      <c r="O41" s="418"/>
      <c r="P41" s="418"/>
      <c r="Q41" s="418"/>
      <c r="R41" s="418"/>
      <c r="S41" s="418">
        <f t="shared" si="9"/>
        <v>8.75</v>
      </c>
    </row>
    <row r="42" spans="1:19" ht="12.45">
      <c r="A42" s="407"/>
      <c r="B42" s="407"/>
      <c r="C42" s="408"/>
      <c r="D42" s="407"/>
      <c r="E42" s="431"/>
      <c r="F42" s="409"/>
      <c r="G42" s="410"/>
      <c r="H42" s="409"/>
      <c r="I42" s="409"/>
      <c r="J42" s="204"/>
      <c r="M42" s="418"/>
      <c r="N42" s="418"/>
      <c r="O42" s="418"/>
      <c r="P42" s="418"/>
      <c r="Q42" s="418"/>
      <c r="R42" s="418"/>
      <c r="S42" s="418"/>
    </row>
    <row r="43" spans="1:19">
      <c r="A43" s="407"/>
      <c r="B43" s="407"/>
      <c r="C43" s="408"/>
      <c r="D43" s="407"/>
      <c r="E43" s="407"/>
      <c r="F43" s="409"/>
      <c r="G43" s="410"/>
      <c r="H43" s="409"/>
      <c r="I43" s="409"/>
      <c r="J43" s="204"/>
      <c r="M43" s="418"/>
      <c r="N43" s="418"/>
      <c r="O43" s="418"/>
      <c r="P43" s="418"/>
      <c r="Q43" s="418"/>
      <c r="R43" s="418"/>
      <c r="S43" s="418"/>
    </row>
    <row r="44" spans="1:19">
      <c r="A44" s="407"/>
      <c r="B44" s="407"/>
      <c r="C44" s="408"/>
      <c r="D44" s="407"/>
      <c r="E44" s="432" t="s">
        <v>580</v>
      </c>
      <c r="F44" s="409"/>
      <c r="G44" s="410"/>
      <c r="H44" s="409"/>
      <c r="I44" s="421">
        <f>SUM(I4:I42)</f>
        <v>82875.261801999994</v>
      </c>
      <c r="J44" s="204"/>
      <c r="M44" s="418">
        <f>SUM(M4:M42)</f>
        <v>63237.259999999995</v>
      </c>
      <c r="N44" s="418">
        <f>SUM(N4:N42)</f>
        <v>8757.16</v>
      </c>
      <c r="O44" s="418">
        <f>SUM(O4:O42)</f>
        <v>3424.3151353333333</v>
      </c>
      <c r="P44" s="418"/>
      <c r="Q44" s="418"/>
      <c r="R44" s="418">
        <f>SUM(R4:R42)</f>
        <v>5808.2100000000009</v>
      </c>
      <c r="S44" s="418">
        <f>SUM(S4:S42)</f>
        <v>1112.6500000000001</v>
      </c>
    </row>
    <row r="45" spans="1:19">
      <c r="A45" s="407"/>
      <c r="B45" s="407"/>
      <c r="C45" s="408"/>
      <c r="D45" s="407"/>
      <c r="E45" s="413" t="s">
        <v>581</v>
      </c>
      <c r="F45" s="409"/>
      <c r="G45" s="410">
        <v>0.25</v>
      </c>
      <c r="H45" s="409"/>
      <c r="I45" s="421"/>
      <c r="J45" s="204"/>
      <c r="M45" s="418"/>
      <c r="N45" s="418"/>
      <c r="O45" s="418"/>
      <c r="P45" s="418"/>
      <c r="Q45" s="418"/>
      <c r="R45" s="418"/>
      <c r="S45" s="418"/>
    </row>
    <row r="46" spans="1:19" ht="15.75">
      <c r="E46" s="433" t="s">
        <v>582</v>
      </c>
      <c r="F46" s="418"/>
      <c r="G46" s="434"/>
      <c r="H46" s="418"/>
      <c r="I46" s="435">
        <f>I44*(1+$G$45)</f>
        <v>103594.07725249999</v>
      </c>
      <c r="J46" s="436"/>
      <c r="K46" s="437"/>
      <c r="L46" s="437"/>
      <c r="M46" s="438">
        <f>M44*(1+$G$45)</f>
        <v>79046.574999999997</v>
      </c>
      <c r="N46" s="438">
        <f>N44*(1+$G$45)</f>
        <v>10946.45</v>
      </c>
      <c r="O46" s="438">
        <f>O44*(1+$G$45)</f>
        <v>4280.3939191666668</v>
      </c>
      <c r="P46" s="438">
        <f>P83</f>
        <v>18160</v>
      </c>
      <c r="Q46" s="438">
        <f>Q143</f>
        <v>37794.339999999997</v>
      </c>
      <c r="R46" s="438">
        <f>R44*(1+$G$45)</f>
        <v>7260.2625000000007</v>
      </c>
      <c r="S46" s="438">
        <f>S44*(1+$G$45)</f>
        <v>1390.8125</v>
      </c>
    </row>
    <row r="52" spans="1:10" ht="33.4">
      <c r="B52" s="204" t="s">
        <v>583</v>
      </c>
      <c r="C52" s="204" t="s">
        <v>584</v>
      </c>
      <c r="E52" s="439" t="s">
        <v>585</v>
      </c>
    </row>
    <row r="53" spans="1:10">
      <c r="A53" s="440">
        <f t="shared" ref="A53:A74" si="10">B53*C53</f>
        <v>16</v>
      </c>
      <c r="B53" s="441">
        <v>16</v>
      </c>
      <c r="C53" s="493">
        <v>1</v>
      </c>
      <c r="E53" s="17" t="s">
        <v>586</v>
      </c>
      <c r="F53" s="403">
        <f t="shared" ref="F53:F74" si="11">F$78</f>
        <v>55</v>
      </c>
      <c r="H53" s="403">
        <f t="shared" si="4"/>
        <v>55</v>
      </c>
      <c r="I53" s="403">
        <f t="shared" ref="I53:I80" si="12">A53*H53</f>
        <v>880</v>
      </c>
    </row>
    <row r="54" spans="1:10">
      <c r="A54" s="440">
        <f t="shared" si="10"/>
        <v>58.199999999999996</v>
      </c>
      <c r="B54" s="441">
        <v>0.15</v>
      </c>
      <c r="C54" s="493">
        <f>A6</f>
        <v>388</v>
      </c>
      <c r="D54" s="17" t="s">
        <v>588</v>
      </c>
      <c r="E54" s="17" t="s">
        <v>589</v>
      </c>
      <c r="F54" s="403">
        <f t="shared" si="11"/>
        <v>55</v>
      </c>
      <c r="H54" s="403">
        <f t="shared" si="4"/>
        <v>55</v>
      </c>
      <c r="I54" s="403">
        <f t="shared" si="12"/>
        <v>3200.9999999999995</v>
      </c>
      <c r="J54" s="17" t="s">
        <v>592</v>
      </c>
    </row>
    <row r="55" spans="1:10">
      <c r="A55" s="440">
        <f t="shared" si="10"/>
        <v>135.79999999999998</v>
      </c>
      <c r="B55" s="441">
        <v>0.35</v>
      </c>
      <c r="C55" s="493">
        <f>A6</f>
        <v>388</v>
      </c>
      <c r="D55" s="17" t="s">
        <v>588</v>
      </c>
      <c r="E55" s="17" t="s">
        <v>591</v>
      </c>
      <c r="F55" s="403">
        <f t="shared" si="11"/>
        <v>55</v>
      </c>
      <c r="H55" s="403">
        <f t="shared" si="4"/>
        <v>55</v>
      </c>
      <c r="I55" s="403">
        <f t="shared" si="12"/>
        <v>7468.9999999999991</v>
      </c>
      <c r="J55" s="17" t="s">
        <v>592</v>
      </c>
    </row>
    <row r="56" spans="1:10">
      <c r="A56" s="440">
        <f t="shared" si="10"/>
        <v>2.8000000000000003</v>
      </c>
      <c r="B56" s="441">
        <v>0.04</v>
      </c>
      <c r="C56" s="493">
        <v>70</v>
      </c>
      <c r="D56" s="17" t="s">
        <v>539</v>
      </c>
      <c r="E56" s="17" t="s">
        <v>593</v>
      </c>
      <c r="H56" s="403"/>
      <c r="I56" s="403"/>
    </row>
    <row r="57" spans="1:10">
      <c r="A57" s="440">
        <f t="shared" si="10"/>
        <v>2.8000000000000003</v>
      </c>
      <c r="B57" s="441">
        <v>0.04</v>
      </c>
      <c r="C57" s="493">
        <v>70</v>
      </c>
      <c r="D57" s="17" t="s">
        <v>539</v>
      </c>
      <c r="E57" s="17" t="s">
        <v>594</v>
      </c>
      <c r="H57" s="403"/>
      <c r="I57" s="403"/>
    </row>
    <row r="58" spans="1:10">
      <c r="A58" s="440">
        <f t="shared" si="10"/>
        <v>29.274000000000001</v>
      </c>
      <c r="B58" s="441">
        <v>0.02</v>
      </c>
      <c r="C58" s="493">
        <f>A19+A20+A21+A24*100</f>
        <v>1463.7</v>
      </c>
      <c r="D58" s="17" t="s">
        <v>539</v>
      </c>
      <c r="E58" s="17" t="s">
        <v>595</v>
      </c>
      <c r="H58" s="403"/>
      <c r="I58" s="403"/>
    </row>
    <row r="59" spans="1:10">
      <c r="A59" s="440">
        <f t="shared" si="10"/>
        <v>6.12</v>
      </c>
      <c r="B59" s="441">
        <f>2*0.17</f>
        <v>0.34</v>
      </c>
      <c r="C59" s="493">
        <v>18</v>
      </c>
      <c r="D59" s="17" t="s">
        <v>596</v>
      </c>
      <c r="E59" s="17" t="s">
        <v>775</v>
      </c>
      <c r="H59" s="403"/>
      <c r="I59" s="403"/>
    </row>
    <row r="60" spans="1:10">
      <c r="A60" s="440">
        <f t="shared" si="10"/>
        <v>0.8</v>
      </c>
      <c r="B60" s="441">
        <v>0.4</v>
      </c>
      <c r="C60" s="493">
        <v>2</v>
      </c>
      <c r="D60" s="17" t="s">
        <v>599</v>
      </c>
      <c r="E60" s="17" t="s">
        <v>600</v>
      </c>
      <c r="H60" s="403"/>
      <c r="I60" s="403"/>
    </row>
    <row r="61" spans="1:10">
      <c r="A61" s="440">
        <f t="shared" si="10"/>
        <v>2</v>
      </c>
      <c r="B61" s="441">
        <v>2</v>
      </c>
      <c r="C61" s="493">
        <v>1</v>
      </c>
      <c r="E61" s="17" t="s">
        <v>601</v>
      </c>
      <c r="H61" s="403"/>
      <c r="I61" s="403"/>
    </row>
    <row r="62" spans="1:10">
      <c r="A62" s="440">
        <f t="shared" si="10"/>
        <v>0</v>
      </c>
      <c r="B62" s="441">
        <f>0.5+10*0.15+2*0.1</f>
        <v>2.2000000000000002</v>
      </c>
      <c r="C62" s="493">
        <v>0</v>
      </c>
      <c r="E62" s="17" t="s">
        <v>602</v>
      </c>
      <c r="F62" s="403">
        <f t="shared" si="11"/>
        <v>55</v>
      </c>
      <c r="H62" s="403">
        <f t="shared" si="4"/>
        <v>55</v>
      </c>
      <c r="I62" s="403">
        <f t="shared" si="12"/>
        <v>0</v>
      </c>
    </row>
    <row r="63" spans="1:10">
      <c r="A63" s="440">
        <f t="shared" si="10"/>
        <v>0</v>
      </c>
      <c r="B63" s="441">
        <f>0.5+4*0.15</f>
        <v>1.1000000000000001</v>
      </c>
      <c r="C63" s="493">
        <v>0</v>
      </c>
      <c r="E63" s="17" t="s">
        <v>776</v>
      </c>
      <c r="F63" s="403">
        <f t="shared" si="11"/>
        <v>55</v>
      </c>
      <c r="H63" s="403">
        <f t="shared" si="4"/>
        <v>55</v>
      </c>
      <c r="I63" s="403">
        <f t="shared" si="12"/>
        <v>0</v>
      </c>
    </row>
    <row r="64" spans="1:10">
      <c r="A64" s="440">
        <f t="shared" si="10"/>
        <v>2.6666666666666665</v>
      </c>
      <c r="B64" s="441">
        <f>8/6</f>
        <v>1.3333333333333333</v>
      </c>
      <c r="C64" s="493">
        <v>2</v>
      </c>
      <c r="D64" s="17" t="s">
        <v>604</v>
      </c>
      <c r="E64" s="17" t="s">
        <v>605</v>
      </c>
      <c r="F64" s="403">
        <f t="shared" si="11"/>
        <v>55</v>
      </c>
      <c r="H64" s="403">
        <f t="shared" si="4"/>
        <v>55</v>
      </c>
      <c r="I64" s="403">
        <f t="shared" si="12"/>
        <v>146.66666666666666</v>
      </c>
      <c r="J64" s="17" t="s">
        <v>777</v>
      </c>
    </row>
    <row r="65" spans="1:10">
      <c r="A65" s="440">
        <f t="shared" si="10"/>
        <v>4</v>
      </c>
      <c r="B65" s="441">
        <v>4</v>
      </c>
      <c r="C65" s="493">
        <v>1</v>
      </c>
      <c r="E65" s="17" t="s">
        <v>606</v>
      </c>
      <c r="H65" s="403"/>
      <c r="I65" s="403"/>
    </row>
    <row r="66" spans="1:10">
      <c r="A66" s="440">
        <f t="shared" si="10"/>
        <v>4</v>
      </c>
      <c r="B66" s="441">
        <v>2</v>
      </c>
      <c r="C66" s="493">
        <v>2</v>
      </c>
      <c r="E66" s="17" t="s">
        <v>607</v>
      </c>
      <c r="F66" s="403">
        <f t="shared" si="11"/>
        <v>55</v>
      </c>
      <c r="H66" s="403">
        <f t="shared" si="4"/>
        <v>55</v>
      </c>
      <c r="I66" s="403">
        <f t="shared" si="12"/>
        <v>220</v>
      </c>
      <c r="J66" s="17" t="s">
        <v>778</v>
      </c>
    </row>
    <row r="67" spans="1:10">
      <c r="A67" s="440">
        <f t="shared" si="10"/>
        <v>0.93000000000000016</v>
      </c>
      <c r="B67" s="441">
        <f>0.33+6*0.1</f>
        <v>0.93000000000000016</v>
      </c>
      <c r="C67" s="493">
        <v>1</v>
      </c>
      <c r="E67" s="17" t="s">
        <v>609</v>
      </c>
      <c r="F67" s="403">
        <f t="shared" si="11"/>
        <v>55</v>
      </c>
      <c r="H67" s="403">
        <f t="shared" si="4"/>
        <v>55</v>
      </c>
      <c r="I67" s="403">
        <f t="shared" si="12"/>
        <v>51.150000000000006</v>
      </c>
    </row>
    <row r="68" spans="1:10">
      <c r="A68" s="440">
        <f t="shared" si="10"/>
        <v>0</v>
      </c>
      <c r="B68" s="441">
        <v>0.17</v>
      </c>
      <c r="C68" s="493">
        <v>0</v>
      </c>
      <c r="E68" s="17" t="s">
        <v>610</v>
      </c>
      <c r="F68" s="403">
        <f t="shared" si="11"/>
        <v>55</v>
      </c>
      <c r="H68" s="403">
        <f t="shared" si="4"/>
        <v>55</v>
      </c>
      <c r="I68" s="403">
        <f t="shared" si="12"/>
        <v>0</v>
      </c>
    </row>
    <row r="69" spans="1:10">
      <c r="A69" s="440">
        <f t="shared" si="10"/>
        <v>1</v>
      </c>
      <c r="B69" s="441">
        <v>0.5</v>
      </c>
      <c r="C69" s="493">
        <v>2</v>
      </c>
      <c r="E69" s="17" t="s">
        <v>611</v>
      </c>
      <c r="F69" s="403">
        <f t="shared" si="11"/>
        <v>55</v>
      </c>
      <c r="H69" s="403">
        <f t="shared" si="4"/>
        <v>55</v>
      </c>
      <c r="I69" s="403">
        <f t="shared" si="12"/>
        <v>55</v>
      </c>
    </row>
    <row r="70" spans="1:10">
      <c r="A70" s="440">
        <f t="shared" si="10"/>
        <v>1</v>
      </c>
      <c r="B70" s="441">
        <v>1</v>
      </c>
      <c r="C70" s="493">
        <v>1</v>
      </c>
      <c r="E70" s="17" t="s">
        <v>612</v>
      </c>
      <c r="F70" s="403">
        <f t="shared" si="11"/>
        <v>55</v>
      </c>
      <c r="H70" s="403">
        <f t="shared" si="4"/>
        <v>55</v>
      </c>
      <c r="I70" s="403">
        <f t="shared" si="12"/>
        <v>55</v>
      </c>
    </row>
    <row r="71" spans="1:10">
      <c r="A71" s="440">
        <f t="shared" si="10"/>
        <v>16</v>
      </c>
      <c r="B71" s="441">
        <v>16</v>
      </c>
      <c r="C71" s="493">
        <v>1</v>
      </c>
      <c r="E71" s="17" t="s">
        <v>614</v>
      </c>
      <c r="F71" s="403">
        <f t="shared" si="11"/>
        <v>55</v>
      </c>
      <c r="H71" s="403">
        <f t="shared" si="4"/>
        <v>55</v>
      </c>
      <c r="I71" s="403">
        <f t="shared" si="12"/>
        <v>880</v>
      </c>
    </row>
    <row r="72" spans="1:10">
      <c r="A72" s="440">
        <f t="shared" si="10"/>
        <v>8</v>
      </c>
      <c r="B72" s="441">
        <v>4</v>
      </c>
      <c r="C72" s="493">
        <v>2</v>
      </c>
      <c r="E72" s="17" t="s">
        <v>615</v>
      </c>
      <c r="F72" s="403">
        <f t="shared" si="11"/>
        <v>55</v>
      </c>
      <c r="H72" s="403">
        <f t="shared" si="4"/>
        <v>55</v>
      </c>
      <c r="I72" s="403">
        <f t="shared" si="12"/>
        <v>440</v>
      </c>
    </row>
    <row r="73" spans="1:10">
      <c r="A73" s="440">
        <f t="shared" si="10"/>
        <v>4</v>
      </c>
      <c r="B73" s="441">
        <v>4</v>
      </c>
      <c r="C73" s="493">
        <v>1</v>
      </c>
      <c r="E73" s="17" t="s">
        <v>616</v>
      </c>
      <c r="F73" s="403">
        <f t="shared" si="11"/>
        <v>55</v>
      </c>
      <c r="H73" s="403">
        <f t="shared" si="4"/>
        <v>55</v>
      </c>
      <c r="I73" s="403">
        <f t="shared" si="12"/>
        <v>220</v>
      </c>
    </row>
    <row r="74" spans="1:10">
      <c r="A74" s="440">
        <f t="shared" si="10"/>
        <v>10.5</v>
      </c>
      <c r="B74" s="441">
        <v>0.25</v>
      </c>
      <c r="C74" s="493">
        <v>42</v>
      </c>
      <c r="D74" s="494" t="s">
        <v>539</v>
      </c>
      <c r="E74" s="17" t="s">
        <v>617</v>
      </c>
      <c r="F74" s="443">
        <f t="shared" si="11"/>
        <v>55</v>
      </c>
      <c r="G74" s="444"/>
      <c r="H74" s="443">
        <f t="shared" ref="H74:H79" si="13">F74*(1-G74)</f>
        <v>55</v>
      </c>
      <c r="I74" s="443">
        <f t="shared" si="12"/>
        <v>577.5</v>
      </c>
      <c r="J74" s="17" t="s">
        <v>618</v>
      </c>
    </row>
    <row r="76" spans="1:10">
      <c r="A76" s="17">
        <f>SUM(A53:A75)</f>
        <v>305.89066666666668</v>
      </c>
      <c r="B76" s="17" t="s">
        <v>619</v>
      </c>
      <c r="E76" s="17" t="s">
        <v>620</v>
      </c>
    </row>
    <row r="77" spans="1:10">
      <c r="A77" s="441">
        <v>3</v>
      </c>
      <c r="B77" s="17" t="s">
        <v>517</v>
      </c>
      <c r="E77" s="17" t="s">
        <v>621</v>
      </c>
    </row>
    <row r="78" spans="1:10">
      <c r="A78" s="17">
        <v>1</v>
      </c>
      <c r="B78" s="17" t="s">
        <v>517</v>
      </c>
      <c r="E78" s="17" t="s">
        <v>622</v>
      </c>
      <c r="F78" s="445">
        <v>55</v>
      </c>
      <c r="H78" s="403">
        <f t="shared" si="13"/>
        <v>55</v>
      </c>
      <c r="I78" s="403">
        <f t="shared" si="12"/>
        <v>55</v>
      </c>
      <c r="J78" s="17" t="s">
        <v>623</v>
      </c>
    </row>
    <row r="79" spans="1:10">
      <c r="A79" s="17">
        <f>ROUNDUP(A76/8/A77,0)</f>
        <v>13</v>
      </c>
      <c r="B79" s="17" t="s">
        <v>624</v>
      </c>
      <c r="E79" s="17" t="s">
        <v>625</v>
      </c>
      <c r="F79" s="403">
        <f>A77*8*F78</f>
        <v>1320</v>
      </c>
      <c r="H79" s="403">
        <f t="shared" si="13"/>
        <v>1320</v>
      </c>
      <c r="I79" s="403">
        <f t="shared" si="12"/>
        <v>17160</v>
      </c>
    </row>
    <row r="80" spans="1:10">
      <c r="A80" s="441">
        <v>1</v>
      </c>
      <c r="B80" s="442" t="s">
        <v>517</v>
      </c>
      <c r="C80" s="446"/>
      <c r="D80" s="442"/>
      <c r="E80" s="442" t="s">
        <v>626</v>
      </c>
      <c r="F80" s="447">
        <v>500</v>
      </c>
      <c r="G80" s="444"/>
      <c r="H80" s="403">
        <v>1000</v>
      </c>
      <c r="I80" s="403">
        <f t="shared" si="12"/>
        <v>1000</v>
      </c>
      <c r="J80" s="17" t="s">
        <v>627</v>
      </c>
    </row>
    <row r="81" spans="1:16">
      <c r="A81" s="441"/>
      <c r="F81" s="447"/>
      <c r="H81" s="403"/>
      <c r="I81" s="403"/>
    </row>
    <row r="82" spans="1:16">
      <c r="A82" s="441"/>
      <c r="F82" s="447"/>
      <c r="H82" s="403"/>
      <c r="I82" s="403"/>
    </row>
    <row r="83" spans="1:16" ht="15.75">
      <c r="E83" s="439" t="s">
        <v>628</v>
      </c>
      <c r="I83" s="443">
        <f>SUM(I79:I82)</f>
        <v>18160</v>
      </c>
      <c r="P83" s="438">
        <f>I83</f>
        <v>18160</v>
      </c>
    </row>
    <row r="92" spans="1:16" ht="55">
      <c r="C92" s="448" t="s">
        <v>629</v>
      </c>
      <c r="D92" s="448"/>
      <c r="E92" s="449" t="s">
        <v>630</v>
      </c>
    </row>
    <row r="93" spans="1:16">
      <c r="D93" s="448"/>
      <c r="E93" s="449" t="s">
        <v>631</v>
      </c>
    </row>
    <row r="94" spans="1:16">
      <c r="D94" s="17" t="s">
        <v>632</v>
      </c>
      <c r="E94" s="450" t="s">
        <v>633</v>
      </c>
      <c r="G94" s="451">
        <v>0.4</v>
      </c>
    </row>
    <row r="95" spans="1:16">
      <c r="D95" s="17" t="s">
        <v>517</v>
      </c>
      <c r="E95" s="450" t="s">
        <v>634</v>
      </c>
      <c r="G95" s="451">
        <f>G94</f>
        <v>0.4</v>
      </c>
    </row>
    <row r="96" spans="1:16">
      <c r="D96" s="448"/>
      <c r="E96" s="449"/>
    </row>
    <row r="97" spans="1:11">
      <c r="E97" s="449" t="s">
        <v>635</v>
      </c>
    </row>
    <row r="98" spans="1:11" ht="24.9">
      <c r="A98" s="452">
        <v>0</v>
      </c>
      <c r="B98" s="453" t="s">
        <v>517</v>
      </c>
      <c r="C98" s="454" t="s">
        <v>538</v>
      </c>
      <c r="D98" s="455" t="s">
        <v>636</v>
      </c>
      <c r="E98" s="453" t="s">
        <v>637</v>
      </c>
      <c r="F98" s="456">
        <v>1849</v>
      </c>
      <c r="G98" s="457"/>
      <c r="H98" s="458">
        <f>F98*(1-$G$95)</f>
        <v>1109.3999999999999</v>
      </c>
      <c r="I98" s="458">
        <f t="shared" ref="I98:I105" si="14">A98*H98</f>
        <v>0</v>
      </c>
      <c r="J98" s="459" t="s">
        <v>638</v>
      </c>
      <c r="K98" s="460" t="s">
        <v>639</v>
      </c>
    </row>
    <row r="99" spans="1:11" ht="12.8" customHeight="1">
      <c r="A99" s="461">
        <v>0</v>
      </c>
      <c r="B99" s="453" t="s">
        <v>517</v>
      </c>
      <c r="C99" s="453" t="s">
        <v>538</v>
      </c>
      <c r="D99" s="462" t="s">
        <v>640</v>
      </c>
      <c r="E99" s="453" t="s">
        <v>641</v>
      </c>
      <c r="F99" s="463">
        <v>1949</v>
      </c>
      <c r="G99" s="457"/>
      <c r="H99" s="458">
        <f>F99*(1-$G$94)</f>
        <v>1169.3999999999999</v>
      </c>
      <c r="I99" s="458">
        <f t="shared" si="14"/>
        <v>0</v>
      </c>
      <c r="J99" s="459" t="s">
        <v>638</v>
      </c>
      <c r="K99" s="1051" t="s">
        <v>642</v>
      </c>
    </row>
    <row r="100" spans="1:11" ht="24.9">
      <c r="A100" s="452">
        <v>0</v>
      </c>
      <c r="B100" s="453" t="s">
        <v>539</v>
      </c>
      <c r="C100" s="453" t="s">
        <v>538</v>
      </c>
      <c r="D100" s="462" t="s">
        <v>643</v>
      </c>
      <c r="E100" s="453" t="s">
        <v>641</v>
      </c>
      <c r="F100" s="463">
        <v>80</v>
      </c>
      <c r="G100" s="457"/>
      <c r="H100" s="458">
        <f t="shared" ref="H100:H113" si="15">F100*(1-$G$94)</f>
        <v>48</v>
      </c>
      <c r="I100" s="458">
        <f t="shared" si="14"/>
        <v>0</v>
      </c>
      <c r="J100" s="459" t="s">
        <v>638</v>
      </c>
      <c r="K100" s="1051"/>
    </row>
    <row r="101" spans="1:11" ht="12.8" customHeight="1">
      <c r="A101" s="461">
        <v>0</v>
      </c>
      <c r="B101" s="453" t="s">
        <v>517</v>
      </c>
      <c r="C101" s="453" t="s">
        <v>538</v>
      </c>
      <c r="D101" s="464" t="s">
        <v>644</v>
      </c>
      <c r="E101" s="453" t="s">
        <v>645</v>
      </c>
      <c r="F101" s="463">
        <v>10051</v>
      </c>
      <c r="G101" s="457"/>
      <c r="H101" s="458">
        <f t="shared" si="15"/>
        <v>6030.5999999999995</v>
      </c>
      <c r="I101" s="458">
        <f t="shared" si="14"/>
        <v>0</v>
      </c>
      <c r="J101" s="459" t="s">
        <v>638</v>
      </c>
      <c r="K101" s="1052" t="s">
        <v>646</v>
      </c>
    </row>
    <row r="102" spans="1:11" ht="24.9">
      <c r="A102" s="461">
        <v>0</v>
      </c>
      <c r="B102" s="453" t="s">
        <v>517</v>
      </c>
      <c r="C102" s="453" t="s">
        <v>538</v>
      </c>
      <c r="D102" s="464" t="s">
        <v>644</v>
      </c>
      <c r="E102" s="453" t="s">
        <v>647</v>
      </c>
      <c r="F102" s="463">
        <v>17412</v>
      </c>
      <c r="G102" s="457"/>
      <c r="H102" s="458">
        <f t="shared" si="15"/>
        <v>10447.199999999999</v>
      </c>
      <c r="I102" s="458">
        <f t="shared" si="14"/>
        <v>0</v>
      </c>
      <c r="J102" s="459" t="s">
        <v>638</v>
      </c>
      <c r="K102" s="1052"/>
    </row>
    <row r="103" spans="1:11" ht="12.8" customHeight="1">
      <c r="A103" s="461">
        <v>0</v>
      </c>
      <c r="B103" s="453" t="s">
        <v>517</v>
      </c>
      <c r="C103" s="453" t="s">
        <v>538</v>
      </c>
      <c r="D103" s="465" t="s">
        <v>644</v>
      </c>
      <c r="E103" s="453" t="s">
        <v>648</v>
      </c>
      <c r="F103" s="466">
        <v>2345</v>
      </c>
      <c r="G103" s="457"/>
      <c r="H103" s="458">
        <f t="shared" si="15"/>
        <v>1407</v>
      </c>
      <c r="I103" s="458">
        <f t="shared" si="14"/>
        <v>0</v>
      </c>
      <c r="J103" s="453" t="s">
        <v>649</v>
      </c>
      <c r="K103" s="1049" t="s">
        <v>650</v>
      </c>
    </row>
    <row r="104" spans="1:11" ht="24.9">
      <c r="A104" s="461">
        <v>0</v>
      </c>
      <c r="B104" s="453" t="s">
        <v>517</v>
      </c>
      <c r="C104" s="453" t="s">
        <v>538</v>
      </c>
      <c r="D104" s="465" t="s">
        <v>644</v>
      </c>
      <c r="E104" s="453" t="s">
        <v>651</v>
      </c>
      <c r="F104" s="466">
        <v>3258</v>
      </c>
      <c r="G104" s="457"/>
      <c r="H104" s="458">
        <f t="shared" si="15"/>
        <v>1954.8</v>
      </c>
      <c r="I104" s="458">
        <f t="shared" si="14"/>
        <v>0</v>
      </c>
      <c r="J104" s="453" t="s">
        <v>649</v>
      </c>
      <c r="K104" s="1049"/>
    </row>
    <row r="105" spans="1:11" ht="24.9">
      <c r="A105" s="461">
        <v>0</v>
      </c>
      <c r="B105" s="453" t="s">
        <v>517</v>
      </c>
      <c r="C105" s="453" t="s">
        <v>538</v>
      </c>
      <c r="D105" s="465" t="s">
        <v>644</v>
      </c>
      <c r="E105" s="453" t="s">
        <v>652</v>
      </c>
      <c r="F105" s="463">
        <v>5649</v>
      </c>
      <c r="G105" s="457"/>
      <c r="H105" s="458">
        <f t="shared" si="15"/>
        <v>3389.4</v>
      </c>
      <c r="I105" s="458">
        <f t="shared" si="14"/>
        <v>0</v>
      </c>
      <c r="J105" s="453" t="s">
        <v>649</v>
      </c>
      <c r="K105" s="1049"/>
    </row>
    <row r="106" spans="1:11" ht="24.9">
      <c r="A106" s="461">
        <v>0</v>
      </c>
      <c r="B106" s="453" t="s">
        <v>517</v>
      </c>
      <c r="C106" s="453" t="s">
        <v>538</v>
      </c>
      <c r="D106" s="465" t="s">
        <v>644</v>
      </c>
      <c r="E106" s="453" t="s">
        <v>653</v>
      </c>
      <c r="F106" s="463">
        <v>1488</v>
      </c>
      <c r="G106" s="457"/>
      <c r="H106" s="458">
        <f t="shared" si="15"/>
        <v>892.8</v>
      </c>
      <c r="I106" s="458">
        <f t="shared" ref="I106:I141" si="16">A106*H106</f>
        <v>0</v>
      </c>
      <c r="J106" s="453" t="s">
        <v>649</v>
      </c>
      <c r="K106" s="1049"/>
    </row>
    <row r="107" spans="1:11" ht="24.9">
      <c r="A107" s="461">
        <v>0</v>
      </c>
      <c r="B107" s="453" t="s">
        <v>517</v>
      </c>
      <c r="C107" s="453" t="s">
        <v>538</v>
      </c>
      <c r="D107" s="465" t="s">
        <v>644</v>
      </c>
      <c r="E107" s="453" t="s">
        <v>654</v>
      </c>
      <c r="F107" s="463">
        <v>5269</v>
      </c>
      <c r="G107" s="457"/>
      <c r="H107" s="458">
        <f t="shared" si="15"/>
        <v>3161.4</v>
      </c>
      <c r="I107" s="458">
        <f t="shared" si="16"/>
        <v>0</v>
      </c>
      <c r="J107" s="453" t="s">
        <v>649</v>
      </c>
      <c r="K107" s="1049"/>
    </row>
    <row r="108" spans="1:11" ht="24.9">
      <c r="A108" s="461">
        <v>0</v>
      </c>
      <c r="B108" s="453" t="s">
        <v>517</v>
      </c>
      <c r="C108" s="453" t="s">
        <v>538</v>
      </c>
      <c r="D108" s="465" t="s">
        <v>644</v>
      </c>
      <c r="E108" s="453" t="s">
        <v>655</v>
      </c>
      <c r="F108" s="463">
        <v>3078</v>
      </c>
      <c r="G108" s="457"/>
      <c r="H108" s="458">
        <f t="shared" si="15"/>
        <v>1846.8</v>
      </c>
      <c r="I108" s="458">
        <f t="shared" si="16"/>
        <v>0</v>
      </c>
      <c r="J108" s="453" t="s">
        <v>649</v>
      </c>
      <c r="K108" s="1049"/>
    </row>
    <row r="109" spans="1:11" ht="24.9">
      <c r="A109" s="461">
        <v>0</v>
      </c>
      <c r="B109" s="453" t="s">
        <v>517</v>
      </c>
      <c r="C109" s="453" t="s">
        <v>538</v>
      </c>
      <c r="D109" s="465" t="s">
        <v>644</v>
      </c>
      <c r="E109" s="453" t="s">
        <v>656</v>
      </c>
      <c r="F109" s="463">
        <v>3489</v>
      </c>
      <c r="G109" s="457"/>
      <c r="H109" s="458">
        <f t="shared" si="15"/>
        <v>2093.4</v>
      </c>
      <c r="I109" s="458">
        <f t="shared" si="16"/>
        <v>0</v>
      </c>
      <c r="J109" s="453" t="s">
        <v>649</v>
      </c>
      <c r="K109" s="1049"/>
    </row>
    <row r="110" spans="1:11" ht="24.9">
      <c r="A110" s="461">
        <v>0</v>
      </c>
      <c r="B110" s="453" t="s">
        <v>517</v>
      </c>
      <c r="C110" s="453" t="s">
        <v>538</v>
      </c>
      <c r="D110" s="465" t="s">
        <v>644</v>
      </c>
      <c r="E110" s="453" t="s">
        <v>657</v>
      </c>
      <c r="F110" s="467" t="s">
        <v>658</v>
      </c>
      <c r="G110" s="457"/>
      <c r="H110" s="468"/>
      <c r="I110" s="468"/>
      <c r="J110" s="453" t="s">
        <v>649</v>
      </c>
      <c r="K110" s="1049"/>
    </row>
    <row r="111" spans="1:11" ht="24.9">
      <c r="A111" s="461">
        <v>0</v>
      </c>
      <c r="B111" s="453" t="s">
        <v>517</v>
      </c>
      <c r="C111" s="453" t="s">
        <v>538</v>
      </c>
      <c r="D111" s="465" t="s">
        <v>644</v>
      </c>
      <c r="E111" s="453" t="s">
        <v>659</v>
      </c>
      <c r="F111" s="463">
        <v>7456</v>
      </c>
      <c r="G111" s="457"/>
      <c r="H111" s="458">
        <f t="shared" si="15"/>
        <v>4473.5999999999995</v>
      </c>
      <c r="I111" s="458">
        <f t="shared" si="16"/>
        <v>0</v>
      </c>
      <c r="J111" s="453" t="s">
        <v>649</v>
      </c>
      <c r="K111" s="1049"/>
    </row>
    <row r="112" spans="1:11" ht="24.9">
      <c r="A112" s="461">
        <v>0</v>
      </c>
      <c r="B112" s="453" t="s">
        <v>517</v>
      </c>
      <c r="C112" s="453" t="s">
        <v>538</v>
      </c>
      <c r="D112" s="465" t="s">
        <v>644</v>
      </c>
      <c r="E112" s="453" t="s">
        <v>660</v>
      </c>
      <c r="F112" s="463">
        <v>8494</v>
      </c>
      <c r="G112" s="457"/>
      <c r="H112" s="458">
        <f t="shared" si="15"/>
        <v>5096.3999999999996</v>
      </c>
      <c r="I112" s="458">
        <f t="shared" si="16"/>
        <v>0</v>
      </c>
      <c r="J112" s="453" t="s">
        <v>649</v>
      </c>
      <c r="K112" s="1049"/>
    </row>
    <row r="113" spans="1:12" ht="24.9">
      <c r="A113" s="461">
        <v>0</v>
      </c>
      <c r="B113" s="453" t="s">
        <v>517</v>
      </c>
      <c r="C113" s="453" t="s">
        <v>538</v>
      </c>
      <c r="D113" s="465" t="s">
        <v>644</v>
      </c>
      <c r="E113" s="453" t="s">
        <v>661</v>
      </c>
      <c r="F113" s="463">
        <v>9434</v>
      </c>
      <c r="G113" s="457"/>
      <c r="H113" s="458">
        <f t="shared" si="15"/>
        <v>5660.4</v>
      </c>
      <c r="I113" s="458">
        <f t="shared" si="16"/>
        <v>0</v>
      </c>
      <c r="J113" s="453" t="s">
        <v>649</v>
      </c>
      <c r="K113" s="1049"/>
      <c r="L113" s="204"/>
    </row>
    <row r="114" spans="1:12">
      <c r="A114" s="469"/>
      <c r="B114" s="427"/>
      <c r="C114" s="427"/>
      <c r="D114" s="470"/>
      <c r="E114" s="427"/>
      <c r="F114" s="471"/>
      <c r="G114" s="471"/>
      <c r="H114" s="472"/>
      <c r="I114" s="473"/>
      <c r="J114" s="427"/>
      <c r="K114" s="427"/>
    </row>
    <row r="115" spans="1:12" ht="37.35">
      <c r="A115" s="474"/>
      <c r="B115" s="475"/>
      <c r="C115" s="475"/>
      <c r="D115" s="476"/>
      <c r="E115" s="475"/>
      <c r="F115" s="477" t="s">
        <v>662</v>
      </c>
      <c r="G115" s="478" t="s">
        <v>663</v>
      </c>
      <c r="H115" s="479"/>
      <c r="I115" s="480"/>
      <c r="J115" s="427"/>
      <c r="K115" s="475"/>
    </row>
    <row r="116" spans="1:12" ht="87.05">
      <c r="A116" s="461">
        <v>0</v>
      </c>
      <c r="B116" s="453" t="s">
        <v>539</v>
      </c>
      <c r="C116" s="453" t="s">
        <v>538</v>
      </c>
      <c r="D116" s="481" t="s">
        <v>664</v>
      </c>
      <c r="E116" s="453" t="s">
        <v>665</v>
      </c>
      <c r="F116" s="463">
        <v>108</v>
      </c>
      <c r="G116" s="463">
        <v>79</v>
      </c>
      <c r="H116" s="458">
        <f>IFERROR((MIN(A116,400)*F116+MAX(A116-400,0)*G116)*(1-G94)/A116,0)</f>
        <v>0</v>
      </c>
      <c r="I116" s="458">
        <f t="shared" si="16"/>
        <v>0</v>
      </c>
      <c r="J116" s="453" t="s">
        <v>638</v>
      </c>
      <c r="K116" s="482" t="s">
        <v>666</v>
      </c>
      <c r="L116" s="204"/>
    </row>
    <row r="117" spans="1:12">
      <c r="A117" s="474"/>
      <c r="B117" s="475"/>
      <c r="C117" s="475"/>
      <c r="D117" s="476"/>
      <c r="E117" s="475"/>
      <c r="F117" s="457"/>
      <c r="G117" s="457"/>
      <c r="H117" s="479"/>
      <c r="I117" s="480"/>
      <c r="J117" s="475"/>
      <c r="K117" s="475"/>
      <c r="L117" s="204"/>
    </row>
    <row r="118" spans="1:12">
      <c r="A118" s="474"/>
      <c r="B118" s="475"/>
      <c r="C118" s="475"/>
      <c r="D118" s="476"/>
      <c r="E118" s="475"/>
      <c r="F118" s="457"/>
      <c r="G118" s="457"/>
      <c r="H118" s="479"/>
      <c r="I118" s="480"/>
      <c r="J118" s="475"/>
      <c r="K118" s="475"/>
    </row>
    <row r="119" spans="1:12" ht="13.1">
      <c r="A119" s="474"/>
      <c r="B119" s="475"/>
      <c r="C119" s="475"/>
      <c r="D119" s="476"/>
      <c r="E119" s="483" t="s">
        <v>667</v>
      </c>
      <c r="F119" s="457"/>
      <c r="G119" s="457"/>
      <c r="H119" s="479"/>
      <c r="I119" s="480"/>
      <c r="J119" s="475"/>
      <c r="K119" s="475"/>
    </row>
    <row r="120" spans="1:12" ht="33.4" customHeight="1">
      <c r="A120" s="452">
        <v>1</v>
      </c>
      <c r="B120" s="453" t="s">
        <v>517</v>
      </c>
      <c r="C120" s="454" t="s">
        <v>538</v>
      </c>
      <c r="D120" s="455" t="s">
        <v>636</v>
      </c>
      <c r="E120" s="453" t="s">
        <v>668</v>
      </c>
      <c r="F120" s="463">
        <v>3732</v>
      </c>
      <c r="G120" s="457"/>
      <c r="H120" s="458">
        <f>F120*(1-G95)</f>
        <v>2239.1999999999998</v>
      </c>
      <c r="I120" s="458">
        <f t="shared" si="16"/>
        <v>2239.1999999999998</v>
      </c>
      <c r="J120" s="453" t="s">
        <v>649</v>
      </c>
      <c r="K120" s="1050" t="s">
        <v>669</v>
      </c>
    </row>
    <row r="121" spans="1:12" ht="24.9">
      <c r="A121" s="452">
        <v>1</v>
      </c>
      <c r="B121" s="453" t="s">
        <v>539</v>
      </c>
      <c r="C121" s="454" t="s">
        <v>538</v>
      </c>
      <c r="D121" s="455" t="s">
        <v>670</v>
      </c>
      <c r="E121" s="453" t="s">
        <v>671</v>
      </c>
      <c r="F121" s="463">
        <v>88.7</v>
      </c>
      <c r="G121" s="457"/>
      <c r="H121" s="458">
        <f>F121*(1-G95)</f>
        <v>53.22</v>
      </c>
      <c r="I121" s="458">
        <f t="shared" si="16"/>
        <v>53.22</v>
      </c>
      <c r="J121" s="453" t="s">
        <v>649</v>
      </c>
      <c r="K121" s="1050"/>
      <c r="L121" s="17" t="s">
        <v>672</v>
      </c>
    </row>
    <row r="122" spans="1:12" ht="33.4" customHeight="1">
      <c r="A122" s="461">
        <v>1</v>
      </c>
      <c r="B122" s="453" t="s">
        <v>517</v>
      </c>
      <c r="C122" s="453" t="s">
        <v>538</v>
      </c>
      <c r="D122" s="462" t="s">
        <v>640</v>
      </c>
      <c r="E122" s="453" t="s">
        <v>673</v>
      </c>
      <c r="F122" s="463">
        <v>1968</v>
      </c>
      <c r="G122" s="457"/>
      <c r="H122" s="458">
        <f t="shared" ref="H122:H136" si="17">F122*(1-$G$94)</f>
        <v>1180.8</v>
      </c>
      <c r="I122" s="458">
        <f t="shared" si="16"/>
        <v>1180.8</v>
      </c>
      <c r="J122" s="459" t="s">
        <v>638</v>
      </c>
      <c r="K122" s="1051" t="s">
        <v>642</v>
      </c>
    </row>
    <row r="123" spans="1:12" ht="24.9">
      <c r="A123" s="452">
        <v>32</v>
      </c>
      <c r="B123" s="453" t="s">
        <v>539</v>
      </c>
      <c r="C123" s="453" t="s">
        <v>538</v>
      </c>
      <c r="D123" s="462" t="s">
        <v>643</v>
      </c>
      <c r="E123" s="453" t="s">
        <v>673</v>
      </c>
      <c r="F123" s="463">
        <v>87.9</v>
      </c>
      <c r="G123" s="457"/>
      <c r="H123" s="458">
        <f t="shared" si="17"/>
        <v>52.74</v>
      </c>
      <c r="I123" s="458">
        <f t="shared" si="16"/>
        <v>1687.68</v>
      </c>
      <c r="J123" s="459" t="s">
        <v>638</v>
      </c>
      <c r="K123" s="1051"/>
    </row>
    <row r="124" spans="1:12" ht="33.4" customHeight="1">
      <c r="A124" s="452">
        <v>1</v>
      </c>
      <c r="B124" s="453" t="s">
        <v>517</v>
      </c>
      <c r="C124" s="453" t="s">
        <v>538</v>
      </c>
      <c r="D124" s="464" t="s">
        <v>644</v>
      </c>
      <c r="E124" s="453" t="s">
        <v>645</v>
      </c>
      <c r="F124" s="463">
        <v>10051</v>
      </c>
      <c r="G124" s="457"/>
      <c r="H124" s="458">
        <f t="shared" si="17"/>
        <v>6030.5999999999995</v>
      </c>
      <c r="I124" s="458">
        <f t="shared" si="16"/>
        <v>6030.5999999999995</v>
      </c>
      <c r="J124" s="459" t="s">
        <v>638</v>
      </c>
      <c r="K124" s="1052" t="s">
        <v>646</v>
      </c>
    </row>
    <row r="125" spans="1:12" ht="24.9">
      <c r="A125" s="461">
        <v>0</v>
      </c>
      <c r="B125" s="453" t="s">
        <v>517</v>
      </c>
      <c r="C125" s="453" t="s">
        <v>538</v>
      </c>
      <c r="D125" s="464" t="s">
        <v>644</v>
      </c>
      <c r="E125" s="453" t="s">
        <v>647</v>
      </c>
      <c r="F125" s="463">
        <v>17412</v>
      </c>
      <c r="G125" s="457"/>
      <c r="H125" s="458">
        <f t="shared" si="17"/>
        <v>10447.199999999999</v>
      </c>
      <c r="I125" s="458">
        <f t="shared" si="16"/>
        <v>0</v>
      </c>
      <c r="J125" s="459" t="s">
        <v>638</v>
      </c>
      <c r="K125" s="1052"/>
    </row>
    <row r="126" spans="1:12" ht="33.4" customHeight="1">
      <c r="A126" s="461">
        <v>0</v>
      </c>
      <c r="B126" s="453" t="s">
        <v>517</v>
      </c>
      <c r="C126" s="453" t="s">
        <v>538</v>
      </c>
      <c r="D126" s="465" t="s">
        <v>644</v>
      </c>
      <c r="E126" s="453" t="s">
        <v>648</v>
      </c>
      <c r="F126" s="463">
        <v>2345</v>
      </c>
      <c r="G126" s="457"/>
      <c r="H126" s="458">
        <f t="shared" si="17"/>
        <v>1407</v>
      </c>
      <c r="I126" s="458">
        <f t="shared" si="16"/>
        <v>0</v>
      </c>
      <c r="J126" s="453" t="s">
        <v>649</v>
      </c>
      <c r="K126" s="1049" t="s">
        <v>650</v>
      </c>
    </row>
    <row r="127" spans="1:12" ht="24.9">
      <c r="A127" s="461">
        <v>0</v>
      </c>
      <c r="B127" s="453" t="s">
        <v>517</v>
      </c>
      <c r="C127" s="453" t="s">
        <v>538</v>
      </c>
      <c r="D127" s="465" t="s">
        <v>644</v>
      </c>
      <c r="E127" s="453" t="s">
        <v>651</v>
      </c>
      <c r="F127" s="463">
        <v>3258</v>
      </c>
      <c r="G127" s="457"/>
      <c r="H127" s="458">
        <f t="shared" si="17"/>
        <v>1954.8</v>
      </c>
      <c r="I127" s="458">
        <f t="shared" si="16"/>
        <v>0</v>
      </c>
      <c r="J127" s="453" t="s">
        <v>649</v>
      </c>
      <c r="K127" s="1049"/>
    </row>
    <row r="128" spans="1:12" ht="24.9">
      <c r="A128" s="461">
        <v>0</v>
      </c>
      <c r="B128" s="453" t="s">
        <v>517</v>
      </c>
      <c r="C128" s="453" t="s">
        <v>538</v>
      </c>
      <c r="D128" s="465" t="s">
        <v>644</v>
      </c>
      <c r="E128" s="453" t="s">
        <v>652</v>
      </c>
      <c r="F128" s="463">
        <v>5649</v>
      </c>
      <c r="G128" s="457"/>
      <c r="H128" s="458">
        <f t="shared" si="17"/>
        <v>3389.4</v>
      </c>
      <c r="I128" s="458">
        <f t="shared" si="16"/>
        <v>0</v>
      </c>
      <c r="J128" s="453" t="s">
        <v>649</v>
      </c>
      <c r="K128" s="1049"/>
    </row>
    <row r="129" spans="1:17" ht="24.9">
      <c r="A129" s="461">
        <v>0</v>
      </c>
      <c r="B129" s="453" t="s">
        <v>517</v>
      </c>
      <c r="C129" s="453" t="s">
        <v>538</v>
      </c>
      <c r="D129" s="465" t="s">
        <v>644</v>
      </c>
      <c r="E129" s="453" t="s">
        <v>653</v>
      </c>
      <c r="F129" s="463">
        <v>1488</v>
      </c>
      <c r="G129" s="457"/>
      <c r="H129" s="458">
        <f t="shared" si="17"/>
        <v>892.8</v>
      </c>
      <c r="I129" s="458">
        <f t="shared" si="16"/>
        <v>0</v>
      </c>
      <c r="J129" s="453" t="s">
        <v>649</v>
      </c>
      <c r="K129" s="1049"/>
    </row>
    <row r="130" spans="1:17" ht="24.9">
      <c r="A130" s="461">
        <v>0</v>
      </c>
      <c r="B130" s="453" t="s">
        <v>517</v>
      </c>
      <c r="C130" s="453" t="s">
        <v>538</v>
      </c>
      <c r="D130" s="465" t="s">
        <v>644</v>
      </c>
      <c r="E130" s="453" t="s">
        <v>654</v>
      </c>
      <c r="F130" s="463">
        <v>5269</v>
      </c>
      <c r="G130" s="457"/>
      <c r="H130" s="458">
        <f t="shared" si="17"/>
        <v>3161.4</v>
      </c>
      <c r="I130" s="458">
        <f t="shared" si="16"/>
        <v>0</v>
      </c>
      <c r="J130" s="453" t="s">
        <v>649</v>
      </c>
      <c r="K130" s="1049"/>
    </row>
    <row r="131" spans="1:17" ht="24.9">
      <c r="A131" s="461">
        <v>0</v>
      </c>
      <c r="B131" s="453" t="s">
        <v>517</v>
      </c>
      <c r="C131" s="453" t="s">
        <v>538</v>
      </c>
      <c r="D131" s="465" t="s">
        <v>644</v>
      </c>
      <c r="E131" s="453" t="s">
        <v>655</v>
      </c>
      <c r="F131" s="463">
        <v>3078</v>
      </c>
      <c r="G131" s="457"/>
      <c r="H131" s="458">
        <f t="shared" si="17"/>
        <v>1846.8</v>
      </c>
      <c r="I131" s="458">
        <f t="shared" si="16"/>
        <v>0</v>
      </c>
      <c r="J131" s="453" t="s">
        <v>649</v>
      </c>
      <c r="K131" s="1049"/>
    </row>
    <row r="132" spans="1:17" ht="24.9">
      <c r="A132" s="461">
        <v>0</v>
      </c>
      <c r="B132" s="453" t="s">
        <v>517</v>
      </c>
      <c r="C132" s="453" t="s">
        <v>538</v>
      </c>
      <c r="D132" s="465" t="s">
        <v>644</v>
      </c>
      <c r="E132" s="453" t="s">
        <v>656</v>
      </c>
      <c r="F132" s="463">
        <v>3489</v>
      </c>
      <c r="G132" s="457"/>
      <c r="H132" s="458">
        <f t="shared" si="17"/>
        <v>2093.4</v>
      </c>
      <c r="I132" s="458">
        <f t="shared" si="16"/>
        <v>0</v>
      </c>
      <c r="J132" s="453" t="s">
        <v>649</v>
      </c>
      <c r="K132" s="1049"/>
    </row>
    <row r="133" spans="1:17" ht="24.9">
      <c r="A133" s="461">
        <v>0</v>
      </c>
      <c r="B133" s="453" t="s">
        <v>517</v>
      </c>
      <c r="C133" s="453" t="s">
        <v>538</v>
      </c>
      <c r="D133" s="465" t="s">
        <v>644</v>
      </c>
      <c r="E133" s="453" t="s">
        <v>657</v>
      </c>
      <c r="F133" s="467" t="s">
        <v>658</v>
      </c>
      <c r="G133" s="457"/>
      <c r="H133" s="468"/>
      <c r="I133" s="484"/>
      <c r="J133" s="453" t="s">
        <v>649</v>
      </c>
      <c r="K133" s="1049"/>
    </row>
    <row r="134" spans="1:17" ht="24.9">
      <c r="A134" s="461">
        <v>0</v>
      </c>
      <c r="B134" s="453" t="s">
        <v>517</v>
      </c>
      <c r="C134" s="453" t="s">
        <v>538</v>
      </c>
      <c r="D134" s="465" t="s">
        <v>644</v>
      </c>
      <c r="E134" s="453" t="s">
        <v>659</v>
      </c>
      <c r="F134" s="463">
        <v>7456</v>
      </c>
      <c r="G134" s="457"/>
      <c r="H134" s="458">
        <f t="shared" si="17"/>
        <v>4473.5999999999995</v>
      </c>
      <c r="I134" s="458">
        <f t="shared" si="16"/>
        <v>0</v>
      </c>
      <c r="J134" s="453" t="s">
        <v>649</v>
      </c>
      <c r="K134" s="1049"/>
    </row>
    <row r="135" spans="1:17" ht="24.9">
      <c r="A135" s="461">
        <v>0</v>
      </c>
      <c r="B135" s="453" t="s">
        <v>517</v>
      </c>
      <c r="C135" s="453" t="s">
        <v>538</v>
      </c>
      <c r="D135" s="465" t="s">
        <v>644</v>
      </c>
      <c r="E135" s="453" t="s">
        <v>660</v>
      </c>
      <c r="F135" s="463">
        <v>8494</v>
      </c>
      <c r="G135" s="457"/>
      <c r="H135" s="458">
        <f t="shared" si="17"/>
        <v>5096.3999999999996</v>
      </c>
      <c r="I135" s="458">
        <f t="shared" si="16"/>
        <v>0</v>
      </c>
      <c r="J135" s="453" t="s">
        <v>649</v>
      </c>
      <c r="K135" s="1049"/>
    </row>
    <row r="136" spans="1:17" ht="24.9">
      <c r="A136" s="461">
        <v>0</v>
      </c>
      <c r="B136" s="453" t="s">
        <v>517</v>
      </c>
      <c r="C136" s="453" t="s">
        <v>538</v>
      </c>
      <c r="D136" s="465" t="s">
        <v>644</v>
      </c>
      <c r="E136" s="453" t="s">
        <v>661</v>
      </c>
      <c r="F136" s="463">
        <v>9434</v>
      </c>
      <c r="G136" s="457"/>
      <c r="H136" s="458">
        <f t="shared" si="17"/>
        <v>5660.4</v>
      </c>
      <c r="I136" s="458">
        <f t="shared" si="16"/>
        <v>0</v>
      </c>
      <c r="J136" s="453" t="s">
        <v>649</v>
      </c>
      <c r="K136" s="1049"/>
    </row>
    <row r="137" spans="1:17">
      <c r="A137" s="469"/>
      <c r="B137" s="427"/>
      <c r="C137" s="427"/>
      <c r="D137" s="470"/>
      <c r="E137" s="427"/>
      <c r="F137" s="472"/>
      <c r="G137" s="471"/>
      <c r="H137" s="472"/>
      <c r="I137" s="473"/>
      <c r="J137" s="427"/>
      <c r="K137" s="427"/>
    </row>
    <row r="138" spans="1:17" ht="37.35">
      <c r="A138" s="474"/>
      <c r="B138" s="475"/>
      <c r="C138" s="475"/>
      <c r="D138" s="476"/>
      <c r="E138" s="475"/>
      <c r="F138" s="477" t="s">
        <v>662</v>
      </c>
      <c r="G138" s="478" t="s">
        <v>663</v>
      </c>
      <c r="H138" s="479"/>
      <c r="I138" s="480"/>
      <c r="J138" s="427"/>
      <c r="K138" s="475"/>
    </row>
    <row r="139" spans="1:17" ht="87.05">
      <c r="A139" s="461">
        <v>411</v>
      </c>
      <c r="B139" s="453" t="s">
        <v>539</v>
      </c>
      <c r="C139" s="453" t="s">
        <v>538</v>
      </c>
      <c r="D139" s="481" t="s">
        <v>664</v>
      </c>
      <c r="E139" s="453" t="s">
        <v>665</v>
      </c>
      <c r="F139" s="463">
        <v>108</v>
      </c>
      <c r="G139" s="463">
        <v>79</v>
      </c>
      <c r="H139" s="458">
        <f>IFERROR((MIN(A139,400)*F139+MAX(A139-400,0)*G139)*(1-G94)/A139,0)</f>
        <v>64.334306569343056</v>
      </c>
      <c r="I139" s="458">
        <f t="shared" si="16"/>
        <v>26441.399999999998</v>
      </c>
      <c r="J139" s="453" t="s">
        <v>638</v>
      </c>
      <c r="K139" s="482" t="s">
        <v>666</v>
      </c>
    </row>
    <row r="140" spans="1:17">
      <c r="A140" s="204"/>
      <c r="F140" s="17"/>
      <c r="H140" s="403"/>
      <c r="I140" s="403"/>
    </row>
    <row r="141" spans="1:17" ht="33.4">
      <c r="A141" s="204">
        <v>1</v>
      </c>
      <c r="B141" s="17" t="s">
        <v>517</v>
      </c>
      <c r="C141" s="204" t="s">
        <v>674</v>
      </c>
      <c r="E141" s="17" t="s">
        <v>675</v>
      </c>
      <c r="F141" s="445">
        <v>161.44</v>
      </c>
      <c r="G141" s="404">
        <v>0</v>
      </c>
      <c r="H141" s="458">
        <f>F141*(1-G141)</f>
        <v>161.44</v>
      </c>
      <c r="I141" s="458">
        <f t="shared" si="16"/>
        <v>161.44</v>
      </c>
    </row>
    <row r="142" spans="1:17">
      <c r="A142" s="204"/>
      <c r="F142" s="485"/>
      <c r="H142" s="403"/>
      <c r="I142" s="403"/>
    </row>
    <row r="143" spans="1:17" ht="15.75">
      <c r="E143" s="439" t="s">
        <v>676</v>
      </c>
      <c r="I143" s="486">
        <f>SUM(I98:I141)</f>
        <v>37794.339999999997</v>
      </c>
      <c r="Q143" s="438">
        <f>I143</f>
        <v>37794.339999999997</v>
      </c>
    </row>
    <row r="145" spans="1:10" ht="13.75" customHeight="1">
      <c r="A145" s="986" t="s">
        <v>100</v>
      </c>
      <c r="B145" s="986"/>
      <c r="C145" s="986"/>
      <c r="D145" s="986"/>
      <c r="E145" s="986"/>
    </row>
    <row r="147" spans="1:10">
      <c r="E147" s="442" t="s">
        <v>677</v>
      </c>
      <c r="J147" s="403" t="s">
        <v>779</v>
      </c>
    </row>
    <row r="148" spans="1:10" ht="22.25">
      <c r="A148" s="407">
        <v>0</v>
      </c>
      <c r="B148" s="407" t="s">
        <v>522</v>
      </c>
      <c r="C148" s="408" t="s">
        <v>678</v>
      </c>
      <c r="D148" s="407" t="s">
        <v>679</v>
      </c>
      <c r="E148" s="408" t="s">
        <v>680</v>
      </c>
      <c r="F148" s="409">
        <v>2801.13</v>
      </c>
      <c r="G148" s="410"/>
      <c r="H148" s="409">
        <f t="shared" ref="H148:H194" si="18">F148*(1-G148)</f>
        <v>2801.13</v>
      </c>
      <c r="I148" s="409"/>
    </row>
    <row r="149" spans="1:10" ht="22.25">
      <c r="A149" s="407">
        <v>0</v>
      </c>
      <c r="B149" s="407" t="s">
        <v>522</v>
      </c>
      <c r="C149" s="408" t="s">
        <v>678</v>
      </c>
      <c r="D149" s="407" t="s">
        <v>681</v>
      </c>
      <c r="E149" s="408" t="s">
        <v>682</v>
      </c>
      <c r="F149" s="409">
        <v>772.15</v>
      </c>
      <c r="G149" s="410"/>
      <c r="H149" s="409">
        <f t="shared" si="18"/>
        <v>772.15</v>
      </c>
      <c r="I149" s="409"/>
    </row>
    <row r="150" spans="1:10" ht="22.25">
      <c r="A150" s="407">
        <v>0</v>
      </c>
      <c r="B150" s="407" t="s">
        <v>522</v>
      </c>
      <c r="C150" s="408" t="s">
        <v>678</v>
      </c>
      <c r="D150" s="407" t="s">
        <v>683</v>
      </c>
      <c r="E150" s="408" t="s">
        <v>684</v>
      </c>
      <c r="F150" s="409">
        <v>150.26</v>
      </c>
      <c r="G150" s="410"/>
      <c r="H150" s="409">
        <f t="shared" si="18"/>
        <v>150.26</v>
      </c>
      <c r="I150" s="409"/>
    </row>
    <row r="151" spans="1:10" ht="22.25">
      <c r="A151" s="407">
        <v>0</v>
      </c>
      <c r="B151" s="407" t="s">
        <v>522</v>
      </c>
      <c r="C151" s="408" t="s">
        <v>678</v>
      </c>
      <c r="D151" s="407" t="s">
        <v>685</v>
      </c>
      <c r="E151" s="408" t="s">
        <v>686</v>
      </c>
      <c r="F151" s="409">
        <v>10.58</v>
      </c>
      <c r="G151" s="410"/>
      <c r="H151" s="409">
        <f t="shared" si="18"/>
        <v>10.58</v>
      </c>
      <c r="I151" s="409"/>
    </row>
    <row r="152" spans="1:10" ht="22.25">
      <c r="A152" s="407">
        <v>0</v>
      </c>
      <c r="B152" s="407" t="s">
        <v>522</v>
      </c>
      <c r="C152" s="408" t="s">
        <v>678</v>
      </c>
      <c r="D152" s="407" t="s">
        <v>687</v>
      </c>
      <c r="E152" s="408" t="s">
        <v>688</v>
      </c>
      <c r="F152" s="409">
        <v>69.78</v>
      </c>
      <c r="G152" s="410"/>
      <c r="H152" s="409">
        <f t="shared" si="18"/>
        <v>69.78</v>
      </c>
      <c r="I152" s="409"/>
      <c r="J152" s="17" t="s">
        <v>689</v>
      </c>
    </row>
    <row r="153" spans="1:10" ht="22.25">
      <c r="A153" s="487">
        <v>0</v>
      </c>
      <c r="B153" s="407" t="s">
        <v>539</v>
      </c>
      <c r="C153" s="408" t="s">
        <v>690</v>
      </c>
      <c r="D153" s="407"/>
      <c r="E153" s="407" t="s">
        <v>691</v>
      </c>
      <c r="F153" s="409">
        <v>7.58</v>
      </c>
      <c r="G153" s="410"/>
      <c r="H153" s="409">
        <f t="shared" si="18"/>
        <v>7.58</v>
      </c>
      <c r="I153" s="409"/>
      <c r="J153" s="17" t="s">
        <v>692</v>
      </c>
    </row>
    <row r="154" spans="1:10" ht="22.25">
      <c r="A154" s="487">
        <v>0</v>
      </c>
      <c r="B154" s="407" t="s">
        <v>539</v>
      </c>
      <c r="C154" s="408" t="s">
        <v>690</v>
      </c>
      <c r="D154" s="407"/>
      <c r="E154" s="407" t="s">
        <v>693</v>
      </c>
      <c r="F154" s="409">
        <v>2.04</v>
      </c>
      <c r="G154" s="410"/>
      <c r="H154" s="409">
        <f t="shared" si="18"/>
        <v>2.04</v>
      </c>
      <c r="I154" s="409"/>
      <c r="J154" s="17" t="s">
        <v>694</v>
      </c>
    </row>
    <row r="155" spans="1:10" ht="22.25">
      <c r="A155" s="407">
        <v>0</v>
      </c>
      <c r="B155" s="407" t="s">
        <v>522</v>
      </c>
      <c r="C155" s="408"/>
      <c r="D155" s="407"/>
      <c r="E155" s="408" t="s">
        <v>695</v>
      </c>
      <c r="F155" s="409">
        <v>50</v>
      </c>
      <c r="G155" s="410"/>
      <c r="H155" s="409">
        <f t="shared" si="18"/>
        <v>50</v>
      </c>
      <c r="I155" s="409"/>
      <c r="J155" s="204" t="s">
        <v>696</v>
      </c>
    </row>
    <row r="156" spans="1:10">
      <c r="A156" s="407">
        <v>0</v>
      </c>
      <c r="B156" s="407" t="s">
        <v>619</v>
      </c>
      <c r="C156" s="408"/>
      <c r="D156" s="407"/>
      <c r="E156" s="408" t="s">
        <v>697</v>
      </c>
      <c r="F156" s="409">
        <f>F78</f>
        <v>55</v>
      </c>
      <c r="G156" s="410"/>
      <c r="H156" s="409">
        <f t="shared" si="18"/>
        <v>55</v>
      </c>
      <c r="I156" s="409"/>
    </row>
    <row r="157" spans="1:10" ht="66.8">
      <c r="A157" s="407">
        <v>0</v>
      </c>
      <c r="B157" s="407" t="s">
        <v>517</v>
      </c>
      <c r="C157" s="408" t="s">
        <v>698</v>
      </c>
      <c r="D157" s="407" t="s">
        <v>636</v>
      </c>
      <c r="E157" s="408" t="s">
        <v>637</v>
      </c>
      <c r="F157" s="409">
        <v>1809</v>
      </c>
      <c r="G157" s="410">
        <v>0.75</v>
      </c>
      <c r="H157" s="409">
        <f t="shared" si="18"/>
        <v>452.25</v>
      </c>
      <c r="I157" s="409"/>
      <c r="J157" s="17" t="s">
        <v>699</v>
      </c>
    </row>
    <row r="158" spans="1:10">
      <c r="A158" s="407"/>
      <c r="B158" s="407"/>
      <c r="C158" s="408"/>
      <c r="D158" s="407"/>
      <c r="E158" s="408"/>
      <c r="F158" s="409"/>
      <c r="G158" s="410"/>
      <c r="H158" s="409"/>
      <c r="I158" s="409"/>
    </row>
    <row r="159" spans="1:10">
      <c r="E159" s="442" t="s">
        <v>700</v>
      </c>
    </row>
    <row r="160" spans="1:10">
      <c r="A160" s="407"/>
      <c r="B160" s="407"/>
      <c r="C160" s="408"/>
      <c r="D160" s="407"/>
      <c r="E160" s="408"/>
      <c r="F160" s="409"/>
      <c r="G160" s="410"/>
      <c r="H160" s="409"/>
      <c r="I160" s="409"/>
    </row>
    <row r="161" spans="1:10">
      <c r="A161" s="407"/>
      <c r="B161" s="407"/>
      <c r="C161" s="408"/>
      <c r="D161" s="407"/>
      <c r="E161" s="408" t="s">
        <v>701</v>
      </c>
      <c r="F161" s="409"/>
      <c r="G161" s="410"/>
      <c r="H161" s="409"/>
      <c r="I161" s="409"/>
    </row>
    <row r="162" spans="1:10">
      <c r="A162" s="407"/>
      <c r="B162" s="407"/>
      <c r="C162" s="408"/>
      <c r="D162" s="407"/>
      <c r="E162" s="408"/>
      <c r="F162" s="409"/>
      <c r="G162" s="410"/>
      <c r="H162" s="409"/>
      <c r="I162" s="409"/>
    </row>
    <row r="163" spans="1:10">
      <c r="A163" s="407"/>
      <c r="B163" s="407"/>
      <c r="C163" s="408"/>
      <c r="D163" s="407"/>
      <c r="E163" s="408"/>
      <c r="F163" s="409"/>
      <c r="G163" s="410"/>
      <c r="H163" s="409"/>
      <c r="I163" s="409"/>
    </row>
    <row r="164" spans="1:10">
      <c r="A164" s="407"/>
      <c r="B164" s="407"/>
      <c r="C164" s="408"/>
      <c r="D164" s="407"/>
      <c r="E164" s="408"/>
      <c r="F164" s="409"/>
      <c r="G164" s="410"/>
      <c r="H164" s="409"/>
      <c r="I164" s="409"/>
    </row>
    <row r="165" spans="1:10">
      <c r="A165" s="407"/>
      <c r="B165" s="407"/>
      <c r="C165" s="408"/>
      <c r="D165" s="407"/>
      <c r="E165" s="408"/>
      <c r="F165" s="409"/>
      <c r="G165" s="410"/>
      <c r="H165" s="409"/>
      <c r="I165" s="409"/>
    </row>
    <row r="166" spans="1:10">
      <c r="A166" s="204"/>
      <c r="F166" s="485"/>
      <c r="H166" s="403"/>
      <c r="I166" s="403"/>
    </row>
    <row r="167" spans="1:10">
      <c r="E167" s="439" t="s">
        <v>702</v>
      </c>
      <c r="I167" s="443">
        <f>SUM(I148:I166)</f>
        <v>0</v>
      </c>
    </row>
    <row r="169" spans="1:10" ht="15.05" customHeight="1">
      <c r="A169" s="1002" t="s">
        <v>90</v>
      </c>
      <c r="B169" s="1002"/>
      <c r="C169" s="1002"/>
      <c r="D169" s="1002"/>
      <c r="E169" s="1002"/>
    </row>
    <row r="171" spans="1:10">
      <c r="A171" s="17">
        <v>1</v>
      </c>
      <c r="B171" s="17" t="s">
        <v>517</v>
      </c>
      <c r="E171" s="17" t="s">
        <v>703</v>
      </c>
      <c r="F171" s="403">
        <v>800</v>
      </c>
      <c r="H171" s="403">
        <f t="shared" si="18"/>
        <v>800</v>
      </c>
      <c r="I171" s="403">
        <f t="shared" ref="I171:I187" si="19">A171*H171</f>
        <v>800</v>
      </c>
      <c r="J171" s="17" t="s">
        <v>704</v>
      </c>
    </row>
    <row r="172" spans="1:10">
      <c r="A172" s="17">
        <v>1</v>
      </c>
      <c r="B172" s="17" t="s">
        <v>517</v>
      </c>
      <c r="E172" s="17" t="s">
        <v>705</v>
      </c>
      <c r="F172" s="403">
        <v>500</v>
      </c>
      <c r="H172" s="403">
        <f t="shared" si="18"/>
        <v>500</v>
      </c>
      <c r="I172" s="403">
        <f t="shared" si="19"/>
        <v>500</v>
      </c>
      <c r="J172" s="17" t="s">
        <v>704</v>
      </c>
    </row>
    <row r="173" spans="1:10">
      <c r="A173" s="17">
        <v>1</v>
      </c>
      <c r="B173" s="17" t="s">
        <v>517</v>
      </c>
      <c r="E173" s="17" t="s">
        <v>706</v>
      </c>
      <c r="F173" s="403">
        <v>40</v>
      </c>
      <c r="H173" s="403">
        <f t="shared" si="18"/>
        <v>40</v>
      </c>
      <c r="I173" s="403">
        <f t="shared" si="19"/>
        <v>40</v>
      </c>
    </row>
    <row r="174" spans="1:10">
      <c r="A174" s="17">
        <v>0</v>
      </c>
      <c r="B174" s="17" t="s">
        <v>517</v>
      </c>
      <c r="E174" s="17" t="s">
        <v>707</v>
      </c>
      <c r="F174" s="403">
        <v>1500</v>
      </c>
      <c r="H174" s="403">
        <f t="shared" si="18"/>
        <v>1500</v>
      </c>
      <c r="I174" s="403">
        <f t="shared" si="19"/>
        <v>0</v>
      </c>
    </row>
    <row r="175" spans="1:10" ht="55.65">
      <c r="B175" s="17" t="s">
        <v>517</v>
      </c>
      <c r="C175" s="204" t="s">
        <v>708</v>
      </c>
      <c r="E175" s="204" t="s">
        <v>709</v>
      </c>
      <c r="F175" s="403">
        <v>460</v>
      </c>
      <c r="H175" s="403">
        <f t="shared" si="18"/>
        <v>460</v>
      </c>
      <c r="I175" s="403">
        <f t="shared" si="19"/>
        <v>0</v>
      </c>
      <c r="J175" s="17" t="s">
        <v>710</v>
      </c>
    </row>
    <row r="176" spans="1:10" ht="55.65">
      <c r="A176" s="17">
        <v>0</v>
      </c>
      <c r="B176" s="17" t="s">
        <v>517</v>
      </c>
      <c r="C176" s="204" t="s">
        <v>711</v>
      </c>
      <c r="E176" s="204" t="s">
        <v>712</v>
      </c>
      <c r="F176" s="403">
        <v>320</v>
      </c>
      <c r="H176" s="403">
        <f t="shared" si="18"/>
        <v>320</v>
      </c>
      <c r="I176" s="403">
        <f t="shared" si="19"/>
        <v>0</v>
      </c>
    </row>
    <row r="177" spans="1:9" ht="55.65">
      <c r="A177" s="17">
        <v>0</v>
      </c>
      <c r="B177" s="17" t="s">
        <v>517</v>
      </c>
      <c r="C177" s="17" t="s">
        <v>713</v>
      </c>
      <c r="D177" s="17" t="s">
        <v>714</v>
      </c>
      <c r="E177" s="204" t="s">
        <v>715</v>
      </c>
      <c r="F177" s="403">
        <v>2725</v>
      </c>
      <c r="H177" s="403">
        <f t="shared" si="18"/>
        <v>2725</v>
      </c>
      <c r="I177" s="403">
        <f t="shared" si="19"/>
        <v>0</v>
      </c>
    </row>
    <row r="178" spans="1:9" ht="33.4">
      <c r="A178" s="17">
        <v>1</v>
      </c>
      <c r="B178" s="17" t="s">
        <v>517</v>
      </c>
      <c r="C178" s="204" t="s">
        <v>716</v>
      </c>
      <c r="E178" s="17" t="s">
        <v>717</v>
      </c>
      <c r="F178" s="403">
        <f>1840*1.04</f>
        <v>1913.6000000000001</v>
      </c>
      <c r="H178" s="403">
        <f t="shared" si="18"/>
        <v>1913.6000000000001</v>
      </c>
      <c r="I178" s="403">
        <f t="shared" si="19"/>
        <v>1913.6000000000001</v>
      </c>
    </row>
    <row r="179" spans="1:9">
      <c r="H179" s="403"/>
      <c r="I179" s="403"/>
    </row>
    <row r="180" spans="1:9">
      <c r="E180" s="446" t="s">
        <v>719</v>
      </c>
      <c r="H180" s="403"/>
      <c r="I180" s="403"/>
    </row>
    <row r="181" spans="1:9" ht="22.25">
      <c r="A181" s="17">
        <f>2*16</f>
        <v>32</v>
      </c>
      <c r="B181" s="17" t="s">
        <v>619</v>
      </c>
      <c r="C181" s="204" t="s">
        <v>531</v>
      </c>
      <c r="E181" s="17" t="s">
        <v>720</v>
      </c>
      <c r="F181" s="403">
        <v>50</v>
      </c>
      <c r="H181" s="403">
        <f t="shared" si="18"/>
        <v>50</v>
      </c>
      <c r="I181" s="403">
        <f t="shared" si="19"/>
        <v>1600</v>
      </c>
    </row>
    <row r="182" spans="1:9">
      <c r="A182" s="17">
        <f>ROUND((51-2)/2*6,0)</f>
        <v>147</v>
      </c>
      <c r="B182" s="17" t="s">
        <v>517</v>
      </c>
      <c r="C182" s="204" t="s">
        <v>721</v>
      </c>
      <c r="E182" s="17" t="s">
        <v>722</v>
      </c>
      <c r="F182" s="403">
        <f>69/100</f>
        <v>0.69</v>
      </c>
      <c r="H182" s="403">
        <f t="shared" si="18"/>
        <v>0.69</v>
      </c>
      <c r="I182" s="403">
        <f t="shared" si="19"/>
        <v>101.42999999999999</v>
      </c>
    </row>
    <row r="183" spans="1:9">
      <c r="A183" s="17">
        <f t="shared" ref="A183:A184" si="20">A182</f>
        <v>147</v>
      </c>
      <c r="B183" s="17" t="s">
        <v>517</v>
      </c>
      <c r="C183" s="204" t="s">
        <v>721</v>
      </c>
      <c r="E183" s="17" t="s">
        <v>723</v>
      </c>
      <c r="F183" s="403">
        <v>0.1</v>
      </c>
      <c r="H183" s="403">
        <f t="shared" si="18"/>
        <v>0.1</v>
      </c>
      <c r="I183" s="403">
        <f t="shared" si="19"/>
        <v>14.700000000000001</v>
      </c>
    </row>
    <row r="184" spans="1:9">
      <c r="A184" s="17">
        <f t="shared" si="20"/>
        <v>147</v>
      </c>
      <c r="B184" s="17" t="s">
        <v>517</v>
      </c>
      <c r="C184" s="204" t="s">
        <v>721</v>
      </c>
      <c r="E184" s="17" t="s">
        <v>724</v>
      </c>
      <c r="F184" s="403">
        <f>13.25/1.2/100</f>
        <v>0.11041666666666668</v>
      </c>
      <c r="H184" s="403">
        <f t="shared" si="18"/>
        <v>0.11041666666666668</v>
      </c>
      <c r="I184" s="403">
        <f t="shared" si="19"/>
        <v>16.231250000000003</v>
      </c>
    </row>
    <row r="185" spans="1:9" ht="22.25">
      <c r="A185" s="17">
        <f>ROUNDUP(2*(16.4+8.5/12.9*11.3)/4,0)</f>
        <v>12</v>
      </c>
      <c r="B185" s="17" t="s">
        <v>539</v>
      </c>
      <c r="C185" s="204" t="s">
        <v>725</v>
      </c>
      <c r="E185" s="17" t="s">
        <v>726</v>
      </c>
      <c r="F185" s="403">
        <f>15.73/1.2</f>
        <v>13.108333333333334</v>
      </c>
      <c r="H185" s="403">
        <f t="shared" si="18"/>
        <v>13.108333333333334</v>
      </c>
      <c r="I185" s="403">
        <f t="shared" si="19"/>
        <v>157.30000000000001</v>
      </c>
    </row>
    <row r="186" spans="1:9" ht="22.25">
      <c r="A186" s="17">
        <f>A185</f>
        <v>12</v>
      </c>
      <c r="B186" s="17" t="s">
        <v>539</v>
      </c>
      <c r="C186" s="204" t="s">
        <v>531</v>
      </c>
      <c r="E186" s="17" t="s">
        <v>727</v>
      </c>
      <c r="F186" s="403">
        <v>25</v>
      </c>
      <c r="H186" s="403">
        <f t="shared" si="18"/>
        <v>25</v>
      </c>
      <c r="I186" s="403">
        <f t="shared" si="19"/>
        <v>300</v>
      </c>
    </row>
    <row r="187" spans="1:9" ht="22.25">
      <c r="A187" s="17">
        <f>A186*4</f>
        <v>48</v>
      </c>
      <c r="B187" s="17" t="s">
        <v>517</v>
      </c>
      <c r="C187" s="204" t="s">
        <v>531</v>
      </c>
      <c r="E187" s="17" t="s">
        <v>728</v>
      </c>
      <c r="F187" s="403">
        <v>0.1</v>
      </c>
      <c r="H187" s="403">
        <f t="shared" si="18"/>
        <v>0.1</v>
      </c>
      <c r="I187" s="403">
        <f t="shared" si="19"/>
        <v>4.8000000000000007</v>
      </c>
    </row>
    <row r="188" spans="1:9">
      <c r="H188" s="403"/>
      <c r="I188" s="403"/>
    </row>
    <row r="189" spans="1:9" ht="15.75">
      <c r="E189" s="439" t="s">
        <v>729</v>
      </c>
      <c r="I189" s="168">
        <f>SUM(I169:I188)</f>
        <v>5448.0612500000007</v>
      </c>
    </row>
    <row r="191" spans="1:9" ht="13.75" customHeight="1">
      <c r="A191" s="997" t="s">
        <v>68</v>
      </c>
      <c r="B191" s="997"/>
      <c r="C191" s="997"/>
      <c r="D191" s="997"/>
      <c r="E191" s="997"/>
    </row>
    <row r="192" spans="1:9">
      <c r="A192" s="17">
        <v>1</v>
      </c>
      <c r="B192" s="17" t="s">
        <v>517</v>
      </c>
      <c r="E192" s="17" t="s">
        <v>730</v>
      </c>
      <c r="F192" s="403">
        <v>500</v>
      </c>
      <c r="H192" s="403">
        <f t="shared" si="18"/>
        <v>500</v>
      </c>
      <c r="I192" s="403">
        <f t="shared" ref="I192:I194" si="21">A192*H192</f>
        <v>500</v>
      </c>
    </row>
    <row r="193" spans="1:9" ht="55.65">
      <c r="A193" s="17">
        <v>0</v>
      </c>
      <c r="B193" s="17" t="s">
        <v>517</v>
      </c>
      <c r="C193" s="204" t="s">
        <v>708</v>
      </c>
      <c r="E193" s="204" t="s">
        <v>731</v>
      </c>
      <c r="F193" s="403">
        <f>460/2</f>
        <v>230</v>
      </c>
      <c r="H193" s="403">
        <f t="shared" si="18"/>
        <v>230</v>
      </c>
      <c r="I193" s="403">
        <f t="shared" si="21"/>
        <v>0</v>
      </c>
    </row>
    <row r="194" spans="1:9" ht="55.65">
      <c r="A194" s="17">
        <v>0</v>
      </c>
      <c r="B194" s="17" t="s">
        <v>517</v>
      </c>
      <c r="C194" s="204" t="s">
        <v>711</v>
      </c>
      <c r="E194" s="204" t="s">
        <v>732</v>
      </c>
      <c r="F194" s="403">
        <f>320/2</f>
        <v>160</v>
      </c>
      <c r="H194" s="403">
        <f t="shared" si="18"/>
        <v>160</v>
      </c>
      <c r="I194" s="403">
        <f t="shared" si="21"/>
        <v>0</v>
      </c>
    </row>
    <row r="196" spans="1:9" ht="15.75">
      <c r="E196" s="439" t="s">
        <v>733</v>
      </c>
      <c r="I196" s="168">
        <f>SUM(I191:I195)</f>
        <v>500</v>
      </c>
    </row>
    <row r="197" spans="1:9">
      <c r="E197" s="439"/>
    </row>
  </sheetData>
  <mergeCells count="17">
    <mergeCell ref="B1:F1"/>
    <mergeCell ref="A2:G2"/>
    <mergeCell ref="J26:L26"/>
    <mergeCell ref="J27:L27"/>
    <mergeCell ref="J28:L28"/>
    <mergeCell ref="J29:L29"/>
    <mergeCell ref="J30:L30"/>
    <mergeCell ref="K99:K100"/>
    <mergeCell ref="K101:K102"/>
    <mergeCell ref="K103:K113"/>
    <mergeCell ref="A169:E169"/>
    <mergeCell ref="A191:E191"/>
    <mergeCell ref="K120:K121"/>
    <mergeCell ref="K122:K123"/>
    <mergeCell ref="K124:K125"/>
    <mergeCell ref="K126:K136"/>
    <mergeCell ref="A145:E14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v>405</v>
      </c>
      <c r="J1" s="17" t="s">
        <v>494</v>
      </c>
      <c r="K1" s="17" t="s">
        <v>495</v>
      </c>
      <c r="L1" s="58">
        <f>A4*I1</f>
        <v>119070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f>132+6*27</f>
        <v>294</v>
      </c>
      <c r="B4" s="413" t="s">
        <v>505</v>
      </c>
      <c r="C4" s="415" t="s">
        <v>734</v>
      </c>
      <c r="D4" s="414"/>
      <c r="E4" s="415" t="s">
        <v>735</v>
      </c>
      <c r="F4" s="416">
        <f t="shared" ref="F4:F5" si="0">0.362*405</f>
        <v>146.60999999999999</v>
      </c>
      <c r="G4" s="419"/>
      <c r="H4" s="416">
        <f t="shared" ref="H4:H9" si="1">F4*(1-G4)</f>
        <v>146.60999999999999</v>
      </c>
      <c r="I4" s="409">
        <f t="shared" ref="I4:I9" si="2">A4*H4</f>
        <v>43103.34</v>
      </c>
      <c r="J4" s="417">
        <f>F4/$I$1</f>
        <v>0.36199999999999999</v>
      </c>
      <c r="K4" s="403" t="s">
        <v>780</v>
      </c>
      <c r="M4" s="418">
        <f t="shared" ref="M4:M6" si="3">I4</f>
        <v>43103.34</v>
      </c>
      <c r="N4" s="418"/>
      <c r="O4" s="418"/>
      <c r="P4" s="418"/>
      <c r="Q4" s="418"/>
      <c r="R4" s="418"/>
      <c r="S4" s="418"/>
    </row>
    <row r="5" spans="1:19" ht="22.25">
      <c r="A5" s="413">
        <v>2</v>
      </c>
      <c r="B5" s="413" t="s">
        <v>505</v>
      </c>
      <c r="C5" s="415" t="s">
        <v>734</v>
      </c>
      <c r="D5" s="414"/>
      <c r="E5" s="415" t="s">
        <v>735</v>
      </c>
      <c r="F5" s="416">
        <f t="shared" si="0"/>
        <v>146.60999999999999</v>
      </c>
      <c r="G5" s="419"/>
      <c r="H5" s="416">
        <f t="shared" si="1"/>
        <v>146.60999999999999</v>
      </c>
      <c r="I5" s="409">
        <f t="shared" si="2"/>
        <v>293.21999999999997</v>
      </c>
      <c r="J5" s="417"/>
      <c r="K5" s="403"/>
      <c r="L5" s="404"/>
      <c r="M5" s="418">
        <f t="shared" si="3"/>
        <v>293.21999999999997</v>
      </c>
      <c r="N5" s="418"/>
      <c r="O5" s="418"/>
      <c r="P5" s="418"/>
      <c r="Q5" s="418"/>
      <c r="R5" s="418"/>
      <c r="S5" s="418"/>
    </row>
    <row r="6" spans="1:19">
      <c r="A6" s="413">
        <f>A4+A5</f>
        <v>296</v>
      </c>
      <c r="B6" s="413" t="s">
        <v>505</v>
      </c>
      <c r="C6" s="413" t="s">
        <v>781</v>
      </c>
      <c r="D6" s="413"/>
      <c r="E6" s="420" t="s">
        <v>782</v>
      </c>
      <c r="F6" s="421">
        <f>12556*1.036/A6</f>
        <v>43.945999999999998</v>
      </c>
      <c r="G6" s="422"/>
      <c r="H6" s="416">
        <f t="shared" si="1"/>
        <v>43.945999999999998</v>
      </c>
      <c r="I6" s="409">
        <f t="shared" si="2"/>
        <v>13008.016</v>
      </c>
      <c r="J6" s="417">
        <f>F6/$I$1</f>
        <v>0.10850864197530864</v>
      </c>
      <c r="K6" s="417"/>
      <c r="L6" s="204"/>
      <c r="M6" s="418">
        <f t="shared" si="3"/>
        <v>13008.016</v>
      </c>
      <c r="N6" s="418"/>
      <c r="O6" s="418"/>
      <c r="P6" s="418"/>
      <c r="Q6" s="418"/>
      <c r="R6" s="418"/>
      <c r="S6" s="418"/>
    </row>
    <row r="7" spans="1:19" ht="44.55">
      <c r="A7" s="423">
        <v>2</v>
      </c>
      <c r="B7" s="423" t="s">
        <v>522</v>
      </c>
      <c r="C7" s="420" t="s">
        <v>742</v>
      </c>
      <c r="D7" s="413"/>
      <c r="E7" s="415" t="s">
        <v>745</v>
      </c>
      <c r="F7" s="416">
        <v>3572.58</v>
      </c>
      <c r="G7" s="422"/>
      <c r="H7" s="421">
        <f t="shared" si="1"/>
        <v>3572.58</v>
      </c>
      <c r="I7" s="409">
        <f t="shared" si="2"/>
        <v>7145.16</v>
      </c>
      <c r="J7" s="204"/>
      <c r="M7" s="418"/>
      <c r="N7" s="418">
        <f t="shared" ref="N7:N9" si="4">I7</f>
        <v>7145.16</v>
      </c>
      <c r="O7" s="418"/>
      <c r="P7" s="418"/>
      <c r="Q7" s="418"/>
      <c r="R7" s="418"/>
      <c r="S7" s="418"/>
    </row>
    <row r="8" spans="1:19">
      <c r="A8" s="488">
        <v>1</v>
      </c>
      <c r="B8" s="414" t="s">
        <v>522</v>
      </c>
      <c r="C8" s="414" t="s">
        <v>783</v>
      </c>
      <c r="D8" s="414"/>
      <c r="E8" s="415" t="s">
        <v>784</v>
      </c>
      <c r="F8" s="416">
        <v>2000</v>
      </c>
      <c r="G8" s="410"/>
      <c r="H8" s="409">
        <f t="shared" si="1"/>
        <v>2000</v>
      </c>
      <c r="I8" s="409">
        <f t="shared" si="2"/>
        <v>2000</v>
      </c>
      <c r="J8" s="204"/>
      <c r="K8" s="17" t="s">
        <v>785</v>
      </c>
      <c r="M8" s="418"/>
      <c r="N8" s="418">
        <f t="shared" si="4"/>
        <v>2000</v>
      </c>
      <c r="O8" s="418"/>
      <c r="P8" s="418"/>
      <c r="Q8" s="418"/>
      <c r="R8" s="418"/>
      <c r="S8" s="418"/>
    </row>
    <row r="9" spans="1:19" ht="22.25">
      <c r="A9" s="407">
        <v>1</v>
      </c>
      <c r="B9" s="414" t="s">
        <v>505</v>
      </c>
      <c r="C9" s="415" t="s">
        <v>786</v>
      </c>
      <c r="D9" s="414"/>
      <c r="E9" s="415" t="s">
        <v>787</v>
      </c>
      <c r="F9" s="416">
        <v>1878.1</v>
      </c>
      <c r="G9" s="410"/>
      <c r="H9" s="409">
        <f t="shared" si="1"/>
        <v>1878.1</v>
      </c>
      <c r="I9" s="409">
        <f t="shared" si="2"/>
        <v>1878.1</v>
      </c>
      <c r="J9" s="204"/>
      <c r="K9" s="17" t="s">
        <v>788</v>
      </c>
      <c r="M9" s="418"/>
      <c r="N9" s="418">
        <f t="shared" si="4"/>
        <v>1878.1</v>
      </c>
      <c r="O9" s="418"/>
      <c r="P9" s="418"/>
      <c r="Q9" s="418"/>
      <c r="R9" s="418"/>
      <c r="S9" s="418"/>
    </row>
    <row r="10" spans="1:19" ht="22.25">
      <c r="A10" s="414">
        <v>2</v>
      </c>
      <c r="B10" s="414" t="s">
        <v>505</v>
      </c>
      <c r="C10" s="415" t="s">
        <v>534</v>
      </c>
      <c r="D10" s="414"/>
      <c r="E10" s="415" t="s">
        <v>789</v>
      </c>
      <c r="F10" s="416">
        <v>275.56</v>
      </c>
      <c r="G10" s="410"/>
      <c r="H10" s="409">
        <f t="shared" ref="H10:H69" si="5">F10*(1-G10)</f>
        <v>275.56</v>
      </c>
      <c r="I10" s="409">
        <f t="shared" ref="I10:I34" si="6">A10*H10</f>
        <v>551.12</v>
      </c>
      <c r="J10" s="204"/>
      <c r="K10" s="17" t="s">
        <v>790</v>
      </c>
      <c r="M10" s="418"/>
      <c r="N10" s="418">
        <f>I10</f>
        <v>551.12</v>
      </c>
      <c r="O10" s="418"/>
      <c r="P10" s="418"/>
      <c r="Q10" s="418"/>
      <c r="R10" s="418"/>
      <c r="S10" s="418"/>
    </row>
    <row r="11" spans="1:19">
      <c r="A11" s="488"/>
      <c r="B11" s="488"/>
      <c r="C11" s="408"/>
      <c r="D11" s="487"/>
      <c r="E11" s="408"/>
      <c r="F11" s="409"/>
      <c r="G11" s="410"/>
      <c r="H11" s="409">
        <f t="shared" si="5"/>
        <v>0</v>
      </c>
      <c r="I11" s="409">
        <f t="shared" si="6"/>
        <v>0</v>
      </c>
      <c r="J11" s="204"/>
      <c r="L11" s="442"/>
      <c r="M11" s="418"/>
      <c r="N11" s="418"/>
      <c r="O11" s="418"/>
      <c r="P11" s="418"/>
      <c r="Q11" s="418"/>
      <c r="R11" s="418">
        <f t="shared" ref="R11:R26" si="7">I11</f>
        <v>0</v>
      </c>
      <c r="S11" s="418"/>
    </row>
    <row r="12" spans="1:19">
      <c r="A12" s="488"/>
      <c r="B12" s="488"/>
      <c r="C12" s="488"/>
      <c r="D12" s="488"/>
      <c r="E12" s="489"/>
      <c r="F12" s="490"/>
      <c r="G12" s="410"/>
      <c r="H12" s="409">
        <f t="shared" si="5"/>
        <v>0</v>
      </c>
      <c r="I12" s="409">
        <f t="shared" si="6"/>
        <v>0</v>
      </c>
      <c r="J12" s="204"/>
      <c r="L12" s="442"/>
      <c r="M12" s="418"/>
      <c r="N12" s="418"/>
      <c r="O12" s="418"/>
      <c r="P12" s="418"/>
      <c r="Q12" s="418"/>
      <c r="R12" s="418">
        <f t="shared" si="7"/>
        <v>0</v>
      </c>
      <c r="S12" s="418"/>
    </row>
    <row r="13" spans="1:19" ht="22.25">
      <c r="A13" s="414">
        <v>1</v>
      </c>
      <c r="B13" s="414" t="s">
        <v>505</v>
      </c>
      <c r="C13" s="415" t="s">
        <v>783</v>
      </c>
      <c r="D13" s="414"/>
      <c r="E13" s="415" t="s">
        <v>791</v>
      </c>
      <c r="F13" s="416">
        <v>1500</v>
      </c>
      <c r="G13" s="419"/>
      <c r="H13" s="416">
        <f t="shared" si="5"/>
        <v>1500</v>
      </c>
      <c r="I13" s="409">
        <f t="shared" si="6"/>
        <v>1500</v>
      </c>
      <c r="J13" s="204"/>
      <c r="M13" s="418"/>
      <c r="N13" s="418"/>
      <c r="O13" s="418"/>
      <c r="P13" s="418"/>
      <c r="Q13" s="418"/>
      <c r="R13" s="418">
        <f t="shared" si="7"/>
        <v>1500</v>
      </c>
      <c r="S13" s="418"/>
    </row>
    <row r="14" spans="1:19">
      <c r="A14" s="407"/>
      <c r="B14" s="407"/>
      <c r="C14" s="407"/>
      <c r="D14" s="407"/>
      <c r="E14" s="408"/>
      <c r="F14" s="409"/>
      <c r="G14" s="410"/>
      <c r="H14" s="409">
        <f t="shared" si="5"/>
        <v>0</v>
      </c>
      <c r="I14" s="409">
        <f t="shared" si="6"/>
        <v>0</v>
      </c>
      <c r="J14" s="204"/>
      <c r="M14" s="418"/>
      <c r="N14" s="418"/>
      <c r="O14" s="418"/>
      <c r="P14" s="418"/>
      <c r="Q14" s="418"/>
      <c r="R14" s="418">
        <f t="shared" si="7"/>
        <v>0</v>
      </c>
      <c r="S14" s="418"/>
    </row>
    <row r="15" spans="1:19">
      <c r="A15" s="413">
        <v>1</v>
      </c>
      <c r="B15" s="413" t="s">
        <v>505</v>
      </c>
      <c r="C15" s="413" t="s">
        <v>792</v>
      </c>
      <c r="D15" s="413" t="s">
        <v>793</v>
      </c>
      <c r="E15" s="420" t="s">
        <v>794</v>
      </c>
      <c r="F15" s="421">
        <v>2000</v>
      </c>
      <c r="G15" s="419"/>
      <c r="H15" s="416">
        <f t="shared" si="5"/>
        <v>2000</v>
      </c>
      <c r="I15" s="409">
        <f t="shared" si="6"/>
        <v>2000</v>
      </c>
      <c r="J15" s="204"/>
      <c r="M15" s="418"/>
      <c r="N15" s="418"/>
      <c r="O15" s="418"/>
      <c r="P15" s="418"/>
      <c r="Q15" s="418"/>
      <c r="R15" s="418">
        <f t="shared" si="7"/>
        <v>2000</v>
      </c>
      <c r="S15" s="418"/>
    </row>
    <row r="16" spans="1:19" ht="33.4">
      <c r="A16" s="407">
        <v>0</v>
      </c>
      <c r="B16" s="407" t="s">
        <v>505</v>
      </c>
      <c r="C16" s="408" t="s">
        <v>534</v>
      </c>
      <c r="D16" s="407"/>
      <c r="E16" s="408" t="s">
        <v>535</v>
      </c>
      <c r="F16" s="409">
        <v>3.71</v>
      </c>
      <c r="G16" s="410"/>
      <c r="H16" s="409">
        <f t="shared" si="5"/>
        <v>3.71</v>
      </c>
      <c r="I16" s="409">
        <f t="shared" si="6"/>
        <v>0</v>
      </c>
      <c r="J16" s="204" t="s">
        <v>795</v>
      </c>
      <c r="M16" s="418"/>
      <c r="N16" s="418"/>
      <c r="O16" s="418"/>
      <c r="P16" s="418"/>
      <c r="Q16" s="418"/>
      <c r="R16" s="418">
        <f t="shared" si="7"/>
        <v>0</v>
      </c>
      <c r="S16" s="418"/>
    </row>
    <row r="17" spans="1:19" ht="22.25">
      <c r="A17" s="407">
        <f>A16</f>
        <v>0</v>
      </c>
      <c r="B17" s="407" t="s">
        <v>505</v>
      </c>
      <c r="C17" s="408" t="s">
        <v>534</v>
      </c>
      <c r="D17" s="407"/>
      <c r="E17" s="408" t="s">
        <v>537</v>
      </c>
      <c r="F17" s="409">
        <v>3.81</v>
      </c>
      <c r="G17" s="410"/>
      <c r="H17" s="409">
        <f t="shared" si="5"/>
        <v>3.81</v>
      </c>
      <c r="I17" s="409">
        <f t="shared" si="6"/>
        <v>0</v>
      </c>
      <c r="J17" s="204" t="s">
        <v>538</v>
      </c>
      <c r="M17" s="418"/>
      <c r="N17" s="418"/>
      <c r="O17" s="418"/>
      <c r="P17" s="418"/>
      <c r="Q17" s="418"/>
      <c r="R17" s="418">
        <f t="shared" si="7"/>
        <v>0</v>
      </c>
      <c r="S17" s="418"/>
    </row>
    <row r="18" spans="1:19" ht="44.55">
      <c r="A18" s="413">
        <v>500</v>
      </c>
      <c r="B18" s="413" t="s">
        <v>539</v>
      </c>
      <c r="C18" s="415" t="s">
        <v>747</v>
      </c>
      <c r="D18" s="413"/>
      <c r="E18" s="420" t="s">
        <v>755</v>
      </c>
      <c r="F18" s="421">
        <f t="shared" ref="F18:F19" si="8">362.73/500</f>
        <v>0.72545999999999999</v>
      </c>
      <c r="G18" s="419"/>
      <c r="H18" s="416">
        <f t="shared" si="5"/>
        <v>0.72545999999999999</v>
      </c>
      <c r="I18" s="409">
        <f t="shared" si="6"/>
        <v>362.73</v>
      </c>
      <c r="J18" s="17" t="s">
        <v>796</v>
      </c>
      <c r="M18" s="418"/>
      <c r="N18" s="418"/>
      <c r="O18" s="418">
        <f t="shared" ref="O18:O29" si="9">I18</f>
        <v>362.73</v>
      </c>
      <c r="P18" s="418"/>
      <c r="Q18" s="418"/>
      <c r="R18" s="418"/>
      <c r="S18" s="418"/>
    </row>
    <row r="19" spans="1:19" ht="44.55">
      <c r="A19" s="413">
        <v>1000</v>
      </c>
      <c r="B19" s="413" t="s">
        <v>539</v>
      </c>
      <c r="C19" s="415" t="s">
        <v>747</v>
      </c>
      <c r="D19" s="413"/>
      <c r="E19" s="420" t="s">
        <v>757</v>
      </c>
      <c r="F19" s="421">
        <f t="shared" si="8"/>
        <v>0.72545999999999999</v>
      </c>
      <c r="G19" s="419"/>
      <c r="H19" s="416">
        <f t="shared" si="5"/>
        <v>0.72545999999999999</v>
      </c>
      <c r="I19" s="409">
        <f t="shared" si="6"/>
        <v>725.46</v>
      </c>
      <c r="J19" s="17" t="s">
        <v>796</v>
      </c>
      <c r="M19" s="418"/>
      <c r="N19" s="418"/>
      <c r="O19" s="418">
        <f t="shared" si="9"/>
        <v>725.46</v>
      </c>
      <c r="P19" s="418"/>
      <c r="Q19" s="418"/>
      <c r="R19" s="418"/>
      <c r="S19" s="418"/>
    </row>
    <row r="20" spans="1:19" ht="44.55">
      <c r="A20" s="413">
        <v>10</v>
      </c>
      <c r="B20" s="413" t="s">
        <v>551</v>
      </c>
      <c r="C20" s="420" t="s">
        <v>552</v>
      </c>
      <c r="D20" s="413" t="s">
        <v>553</v>
      </c>
      <c r="E20" s="420" t="s">
        <v>554</v>
      </c>
      <c r="F20" s="421">
        <v>100</v>
      </c>
      <c r="G20" s="426"/>
      <c r="H20" s="425">
        <f t="shared" si="5"/>
        <v>100</v>
      </c>
      <c r="I20" s="409">
        <f t="shared" si="6"/>
        <v>1000</v>
      </c>
      <c r="J20" s="204" t="s">
        <v>796</v>
      </c>
      <c r="K20" s="17" t="s">
        <v>555</v>
      </c>
      <c r="M20" s="418"/>
      <c r="N20" s="418"/>
      <c r="O20" s="418">
        <f t="shared" si="9"/>
        <v>1000</v>
      </c>
      <c r="P20" s="418"/>
      <c r="Q20" s="418"/>
      <c r="R20" s="418"/>
      <c r="S20" s="418"/>
    </row>
    <row r="21" spans="1:19" ht="33.4">
      <c r="A21" s="413">
        <f>2*13+2</f>
        <v>28</v>
      </c>
      <c r="B21" s="413" t="s">
        <v>517</v>
      </c>
      <c r="C21" s="420" t="s">
        <v>540</v>
      </c>
      <c r="D21" s="413" t="s">
        <v>797</v>
      </c>
      <c r="E21" s="420" t="s">
        <v>798</v>
      </c>
      <c r="F21" s="421">
        <v>0.88</v>
      </c>
      <c r="G21" s="419"/>
      <c r="H21" s="416">
        <f t="shared" si="5"/>
        <v>0.88</v>
      </c>
      <c r="I21" s="409">
        <f t="shared" si="6"/>
        <v>24.64</v>
      </c>
      <c r="J21" s="204" t="s">
        <v>799</v>
      </c>
      <c r="M21" s="418"/>
      <c r="N21" s="418"/>
      <c r="O21" s="418">
        <f t="shared" si="9"/>
        <v>24.64</v>
      </c>
      <c r="P21" s="418"/>
      <c r="Q21" s="418"/>
      <c r="R21" s="418"/>
      <c r="S21" s="418"/>
    </row>
    <row r="22" spans="1:19" ht="33.4">
      <c r="A22" s="413">
        <f>A21</f>
        <v>28</v>
      </c>
      <c r="B22" s="413" t="s">
        <v>517</v>
      </c>
      <c r="C22" s="420" t="s">
        <v>540</v>
      </c>
      <c r="D22" s="413" t="s">
        <v>800</v>
      </c>
      <c r="E22" s="420" t="s">
        <v>801</v>
      </c>
      <c r="F22" s="421">
        <v>0.67</v>
      </c>
      <c r="G22" s="419"/>
      <c r="H22" s="416">
        <f t="shared" si="5"/>
        <v>0.67</v>
      </c>
      <c r="I22" s="409">
        <f t="shared" si="6"/>
        <v>18.760000000000002</v>
      </c>
      <c r="J22" s="204" t="str">
        <f>J21</f>
        <v>13 chaînes DC et 1 bretelle</v>
      </c>
      <c r="M22" s="418"/>
      <c r="N22" s="418"/>
      <c r="O22" s="418">
        <f t="shared" si="9"/>
        <v>18.760000000000002</v>
      </c>
      <c r="P22" s="418"/>
      <c r="Q22" s="418"/>
      <c r="R22" s="418"/>
      <c r="S22" s="418"/>
    </row>
    <row r="23" spans="1:19" ht="22.25">
      <c r="A23" s="407">
        <v>0</v>
      </c>
      <c r="B23" s="407" t="s">
        <v>517</v>
      </c>
      <c r="C23" s="408" t="s">
        <v>540</v>
      </c>
      <c r="D23" s="407" t="s">
        <v>556</v>
      </c>
      <c r="E23" s="408" t="s">
        <v>557</v>
      </c>
      <c r="F23" s="409">
        <v>6.58</v>
      </c>
      <c r="G23" s="410"/>
      <c r="H23" s="409">
        <f t="shared" si="5"/>
        <v>6.58</v>
      </c>
      <c r="I23" s="409">
        <f t="shared" si="6"/>
        <v>0</v>
      </c>
      <c r="J23" s="204"/>
      <c r="M23" s="418"/>
      <c r="N23" s="418"/>
      <c r="O23" s="418">
        <f t="shared" si="9"/>
        <v>0</v>
      </c>
      <c r="P23" s="418"/>
      <c r="Q23" s="418"/>
      <c r="R23" s="418"/>
      <c r="S23" s="418"/>
    </row>
    <row r="24" spans="1:19" ht="22.25">
      <c r="A24" s="413">
        <v>24</v>
      </c>
      <c r="B24" s="413" t="s">
        <v>517</v>
      </c>
      <c r="C24" s="415" t="s">
        <v>506</v>
      </c>
      <c r="D24" s="414"/>
      <c r="E24" s="415" t="s">
        <v>802</v>
      </c>
      <c r="F24" s="416">
        <f>86.1/28</f>
        <v>3.0749999999999997</v>
      </c>
      <c r="G24" s="419"/>
      <c r="H24" s="416">
        <f t="shared" si="5"/>
        <v>3.0749999999999997</v>
      </c>
      <c r="I24" s="409">
        <f t="shared" si="6"/>
        <v>73.8</v>
      </c>
      <c r="J24" s="204"/>
      <c r="M24" s="418"/>
      <c r="N24" s="418"/>
      <c r="O24" s="418"/>
      <c r="P24" s="418"/>
      <c r="Q24" s="418"/>
      <c r="R24" s="418">
        <f t="shared" si="7"/>
        <v>73.8</v>
      </c>
      <c r="S24" s="418"/>
    </row>
    <row r="25" spans="1:19" ht="35.85" customHeight="1">
      <c r="A25" s="413">
        <v>1</v>
      </c>
      <c r="B25" s="413" t="s">
        <v>522</v>
      </c>
      <c r="C25" s="413" t="s">
        <v>751</v>
      </c>
      <c r="D25" s="413"/>
      <c r="E25" s="420" t="s">
        <v>803</v>
      </c>
      <c r="F25" s="421">
        <v>564.44000000000005</v>
      </c>
      <c r="G25" s="419"/>
      <c r="H25" s="416">
        <f t="shared" si="5"/>
        <v>564.44000000000005</v>
      </c>
      <c r="I25" s="409">
        <f t="shared" si="6"/>
        <v>564.44000000000005</v>
      </c>
      <c r="J25" s="1054"/>
      <c r="K25" s="1054"/>
      <c r="L25" s="1054"/>
      <c r="M25" s="418"/>
      <c r="N25" s="418"/>
      <c r="O25" s="418"/>
      <c r="P25" s="418"/>
      <c r="Q25" s="418"/>
      <c r="R25" s="418">
        <f t="shared" si="7"/>
        <v>564.44000000000005</v>
      </c>
      <c r="S25" s="418"/>
    </row>
    <row r="26" spans="1:19">
      <c r="A26" s="407"/>
      <c r="B26" s="407"/>
      <c r="C26" s="408"/>
      <c r="D26" s="407"/>
      <c r="E26" s="408"/>
      <c r="F26" s="409"/>
      <c r="G26" s="410"/>
      <c r="H26" s="409">
        <f t="shared" si="5"/>
        <v>0</v>
      </c>
      <c r="I26" s="409">
        <f t="shared" si="6"/>
        <v>0</v>
      </c>
      <c r="J26" s="204"/>
      <c r="M26" s="418"/>
      <c r="N26" s="418"/>
      <c r="O26" s="418"/>
      <c r="P26" s="418"/>
      <c r="Q26" s="418"/>
      <c r="R26" s="418">
        <f t="shared" si="7"/>
        <v>0</v>
      </c>
      <c r="S26" s="418"/>
    </row>
    <row r="27" spans="1:19" ht="22.25">
      <c r="A27" s="413">
        <v>1</v>
      </c>
      <c r="B27" s="413" t="s">
        <v>522</v>
      </c>
      <c r="C27" s="420" t="s">
        <v>531</v>
      </c>
      <c r="D27" s="413"/>
      <c r="E27" s="420" t="s">
        <v>695</v>
      </c>
      <c r="F27" s="421">
        <v>100</v>
      </c>
      <c r="G27" s="410"/>
      <c r="H27" s="409">
        <f t="shared" si="5"/>
        <v>100</v>
      </c>
      <c r="I27" s="409">
        <f t="shared" si="6"/>
        <v>100</v>
      </c>
      <c r="J27" s="204"/>
      <c r="M27" s="418"/>
      <c r="N27" s="418"/>
      <c r="O27" s="418">
        <f t="shared" si="9"/>
        <v>100</v>
      </c>
      <c r="P27" s="418"/>
      <c r="Q27" s="418"/>
      <c r="R27" s="418"/>
      <c r="S27" s="418"/>
    </row>
    <row r="28" spans="1:19" ht="22.25">
      <c r="A28" s="413">
        <v>1</v>
      </c>
      <c r="B28" s="413" t="s">
        <v>505</v>
      </c>
      <c r="C28" s="489" t="s">
        <v>540</v>
      </c>
      <c r="D28" s="488" t="s">
        <v>769</v>
      </c>
      <c r="E28" s="489" t="s">
        <v>567</v>
      </c>
      <c r="F28" s="490">
        <v>750</v>
      </c>
      <c r="G28" s="410"/>
      <c r="H28" s="409">
        <f t="shared" si="5"/>
        <v>750</v>
      </c>
      <c r="I28" s="409">
        <f t="shared" si="6"/>
        <v>750</v>
      </c>
      <c r="J28" s="204"/>
      <c r="M28" s="418">
        <f>F28</f>
        <v>750</v>
      </c>
      <c r="N28" s="418"/>
      <c r="O28" s="418"/>
      <c r="P28" s="418"/>
      <c r="Q28" s="418"/>
      <c r="R28" s="418"/>
      <c r="S28" s="418"/>
    </row>
    <row r="29" spans="1:19" ht="44.55">
      <c r="A29" s="488">
        <v>5</v>
      </c>
      <c r="B29" s="414" t="s">
        <v>539</v>
      </c>
      <c r="C29" s="415" t="s">
        <v>552</v>
      </c>
      <c r="D29" s="414"/>
      <c r="E29" s="415" t="s">
        <v>804</v>
      </c>
      <c r="F29" s="416">
        <f>44/1.2</f>
        <v>36.666666666666671</v>
      </c>
      <c r="G29" s="426"/>
      <c r="H29" s="425">
        <f t="shared" si="5"/>
        <v>36.666666666666671</v>
      </c>
      <c r="I29" s="409">
        <f t="shared" si="6"/>
        <v>183.33333333333337</v>
      </c>
      <c r="J29" s="204"/>
      <c r="K29" s="17" t="s">
        <v>805</v>
      </c>
      <c r="M29" s="418"/>
      <c r="N29" s="418"/>
      <c r="O29" s="418">
        <f t="shared" si="9"/>
        <v>183.33333333333337</v>
      </c>
      <c r="P29" s="418"/>
      <c r="Q29" s="418"/>
      <c r="R29" s="418"/>
      <c r="S29" s="418"/>
    </row>
    <row r="30" spans="1:19" ht="44.55">
      <c r="A30" s="413">
        <v>0</v>
      </c>
      <c r="B30" s="413" t="s">
        <v>517</v>
      </c>
      <c r="C30" s="420" t="s">
        <v>569</v>
      </c>
      <c r="D30" s="413" t="s">
        <v>570</v>
      </c>
      <c r="E30" s="420" t="s">
        <v>571</v>
      </c>
      <c r="F30" s="421">
        <v>1040</v>
      </c>
      <c r="G30" s="495">
        <v>0.48</v>
      </c>
      <c r="H30" s="425">
        <f t="shared" si="5"/>
        <v>540.80000000000007</v>
      </c>
      <c r="I30" s="409">
        <f t="shared" si="6"/>
        <v>0</v>
      </c>
      <c r="J30" s="204"/>
      <c r="M30" s="418"/>
      <c r="N30" s="418"/>
      <c r="O30" s="418"/>
      <c r="P30" s="418"/>
      <c r="Q30" s="418"/>
      <c r="R30" s="418"/>
      <c r="S30" s="418">
        <f t="shared" ref="S30:S34" si="10">I30</f>
        <v>0</v>
      </c>
    </row>
    <row r="31" spans="1:19" ht="55.65">
      <c r="A31" s="413">
        <v>1</v>
      </c>
      <c r="B31" s="413" t="s">
        <v>517</v>
      </c>
      <c r="C31" s="424" t="s">
        <v>569</v>
      </c>
      <c r="D31" s="423" t="s">
        <v>572</v>
      </c>
      <c r="E31" s="424" t="s">
        <v>573</v>
      </c>
      <c r="F31" s="425">
        <v>1190</v>
      </c>
      <c r="G31" s="495">
        <v>0.48</v>
      </c>
      <c r="H31" s="425">
        <f t="shared" si="5"/>
        <v>618.80000000000007</v>
      </c>
      <c r="I31" s="409">
        <f t="shared" si="6"/>
        <v>618.80000000000007</v>
      </c>
      <c r="J31" s="204"/>
      <c r="M31" s="418"/>
      <c r="N31" s="418"/>
      <c r="O31" s="418"/>
      <c r="P31" s="418"/>
      <c r="Q31" s="418"/>
      <c r="R31" s="418"/>
      <c r="S31" s="418">
        <f t="shared" si="10"/>
        <v>618.80000000000007</v>
      </c>
    </row>
    <row r="32" spans="1:19">
      <c r="A32" s="413">
        <v>0</v>
      </c>
      <c r="B32" s="413" t="s">
        <v>517</v>
      </c>
      <c r="C32" s="420" t="s">
        <v>574</v>
      </c>
      <c r="D32" s="413" t="s">
        <v>575</v>
      </c>
      <c r="E32" s="413" t="s">
        <v>576</v>
      </c>
      <c r="F32" s="421">
        <v>36.700000000000003</v>
      </c>
      <c r="G32" s="419"/>
      <c r="H32" s="416">
        <f t="shared" si="5"/>
        <v>36.700000000000003</v>
      </c>
      <c r="I32" s="409">
        <f t="shared" si="6"/>
        <v>0</v>
      </c>
      <c r="J32" s="204"/>
      <c r="M32" s="418"/>
      <c r="N32" s="418"/>
      <c r="O32" s="418"/>
      <c r="P32" s="418"/>
      <c r="Q32" s="418"/>
      <c r="R32" s="418"/>
      <c r="S32" s="418">
        <f t="shared" si="10"/>
        <v>0</v>
      </c>
    </row>
    <row r="33" spans="1:19">
      <c r="A33" s="413">
        <v>5</v>
      </c>
      <c r="B33" s="413" t="s">
        <v>517</v>
      </c>
      <c r="C33" s="420" t="s">
        <v>574</v>
      </c>
      <c r="D33" s="413" t="s">
        <v>577</v>
      </c>
      <c r="E33" s="413" t="s">
        <v>578</v>
      </c>
      <c r="F33" s="421">
        <v>75</v>
      </c>
      <c r="G33" s="419"/>
      <c r="H33" s="416">
        <f t="shared" si="5"/>
        <v>75</v>
      </c>
      <c r="I33" s="409">
        <f t="shared" si="6"/>
        <v>375</v>
      </c>
      <c r="J33" s="204"/>
      <c r="M33" s="418"/>
      <c r="N33" s="418"/>
      <c r="O33" s="418"/>
      <c r="P33" s="418"/>
      <c r="Q33" s="418"/>
      <c r="R33" s="418"/>
      <c r="S33" s="418">
        <f t="shared" si="10"/>
        <v>375</v>
      </c>
    </row>
    <row r="34" spans="1:19">
      <c r="A34" s="413">
        <v>1</v>
      </c>
      <c r="B34" s="413" t="s">
        <v>517</v>
      </c>
      <c r="C34" s="420" t="s">
        <v>574</v>
      </c>
      <c r="D34" s="413"/>
      <c r="E34" s="413" t="s">
        <v>579</v>
      </c>
      <c r="F34" s="421">
        <f>35/4</f>
        <v>8.75</v>
      </c>
      <c r="G34" s="419"/>
      <c r="H34" s="416">
        <f t="shared" si="5"/>
        <v>8.75</v>
      </c>
      <c r="I34" s="409">
        <f t="shared" si="6"/>
        <v>8.75</v>
      </c>
      <c r="J34" s="204"/>
      <c r="M34" s="418"/>
      <c r="N34" s="418"/>
      <c r="O34" s="418"/>
      <c r="P34" s="418"/>
      <c r="Q34" s="418"/>
      <c r="R34" s="418"/>
      <c r="S34" s="418">
        <f t="shared" si="10"/>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76284.669333333339</v>
      </c>
      <c r="J37" s="204"/>
      <c r="M37" s="418">
        <f>SUM(M4:M35)</f>
        <v>57154.576000000001</v>
      </c>
      <c r="N37" s="418">
        <f>SUM(N4:N35)</f>
        <v>11574.380000000001</v>
      </c>
      <c r="O37" s="418">
        <f>SUM(O4:O35)</f>
        <v>2414.9233333333336</v>
      </c>
      <c r="P37" s="418"/>
      <c r="Q37" s="418"/>
      <c r="R37" s="418">
        <f>SUM(R4:R35)</f>
        <v>4138.24</v>
      </c>
      <c r="S37" s="418">
        <f>SUM(S4:S35)</f>
        <v>1002.5500000000001</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95355.83666666667</v>
      </c>
      <c r="J39" s="436"/>
      <c r="K39" s="437"/>
      <c r="L39" s="437"/>
      <c r="M39" s="438">
        <f>M37*(1+$G$38)</f>
        <v>71443.22</v>
      </c>
      <c r="N39" s="438">
        <f>N37*(1+$G$38)</f>
        <v>14467.975000000002</v>
      </c>
      <c r="O39" s="438">
        <f>O37*(1+$G$38)</f>
        <v>3018.6541666666672</v>
      </c>
      <c r="P39" s="438">
        <f>P73</f>
        <v>15520</v>
      </c>
      <c r="Q39" s="438">
        <f>Q132</f>
        <v>25607.859999999997</v>
      </c>
      <c r="R39" s="438">
        <f>R37*(1+$G$38)</f>
        <v>5172.7999999999993</v>
      </c>
      <c r="S39" s="438">
        <f>S37*(1+$G$38)</f>
        <v>1253.1875</v>
      </c>
    </row>
    <row r="42" spans="1:19" ht="33.4">
      <c r="B42" s="204" t="s">
        <v>583</v>
      </c>
      <c r="C42" s="204" t="s">
        <v>584</v>
      </c>
      <c r="E42" s="439" t="s">
        <v>585</v>
      </c>
    </row>
    <row r="43" spans="1:19">
      <c r="A43" s="440">
        <f t="shared" ref="A43:A64" si="11">B43*C43</f>
        <v>12</v>
      </c>
      <c r="B43" s="441">
        <v>6</v>
      </c>
      <c r="C43" s="493">
        <v>2</v>
      </c>
      <c r="E43" s="17" t="s">
        <v>586</v>
      </c>
      <c r="F43" s="403">
        <f t="shared" ref="F43:F64" si="12">F$68</f>
        <v>55</v>
      </c>
      <c r="H43" s="403">
        <f t="shared" si="5"/>
        <v>55</v>
      </c>
      <c r="I43" s="403">
        <f t="shared" ref="I43:I70" si="13">A43*H43</f>
        <v>660</v>
      </c>
    </row>
    <row r="44" spans="1:19">
      <c r="A44" s="440">
        <f t="shared" si="11"/>
        <v>44.4</v>
      </c>
      <c r="B44" s="441">
        <v>0.15</v>
      </c>
      <c r="C44" s="493">
        <f>A6</f>
        <v>296</v>
      </c>
      <c r="D44" s="17" t="s">
        <v>588</v>
      </c>
      <c r="E44" s="17" t="s">
        <v>589</v>
      </c>
      <c r="F44" s="403">
        <f t="shared" si="12"/>
        <v>55</v>
      </c>
      <c r="H44" s="403">
        <f t="shared" si="5"/>
        <v>55</v>
      </c>
      <c r="I44" s="403">
        <f t="shared" si="13"/>
        <v>2442</v>
      </c>
    </row>
    <row r="45" spans="1:19">
      <c r="A45" s="440">
        <f t="shared" si="11"/>
        <v>102.89999999999999</v>
      </c>
      <c r="B45" s="441">
        <v>0.35</v>
      </c>
      <c r="C45" s="493">
        <f>A4</f>
        <v>294</v>
      </c>
      <c r="D45" s="17" t="s">
        <v>588</v>
      </c>
      <c r="E45" s="17" t="s">
        <v>591</v>
      </c>
      <c r="F45" s="403">
        <f t="shared" si="12"/>
        <v>55</v>
      </c>
      <c r="H45" s="403">
        <f t="shared" si="5"/>
        <v>55</v>
      </c>
      <c r="I45" s="403">
        <f t="shared" si="13"/>
        <v>5659.4999999999991</v>
      </c>
    </row>
    <row r="46" spans="1:19">
      <c r="A46" s="440">
        <f t="shared" si="11"/>
        <v>1.2</v>
      </c>
      <c r="B46" s="441">
        <v>0.04</v>
      </c>
      <c r="C46" s="493">
        <v>30</v>
      </c>
      <c r="D46" s="17" t="s">
        <v>539</v>
      </c>
      <c r="E46" s="17" t="s">
        <v>593</v>
      </c>
      <c r="F46" s="403">
        <f t="shared" si="12"/>
        <v>55</v>
      </c>
      <c r="H46" s="403">
        <f t="shared" si="5"/>
        <v>55</v>
      </c>
      <c r="I46" s="403">
        <f t="shared" si="13"/>
        <v>66</v>
      </c>
    </row>
    <row r="47" spans="1:19">
      <c r="A47" s="440">
        <f t="shared" si="11"/>
        <v>0.4</v>
      </c>
      <c r="B47" s="441">
        <v>0.04</v>
      </c>
      <c r="C47" s="493">
        <v>10</v>
      </c>
      <c r="D47" s="17" t="s">
        <v>539</v>
      </c>
      <c r="E47" s="17" t="s">
        <v>594</v>
      </c>
      <c r="F47" s="403">
        <f t="shared" si="12"/>
        <v>55</v>
      </c>
      <c r="H47" s="403">
        <f t="shared" si="5"/>
        <v>55</v>
      </c>
      <c r="I47" s="403">
        <f t="shared" si="13"/>
        <v>22</v>
      </c>
    </row>
    <row r="48" spans="1:19">
      <c r="A48" s="440">
        <f t="shared" si="11"/>
        <v>50</v>
      </c>
      <c r="B48" s="441">
        <v>0.02</v>
      </c>
      <c r="C48" s="493">
        <f>A18+A19+A20*100</f>
        <v>2500</v>
      </c>
      <c r="D48" s="17" t="s">
        <v>539</v>
      </c>
      <c r="E48" s="17" t="s">
        <v>595</v>
      </c>
      <c r="F48" s="403">
        <f t="shared" si="12"/>
        <v>55</v>
      </c>
      <c r="H48" s="403">
        <f t="shared" si="5"/>
        <v>55</v>
      </c>
      <c r="I48" s="403">
        <f t="shared" si="13"/>
        <v>2750</v>
      </c>
    </row>
    <row r="49" spans="1:9">
      <c r="A49" s="440">
        <f t="shared" si="11"/>
        <v>0</v>
      </c>
      <c r="B49" s="441">
        <f>2*0.17</f>
        <v>0.34</v>
      </c>
      <c r="C49" s="493">
        <v>0</v>
      </c>
      <c r="D49" s="17" t="s">
        <v>596</v>
      </c>
      <c r="E49" s="17" t="s">
        <v>775</v>
      </c>
      <c r="F49" s="403">
        <f t="shared" si="12"/>
        <v>55</v>
      </c>
      <c r="H49" s="403">
        <f t="shared" si="5"/>
        <v>55</v>
      </c>
      <c r="I49" s="403">
        <f t="shared" si="13"/>
        <v>0</v>
      </c>
    </row>
    <row r="50" spans="1:9">
      <c r="A50" s="440">
        <f t="shared" si="11"/>
        <v>5.2</v>
      </c>
      <c r="B50" s="441">
        <v>0.4</v>
      </c>
      <c r="C50" s="493">
        <v>13</v>
      </c>
      <c r="E50" s="17" t="s">
        <v>600</v>
      </c>
      <c r="F50" s="403">
        <f t="shared" si="12"/>
        <v>55</v>
      </c>
      <c r="H50" s="403">
        <f t="shared" si="5"/>
        <v>55</v>
      </c>
      <c r="I50" s="403">
        <f t="shared" si="13"/>
        <v>286</v>
      </c>
    </row>
    <row r="51" spans="1:9">
      <c r="A51" s="440">
        <f t="shared" si="11"/>
        <v>2</v>
      </c>
      <c r="B51" s="441">
        <v>2</v>
      </c>
      <c r="C51" s="493">
        <v>1</v>
      </c>
      <c r="E51" s="17" t="s">
        <v>601</v>
      </c>
      <c r="F51" s="403">
        <f t="shared" si="12"/>
        <v>55</v>
      </c>
      <c r="H51" s="403">
        <f t="shared" si="5"/>
        <v>55</v>
      </c>
      <c r="I51" s="403">
        <f t="shared" si="13"/>
        <v>110</v>
      </c>
    </row>
    <row r="52" spans="1:9">
      <c r="A52" s="440">
        <f t="shared" si="11"/>
        <v>0</v>
      </c>
      <c r="B52" s="441">
        <f>0.5+10*0.15+2*0.1</f>
        <v>2.2000000000000002</v>
      </c>
      <c r="C52" s="493">
        <v>0</v>
      </c>
      <c r="E52" s="17" t="s">
        <v>602</v>
      </c>
      <c r="F52" s="403">
        <f t="shared" si="12"/>
        <v>55</v>
      </c>
      <c r="H52" s="403">
        <f t="shared" si="5"/>
        <v>55</v>
      </c>
      <c r="I52" s="403">
        <f t="shared" si="13"/>
        <v>0</v>
      </c>
    </row>
    <row r="53" spans="1:9">
      <c r="A53" s="440">
        <f t="shared" si="11"/>
        <v>0</v>
      </c>
      <c r="B53" s="441">
        <f>0.5+4*0.15</f>
        <v>1.1000000000000001</v>
      </c>
      <c r="C53" s="493">
        <v>0</v>
      </c>
      <c r="E53" s="17" t="s">
        <v>776</v>
      </c>
      <c r="F53" s="403">
        <f t="shared" si="12"/>
        <v>55</v>
      </c>
      <c r="H53" s="403">
        <f t="shared" si="5"/>
        <v>55</v>
      </c>
      <c r="I53" s="403">
        <f t="shared" si="13"/>
        <v>0</v>
      </c>
    </row>
    <row r="54" spans="1:9">
      <c r="A54" s="440">
        <f t="shared" si="11"/>
        <v>1.3333333333333333</v>
      </c>
      <c r="B54" s="441">
        <f>8/6</f>
        <v>1.3333333333333333</v>
      </c>
      <c r="C54" s="493">
        <v>1</v>
      </c>
      <c r="D54" s="17" t="s">
        <v>604</v>
      </c>
      <c r="E54" s="17" t="s">
        <v>605</v>
      </c>
      <c r="F54" s="403">
        <f t="shared" si="12"/>
        <v>55</v>
      </c>
      <c r="H54" s="403">
        <f t="shared" si="5"/>
        <v>55</v>
      </c>
      <c r="I54" s="403">
        <f t="shared" si="13"/>
        <v>73.333333333333329</v>
      </c>
    </row>
    <row r="55" spans="1:9">
      <c r="A55" s="440">
        <f t="shared" si="11"/>
        <v>4</v>
      </c>
      <c r="B55" s="441">
        <v>4</v>
      </c>
      <c r="C55" s="493">
        <v>1</v>
      </c>
      <c r="E55" s="17" t="s">
        <v>606</v>
      </c>
      <c r="F55" s="403">
        <f t="shared" si="12"/>
        <v>55</v>
      </c>
      <c r="H55" s="403">
        <f t="shared" si="5"/>
        <v>55</v>
      </c>
      <c r="I55" s="403">
        <f t="shared" si="13"/>
        <v>220</v>
      </c>
    </row>
    <row r="56" spans="1:9">
      <c r="A56" s="440">
        <f t="shared" si="11"/>
        <v>2</v>
      </c>
      <c r="B56" s="441">
        <v>2</v>
      </c>
      <c r="C56" s="493">
        <v>1</v>
      </c>
      <c r="E56" s="17" t="s">
        <v>607</v>
      </c>
      <c r="F56" s="403">
        <f t="shared" si="12"/>
        <v>55</v>
      </c>
      <c r="H56" s="403">
        <f t="shared" si="5"/>
        <v>55</v>
      </c>
      <c r="I56" s="403">
        <f t="shared" si="13"/>
        <v>110</v>
      </c>
    </row>
    <row r="57" spans="1:9">
      <c r="A57" s="440">
        <f t="shared" si="11"/>
        <v>0.93000000000000016</v>
      </c>
      <c r="B57" s="441">
        <f>0.33+6*0.1</f>
        <v>0.93000000000000016</v>
      </c>
      <c r="C57" s="493">
        <v>1</v>
      </c>
      <c r="E57" s="17" t="s">
        <v>609</v>
      </c>
      <c r="F57" s="403">
        <f t="shared" si="12"/>
        <v>55</v>
      </c>
      <c r="H57" s="403">
        <f t="shared" si="5"/>
        <v>55</v>
      </c>
      <c r="I57" s="403">
        <f t="shared" si="13"/>
        <v>51.150000000000006</v>
      </c>
    </row>
    <row r="58" spans="1:9">
      <c r="A58" s="440">
        <f t="shared" si="11"/>
        <v>0</v>
      </c>
      <c r="B58" s="441">
        <v>0.17</v>
      </c>
      <c r="C58" s="493">
        <v>0</v>
      </c>
      <c r="E58" s="17" t="s">
        <v>610</v>
      </c>
      <c r="F58" s="403">
        <f t="shared" si="12"/>
        <v>55</v>
      </c>
      <c r="H58" s="403">
        <f t="shared" si="5"/>
        <v>55</v>
      </c>
      <c r="I58" s="403">
        <f t="shared" si="13"/>
        <v>0</v>
      </c>
    </row>
    <row r="59" spans="1:9">
      <c r="A59" s="440">
        <f t="shared" si="11"/>
        <v>0.5</v>
      </c>
      <c r="B59" s="441">
        <v>0.5</v>
      </c>
      <c r="C59" s="493">
        <v>1</v>
      </c>
      <c r="E59" s="17" t="s">
        <v>611</v>
      </c>
      <c r="F59" s="403">
        <f t="shared" si="12"/>
        <v>55</v>
      </c>
      <c r="H59" s="403">
        <f t="shared" si="5"/>
        <v>55</v>
      </c>
      <c r="I59" s="403">
        <f t="shared" si="13"/>
        <v>27.5</v>
      </c>
    </row>
    <row r="60" spans="1:9">
      <c r="A60" s="440">
        <f t="shared" si="11"/>
        <v>1</v>
      </c>
      <c r="B60" s="441">
        <v>1</v>
      </c>
      <c r="C60" s="493">
        <v>1</v>
      </c>
      <c r="E60" s="17" t="s">
        <v>612</v>
      </c>
      <c r="F60" s="403">
        <f t="shared" si="12"/>
        <v>55</v>
      </c>
      <c r="H60" s="403">
        <f t="shared" si="5"/>
        <v>55</v>
      </c>
      <c r="I60" s="403">
        <f t="shared" si="13"/>
        <v>55</v>
      </c>
    </row>
    <row r="61" spans="1:9">
      <c r="A61" s="440">
        <f t="shared" si="11"/>
        <v>6</v>
      </c>
      <c r="B61" s="441">
        <v>6</v>
      </c>
      <c r="C61" s="493">
        <v>1</v>
      </c>
      <c r="E61" s="17" t="s">
        <v>614</v>
      </c>
      <c r="F61" s="403">
        <f t="shared" si="12"/>
        <v>55</v>
      </c>
      <c r="H61" s="403">
        <f t="shared" si="5"/>
        <v>55</v>
      </c>
      <c r="I61" s="403">
        <f t="shared" si="13"/>
        <v>330</v>
      </c>
    </row>
    <row r="62" spans="1:9">
      <c r="A62" s="440">
        <f t="shared" si="11"/>
        <v>4</v>
      </c>
      <c r="B62" s="441">
        <v>4</v>
      </c>
      <c r="C62" s="493">
        <v>1</v>
      </c>
      <c r="E62" s="17" t="s">
        <v>615</v>
      </c>
      <c r="F62" s="403">
        <f t="shared" si="12"/>
        <v>55</v>
      </c>
      <c r="H62" s="403">
        <f t="shared" si="5"/>
        <v>55</v>
      </c>
      <c r="I62" s="403">
        <f t="shared" si="13"/>
        <v>220</v>
      </c>
    </row>
    <row r="63" spans="1:9">
      <c r="A63" s="440">
        <f t="shared" si="11"/>
        <v>4</v>
      </c>
      <c r="B63" s="441">
        <v>4</v>
      </c>
      <c r="C63" s="493">
        <v>1</v>
      </c>
      <c r="E63" s="17" t="s">
        <v>616</v>
      </c>
      <c r="F63" s="403">
        <f t="shared" si="12"/>
        <v>55</v>
      </c>
      <c r="H63" s="403">
        <f t="shared" si="5"/>
        <v>55</v>
      </c>
      <c r="I63" s="403">
        <f t="shared" si="13"/>
        <v>220</v>
      </c>
    </row>
    <row r="64" spans="1:9">
      <c r="A64" s="440">
        <f t="shared" si="11"/>
        <v>1.25</v>
      </c>
      <c r="B64" s="441">
        <v>0.25</v>
      </c>
      <c r="C64" s="493">
        <v>5</v>
      </c>
      <c r="D64" s="494" t="s">
        <v>539</v>
      </c>
      <c r="E64" s="17" t="s">
        <v>617</v>
      </c>
      <c r="F64" s="403">
        <f t="shared" si="12"/>
        <v>55</v>
      </c>
      <c r="H64" s="403">
        <f t="shared" si="5"/>
        <v>55</v>
      </c>
      <c r="I64" s="403">
        <f t="shared" si="13"/>
        <v>68.75</v>
      </c>
    </row>
    <row r="66" spans="1:16">
      <c r="A66" s="17">
        <f>SUM(A43:A65)</f>
        <v>243.11333333333332</v>
      </c>
      <c r="B66" s="17" t="s">
        <v>619</v>
      </c>
      <c r="E66" s="17" t="s">
        <v>620</v>
      </c>
    </row>
    <row r="67" spans="1:16">
      <c r="A67" s="441">
        <v>3</v>
      </c>
      <c r="B67" s="17" t="s">
        <v>517</v>
      </c>
      <c r="E67" s="17" t="s">
        <v>621</v>
      </c>
    </row>
    <row r="68" spans="1:16">
      <c r="A68" s="17">
        <v>1</v>
      </c>
      <c r="B68" s="17" t="s">
        <v>517</v>
      </c>
      <c r="E68" s="17" t="s">
        <v>622</v>
      </c>
      <c r="F68" s="445">
        <v>55</v>
      </c>
      <c r="H68" s="403">
        <f t="shared" si="5"/>
        <v>55</v>
      </c>
      <c r="I68" s="403">
        <f t="shared" si="13"/>
        <v>55</v>
      </c>
      <c r="J68" s="17" t="s">
        <v>623</v>
      </c>
    </row>
    <row r="69" spans="1:16">
      <c r="A69" s="17">
        <f>ROUNDUP(A66/8/A67,0)</f>
        <v>11</v>
      </c>
      <c r="B69" s="17" t="s">
        <v>624</v>
      </c>
      <c r="E69" s="17" t="s">
        <v>625</v>
      </c>
      <c r="F69" s="403">
        <f>A67*8*F68</f>
        <v>1320</v>
      </c>
      <c r="H69" s="403">
        <f t="shared" si="5"/>
        <v>1320</v>
      </c>
      <c r="I69" s="403">
        <f t="shared" si="13"/>
        <v>14520</v>
      </c>
    </row>
    <row r="70" spans="1:16">
      <c r="A70" s="441">
        <v>1</v>
      </c>
      <c r="B70" s="442" t="s">
        <v>517</v>
      </c>
      <c r="C70" s="446"/>
      <c r="D70" s="442"/>
      <c r="E70" s="442" t="s">
        <v>626</v>
      </c>
      <c r="F70" s="447">
        <v>500</v>
      </c>
      <c r="G70" s="444"/>
      <c r="H70" s="403">
        <v>1000</v>
      </c>
      <c r="I70" s="403">
        <f t="shared" si="13"/>
        <v>1000</v>
      </c>
      <c r="J70" s="17" t="s">
        <v>627</v>
      </c>
    </row>
    <row r="71" spans="1:16">
      <c r="A71" s="441"/>
      <c r="F71" s="447"/>
      <c r="H71" s="403"/>
      <c r="I71" s="403"/>
    </row>
    <row r="72" spans="1:16">
      <c r="A72" s="441"/>
      <c r="F72" s="447"/>
      <c r="H72" s="403"/>
      <c r="I72" s="403"/>
    </row>
    <row r="73" spans="1:16" ht="15.75">
      <c r="E73" s="439" t="s">
        <v>628</v>
      </c>
      <c r="I73" s="443">
        <f>SUM(I69:I72)</f>
        <v>15520</v>
      </c>
      <c r="P73" s="438">
        <f>I73</f>
        <v>15520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4">A87*H87</f>
        <v>0</v>
      </c>
      <c r="J87" s="459" t="s">
        <v>638</v>
      </c>
      <c r="K87" s="460" t="s">
        <v>639</v>
      </c>
    </row>
    <row r="88" spans="1:11" ht="12.8" customHeight="1">
      <c r="A88" s="461">
        <v>0</v>
      </c>
      <c r="B88" s="453" t="s">
        <v>517</v>
      </c>
      <c r="C88" s="453" t="s">
        <v>538</v>
      </c>
      <c r="D88" s="462" t="s">
        <v>640</v>
      </c>
      <c r="E88" s="453" t="s">
        <v>641</v>
      </c>
      <c r="F88" s="463">
        <v>1949</v>
      </c>
      <c r="G88" s="457"/>
      <c r="H88" s="458">
        <f t="shared" ref="H88:H98" si="15">F88*(1-$G$83)</f>
        <v>1169.3999999999999</v>
      </c>
      <c r="I88" s="458">
        <f t="shared" si="14"/>
        <v>0</v>
      </c>
      <c r="J88" s="459" t="s">
        <v>638</v>
      </c>
      <c r="K88" s="1051" t="s">
        <v>642</v>
      </c>
    </row>
    <row r="89" spans="1:11" ht="24.9">
      <c r="A89" s="452">
        <v>0</v>
      </c>
      <c r="B89" s="453" t="s">
        <v>539</v>
      </c>
      <c r="C89" s="453" t="s">
        <v>538</v>
      </c>
      <c r="D89" s="462" t="s">
        <v>643</v>
      </c>
      <c r="E89" s="453" t="s">
        <v>641</v>
      </c>
      <c r="F89" s="463">
        <v>80</v>
      </c>
      <c r="G89" s="457"/>
      <c r="H89" s="458">
        <f t="shared" si="15"/>
        <v>48</v>
      </c>
      <c r="I89" s="458">
        <f t="shared" si="14"/>
        <v>0</v>
      </c>
      <c r="J89" s="459" t="s">
        <v>638</v>
      </c>
      <c r="K89" s="1051"/>
    </row>
    <row r="90" spans="1:11" ht="12.8" customHeight="1">
      <c r="A90" s="461">
        <v>0</v>
      </c>
      <c r="B90" s="453" t="s">
        <v>517</v>
      </c>
      <c r="C90" s="453" t="s">
        <v>538</v>
      </c>
      <c r="D90" s="464" t="s">
        <v>644</v>
      </c>
      <c r="E90" s="453" t="s">
        <v>645</v>
      </c>
      <c r="F90" s="463">
        <v>10051</v>
      </c>
      <c r="G90" s="457"/>
      <c r="H90" s="458">
        <f t="shared" si="15"/>
        <v>6030.5999999999995</v>
      </c>
      <c r="I90" s="458">
        <f t="shared" si="14"/>
        <v>0</v>
      </c>
      <c r="J90" s="459" t="s">
        <v>638</v>
      </c>
      <c r="K90" s="1052" t="s">
        <v>646</v>
      </c>
    </row>
    <row r="91" spans="1:11" ht="24.9">
      <c r="A91" s="461">
        <v>0</v>
      </c>
      <c r="B91" s="453" t="s">
        <v>517</v>
      </c>
      <c r="C91" s="453" t="s">
        <v>538</v>
      </c>
      <c r="D91" s="464" t="s">
        <v>644</v>
      </c>
      <c r="E91" s="453" t="s">
        <v>647</v>
      </c>
      <c r="F91" s="463">
        <v>17412</v>
      </c>
      <c r="G91" s="457"/>
      <c r="H91" s="458">
        <f t="shared" si="15"/>
        <v>10447.199999999999</v>
      </c>
      <c r="I91" s="458">
        <f t="shared" si="14"/>
        <v>0</v>
      </c>
      <c r="J91" s="459" t="s">
        <v>638</v>
      </c>
      <c r="K91" s="1052"/>
    </row>
    <row r="92" spans="1:11" ht="12.8" customHeight="1">
      <c r="A92" s="461">
        <v>0</v>
      </c>
      <c r="B92" s="453" t="s">
        <v>517</v>
      </c>
      <c r="C92" s="453" t="s">
        <v>538</v>
      </c>
      <c r="D92" s="465" t="s">
        <v>644</v>
      </c>
      <c r="E92" s="453" t="s">
        <v>648</v>
      </c>
      <c r="F92" s="466">
        <v>2345</v>
      </c>
      <c r="G92" s="457"/>
      <c r="H92" s="458">
        <f t="shared" si="15"/>
        <v>1407</v>
      </c>
      <c r="I92" s="458">
        <f t="shared" si="14"/>
        <v>0</v>
      </c>
      <c r="J92" s="453" t="s">
        <v>649</v>
      </c>
      <c r="K92" s="1049" t="s">
        <v>650</v>
      </c>
    </row>
    <row r="93" spans="1:11" ht="24.9">
      <c r="A93" s="461">
        <v>0</v>
      </c>
      <c r="B93" s="453" t="s">
        <v>517</v>
      </c>
      <c r="C93" s="453" t="s">
        <v>538</v>
      </c>
      <c r="D93" s="465" t="s">
        <v>644</v>
      </c>
      <c r="E93" s="453" t="s">
        <v>651</v>
      </c>
      <c r="F93" s="466">
        <v>3258</v>
      </c>
      <c r="G93" s="457"/>
      <c r="H93" s="458">
        <f t="shared" si="15"/>
        <v>1954.8</v>
      </c>
      <c r="I93" s="458">
        <f t="shared" si="14"/>
        <v>0</v>
      </c>
      <c r="J93" s="453" t="s">
        <v>649</v>
      </c>
      <c r="K93" s="1049"/>
    </row>
    <row r="94" spans="1:11" ht="24.9">
      <c r="A94" s="461">
        <v>0</v>
      </c>
      <c r="B94" s="453" t="s">
        <v>517</v>
      </c>
      <c r="C94" s="453" t="s">
        <v>538</v>
      </c>
      <c r="D94" s="465" t="s">
        <v>644</v>
      </c>
      <c r="E94" s="453" t="s">
        <v>652</v>
      </c>
      <c r="F94" s="463">
        <v>5649</v>
      </c>
      <c r="G94" s="457"/>
      <c r="H94" s="458">
        <f t="shared" si="15"/>
        <v>3389.4</v>
      </c>
      <c r="I94" s="458">
        <f t="shared" si="14"/>
        <v>0</v>
      </c>
      <c r="J94" s="453" t="s">
        <v>649</v>
      </c>
      <c r="K94" s="1049"/>
    </row>
    <row r="95" spans="1:11" ht="24.9">
      <c r="A95" s="461">
        <v>0</v>
      </c>
      <c r="B95" s="453" t="s">
        <v>517</v>
      </c>
      <c r="C95" s="453" t="s">
        <v>538</v>
      </c>
      <c r="D95" s="465" t="s">
        <v>644</v>
      </c>
      <c r="E95" s="453" t="s">
        <v>653</v>
      </c>
      <c r="F95" s="463">
        <v>1488</v>
      </c>
      <c r="G95" s="457"/>
      <c r="H95" s="458">
        <f t="shared" si="15"/>
        <v>892.8</v>
      </c>
      <c r="I95" s="458">
        <f t="shared" si="14"/>
        <v>0</v>
      </c>
      <c r="J95" s="453" t="s">
        <v>649</v>
      </c>
      <c r="K95" s="1049"/>
    </row>
    <row r="96" spans="1:11" ht="24.9">
      <c r="A96" s="461">
        <v>0</v>
      </c>
      <c r="B96" s="453" t="s">
        <v>517</v>
      </c>
      <c r="C96" s="453" t="s">
        <v>538</v>
      </c>
      <c r="D96" s="465" t="s">
        <v>644</v>
      </c>
      <c r="E96" s="453" t="s">
        <v>654</v>
      </c>
      <c r="F96" s="463">
        <v>5269</v>
      </c>
      <c r="G96" s="457"/>
      <c r="H96" s="458">
        <f t="shared" si="15"/>
        <v>3161.4</v>
      </c>
      <c r="I96" s="458">
        <f t="shared" si="14"/>
        <v>0</v>
      </c>
      <c r="J96" s="453" t="s">
        <v>649</v>
      </c>
      <c r="K96" s="1049"/>
    </row>
    <row r="97" spans="1:12" ht="24.9">
      <c r="A97" s="461">
        <v>0</v>
      </c>
      <c r="B97" s="453" t="s">
        <v>517</v>
      </c>
      <c r="C97" s="453" t="s">
        <v>538</v>
      </c>
      <c r="D97" s="465" t="s">
        <v>644</v>
      </c>
      <c r="E97" s="453" t="s">
        <v>655</v>
      </c>
      <c r="F97" s="463">
        <v>3078</v>
      </c>
      <c r="G97" s="457"/>
      <c r="H97" s="458">
        <f t="shared" si="15"/>
        <v>1846.8</v>
      </c>
      <c r="I97" s="458">
        <f t="shared" si="14"/>
        <v>0</v>
      </c>
      <c r="J97" s="453" t="s">
        <v>649</v>
      </c>
      <c r="K97" s="1049"/>
    </row>
    <row r="98" spans="1:12" ht="24.9">
      <c r="A98" s="461">
        <v>0</v>
      </c>
      <c r="B98" s="453" t="s">
        <v>517</v>
      </c>
      <c r="C98" s="453" t="s">
        <v>538</v>
      </c>
      <c r="D98" s="465" t="s">
        <v>644</v>
      </c>
      <c r="E98" s="453" t="s">
        <v>656</v>
      </c>
      <c r="F98" s="463">
        <v>3489</v>
      </c>
      <c r="G98" s="457"/>
      <c r="H98" s="458">
        <f t="shared" si="15"/>
        <v>2093.4</v>
      </c>
      <c r="I98" s="458">
        <f t="shared" si="14"/>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6">F100*(1-$G$83)</f>
        <v>4473.5999999999995</v>
      </c>
      <c r="I100" s="458">
        <f t="shared" ref="I100:I130" si="17">A100*H100</f>
        <v>0</v>
      </c>
      <c r="J100" s="453" t="s">
        <v>649</v>
      </c>
      <c r="K100" s="1049"/>
    </row>
    <row r="101" spans="1:12" ht="24.9">
      <c r="A101" s="461">
        <v>0</v>
      </c>
      <c r="B101" s="453" t="s">
        <v>517</v>
      </c>
      <c r="C101" s="453" t="s">
        <v>538</v>
      </c>
      <c r="D101" s="465" t="s">
        <v>644</v>
      </c>
      <c r="E101" s="453" t="s">
        <v>660</v>
      </c>
      <c r="F101" s="463">
        <v>8494</v>
      </c>
      <c r="G101" s="457"/>
      <c r="H101" s="458">
        <f t="shared" si="16"/>
        <v>5096.3999999999996</v>
      </c>
      <c r="I101" s="458">
        <f t="shared" si="17"/>
        <v>0</v>
      </c>
      <c r="J101" s="453" t="s">
        <v>649</v>
      </c>
      <c r="K101" s="1049"/>
    </row>
    <row r="102" spans="1:12" ht="68.75" customHeight="1">
      <c r="A102" s="461">
        <v>0</v>
      </c>
      <c r="B102" s="453" t="s">
        <v>517</v>
      </c>
      <c r="C102" s="453" t="s">
        <v>538</v>
      </c>
      <c r="D102" s="465" t="s">
        <v>644</v>
      </c>
      <c r="E102" s="453" t="s">
        <v>661</v>
      </c>
      <c r="F102" s="463">
        <v>9434</v>
      </c>
      <c r="G102" s="457"/>
      <c r="H102" s="458">
        <f t="shared" si="16"/>
        <v>5660.4</v>
      </c>
      <c r="I102" s="458">
        <f t="shared" si="17"/>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7"/>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7"/>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7"/>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8">F111*(1-$G$83)</f>
        <v>1180.8</v>
      </c>
      <c r="I111" s="458">
        <f t="shared" si="17"/>
        <v>1180.8</v>
      </c>
      <c r="J111" s="459" t="s">
        <v>638</v>
      </c>
      <c r="K111" s="1051" t="s">
        <v>642</v>
      </c>
    </row>
    <row r="112" spans="1:12" ht="24.9">
      <c r="A112" s="452">
        <v>320</v>
      </c>
      <c r="B112" s="453" t="s">
        <v>539</v>
      </c>
      <c r="C112" s="453" t="s">
        <v>538</v>
      </c>
      <c r="D112" s="462" t="s">
        <v>643</v>
      </c>
      <c r="E112" s="453" t="s">
        <v>673</v>
      </c>
      <c r="F112" s="463">
        <v>87.9</v>
      </c>
      <c r="G112" s="457"/>
      <c r="H112" s="458">
        <f t="shared" si="18"/>
        <v>52.74</v>
      </c>
      <c r="I112" s="458">
        <f t="shared" si="17"/>
        <v>16876.8</v>
      </c>
      <c r="J112" s="459" t="s">
        <v>638</v>
      </c>
      <c r="K112" s="1051"/>
    </row>
    <row r="113" spans="1:11" ht="12.8" customHeight="1">
      <c r="A113" s="452">
        <v>0</v>
      </c>
      <c r="B113" s="453" t="s">
        <v>517</v>
      </c>
      <c r="C113" s="453" t="s">
        <v>538</v>
      </c>
      <c r="D113" s="464" t="s">
        <v>644</v>
      </c>
      <c r="E113" s="453" t="s">
        <v>645</v>
      </c>
      <c r="F113" s="463">
        <v>10051</v>
      </c>
      <c r="G113" s="457"/>
      <c r="H113" s="458">
        <f t="shared" si="18"/>
        <v>6030.5999999999995</v>
      </c>
      <c r="I113" s="458">
        <f t="shared" si="17"/>
        <v>0</v>
      </c>
      <c r="J113" s="459" t="s">
        <v>638</v>
      </c>
      <c r="K113" s="1052" t="s">
        <v>646</v>
      </c>
    </row>
    <row r="114" spans="1:11" ht="24.9">
      <c r="A114" s="461">
        <v>0</v>
      </c>
      <c r="B114" s="453" t="s">
        <v>517</v>
      </c>
      <c r="C114" s="453" t="s">
        <v>538</v>
      </c>
      <c r="D114" s="464" t="s">
        <v>644</v>
      </c>
      <c r="E114" s="453" t="s">
        <v>647</v>
      </c>
      <c r="F114" s="463">
        <v>17412</v>
      </c>
      <c r="G114" s="457"/>
      <c r="H114" s="458">
        <f t="shared" si="18"/>
        <v>10447.199999999999</v>
      </c>
      <c r="I114" s="458">
        <f t="shared" si="17"/>
        <v>0</v>
      </c>
      <c r="J114" s="459" t="s">
        <v>638</v>
      </c>
      <c r="K114" s="1052"/>
    </row>
    <row r="115" spans="1:11" ht="12.8" customHeight="1">
      <c r="A115" s="461">
        <v>0</v>
      </c>
      <c r="B115" s="453" t="s">
        <v>517</v>
      </c>
      <c r="C115" s="453" t="s">
        <v>538</v>
      </c>
      <c r="D115" s="465" t="s">
        <v>644</v>
      </c>
      <c r="E115" s="453" t="s">
        <v>648</v>
      </c>
      <c r="F115" s="463">
        <v>2345</v>
      </c>
      <c r="G115" s="457"/>
      <c r="H115" s="458">
        <f t="shared" si="18"/>
        <v>1407</v>
      </c>
      <c r="I115" s="458">
        <f t="shared" si="17"/>
        <v>0</v>
      </c>
      <c r="J115" s="453" t="s">
        <v>649</v>
      </c>
      <c r="K115" s="1049" t="s">
        <v>650</v>
      </c>
    </row>
    <row r="116" spans="1:11" ht="24.9">
      <c r="A116" s="461">
        <v>0</v>
      </c>
      <c r="B116" s="453" t="s">
        <v>517</v>
      </c>
      <c r="C116" s="453" t="s">
        <v>538</v>
      </c>
      <c r="D116" s="465" t="s">
        <v>644</v>
      </c>
      <c r="E116" s="453" t="s">
        <v>651</v>
      </c>
      <c r="F116" s="463">
        <v>3258</v>
      </c>
      <c r="G116" s="457"/>
      <c r="H116" s="458">
        <f t="shared" si="18"/>
        <v>1954.8</v>
      </c>
      <c r="I116" s="458">
        <f t="shared" si="17"/>
        <v>0</v>
      </c>
      <c r="J116" s="453" t="s">
        <v>649</v>
      </c>
      <c r="K116" s="1049"/>
    </row>
    <row r="117" spans="1:11" ht="24.9">
      <c r="A117" s="461">
        <v>0</v>
      </c>
      <c r="B117" s="453" t="s">
        <v>517</v>
      </c>
      <c r="C117" s="453" t="s">
        <v>538</v>
      </c>
      <c r="D117" s="465" t="s">
        <v>644</v>
      </c>
      <c r="E117" s="453" t="s">
        <v>652</v>
      </c>
      <c r="F117" s="463">
        <v>5649</v>
      </c>
      <c r="G117" s="457"/>
      <c r="H117" s="458">
        <f t="shared" si="18"/>
        <v>3389.4</v>
      </c>
      <c r="I117" s="458">
        <f t="shared" si="17"/>
        <v>0</v>
      </c>
      <c r="J117" s="453" t="s">
        <v>649</v>
      </c>
      <c r="K117" s="1049"/>
    </row>
    <row r="118" spans="1:11" ht="24.9">
      <c r="A118" s="461">
        <v>0</v>
      </c>
      <c r="B118" s="453" t="s">
        <v>517</v>
      </c>
      <c r="C118" s="453" t="s">
        <v>538</v>
      </c>
      <c r="D118" s="465" t="s">
        <v>644</v>
      </c>
      <c r="E118" s="453" t="s">
        <v>653</v>
      </c>
      <c r="F118" s="463">
        <v>1488</v>
      </c>
      <c r="G118" s="457"/>
      <c r="H118" s="458">
        <f t="shared" si="18"/>
        <v>892.8</v>
      </c>
      <c r="I118" s="458">
        <f t="shared" si="17"/>
        <v>0</v>
      </c>
      <c r="J118" s="453" t="s">
        <v>649</v>
      </c>
      <c r="K118" s="1049"/>
    </row>
    <row r="119" spans="1:11" ht="24.9">
      <c r="A119" s="461">
        <v>0</v>
      </c>
      <c r="B119" s="453" t="s">
        <v>517</v>
      </c>
      <c r="C119" s="453" t="s">
        <v>538</v>
      </c>
      <c r="D119" s="465" t="s">
        <v>644</v>
      </c>
      <c r="E119" s="453" t="s">
        <v>654</v>
      </c>
      <c r="F119" s="463">
        <v>5269</v>
      </c>
      <c r="G119" s="457"/>
      <c r="H119" s="458">
        <f t="shared" si="18"/>
        <v>3161.4</v>
      </c>
      <c r="I119" s="458">
        <f t="shared" si="17"/>
        <v>0</v>
      </c>
      <c r="J119" s="453" t="s">
        <v>649</v>
      </c>
      <c r="K119" s="1049"/>
    </row>
    <row r="120" spans="1:11" ht="24.9">
      <c r="A120" s="461">
        <v>0</v>
      </c>
      <c r="B120" s="453" t="s">
        <v>517</v>
      </c>
      <c r="C120" s="453" t="s">
        <v>538</v>
      </c>
      <c r="D120" s="465" t="s">
        <v>644</v>
      </c>
      <c r="E120" s="453" t="s">
        <v>655</v>
      </c>
      <c r="F120" s="463">
        <v>3078</v>
      </c>
      <c r="G120" s="457"/>
      <c r="H120" s="458">
        <f t="shared" si="18"/>
        <v>1846.8</v>
      </c>
      <c r="I120" s="458">
        <f t="shared" si="17"/>
        <v>0</v>
      </c>
      <c r="J120" s="453" t="s">
        <v>649</v>
      </c>
      <c r="K120" s="1049"/>
    </row>
    <row r="121" spans="1:11" ht="24.9">
      <c r="A121" s="461">
        <v>0</v>
      </c>
      <c r="B121" s="453" t="s">
        <v>517</v>
      </c>
      <c r="C121" s="453" t="s">
        <v>538</v>
      </c>
      <c r="D121" s="465" t="s">
        <v>644</v>
      </c>
      <c r="E121" s="453" t="s">
        <v>656</v>
      </c>
      <c r="F121" s="463">
        <v>3489</v>
      </c>
      <c r="G121" s="457"/>
      <c r="H121" s="458">
        <f t="shared" si="18"/>
        <v>2093.4</v>
      </c>
      <c r="I121" s="458">
        <f t="shared" si="17"/>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8"/>
        <v>4473.5999999999995</v>
      </c>
      <c r="I123" s="458">
        <f t="shared" si="17"/>
        <v>0</v>
      </c>
      <c r="J123" s="453" t="s">
        <v>649</v>
      </c>
      <c r="K123" s="1049"/>
    </row>
    <row r="124" spans="1:11" ht="24.9">
      <c r="A124" s="461">
        <v>1</v>
      </c>
      <c r="B124" s="453" t="s">
        <v>517</v>
      </c>
      <c r="C124" s="453" t="s">
        <v>538</v>
      </c>
      <c r="D124" s="465" t="s">
        <v>644</v>
      </c>
      <c r="E124" s="453" t="s">
        <v>660</v>
      </c>
      <c r="F124" s="463">
        <v>8494</v>
      </c>
      <c r="G124" s="457"/>
      <c r="H124" s="458">
        <f t="shared" si="18"/>
        <v>5096.3999999999996</v>
      </c>
      <c r="I124" s="458">
        <f t="shared" si="17"/>
        <v>5096.3999999999996</v>
      </c>
      <c r="J124" s="453" t="s">
        <v>649</v>
      </c>
      <c r="K124" s="1049"/>
    </row>
    <row r="125" spans="1:11" ht="24.9">
      <c r="A125" s="461">
        <v>0</v>
      </c>
      <c r="B125" s="453" t="s">
        <v>517</v>
      </c>
      <c r="C125" s="453" t="s">
        <v>538</v>
      </c>
      <c r="D125" s="465" t="s">
        <v>644</v>
      </c>
      <c r="E125" s="453" t="s">
        <v>661</v>
      </c>
      <c r="F125" s="463">
        <v>9434</v>
      </c>
      <c r="G125" s="457"/>
      <c r="H125" s="458">
        <f t="shared" si="18"/>
        <v>5660.4</v>
      </c>
      <c r="I125" s="458">
        <f t="shared" si="17"/>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7"/>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7"/>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9">F137*(1-G137)</f>
        <v>2801.13</v>
      </c>
      <c r="I137" s="409"/>
    </row>
    <row r="138" spans="1:17" ht="22.25">
      <c r="A138" s="407">
        <v>0</v>
      </c>
      <c r="B138" s="407" t="s">
        <v>522</v>
      </c>
      <c r="C138" s="408" t="s">
        <v>678</v>
      </c>
      <c r="D138" s="407" t="s">
        <v>681</v>
      </c>
      <c r="E138" s="408" t="s">
        <v>682</v>
      </c>
      <c r="F138" s="409">
        <v>772.15</v>
      </c>
      <c r="G138" s="410"/>
      <c r="H138" s="409">
        <f t="shared" si="19"/>
        <v>772.15</v>
      </c>
      <c r="I138" s="409"/>
    </row>
    <row r="139" spans="1:17" ht="22.25">
      <c r="A139" s="407">
        <v>0</v>
      </c>
      <c r="B139" s="407" t="s">
        <v>522</v>
      </c>
      <c r="C139" s="408" t="s">
        <v>678</v>
      </c>
      <c r="D139" s="407" t="s">
        <v>683</v>
      </c>
      <c r="E139" s="408" t="s">
        <v>684</v>
      </c>
      <c r="F139" s="409">
        <v>150.26</v>
      </c>
      <c r="G139" s="410"/>
      <c r="H139" s="409">
        <f t="shared" si="19"/>
        <v>150.26</v>
      </c>
      <c r="I139" s="409"/>
    </row>
    <row r="140" spans="1:17" ht="22.25">
      <c r="A140" s="407">
        <v>0</v>
      </c>
      <c r="B140" s="407" t="s">
        <v>522</v>
      </c>
      <c r="C140" s="408" t="s">
        <v>678</v>
      </c>
      <c r="D140" s="407" t="s">
        <v>685</v>
      </c>
      <c r="E140" s="408" t="s">
        <v>686</v>
      </c>
      <c r="F140" s="409">
        <v>10.58</v>
      </c>
      <c r="G140" s="410"/>
      <c r="H140" s="409">
        <f t="shared" si="19"/>
        <v>10.58</v>
      </c>
      <c r="I140" s="409"/>
    </row>
    <row r="141" spans="1:17" ht="22.25">
      <c r="A141" s="407">
        <v>0</v>
      </c>
      <c r="B141" s="407" t="s">
        <v>522</v>
      </c>
      <c r="C141" s="408" t="s">
        <v>678</v>
      </c>
      <c r="D141" s="407" t="s">
        <v>687</v>
      </c>
      <c r="E141" s="408" t="s">
        <v>688</v>
      </c>
      <c r="F141" s="409">
        <v>69.78</v>
      </c>
      <c r="G141" s="410"/>
      <c r="H141" s="409">
        <f t="shared" si="19"/>
        <v>69.78</v>
      </c>
      <c r="I141" s="409"/>
      <c r="J141" s="17" t="s">
        <v>689</v>
      </c>
    </row>
    <row r="142" spans="1:17" ht="22.25">
      <c r="A142" s="487">
        <v>0</v>
      </c>
      <c r="B142" s="407" t="s">
        <v>539</v>
      </c>
      <c r="C142" s="408" t="s">
        <v>690</v>
      </c>
      <c r="D142" s="407"/>
      <c r="E142" s="407" t="s">
        <v>691</v>
      </c>
      <c r="F142" s="409">
        <v>7.58</v>
      </c>
      <c r="G142" s="410"/>
      <c r="H142" s="409">
        <f t="shared" si="19"/>
        <v>7.58</v>
      </c>
      <c r="I142" s="409"/>
      <c r="J142" s="17" t="s">
        <v>692</v>
      </c>
    </row>
    <row r="143" spans="1:17" ht="22.25">
      <c r="A143" s="487">
        <v>0</v>
      </c>
      <c r="B143" s="407" t="s">
        <v>539</v>
      </c>
      <c r="C143" s="408" t="s">
        <v>690</v>
      </c>
      <c r="D143" s="407"/>
      <c r="E143" s="407" t="s">
        <v>693</v>
      </c>
      <c r="F143" s="409">
        <v>2.04</v>
      </c>
      <c r="G143" s="410"/>
      <c r="H143" s="409">
        <f t="shared" si="19"/>
        <v>2.04</v>
      </c>
      <c r="I143" s="409"/>
      <c r="J143" s="17" t="s">
        <v>694</v>
      </c>
    </row>
    <row r="144" spans="1:17" ht="22.25">
      <c r="A144" s="407">
        <v>0</v>
      </c>
      <c r="B144" s="407" t="s">
        <v>522</v>
      </c>
      <c r="C144" s="408"/>
      <c r="D144" s="407"/>
      <c r="E144" s="408" t="s">
        <v>695</v>
      </c>
      <c r="F144" s="409">
        <v>50</v>
      </c>
      <c r="G144" s="410"/>
      <c r="H144" s="409">
        <f t="shared" si="19"/>
        <v>50</v>
      </c>
      <c r="I144" s="409"/>
      <c r="J144" s="204" t="s">
        <v>696</v>
      </c>
    </row>
    <row r="145" spans="1:10">
      <c r="A145" s="407">
        <v>0</v>
      </c>
      <c r="B145" s="407" t="s">
        <v>619</v>
      </c>
      <c r="C145" s="408"/>
      <c r="D145" s="407"/>
      <c r="E145" s="408" t="s">
        <v>697</v>
      </c>
      <c r="F145" s="409">
        <f>F68</f>
        <v>55</v>
      </c>
      <c r="G145" s="410"/>
      <c r="H145" s="409">
        <f t="shared" si="19"/>
        <v>55</v>
      </c>
      <c r="I145" s="409"/>
    </row>
    <row r="146" spans="1:10" ht="66.8">
      <c r="A146" s="407">
        <v>0</v>
      </c>
      <c r="B146" s="407" t="s">
        <v>517</v>
      </c>
      <c r="C146" s="408" t="s">
        <v>698</v>
      </c>
      <c r="D146" s="407" t="s">
        <v>636</v>
      </c>
      <c r="E146" s="408" t="s">
        <v>637</v>
      </c>
      <c r="F146" s="409">
        <v>1809</v>
      </c>
      <c r="G146" s="410">
        <v>0.75</v>
      </c>
      <c r="H146" s="409">
        <f t="shared" si="19"/>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9"/>
        <v>800</v>
      </c>
      <c r="I160" s="403">
        <f t="shared" ref="I160:I177" si="20">A160*H160</f>
        <v>800</v>
      </c>
      <c r="J160" s="17" t="s">
        <v>704</v>
      </c>
    </row>
    <row r="161" spans="1:10">
      <c r="A161" s="442">
        <v>1</v>
      </c>
      <c r="B161" s="17" t="s">
        <v>517</v>
      </c>
      <c r="E161" s="17" t="s">
        <v>705</v>
      </c>
      <c r="F161" s="403">
        <v>500</v>
      </c>
      <c r="H161" s="403">
        <f t="shared" si="19"/>
        <v>500</v>
      </c>
      <c r="I161" s="403">
        <f t="shared" si="20"/>
        <v>500</v>
      </c>
      <c r="J161" s="17" t="s">
        <v>704</v>
      </c>
    </row>
    <row r="162" spans="1:10">
      <c r="A162" s="17">
        <v>1</v>
      </c>
      <c r="B162" s="17" t="s">
        <v>517</v>
      </c>
      <c r="E162" s="17" t="s">
        <v>706</v>
      </c>
      <c r="F162" s="403">
        <v>40</v>
      </c>
      <c r="H162" s="403">
        <f t="shared" si="19"/>
        <v>40</v>
      </c>
      <c r="I162" s="403">
        <f t="shared" si="20"/>
        <v>40</v>
      </c>
    </row>
    <row r="163" spans="1:10">
      <c r="A163" s="442">
        <v>1</v>
      </c>
      <c r="B163" s="17" t="s">
        <v>517</v>
      </c>
      <c r="E163" s="17" t="s">
        <v>707</v>
      </c>
      <c r="F163" s="403">
        <v>1500</v>
      </c>
      <c r="H163" s="403">
        <f t="shared" si="19"/>
        <v>1500</v>
      </c>
      <c r="I163" s="403">
        <f t="shared" si="20"/>
        <v>1500</v>
      </c>
      <c r="J163" s="17" t="s">
        <v>806</v>
      </c>
    </row>
    <row r="164" spans="1:10">
      <c r="A164" s="442">
        <v>0</v>
      </c>
      <c r="B164" s="17" t="s">
        <v>517</v>
      </c>
      <c r="E164" s="17" t="s">
        <v>807</v>
      </c>
      <c r="F164" s="403">
        <v>500</v>
      </c>
      <c r="H164" s="403">
        <f t="shared" si="19"/>
        <v>500</v>
      </c>
      <c r="I164" s="403">
        <f t="shared" si="20"/>
        <v>0</v>
      </c>
      <c r="J164" s="17" t="s">
        <v>806</v>
      </c>
    </row>
    <row r="165" spans="1:10" ht="55.65">
      <c r="A165" s="442">
        <v>1</v>
      </c>
      <c r="B165" s="17" t="s">
        <v>517</v>
      </c>
      <c r="C165" s="204" t="s">
        <v>708</v>
      </c>
      <c r="E165" s="204" t="s">
        <v>709</v>
      </c>
      <c r="F165" s="403">
        <v>460</v>
      </c>
      <c r="H165" s="403">
        <f t="shared" si="19"/>
        <v>460</v>
      </c>
      <c r="I165" s="403">
        <f t="shared" si="20"/>
        <v>460</v>
      </c>
    </row>
    <row r="166" spans="1:10" ht="33.4">
      <c r="A166" s="442">
        <v>0</v>
      </c>
      <c r="B166" s="17" t="s">
        <v>517</v>
      </c>
      <c r="C166" s="204" t="s">
        <v>808</v>
      </c>
      <c r="E166" s="204" t="s">
        <v>712</v>
      </c>
      <c r="F166" s="403">
        <v>365</v>
      </c>
      <c r="H166" s="403">
        <f t="shared" si="19"/>
        <v>365</v>
      </c>
      <c r="I166" s="403">
        <f t="shared" si="20"/>
        <v>0</v>
      </c>
    </row>
    <row r="167" spans="1:10" ht="55.65">
      <c r="A167" s="442">
        <v>0</v>
      </c>
      <c r="B167" s="17" t="s">
        <v>517</v>
      </c>
      <c r="C167" s="17" t="s">
        <v>713</v>
      </c>
      <c r="D167" s="17" t="s">
        <v>714</v>
      </c>
      <c r="E167" s="204" t="s">
        <v>715</v>
      </c>
      <c r="F167" s="403">
        <v>2725</v>
      </c>
      <c r="H167" s="403">
        <f t="shared" si="19"/>
        <v>2725</v>
      </c>
      <c r="I167" s="403">
        <f t="shared" si="20"/>
        <v>0</v>
      </c>
    </row>
    <row r="168" spans="1:10" ht="33.4">
      <c r="A168" s="442">
        <v>0</v>
      </c>
      <c r="B168" s="17" t="s">
        <v>517</v>
      </c>
      <c r="C168" s="204" t="s">
        <v>716</v>
      </c>
      <c r="E168" s="17" t="s">
        <v>717</v>
      </c>
      <c r="F168" s="403">
        <f>1840*1.04</f>
        <v>1913.6000000000001</v>
      </c>
      <c r="H168" s="403">
        <f t="shared" si="19"/>
        <v>1913.6000000000001</v>
      </c>
      <c r="I168" s="403">
        <f t="shared" si="20"/>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9"/>
        <v>50</v>
      </c>
      <c r="I171" s="403">
        <f t="shared" si="20"/>
        <v>0</v>
      </c>
    </row>
    <row r="172" spans="1:10">
      <c r="A172" s="442">
        <v>0</v>
      </c>
      <c r="B172" s="17" t="s">
        <v>517</v>
      </c>
      <c r="C172" s="204" t="s">
        <v>721</v>
      </c>
      <c r="E172" s="17" t="s">
        <v>722</v>
      </c>
      <c r="F172" s="403">
        <f>69/100</f>
        <v>0.69</v>
      </c>
      <c r="H172" s="403">
        <f t="shared" si="19"/>
        <v>0.69</v>
      </c>
      <c r="I172" s="403">
        <f t="shared" si="20"/>
        <v>0</v>
      </c>
    </row>
    <row r="173" spans="1:10">
      <c r="A173" s="442">
        <f t="shared" ref="A173:A176" si="21">A172</f>
        <v>0</v>
      </c>
      <c r="B173" s="17" t="s">
        <v>517</v>
      </c>
      <c r="C173" s="204" t="s">
        <v>721</v>
      </c>
      <c r="E173" s="17" t="s">
        <v>723</v>
      </c>
      <c r="F173" s="403">
        <v>0.1</v>
      </c>
      <c r="H173" s="403">
        <f t="shared" si="19"/>
        <v>0.1</v>
      </c>
      <c r="I173" s="403">
        <f t="shared" si="20"/>
        <v>0</v>
      </c>
    </row>
    <row r="174" spans="1:10">
      <c r="A174" s="442">
        <f t="shared" si="21"/>
        <v>0</v>
      </c>
      <c r="B174" s="17" t="s">
        <v>517</v>
      </c>
      <c r="C174" s="204" t="s">
        <v>721</v>
      </c>
      <c r="E174" s="17" t="s">
        <v>724</v>
      </c>
      <c r="F174" s="403">
        <f>13.25/1.2/100</f>
        <v>0.11041666666666668</v>
      </c>
      <c r="H174" s="403">
        <f t="shared" si="19"/>
        <v>0.11041666666666668</v>
      </c>
      <c r="I174" s="403">
        <f t="shared" si="20"/>
        <v>0</v>
      </c>
    </row>
    <row r="175" spans="1:10" ht="22.25">
      <c r="A175" s="442">
        <v>0</v>
      </c>
      <c r="B175" s="17" t="s">
        <v>539</v>
      </c>
      <c r="C175" s="204" t="s">
        <v>725</v>
      </c>
      <c r="E175" s="17" t="s">
        <v>726</v>
      </c>
      <c r="F175" s="403">
        <f>15.73/1.2</f>
        <v>13.108333333333334</v>
      </c>
      <c r="H175" s="403">
        <f t="shared" si="19"/>
        <v>13.108333333333334</v>
      </c>
      <c r="I175" s="403">
        <f t="shared" si="20"/>
        <v>0</v>
      </c>
    </row>
    <row r="176" spans="1:10" ht="22.25">
      <c r="A176" s="442">
        <f t="shared" si="21"/>
        <v>0</v>
      </c>
      <c r="B176" s="17" t="s">
        <v>539</v>
      </c>
      <c r="C176" s="204" t="s">
        <v>531</v>
      </c>
      <c r="E176" s="17" t="s">
        <v>727</v>
      </c>
      <c r="F176" s="403">
        <v>25</v>
      </c>
      <c r="H176" s="403">
        <f t="shared" si="19"/>
        <v>25</v>
      </c>
      <c r="I176" s="403">
        <f t="shared" si="20"/>
        <v>0</v>
      </c>
    </row>
    <row r="177" spans="1:9" ht="22.25">
      <c r="A177" s="442">
        <f>A176*4</f>
        <v>0</v>
      </c>
      <c r="B177" s="17" t="s">
        <v>517</v>
      </c>
      <c r="C177" s="204" t="s">
        <v>531</v>
      </c>
      <c r="E177" s="17" t="s">
        <v>728</v>
      </c>
      <c r="F177" s="403">
        <v>0.1</v>
      </c>
      <c r="H177" s="403">
        <f t="shared" si="19"/>
        <v>0.1</v>
      </c>
      <c r="I177" s="403">
        <f t="shared" si="20"/>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9"/>
        <v>500</v>
      </c>
      <c r="I182" s="403">
        <f t="shared" ref="I182:I184" si="22">A182*H182</f>
        <v>500</v>
      </c>
    </row>
    <row r="183" spans="1:9" ht="55.65">
      <c r="A183" s="442">
        <v>0</v>
      </c>
      <c r="B183" s="17" t="s">
        <v>517</v>
      </c>
      <c r="C183" s="204" t="s">
        <v>708</v>
      </c>
      <c r="E183" s="204" t="s">
        <v>731</v>
      </c>
      <c r="F183" s="403">
        <f>460/2</f>
        <v>230</v>
      </c>
      <c r="H183" s="403">
        <f t="shared" si="19"/>
        <v>230</v>
      </c>
      <c r="I183" s="403">
        <f t="shared" si="22"/>
        <v>0</v>
      </c>
    </row>
    <row r="184" spans="1:9" ht="55.65">
      <c r="A184" s="442">
        <v>0</v>
      </c>
      <c r="B184" s="17" t="s">
        <v>517</v>
      </c>
      <c r="C184" s="204" t="s">
        <v>711</v>
      </c>
      <c r="E184" s="204" t="s">
        <v>732</v>
      </c>
      <c r="F184" s="403">
        <f>320/2</f>
        <v>160</v>
      </c>
      <c r="H184" s="403">
        <f t="shared" si="19"/>
        <v>160</v>
      </c>
      <c r="I184" s="403">
        <f t="shared" si="22"/>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87"/>
  <sheetViews>
    <sheetView workbookViewId="0">
      <pane ySplit="3" topLeftCell="A4" activePane="bottomLeft" state="frozen"/>
      <selection activeCellId="1" sqref="G16 A1"/>
      <selection pane="bottomLeft"/>
    </sheetView>
  </sheetViews>
  <sheetFormatPr baseColWidth="10" defaultColWidth="10.140625" defaultRowHeight="11.15"/>
  <cols>
    <col min="1" max="1" width="6.140625" style="17" customWidth="1"/>
    <col min="2" max="2" width="8.140625" style="17" customWidth="1"/>
    <col min="3" max="3" width="10.140625" style="204"/>
    <col min="4" max="4" width="17.85546875" style="17" customWidth="1"/>
    <col min="5" max="5" width="59.140625" style="17" customWidth="1"/>
    <col min="6" max="6" width="10.140625" style="403"/>
    <col min="7" max="7" width="10.140625" style="404"/>
    <col min="8" max="8" width="10.140625" style="17"/>
    <col min="9" max="9" width="12.140625" style="17" customWidth="1"/>
    <col min="10" max="10" width="14.28515625" style="17" customWidth="1"/>
    <col min="11" max="11" width="18.140625" style="17" customWidth="1"/>
    <col min="12" max="12" width="12.140625" style="17" customWidth="1"/>
    <col min="13" max="19" width="10.140625" style="403"/>
    <col min="20" max="64" width="10.140625" style="17"/>
  </cols>
  <sheetData>
    <row r="1" spans="1:19" ht="15.05">
      <c r="B1" s="1058" t="s">
        <v>318</v>
      </c>
      <c r="C1" s="1058"/>
      <c r="D1" s="1058"/>
      <c r="E1" s="1058"/>
      <c r="F1" s="1058"/>
      <c r="H1" s="405" t="s">
        <v>493</v>
      </c>
      <c r="I1" s="406">
        <v>405</v>
      </c>
      <c r="J1" s="17" t="s">
        <v>494</v>
      </c>
      <c r="K1" s="17" t="s">
        <v>495</v>
      </c>
      <c r="L1" s="58">
        <f>A4*I1</f>
        <v>115830</v>
      </c>
      <c r="M1" s="403" t="s">
        <v>494</v>
      </c>
    </row>
    <row r="2" spans="1:19" ht="15.05" customHeight="1">
      <c r="A2" s="984" t="s">
        <v>98</v>
      </c>
      <c r="B2" s="984"/>
      <c r="C2" s="984"/>
      <c r="D2" s="984"/>
      <c r="E2" s="984"/>
      <c r="F2" s="984"/>
      <c r="G2" s="984"/>
    </row>
    <row r="3" spans="1:19" ht="39.299999999999997">
      <c r="A3" s="407" t="s">
        <v>496</v>
      </c>
      <c r="B3" s="407" t="s">
        <v>497</v>
      </c>
      <c r="C3" s="408" t="s">
        <v>498</v>
      </c>
      <c r="D3" s="407" t="s">
        <v>499</v>
      </c>
      <c r="E3" s="407" t="s">
        <v>500</v>
      </c>
      <c r="F3" s="409" t="s">
        <v>501</v>
      </c>
      <c r="G3" s="410" t="s">
        <v>502</v>
      </c>
      <c r="H3" s="409" t="s">
        <v>503</v>
      </c>
      <c r="I3" s="409" t="s">
        <v>362</v>
      </c>
      <c r="J3" s="204" t="s">
        <v>504</v>
      </c>
      <c r="K3" s="204" t="s">
        <v>504</v>
      </c>
      <c r="L3" s="204" t="s">
        <v>504</v>
      </c>
      <c r="M3" s="411" t="s">
        <v>117</v>
      </c>
      <c r="N3" s="411" t="s">
        <v>46</v>
      </c>
      <c r="O3" s="411" t="s">
        <v>47</v>
      </c>
      <c r="P3" s="411" t="s">
        <v>118</v>
      </c>
      <c r="Q3" s="411" t="s">
        <v>119</v>
      </c>
      <c r="R3" s="411" t="s">
        <v>120</v>
      </c>
      <c r="S3" s="412" t="s">
        <v>51</v>
      </c>
    </row>
    <row r="4" spans="1:19" ht="22.25">
      <c r="A4" s="413">
        <v>286</v>
      </c>
      <c r="B4" s="413" t="s">
        <v>505</v>
      </c>
      <c r="C4" s="415" t="s">
        <v>734</v>
      </c>
      <c r="D4" s="414"/>
      <c r="E4" s="415" t="s">
        <v>735</v>
      </c>
      <c r="F4" s="416">
        <f t="shared" ref="F4:F5" si="0">0.362*405</f>
        <v>146.60999999999999</v>
      </c>
      <c r="G4" s="419"/>
      <c r="H4" s="416">
        <f t="shared" ref="H4:H9" si="1">F4*(1-G4)</f>
        <v>146.60999999999999</v>
      </c>
      <c r="I4" s="409">
        <f t="shared" ref="I4:I9" si="2">A4*H4</f>
        <v>41930.46</v>
      </c>
      <c r="J4" s="417">
        <f>F4/$I$1</f>
        <v>0.36199999999999999</v>
      </c>
      <c r="K4" s="403"/>
      <c r="M4" s="418">
        <f>I4</f>
        <v>41930.46</v>
      </c>
      <c r="N4" s="418"/>
      <c r="O4" s="418"/>
      <c r="P4" s="418"/>
      <c r="Q4" s="418"/>
      <c r="R4" s="418"/>
      <c r="S4" s="418"/>
    </row>
    <row r="5" spans="1:19" ht="22.25">
      <c r="A5" s="488">
        <v>3</v>
      </c>
      <c r="B5" s="407" t="s">
        <v>505</v>
      </c>
      <c r="C5" s="415" t="s">
        <v>734</v>
      </c>
      <c r="D5" s="414"/>
      <c r="E5" s="415" t="s">
        <v>735</v>
      </c>
      <c r="F5" s="416">
        <f t="shared" si="0"/>
        <v>146.60999999999999</v>
      </c>
      <c r="G5" s="419"/>
      <c r="H5" s="416">
        <f t="shared" si="1"/>
        <v>146.60999999999999</v>
      </c>
      <c r="I5" s="409">
        <f t="shared" si="2"/>
        <v>439.82999999999993</v>
      </c>
      <c r="J5" s="417"/>
      <c r="K5" s="403" t="s">
        <v>809</v>
      </c>
      <c r="L5" s="404"/>
      <c r="M5" s="418"/>
      <c r="N5" s="418"/>
      <c r="O5" s="418"/>
      <c r="P5" s="418"/>
      <c r="Q5" s="418"/>
      <c r="R5" s="418"/>
      <c r="S5" s="418"/>
    </row>
    <row r="6" spans="1:19">
      <c r="A6" s="413">
        <f>A4+A5</f>
        <v>289</v>
      </c>
      <c r="B6" s="413" t="s">
        <v>505</v>
      </c>
      <c r="C6" s="413" t="s">
        <v>781</v>
      </c>
      <c r="D6" s="413"/>
      <c r="E6" s="420" t="s">
        <v>782</v>
      </c>
      <c r="F6" s="421">
        <f>12556*1.036/A6</f>
        <v>45.010435986159166</v>
      </c>
      <c r="G6" s="422"/>
      <c r="H6" s="416">
        <f t="shared" si="1"/>
        <v>45.010435986159166</v>
      </c>
      <c r="I6" s="409">
        <f t="shared" si="2"/>
        <v>13008.016</v>
      </c>
      <c r="J6" s="417">
        <f>F6/$I$1</f>
        <v>0.11113687897817077</v>
      </c>
      <c r="K6" s="417"/>
      <c r="L6" s="204"/>
      <c r="M6" s="418">
        <f>I6</f>
        <v>13008.016</v>
      </c>
      <c r="N6" s="418"/>
      <c r="O6" s="418"/>
      <c r="P6" s="418"/>
      <c r="Q6" s="418"/>
      <c r="R6" s="418"/>
      <c r="S6" s="418"/>
    </row>
    <row r="7" spans="1:19" ht="33.4">
      <c r="A7" s="423">
        <v>2</v>
      </c>
      <c r="B7" s="413" t="s">
        <v>522</v>
      </c>
      <c r="C7" s="415" t="s">
        <v>810</v>
      </c>
      <c r="D7" s="414"/>
      <c r="E7" s="415" t="s">
        <v>811</v>
      </c>
      <c r="F7" s="416">
        <v>3420</v>
      </c>
      <c r="G7" s="422"/>
      <c r="H7" s="421">
        <f t="shared" si="1"/>
        <v>3420</v>
      </c>
      <c r="I7" s="409">
        <f t="shared" si="2"/>
        <v>6840</v>
      </c>
      <c r="J7" s="204"/>
      <c r="M7" s="418"/>
      <c r="N7" s="418">
        <f t="shared" ref="N7:N9" si="3">I7</f>
        <v>6840</v>
      </c>
      <c r="O7" s="418"/>
      <c r="P7" s="418"/>
      <c r="Q7" s="418"/>
      <c r="R7" s="418"/>
      <c r="S7" s="418"/>
    </row>
    <row r="8" spans="1:19">
      <c r="A8" s="413">
        <v>143</v>
      </c>
      <c r="B8" s="413" t="s">
        <v>522</v>
      </c>
      <c r="C8" s="414" t="s">
        <v>783</v>
      </c>
      <c r="D8" s="414"/>
      <c r="E8" s="415" t="s">
        <v>812</v>
      </c>
      <c r="F8" s="416">
        <v>45</v>
      </c>
      <c r="G8" s="410"/>
      <c r="H8" s="416">
        <f t="shared" si="1"/>
        <v>45</v>
      </c>
      <c r="I8" s="409">
        <f t="shared" si="2"/>
        <v>6435</v>
      </c>
      <c r="J8" s="204"/>
      <c r="M8" s="418"/>
      <c r="N8" s="418">
        <f t="shared" si="3"/>
        <v>6435</v>
      </c>
      <c r="O8" s="418"/>
      <c r="P8" s="418"/>
      <c r="Q8" s="418"/>
      <c r="R8" s="418"/>
      <c r="S8" s="418"/>
    </row>
    <row r="9" spans="1:19">
      <c r="A9" s="407"/>
      <c r="B9" s="407"/>
      <c r="C9" s="408"/>
      <c r="D9" s="407"/>
      <c r="E9" s="408"/>
      <c r="F9" s="409"/>
      <c r="G9" s="410"/>
      <c r="H9" s="409">
        <f t="shared" si="1"/>
        <v>0</v>
      </c>
      <c r="I9" s="409">
        <f t="shared" si="2"/>
        <v>0</v>
      </c>
      <c r="J9" s="204"/>
      <c r="M9" s="418"/>
      <c r="N9" s="418">
        <f t="shared" si="3"/>
        <v>0</v>
      </c>
      <c r="O9" s="418"/>
      <c r="P9" s="418"/>
      <c r="Q9" s="418"/>
      <c r="R9" s="418"/>
      <c r="S9" s="418"/>
    </row>
    <row r="10" spans="1:19">
      <c r="A10" s="407"/>
      <c r="B10" s="407"/>
      <c r="C10" s="408"/>
      <c r="D10" s="407"/>
      <c r="E10" s="408"/>
      <c r="F10" s="409"/>
      <c r="G10" s="410"/>
      <c r="H10" s="409">
        <f t="shared" ref="H10:H70" si="4">F10*(1-G10)</f>
        <v>0</v>
      </c>
      <c r="I10" s="409">
        <f t="shared" ref="I10:I34" si="5">A10*H10</f>
        <v>0</v>
      </c>
      <c r="J10" s="204"/>
      <c r="M10" s="418"/>
      <c r="N10" s="418">
        <f>I10</f>
        <v>0</v>
      </c>
      <c r="O10" s="418"/>
      <c r="P10" s="418"/>
      <c r="Q10" s="418"/>
      <c r="R10" s="418"/>
      <c r="S10" s="418"/>
    </row>
    <row r="11" spans="1:19">
      <c r="A11" s="488"/>
      <c r="B11" s="488"/>
      <c r="C11" s="408"/>
      <c r="D11" s="487"/>
      <c r="E11" s="408"/>
      <c r="F11" s="409"/>
      <c r="G11" s="410"/>
      <c r="H11" s="409">
        <f t="shared" si="4"/>
        <v>0</v>
      </c>
      <c r="I11" s="409">
        <f t="shared" si="5"/>
        <v>0</v>
      </c>
      <c r="J11" s="204"/>
      <c r="L11" s="442"/>
      <c r="M11" s="418"/>
      <c r="N11" s="418"/>
      <c r="O11" s="418"/>
      <c r="P11" s="418"/>
      <c r="Q11" s="418"/>
      <c r="R11" s="418">
        <f t="shared" ref="R11:R26" si="6">I11</f>
        <v>0</v>
      </c>
      <c r="S11" s="418"/>
    </row>
    <row r="12" spans="1:19">
      <c r="A12" s="488"/>
      <c r="B12" s="488"/>
      <c r="C12" s="488"/>
      <c r="D12" s="488"/>
      <c r="E12" s="489"/>
      <c r="F12" s="490"/>
      <c r="G12" s="410"/>
      <c r="H12" s="409">
        <f t="shared" si="4"/>
        <v>0</v>
      </c>
      <c r="I12" s="409">
        <f t="shared" si="5"/>
        <v>0</v>
      </c>
      <c r="J12" s="204"/>
      <c r="L12" s="442"/>
      <c r="M12" s="418"/>
      <c r="N12" s="418"/>
      <c r="O12" s="418"/>
      <c r="P12" s="418"/>
      <c r="Q12" s="418"/>
      <c r="R12" s="418">
        <f t="shared" si="6"/>
        <v>0</v>
      </c>
      <c r="S12" s="418"/>
    </row>
    <row r="13" spans="1:19" ht="22.25">
      <c r="A13" s="414">
        <v>1</v>
      </c>
      <c r="B13" s="414" t="s">
        <v>505</v>
      </c>
      <c r="C13" s="415" t="s">
        <v>783</v>
      </c>
      <c r="D13" s="414"/>
      <c r="E13" s="415" t="s">
        <v>791</v>
      </c>
      <c r="F13" s="416">
        <v>1500</v>
      </c>
      <c r="G13" s="419"/>
      <c r="H13" s="416">
        <f t="shared" si="4"/>
        <v>1500</v>
      </c>
      <c r="I13" s="409">
        <f t="shared" si="5"/>
        <v>1500</v>
      </c>
      <c r="J13" s="204"/>
      <c r="M13" s="418"/>
      <c r="N13" s="418"/>
      <c r="O13" s="418"/>
      <c r="P13" s="418"/>
      <c r="Q13" s="418"/>
      <c r="R13" s="418">
        <f t="shared" si="6"/>
        <v>1500</v>
      </c>
      <c r="S13" s="418"/>
    </row>
    <row r="14" spans="1:19">
      <c r="A14" s="407"/>
      <c r="B14" s="407"/>
      <c r="C14" s="407"/>
      <c r="D14" s="407"/>
      <c r="E14" s="408"/>
      <c r="F14" s="409"/>
      <c r="G14" s="410"/>
      <c r="H14" s="409">
        <f t="shared" si="4"/>
        <v>0</v>
      </c>
      <c r="I14" s="409">
        <f t="shared" si="5"/>
        <v>0</v>
      </c>
      <c r="J14" s="204"/>
      <c r="M14" s="418"/>
      <c r="N14" s="418"/>
      <c r="O14" s="418"/>
      <c r="P14" s="418"/>
      <c r="Q14" s="418"/>
      <c r="R14" s="418">
        <f t="shared" si="6"/>
        <v>0</v>
      </c>
      <c r="S14" s="418"/>
    </row>
    <row r="15" spans="1:19">
      <c r="A15" s="413">
        <v>1</v>
      </c>
      <c r="B15" s="413" t="s">
        <v>505</v>
      </c>
      <c r="C15" s="413" t="s">
        <v>792</v>
      </c>
      <c r="D15" s="413" t="s">
        <v>793</v>
      </c>
      <c r="E15" s="420" t="s">
        <v>794</v>
      </c>
      <c r="F15" s="421">
        <v>2000</v>
      </c>
      <c r="G15" s="419"/>
      <c r="H15" s="416">
        <f t="shared" si="4"/>
        <v>2000</v>
      </c>
      <c r="I15" s="409">
        <f t="shared" si="5"/>
        <v>2000</v>
      </c>
      <c r="J15" s="204"/>
      <c r="M15" s="418"/>
      <c r="N15" s="418"/>
      <c r="O15" s="418"/>
      <c r="P15" s="418"/>
      <c r="Q15" s="418"/>
      <c r="R15" s="418">
        <f t="shared" si="6"/>
        <v>2000</v>
      </c>
      <c r="S15" s="418"/>
    </row>
    <row r="16" spans="1:19" ht="33.4">
      <c r="A16" s="407">
        <v>0</v>
      </c>
      <c r="B16" s="407" t="s">
        <v>505</v>
      </c>
      <c r="C16" s="408" t="s">
        <v>534</v>
      </c>
      <c r="D16" s="407"/>
      <c r="E16" s="408" t="s">
        <v>535</v>
      </c>
      <c r="F16" s="409">
        <v>3.71</v>
      </c>
      <c r="G16" s="410"/>
      <c r="H16" s="409">
        <f t="shared" si="4"/>
        <v>3.71</v>
      </c>
      <c r="I16" s="409">
        <f t="shared" si="5"/>
        <v>0</v>
      </c>
      <c r="J16" s="204" t="s">
        <v>795</v>
      </c>
      <c r="M16" s="418"/>
      <c r="N16" s="418"/>
      <c r="O16" s="418"/>
      <c r="P16" s="418"/>
      <c r="Q16" s="418"/>
      <c r="R16" s="418">
        <f t="shared" si="6"/>
        <v>0</v>
      </c>
      <c r="S16" s="418"/>
    </row>
    <row r="17" spans="1:19" ht="22.25">
      <c r="A17" s="407">
        <f>A16</f>
        <v>0</v>
      </c>
      <c r="B17" s="407" t="s">
        <v>505</v>
      </c>
      <c r="C17" s="408" t="s">
        <v>534</v>
      </c>
      <c r="D17" s="407"/>
      <c r="E17" s="408" t="s">
        <v>537</v>
      </c>
      <c r="F17" s="409">
        <v>3.81</v>
      </c>
      <c r="G17" s="410"/>
      <c r="H17" s="409">
        <f t="shared" si="4"/>
        <v>3.81</v>
      </c>
      <c r="I17" s="409">
        <f t="shared" si="5"/>
        <v>0</v>
      </c>
      <c r="J17" s="204" t="s">
        <v>538</v>
      </c>
      <c r="M17" s="418"/>
      <c r="N17" s="418"/>
      <c r="O17" s="418"/>
      <c r="P17" s="418"/>
      <c r="Q17" s="418"/>
      <c r="R17" s="418">
        <f t="shared" si="6"/>
        <v>0</v>
      </c>
      <c r="S17" s="418"/>
    </row>
    <row r="18" spans="1:19" ht="44.55">
      <c r="A18" s="413">
        <v>500</v>
      </c>
      <c r="B18" s="413" t="s">
        <v>539</v>
      </c>
      <c r="C18" s="415" t="s">
        <v>747</v>
      </c>
      <c r="D18" s="413"/>
      <c r="E18" s="420" t="s">
        <v>755</v>
      </c>
      <c r="F18" s="421">
        <f t="shared" ref="F18:F19" si="7">362.73/500</f>
        <v>0.72545999999999999</v>
      </c>
      <c r="G18" s="419"/>
      <c r="H18" s="416">
        <f t="shared" si="4"/>
        <v>0.72545999999999999</v>
      </c>
      <c r="I18" s="409">
        <f t="shared" si="5"/>
        <v>362.73</v>
      </c>
      <c r="J18" s="17" t="s">
        <v>796</v>
      </c>
      <c r="M18" s="418"/>
      <c r="N18" s="418"/>
      <c r="O18" s="418">
        <f t="shared" ref="O18:O29" si="8">I18</f>
        <v>362.73</v>
      </c>
      <c r="P18" s="418"/>
      <c r="Q18" s="418"/>
      <c r="R18" s="418"/>
      <c r="S18" s="418"/>
    </row>
    <row r="19" spans="1:19" ht="44.55">
      <c r="A19" s="413">
        <v>1000</v>
      </c>
      <c r="B19" s="413" t="s">
        <v>539</v>
      </c>
      <c r="C19" s="415" t="s">
        <v>747</v>
      </c>
      <c r="D19" s="413"/>
      <c r="E19" s="420" t="s">
        <v>757</v>
      </c>
      <c r="F19" s="421">
        <f t="shared" si="7"/>
        <v>0.72545999999999999</v>
      </c>
      <c r="G19" s="419"/>
      <c r="H19" s="416">
        <f t="shared" si="4"/>
        <v>0.72545999999999999</v>
      </c>
      <c r="I19" s="409">
        <f t="shared" si="5"/>
        <v>725.46</v>
      </c>
      <c r="J19" s="17" t="s">
        <v>796</v>
      </c>
      <c r="M19" s="418"/>
      <c r="N19" s="418"/>
      <c r="O19" s="418">
        <f t="shared" si="8"/>
        <v>725.46</v>
      </c>
      <c r="P19" s="418"/>
      <c r="Q19" s="418"/>
      <c r="R19" s="418"/>
      <c r="S19" s="418"/>
    </row>
    <row r="20" spans="1:19" ht="44.55">
      <c r="A20" s="413">
        <v>10</v>
      </c>
      <c r="B20" s="413" t="s">
        <v>551</v>
      </c>
      <c r="C20" s="420" t="s">
        <v>552</v>
      </c>
      <c r="D20" s="413" t="s">
        <v>553</v>
      </c>
      <c r="E20" s="420" t="s">
        <v>554</v>
      </c>
      <c r="F20" s="421">
        <v>100</v>
      </c>
      <c r="G20" s="426"/>
      <c r="H20" s="425">
        <f t="shared" si="4"/>
        <v>100</v>
      </c>
      <c r="I20" s="409">
        <f t="shared" si="5"/>
        <v>1000</v>
      </c>
      <c r="J20" s="204" t="s">
        <v>796</v>
      </c>
      <c r="K20" s="17" t="s">
        <v>555</v>
      </c>
      <c r="M20" s="418"/>
      <c r="N20" s="418"/>
      <c r="O20" s="418">
        <f t="shared" si="8"/>
        <v>1000</v>
      </c>
      <c r="P20" s="418"/>
      <c r="Q20" s="418"/>
      <c r="R20" s="418"/>
      <c r="S20" s="418"/>
    </row>
    <row r="21" spans="1:19" ht="33.4">
      <c r="A21" s="413">
        <f>2*7+2</f>
        <v>16</v>
      </c>
      <c r="B21" s="413" t="s">
        <v>517</v>
      </c>
      <c r="C21" s="420" t="s">
        <v>540</v>
      </c>
      <c r="D21" s="413" t="s">
        <v>797</v>
      </c>
      <c r="E21" s="420" t="s">
        <v>798</v>
      </c>
      <c r="F21" s="421">
        <v>0.88</v>
      </c>
      <c r="G21" s="419"/>
      <c r="H21" s="416">
        <f t="shared" si="4"/>
        <v>0.88</v>
      </c>
      <c r="I21" s="409">
        <f t="shared" si="5"/>
        <v>14.08</v>
      </c>
      <c r="J21" s="204" t="s">
        <v>813</v>
      </c>
      <c r="M21" s="418"/>
      <c r="N21" s="418"/>
      <c r="O21" s="418">
        <f t="shared" si="8"/>
        <v>14.08</v>
      </c>
      <c r="P21" s="418"/>
      <c r="Q21" s="418"/>
      <c r="R21" s="418"/>
      <c r="S21" s="418"/>
    </row>
    <row r="22" spans="1:19" ht="33.4">
      <c r="A22" s="413">
        <f>A21</f>
        <v>16</v>
      </c>
      <c r="B22" s="413" t="s">
        <v>517</v>
      </c>
      <c r="C22" s="420" t="s">
        <v>540</v>
      </c>
      <c r="D22" s="413" t="s">
        <v>800</v>
      </c>
      <c r="E22" s="420" t="s">
        <v>801</v>
      </c>
      <c r="F22" s="421">
        <v>0.67</v>
      </c>
      <c r="G22" s="419"/>
      <c r="H22" s="416">
        <f t="shared" si="4"/>
        <v>0.67</v>
      </c>
      <c r="I22" s="409">
        <f t="shared" si="5"/>
        <v>10.72</v>
      </c>
      <c r="J22" s="204" t="str">
        <f>J21</f>
        <v>7 chaînes DC et 1 bretelle</v>
      </c>
      <c r="M22" s="418"/>
      <c r="N22" s="418"/>
      <c r="O22" s="418">
        <f t="shared" si="8"/>
        <v>10.72</v>
      </c>
      <c r="P22" s="418"/>
      <c r="Q22" s="418"/>
      <c r="R22" s="418"/>
      <c r="S22" s="418"/>
    </row>
    <row r="23" spans="1:19" ht="22.25">
      <c r="A23" s="407">
        <v>0</v>
      </c>
      <c r="B23" s="407" t="s">
        <v>517</v>
      </c>
      <c r="C23" s="408" t="s">
        <v>540</v>
      </c>
      <c r="D23" s="407" t="s">
        <v>556</v>
      </c>
      <c r="E23" s="408" t="s">
        <v>557</v>
      </c>
      <c r="F23" s="409">
        <v>6.58</v>
      </c>
      <c r="G23" s="410"/>
      <c r="H23" s="409">
        <f t="shared" si="4"/>
        <v>6.58</v>
      </c>
      <c r="I23" s="409">
        <f t="shared" si="5"/>
        <v>0</v>
      </c>
      <c r="J23" s="204"/>
      <c r="M23" s="418"/>
      <c r="N23" s="418"/>
      <c r="O23" s="418">
        <f t="shared" si="8"/>
        <v>0</v>
      </c>
      <c r="P23" s="418"/>
      <c r="Q23" s="418"/>
      <c r="R23" s="418"/>
      <c r="S23" s="418"/>
    </row>
    <row r="24" spans="1:19" ht="22.25">
      <c r="A24" s="413">
        <v>0</v>
      </c>
      <c r="B24" s="413" t="s">
        <v>517</v>
      </c>
      <c r="C24" s="415" t="s">
        <v>506</v>
      </c>
      <c r="D24" s="414"/>
      <c r="E24" s="415" t="s">
        <v>802</v>
      </c>
      <c r="F24" s="416">
        <f>86.1/28</f>
        <v>3.0749999999999997</v>
      </c>
      <c r="G24" s="419"/>
      <c r="H24" s="416">
        <f t="shared" si="4"/>
        <v>3.0749999999999997</v>
      </c>
      <c r="I24" s="409">
        <f t="shared" si="5"/>
        <v>0</v>
      </c>
      <c r="J24" s="204"/>
      <c r="M24" s="418"/>
      <c r="N24" s="418"/>
      <c r="O24" s="418"/>
      <c r="P24" s="418"/>
      <c r="Q24" s="418"/>
      <c r="R24" s="418">
        <f t="shared" si="6"/>
        <v>0</v>
      </c>
      <c r="S24" s="418"/>
    </row>
    <row r="25" spans="1:19" ht="35.85" customHeight="1">
      <c r="A25" s="413">
        <v>1</v>
      </c>
      <c r="B25" s="413" t="s">
        <v>522</v>
      </c>
      <c r="C25" s="413" t="s">
        <v>751</v>
      </c>
      <c r="D25" s="413"/>
      <c r="E25" s="420" t="s">
        <v>803</v>
      </c>
      <c r="F25" s="421">
        <v>564.44000000000005</v>
      </c>
      <c r="G25" s="419"/>
      <c r="H25" s="416">
        <f t="shared" si="4"/>
        <v>564.44000000000005</v>
      </c>
      <c r="I25" s="409">
        <f t="shared" si="5"/>
        <v>564.44000000000005</v>
      </c>
      <c r="J25" s="1054"/>
      <c r="K25" s="1054"/>
      <c r="L25" s="1054"/>
      <c r="M25" s="418"/>
      <c r="N25" s="418"/>
      <c r="O25" s="418"/>
      <c r="P25" s="418"/>
      <c r="Q25" s="418"/>
      <c r="R25" s="418">
        <f t="shared" si="6"/>
        <v>564.44000000000005</v>
      </c>
      <c r="S25" s="418"/>
    </row>
    <row r="26" spans="1:19">
      <c r="A26" s="407"/>
      <c r="B26" s="407"/>
      <c r="C26" s="408"/>
      <c r="D26" s="407"/>
      <c r="E26" s="408"/>
      <c r="F26" s="409"/>
      <c r="G26" s="410"/>
      <c r="H26" s="409">
        <f t="shared" si="4"/>
        <v>0</v>
      </c>
      <c r="I26" s="409">
        <f t="shared" si="5"/>
        <v>0</v>
      </c>
      <c r="J26" s="204"/>
      <c r="M26" s="418"/>
      <c r="N26" s="418"/>
      <c r="O26" s="418"/>
      <c r="P26" s="418"/>
      <c r="Q26" s="418"/>
      <c r="R26" s="418">
        <f t="shared" si="6"/>
        <v>0</v>
      </c>
      <c r="S26" s="418"/>
    </row>
    <row r="27" spans="1:19" ht="22.25">
      <c r="A27" s="413">
        <v>1</v>
      </c>
      <c r="B27" s="413" t="s">
        <v>522</v>
      </c>
      <c r="C27" s="420" t="s">
        <v>531</v>
      </c>
      <c r="D27" s="413"/>
      <c r="E27" s="420" t="s">
        <v>695</v>
      </c>
      <c r="F27" s="421">
        <v>100</v>
      </c>
      <c r="G27" s="410"/>
      <c r="H27" s="409">
        <f t="shared" si="4"/>
        <v>100</v>
      </c>
      <c r="I27" s="409">
        <f t="shared" si="5"/>
        <v>100</v>
      </c>
      <c r="J27" s="204"/>
      <c r="M27" s="418"/>
      <c r="N27" s="418"/>
      <c r="O27" s="418">
        <f t="shared" si="8"/>
        <v>100</v>
      </c>
      <c r="P27" s="418"/>
      <c r="Q27" s="418"/>
      <c r="R27" s="418"/>
      <c r="S27" s="418"/>
    </row>
    <row r="28" spans="1:19" ht="22.25">
      <c r="A28" s="413">
        <v>1</v>
      </c>
      <c r="B28" s="413" t="s">
        <v>505</v>
      </c>
      <c r="C28" s="489" t="s">
        <v>540</v>
      </c>
      <c r="D28" s="488" t="s">
        <v>769</v>
      </c>
      <c r="E28" s="489" t="s">
        <v>567</v>
      </c>
      <c r="F28" s="490">
        <v>750</v>
      </c>
      <c r="G28" s="410"/>
      <c r="H28" s="409">
        <f t="shared" si="4"/>
        <v>750</v>
      </c>
      <c r="I28" s="409">
        <f t="shared" si="5"/>
        <v>750</v>
      </c>
      <c r="J28" s="204"/>
      <c r="M28" s="418">
        <f>F28</f>
        <v>750</v>
      </c>
      <c r="N28" s="418"/>
      <c r="O28" s="418"/>
      <c r="P28" s="418"/>
      <c r="Q28" s="418"/>
      <c r="R28" s="418"/>
      <c r="S28" s="418"/>
    </row>
    <row r="29" spans="1:19" ht="44.55">
      <c r="A29" s="488">
        <v>5</v>
      </c>
      <c r="B29" s="414" t="s">
        <v>539</v>
      </c>
      <c r="C29" s="415" t="s">
        <v>552</v>
      </c>
      <c r="D29" s="414"/>
      <c r="E29" s="415" t="s">
        <v>804</v>
      </c>
      <c r="F29" s="416">
        <f>44/1.2</f>
        <v>36.666666666666671</v>
      </c>
      <c r="G29" s="426"/>
      <c r="H29" s="425">
        <f t="shared" si="4"/>
        <v>36.666666666666671</v>
      </c>
      <c r="I29" s="409">
        <f t="shared" si="5"/>
        <v>183.33333333333337</v>
      </c>
      <c r="J29" s="204"/>
      <c r="K29" s="17" t="s">
        <v>805</v>
      </c>
      <c r="M29" s="418"/>
      <c r="N29" s="418"/>
      <c r="O29" s="418">
        <f t="shared" si="8"/>
        <v>183.33333333333337</v>
      </c>
      <c r="P29" s="418"/>
      <c r="Q29" s="418"/>
      <c r="R29" s="418"/>
      <c r="S29" s="418"/>
    </row>
    <row r="30" spans="1:19" ht="44.55">
      <c r="A30" s="413">
        <v>0</v>
      </c>
      <c r="B30" s="413" t="s">
        <v>517</v>
      </c>
      <c r="C30" s="420" t="s">
        <v>569</v>
      </c>
      <c r="D30" s="413" t="s">
        <v>570</v>
      </c>
      <c r="E30" s="420" t="s">
        <v>571</v>
      </c>
      <c r="F30" s="421">
        <v>1040</v>
      </c>
      <c r="G30" s="495">
        <v>0.48</v>
      </c>
      <c r="H30" s="425">
        <f t="shared" si="4"/>
        <v>540.80000000000007</v>
      </c>
      <c r="I30" s="409">
        <f t="shared" si="5"/>
        <v>0</v>
      </c>
      <c r="J30" s="204"/>
      <c r="M30" s="418"/>
      <c r="N30" s="418"/>
      <c r="O30" s="418"/>
      <c r="P30" s="418"/>
      <c r="Q30" s="418"/>
      <c r="R30" s="418"/>
      <c r="S30" s="418">
        <f t="shared" ref="S30:S34" si="9">I30</f>
        <v>0</v>
      </c>
    </row>
    <row r="31" spans="1:19" ht="55.65">
      <c r="A31" s="413">
        <v>1</v>
      </c>
      <c r="B31" s="413" t="s">
        <v>517</v>
      </c>
      <c r="C31" s="424" t="s">
        <v>569</v>
      </c>
      <c r="D31" s="423" t="s">
        <v>572</v>
      </c>
      <c r="E31" s="424" t="s">
        <v>573</v>
      </c>
      <c r="F31" s="425">
        <v>1190</v>
      </c>
      <c r="G31" s="495">
        <v>0.48</v>
      </c>
      <c r="H31" s="425">
        <f t="shared" si="4"/>
        <v>618.80000000000007</v>
      </c>
      <c r="I31" s="409">
        <f t="shared" si="5"/>
        <v>618.80000000000007</v>
      </c>
      <c r="J31" s="204"/>
      <c r="M31" s="418"/>
      <c r="N31" s="418"/>
      <c r="O31" s="418"/>
      <c r="P31" s="418"/>
      <c r="Q31" s="418"/>
      <c r="R31" s="418"/>
      <c r="S31" s="418">
        <f t="shared" si="9"/>
        <v>618.80000000000007</v>
      </c>
    </row>
    <row r="32" spans="1:19">
      <c r="A32" s="413">
        <v>0</v>
      </c>
      <c r="B32" s="413" t="s">
        <v>517</v>
      </c>
      <c r="C32" s="420" t="s">
        <v>574</v>
      </c>
      <c r="D32" s="413" t="s">
        <v>575</v>
      </c>
      <c r="E32" s="413" t="s">
        <v>576</v>
      </c>
      <c r="F32" s="421">
        <v>36.700000000000003</v>
      </c>
      <c r="G32" s="419"/>
      <c r="H32" s="416">
        <f t="shared" si="4"/>
        <v>36.700000000000003</v>
      </c>
      <c r="I32" s="409">
        <f t="shared" si="5"/>
        <v>0</v>
      </c>
      <c r="J32" s="204"/>
      <c r="M32" s="418"/>
      <c r="N32" s="418"/>
      <c r="O32" s="418"/>
      <c r="P32" s="418"/>
      <c r="Q32" s="418"/>
      <c r="R32" s="418"/>
      <c r="S32" s="418">
        <f t="shared" si="9"/>
        <v>0</v>
      </c>
    </row>
    <row r="33" spans="1:19">
      <c r="A33" s="413">
        <v>5</v>
      </c>
      <c r="B33" s="413" t="s">
        <v>517</v>
      </c>
      <c r="C33" s="420" t="s">
        <v>574</v>
      </c>
      <c r="D33" s="413" t="s">
        <v>577</v>
      </c>
      <c r="E33" s="413" t="s">
        <v>578</v>
      </c>
      <c r="F33" s="421">
        <v>75</v>
      </c>
      <c r="G33" s="419"/>
      <c r="H33" s="416">
        <f t="shared" si="4"/>
        <v>75</v>
      </c>
      <c r="I33" s="409">
        <f t="shared" si="5"/>
        <v>375</v>
      </c>
      <c r="J33" s="204"/>
      <c r="M33" s="418"/>
      <c r="N33" s="418"/>
      <c r="O33" s="418"/>
      <c r="P33" s="418"/>
      <c r="Q33" s="418"/>
      <c r="R33" s="418"/>
      <c r="S33" s="418">
        <f t="shared" si="9"/>
        <v>375</v>
      </c>
    </row>
    <row r="34" spans="1:19">
      <c r="A34" s="413">
        <v>1</v>
      </c>
      <c r="B34" s="413" t="s">
        <v>517</v>
      </c>
      <c r="C34" s="420" t="s">
        <v>574</v>
      </c>
      <c r="D34" s="413"/>
      <c r="E34" s="413" t="s">
        <v>579</v>
      </c>
      <c r="F34" s="421">
        <f>35/4</f>
        <v>8.75</v>
      </c>
      <c r="G34" s="419"/>
      <c r="H34" s="416">
        <f t="shared" si="4"/>
        <v>8.75</v>
      </c>
      <c r="I34" s="409">
        <f t="shared" si="5"/>
        <v>8.75</v>
      </c>
      <c r="J34" s="204"/>
      <c r="M34" s="418"/>
      <c r="N34" s="418"/>
      <c r="O34" s="418"/>
      <c r="P34" s="418"/>
      <c r="Q34" s="418"/>
      <c r="R34" s="418"/>
      <c r="S34" s="418">
        <f t="shared" si="9"/>
        <v>8.75</v>
      </c>
    </row>
    <row r="35" spans="1:19" ht="12.45">
      <c r="A35" s="407"/>
      <c r="B35" s="407"/>
      <c r="C35" s="408"/>
      <c r="D35" s="407"/>
      <c r="E35" s="431"/>
      <c r="F35" s="409"/>
      <c r="G35" s="410"/>
      <c r="H35" s="409"/>
      <c r="I35" s="409"/>
      <c r="J35" s="204"/>
      <c r="M35" s="418"/>
      <c r="N35" s="418"/>
      <c r="O35" s="418"/>
      <c r="P35" s="418"/>
      <c r="Q35" s="418"/>
      <c r="R35" s="418"/>
      <c r="S35" s="418"/>
    </row>
    <row r="36" spans="1:19">
      <c r="A36" s="407"/>
      <c r="B36" s="407"/>
      <c r="C36" s="408"/>
      <c r="D36" s="407"/>
      <c r="E36" s="407"/>
      <c r="F36" s="409"/>
      <c r="G36" s="410"/>
      <c r="H36" s="409"/>
      <c r="I36" s="409"/>
      <c r="J36" s="204"/>
      <c r="M36" s="418"/>
      <c r="N36" s="418"/>
      <c r="O36" s="418"/>
      <c r="P36" s="418"/>
      <c r="Q36" s="418"/>
      <c r="R36" s="418"/>
      <c r="S36" s="418"/>
    </row>
    <row r="37" spans="1:19">
      <c r="A37" s="407"/>
      <c r="B37" s="407"/>
      <c r="C37" s="408"/>
      <c r="D37" s="407"/>
      <c r="E37" s="432" t="s">
        <v>580</v>
      </c>
      <c r="F37" s="409"/>
      <c r="G37" s="410"/>
      <c r="H37" s="409"/>
      <c r="I37" s="421">
        <f>SUM(I4:I35)</f>
        <v>76866.619333333336</v>
      </c>
      <c r="J37" s="204"/>
      <c r="M37" s="418">
        <f>SUM(M4:M35)</f>
        <v>55688.475999999995</v>
      </c>
      <c r="N37" s="418">
        <f>SUM(N4:N35)</f>
        <v>13275</v>
      </c>
      <c r="O37" s="418">
        <f>SUM(O4:O35)</f>
        <v>2396.3233333333333</v>
      </c>
      <c r="P37" s="418"/>
      <c r="Q37" s="418"/>
      <c r="R37" s="418">
        <f>SUM(R4:R35)</f>
        <v>4064.44</v>
      </c>
      <c r="S37" s="418">
        <f>SUM(S4:S35)</f>
        <v>1002.5500000000001</v>
      </c>
    </row>
    <row r="38" spans="1:19">
      <c r="A38" s="407"/>
      <c r="B38" s="407"/>
      <c r="C38" s="408"/>
      <c r="D38" s="407"/>
      <c r="E38" s="413" t="s">
        <v>581</v>
      </c>
      <c r="F38" s="409"/>
      <c r="G38" s="410">
        <v>0.25</v>
      </c>
      <c r="H38" s="409"/>
      <c r="I38" s="421"/>
      <c r="J38" s="204"/>
      <c r="M38" s="418"/>
      <c r="N38" s="418"/>
      <c r="O38" s="418"/>
      <c r="P38" s="418"/>
      <c r="Q38" s="418"/>
      <c r="R38" s="418"/>
      <c r="S38" s="418"/>
    </row>
    <row r="39" spans="1:19" ht="15.75">
      <c r="E39" s="433" t="s">
        <v>582</v>
      </c>
      <c r="F39" s="418"/>
      <c r="G39" s="434"/>
      <c r="H39" s="418"/>
      <c r="I39" s="435">
        <f>I37*(1+$G$38)</f>
        <v>96083.27416666667</v>
      </c>
      <c r="J39" s="436"/>
      <c r="K39" s="437"/>
      <c r="L39" s="437"/>
      <c r="M39" s="438">
        <f>M37*(1+$G$38)</f>
        <v>69610.595000000001</v>
      </c>
      <c r="N39" s="438">
        <f>N37*(1+$G$38)</f>
        <v>16593.75</v>
      </c>
      <c r="O39" s="438">
        <f>O37*(1+$G$38)</f>
        <v>2995.4041666666667</v>
      </c>
      <c r="P39" s="438">
        <f>P74</f>
        <v>16840</v>
      </c>
      <c r="Q39" s="438">
        <f>Q132</f>
        <v>25607.859999999997</v>
      </c>
      <c r="R39" s="438">
        <f>R37*(1+$G$38)</f>
        <v>5080.55</v>
      </c>
      <c r="S39" s="438">
        <f>S37*(1+$G$38)</f>
        <v>1253.1875</v>
      </c>
    </row>
    <row r="42" spans="1:19" ht="33.4">
      <c r="B42" s="204" t="s">
        <v>583</v>
      </c>
      <c r="C42" s="204" t="s">
        <v>584</v>
      </c>
      <c r="E42" s="439" t="s">
        <v>585</v>
      </c>
    </row>
    <row r="43" spans="1:19">
      <c r="A43" s="440">
        <f t="shared" ref="A43:A65" si="10">B43*C43</f>
        <v>12</v>
      </c>
      <c r="B43" s="441">
        <v>6</v>
      </c>
      <c r="C43" s="493">
        <v>2</v>
      </c>
      <c r="E43" s="17" t="s">
        <v>586</v>
      </c>
      <c r="F43" s="403">
        <f t="shared" ref="F43:F65" si="11">F$69</f>
        <v>55</v>
      </c>
      <c r="H43" s="403">
        <f t="shared" si="4"/>
        <v>55</v>
      </c>
      <c r="I43" s="403">
        <f t="shared" ref="I43:I71" si="12">A43*H43</f>
        <v>660</v>
      </c>
    </row>
    <row r="44" spans="1:19">
      <c r="A44" s="440">
        <f t="shared" si="10"/>
        <v>43.35</v>
      </c>
      <c r="B44" s="441">
        <v>0.15</v>
      </c>
      <c r="C44" s="493">
        <f>A6</f>
        <v>289</v>
      </c>
      <c r="D44" s="17" t="s">
        <v>588</v>
      </c>
      <c r="E44" s="17" t="s">
        <v>589</v>
      </c>
      <c r="F44" s="403">
        <f t="shared" si="11"/>
        <v>55</v>
      </c>
      <c r="H44" s="403">
        <f t="shared" si="4"/>
        <v>55</v>
      </c>
      <c r="I44" s="403">
        <f t="shared" si="12"/>
        <v>2384.25</v>
      </c>
    </row>
    <row r="45" spans="1:19">
      <c r="A45" s="440">
        <f t="shared" si="10"/>
        <v>101.14999999999999</v>
      </c>
      <c r="B45" s="441">
        <v>0.35</v>
      </c>
      <c r="C45" s="493">
        <f>C44</f>
        <v>289</v>
      </c>
      <c r="D45" s="17" t="s">
        <v>588</v>
      </c>
      <c r="E45" s="17" t="s">
        <v>591</v>
      </c>
      <c r="F45" s="403">
        <f t="shared" si="11"/>
        <v>55</v>
      </c>
      <c r="H45" s="403">
        <f t="shared" si="4"/>
        <v>55</v>
      </c>
      <c r="I45" s="403">
        <f t="shared" si="12"/>
        <v>5563.2499999999991</v>
      </c>
    </row>
    <row r="46" spans="1:19">
      <c r="A46" s="440">
        <f t="shared" si="10"/>
        <v>1.2</v>
      </c>
      <c r="B46" s="441">
        <v>0.04</v>
      </c>
      <c r="C46" s="493">
        <v>30</v>
      </c>
      <c r="D46" s="17" t="s">
        <v>539</v>
      </c>
      <c r="E46" s="17" t="s">
        <v>593</v>
      </c>
      <c r="F46" s="403">
        <f t="shared" si="11"/>
        <v>55</v>
      </c>
      <c r="H46" s="403">
        <f t="shared" si="4"/>
        <v>55</v>
      </c>
      <c r="I46" s="403">
        <f t="shared" si="12"/>
        <v>66</v>
      </c>
    </row>
    <row r="47" spans="1:19">
      <c r="A47" s="440">
        <f t="shared" si="10"/>
        <v>0.4</v>
      </c>
      <c r="B47" s="441">
        <v>0.04</v>
      </c>
      <c r="C47" s="493">
        <v>10</v>
      </c>
      <c r="D47" s="17" t="s">
        <v>539</v>
      </c>
      <c r="E47" s="17" t="s">
        <v>594</v>
      </c>
      <c r="F47" s="403">
        <f t="shared" si="11"/>
        <v>55</v>
      </c>
      <c r="H47" s="403">
        <f t="shared" si="4"/>
        <v>55</v>
      </c>
      <c r="I47" s="403">
        <f t="shared" si="12"/>
        <v>22</v>
      </c>
    </row>
    <row r="48" spans="1:19">
      <c r="A48" s="440">
        <f t="shared" si="10"/>
        <v>50</v>
      </c>
      <c r="B48" s="441">
        <v>0.02</v>
      </c>
      <c r="C48" s="493">
        <f>A18+A19+A20*100</f>
        <v>2500</v>
      </c>
      <c r="D48" s="17" t="s">
        <v>539</v>
      </c>
      <c r="E48" s="17" t="s">
        <v>595</v>
      </c>
      <c r="F48" s="403">
        <f t="shared" si="11"/>
        <v>55</v>
      </c>
      <c r="H48" s="403">
        <f t="shared" si="4"/>
        <v>55</v>
      </c>
      <c r="I48" s="403">
        <f t="shared" si="12"/>
        <v>2750</v>
      </c>
    </row>
    <row r="49" spans="1:9">
      <c r="A49" s="440">
        <f t="shared" si="10"/>
        <v>0</v>
      </c>
      <c r="B49" s="441">
        <f>2*0.17</f>
        <v>0.34</v>
      </c>
      <c r="C49" s="493">
        <v>0</v>
      </c>
      <c r="D49" s="17" t="s">
        <v>596</v>
      </c>
      <c r="E49" s="17" t="s">
        <v>775</v>
      </c>
      <c r="F49" s="403">
        <f t="shared" si="11"/>
        <v>55</v>
      </c>
      <c r="H49" s="403">
        <f t="shared" si="4"/>
        <v>55</v>
      </c>
      <c r="I49" s="403">
        <f t="shared" si="12"/>
        <v>0</v>
      </c>
    </row>
    <row r="50" spans="1:9">
      <c r="A50" s="440">
        <f t="shared" si="10"/>
        <v>6</v>
      </c>
      <c r="B50" s="441">
        <v>0.4</v>
      </c>
      <c r="C50" s="493">
        <v>15</v>
      </c>
      <c r="E50" s="17" t="s">
        <v>600</v>
      </c>
      <c r="F50" s="403">
        <f t="shared" si="11"/>
        <v>55</v>
      </c>
      <c r="H50" s="403">
        <f t="shared" si="4"/>
        <v>55</v>
      </c>
      <c r="I50" s="403">
        <f t="shared" si="12"/>
        <v>330</v>
      </c>
    </row>
    <row r="51" spans="1:9">
      <c r="A51" s="440">
        <f t="shared" si="10"/>
        <v>2</v>
      </c>
      <c r="B51" s="441">
        <v>2</v>
      </c>
      <c r="C51" s="493">
        <v>1</v>
      </c>
      <c r="E51" s="17" t="s">
        <v>601</v>
      </c>
      <c r="F51" s="403">
        <f t="shared" si="11"/>
        <v>55</v>
      </c>
      <c r="H51" s="403">
        <f t="shared" si="4"/>
        <v>55</v>
      </c>
      <c r="I51" s="403">
        <f t="shared" si="12"/>
        <v>110</v>
      </c>
    </row>
    <row r="52" spans="1:9">
      <c r="A52" s="440">
        <f t="shared" si="10"/>
        <v>0</v>
      </c>
      <c r="B52" s="441">
        <f>0.5+10*0.15+2*0.1</f>
        <v>2.2000000000000002</v>
      </c>
      <c r="C52" s="493">
        <v>0</v>
      </c>
      <c r="E52" s="17" t="s">
        <v>602</v>
      </c>
      <c r="F52" s="403">
        <f t="shared" si="11"/>
        <v>55</v>
      </c>
      <c r="H52" s="403">
        <f t="shared" si="4"/>
        <v>55</v>
      </c>
      <c r="I52" s="403">
        <f t="shared" si="12"/>
        <v>0</v>
      </c>
    </row>
    <row r="53" spans="1:9">
      <c r="A53" s="440">
        <f t="shared" si="10"/>
        <v>0</v>
      </c>
      <c r="B53" s="441">
        <f>0.5+4*0.15</f>
        <v>1.1000000000000001</v>
      </c>
      <c r="C53" s="493">
        <v>0</v>
      </c>
      <c r="E53" s="17" t="s">
        <v>776</v>
      </c>
      <c r="F53" s="403">
        <f t="shared" si="11"/>
        <v>55</v>
      </c>
      <c r="H53" s="403">
        <f t="shared" si="4"/>
        <v>55</v>
      </c>
      <c r="I53" s="403">
        <f t="shared" si="12"/>
        <v>0</v>
      </c>
    </row>
    <row r="54" spans="1:9">
      <c r="A54" s="440">
        <f t="shared" si="10"/>
        <v>1.3333333333333333</v>
      </c>
      <c r="B54" s="441">
        <f>8/6</f>
        <v>1.3333333333333333</v>
      </c>
      <c r="C54" s="493">
        <v>1</v>
      </c>
      <c r="D54" s="17" t="s">
        <v>604</v>
      </c>
      <c r="E54" s="17" t="s">
        <v>605</v>
      </c>
      <c r="F54" s="403">
        <f t="shared" si="11"/>
        <v>55</v>
      </c>
      <c r="H54" s="403">
        <f t="shared" si="4"/>
        <v>55</v>
      </c>
      <c r="I54" s="403">
        <f t="shared" si="12"/>
        <v>73.333333333333329</v>
      </c>
    </row>
    <row r="55" spans="1:9">
      <c r="A55" s="440">
        <f t="shared" si="10"/>
        <v>4</v>
      </c>
      <c r="B55" s="441">
        <v>4</v>
      </c>
      <c r="C55" s="493">
        <v>1</v>
      </c>
      <c r="E55" s="17" t="s">
        <v>606</v>
      </c>
      <c r="F55" s="403">
        <f t="shared" si="11"/>
        <v>55</v>
      </c>
      <c r="H55" s="403">
        <f t="shared" si="4"/>
        <v>55</v>
      </c>
      <c r="I55" s="403">
        <f t="shared" si="12"/>
        <v>220</v>
      </c>
    </row>
    <row r="56" spans="1:9">
      <c r="A56" s="440">
        <f t="shared" si="10"/>
        <v>4</v>
      </c>
      <c r="B56" s="441">
        <v>2</v>
      </c>
      <c r="C56" s="493">
        <v>2</v>
      </c>
      <c r="E56" s="17" t="s">
        <v>607</v>
      </c>
      <c r="F56" s="403">
        <f t="shared" si="11"/>
        <v>55</v>
      </c>
      <c r="H56" s="403">
        <f t="shared" si="4"/>
        <v>55</v>
      </c>
      <c r="I56" s="403">
        <f t="shared" si="12"/>
        <v>220</v>
      </c>
    </row>
    <row r="57" spans="1:9">
      <c r="A57" s="440">
        <f t="shared" si="10"/>
        <v>31.46</v>
      </c>
      <c r="B57" s="441">
        <v>0.22</v>
      </c>
      <c r="C57" s="493">
        <f>A8</f>
        <v>143</v>
      </c>
      <c r="E57" s="17" t="s">
        <v>814</v>
      </c>
      <c r="F57" s="403">
        <f t="shared" si="11"/>
        <v>55</v>
      </c>
      <c r="H57" s="403">
        <f t="shared" si="4"/>
        <v>55</v>
      </c>
      <c r="I57" s="403">
        <f t="shared" si="12"/>
        <v>1730.3</v>
      </c>
    </row>
    <row r="58" spans="1:9">
      <c r="A58" s="440">
        <f t="shared" si="10"/>
        <v>0.93000000000000016</v>
      </c>
      <c r="B58" s="441">
        <f>0.33+6*0.1</f>
        <v>0.93000000000000016</v>
      </c>
      <c r="C58" s="493">
        <v>1</v>
      </c>
      <c r="E58" s="17" t="s">
        <v>609</v>
      </c>
      <c r="F58" s="403">
        <f t="shared" si="11"/>
        <v>55</v>
      </c>
      <c r="H58" s="403">
        <f t="shared" si="4"/>
        <v>55</v>
      </c>
      <c r="I58" s="403">
        <f t="shared" si="12"/>
        <v>51.150000000000006</v>
      </c>
    </row>
    <row r="59" spans="1:9">
      <c r="A59" s="440">
        <f t="shared" si="10"/>
        <v>0</v>
      </c>
      <c r="B59" s="441">
        <v>0.17</v>
      </c>
      <c r="C59" s="493">
        <v>0</v>
      </c>
      <c r="E59" s="17" t="s">
        <v>610</v>
      </c>
      <c r="F59" s="403">
        <f t="shared" si="11"/>
        <v>55</v>
      </c>
      <c r="H59" s="403">
        <f t="shared" si="4"/>
        <v>55</v>
      </c>
      <c r="I59" s="403">
        <f t="shared" si="12"/>
        <v>0</v>
      </c>
    </row>
    <row r="60" spans="1:9">
      <c r="A60" s="440">
        <f t="shared" si="10"/>
        <v>1</v>
      </c>
      <c r="B60" s="441">
        <v>0.5</v>
      </c>
      <c r="C60" s="493">
        <v>2</v>
      </c>
      <c r="E60" s="17" t="s">
        <v>611</v>
      </c>
      <c r="F60" s="403">
        <f t="shared" si="11"/>
        <v>55</v>
      </c>
      <c r="H60" s="403">
        <f t="shared" si="4"/>
        <v>55</v>
      </c>
      <c r="I60" s="403">
        <f t="shared" si="12"/>
        <v>55</v>
      </c>
    </row>
    <row r="61" spans="1:9">
      <c r="A61" s="440">
        <f t="shared" si="10"/>
        <v>1</v>
      </c>
      <c r="B61" s="441">
        <v>1</v>
      </c>
      <c r="C61" s="493">
        <v>1</v>
      </c>
      <c r="E61" s="17" t="s">
        <v>612</v>
      </c>
      <c r="F61" s="403">
        <f t="shared" si="11"/>
        <v>55</v>
      </c>
      <c r="H61" s="403">
        <f t="shared" si="4"/>
        <v>55</v>
      </c>
      <c r="I61" s="403">
        <f t="shared" si="12"/>
        <v>55</v>
      </c>
    </row>
    <row r="62" spans="1:9">
      <c r="A62" s="440">
        <f t="shared" si="10"/>
        <v>6</v>
      </c>
      <c r="B62" s="441">
        <v>6</v>
      </c>
      <c r="C62" s="493">
        <v>1</v>
      </c>
      <c r="E62" s="17" t="s">
        <v>614</v>
      </c>
      <c r="F62" s="403">
        <f t="shared" si="11"/>
        <v>55</v>
      </c>
      <c r="H62" s="403">
        <f t="shared" si="4"/>
        <v>55</v>
      </c>
      <c r="I62" s="403">
        <f t="shared" si="12"/>
        <v>330</v>
      </c>
    </row>
    <row r="63" spans="1:9">
      <c r="A63" s="440">
        <f t="shared" si="10"/>
        <v>4</v>
      </c>
      <c r="B63" s="441">
        <v>4</v>
      </c>
      <c r="C63" s="493">
        <v>1</v>
      </c>
      <c r="E63" s="17" t="s">
        <v>615</v>
      </c>
      <c r="F63" s="403">
        <f t="shared" si="11"/>
        <v>55</v>
      </c>
      <c r="H63" s="403">
        <f t="shared" si="4"/>
        <v>55</v>
      </c>
      <c r="I63" s="403">
        <f t="shared" si="12"/>
        <v>220</v>
      </c>
    </row>
    <row r="64" spans="1:9">
      <c r="A64" s="440">
        <f t="shared" si="10"/>
        <v>4</v>
      </c>
      <c r="B64" s="441">
        <v>4</v>
      </c>
      <c r="C64" s="493">
        <v>1</v>
      </c>
      <c r="E64" s="17" t="s">
        <v>616</v>
      </c>
      <c r="F64" s="403">
        <f t="shared" si="11"/>
        <v>55</v>
      </c>
      <c r="H64" s="403">
        <f t="shared" si="4"/>
        <v>55</v>
      </c>
      <c r="I64" s="403">
        <f t="shared" si="12"/>
        <v>220</v>
      </c>
    </row>
    <row r="65" spans="1:16">
      <c r="A65" s="440">
        <f t="shared" si="10"/>
        <v>1.25</v>
      </c>
      <c r="B65" s="441">
        <v>0.25</v>
      </c>
      <c r="C65" s="493">
        <v>5</v>
      </c>
      <c r="D65" s="494" t="s">
        <v>539</v>
      </c>
      <c r="E65" s="17" t="s">
        <v>617</v>
      </c>
      <c r="F65" s="403">
        <f t="shared" si="11"/>
        <v>55</v>
      </c>
      <c r="H65" s="403">
        <f t="shared" si="4"/>
        <v>55</v>
      </c>
      <c r="I65" s="403">
        <f t="shared" si="12"/>
        <v>68.75</v>
      </c>
    </row>
    <row r="67" spans="1:16">
      <c r="A67" s="17">
        <f>SUM(A43:A66)</f>
        <v>275.07333333333332</v>
      </c>
      <c r="B67" s="17" t="s">
        <v>619</v>
      </c>
      <c r="E67" s="17" t="s">
        <v>620</v>
      </c>
    </row>
    <row r="68" spans="1:16">
      <c r="A68" s="441">
        <v>3</v>
      </c>
      <c r="B68" s="17" t="s">
        <v>517</v>
      </c>
      <c r="E68" s="17" t="s">
        <v>621</v>
      </c>
    </row>
    <row r="69" spans="1:16">
      <c r="A69" s="17">
        <v>1</v>
      </c>
      <c r="B69" s="17" t="s">
        <v>517</v>
      </c>
      <c r="E69" s="17" t="s">
        <v>622</v>
      </c>
      <c r="F69" s="445">
        <v>55</v>
      </c>
      <c r="H69" s="403">
        <f t="shared" si="4"/>
        <v>55</v>
      </c>
      <c r="I69" s="403">
        <f t="shared" si="12"/>
        <v>55</v>
      </c>
      <c r="J69" s="17" t="s">
        <v>623</v>
      </c>
    </row>
    <row r="70" spans="1:16">
      <c r="A70" s="17">
        <f>ROUNDUP(A67/8/A68,0)</f>
        <v>12</v>
      </c>
      <c r="B70" s="17" t="s">
        <v>624</v>
      </c>
      <c r="E70" s="17" t="s">
        <v>625</v>
      </c>
      <c r="F70" s="403">
        <f>A68*8*F69</f>
        <v>1320</v>
      </c>
      <c r="H70" s="403">
        <f t="shared" si="4"/>
        <v>1320</v>
      </c>
      <c r="I70" s="403">
        <f t="shared" si="12"/>
        <v>15840</v>
      </c>
    </row>
    <row r="71" spans="1:16">
      <c r="A71" s="441">
        <v>1</v>
      </c>
      <c r="B71" s="442" t="s">
        <v>517</v>
      </c>
      <c r="C71" s="446"/>
      <c r="D71" s="442"/>
      <c r="E71" s="442" t="s">
        <v>626</v>
      </c>
      <c r="F71" s="447">
        <v>500</v>
      </c>
      <c r="G71" s="444"/>
      <c r="H71" s="403">
        <v>1000</v>
      </c>
      <c r="I71" s="403">
        <f t="shared" si="12"/>
        <v>1000</v>
      </c>
      <c r="J71" s="17" t="s">
        <v>627</v>
      </c>
    </row>
    <row r="72" spans="1:16">
      <c r="A72" s="441"/>
      <c r="F72" s="447"/>
      <c r="H72" s="403"/>
      <c r="I72" s="403"/>
    </row>
    <row r="73" spans="1:16">
      <c r="A73" s="441"/>
      <c r="F73" s="447"/>
      <c r="H73" s="403"/>
      <c r="I73" s="403"/>
    </row>
    <row r="74" spans="1:16" ht="15.75">
      <c r="E74" s="439" t="s">
        <v>628</v>
      </c>
      <c r="I74" s="443">
        <f>SUM(I70:I73)</f>
        <v>16840</v>
      </c>
      <c r="P74" s="438">
        <f>I74</f>
        <v>16840</v>
      </c>
    </row>
    <row r="81" spans="1:11" ht="55">
      <c r="C81" s="448" t="s">
        <v>629</v>
      </c>
      <c r="D81" s="448"/>
      <c r="E81" s="449" t="s">
        <v>630</v>
      </c>
    </row>
    <row r="82" spans="1:11">
      <c r="D82" s="448"/>
      <c r="E82" s="449" t="s">
        <v>631</v>
      </c>
    </row>
    <row r="83" spans="1:11">
      <c r="D83" s="17" t="s">
        <v>632</v>
      </c>
      <c r="E83" s="450" t="s">
        <v>633</v>
      </c>
      <c r="G83" s="451">
        <v>0.4</v>
      </c>
    </row>
    <row r="84" spans="1:11">
      <c r="D84" s="17" t="s">
        <v>517</v>
      </c>
      <c r="E84" s="450" t="s">
        <v>634</v>
      </c>
      <c r="G84" s="451">
        <f>G83</f>
        <v>0.4</v>
      </c>
    </row>
    <row r="85" spans="1:11">
      <c r="D85" s="448"/>
      <c r="E85" s="449"/>
    </row>
    <row r="86" spans="1:11">
      <c r="E86" s="449" t="s">
        <v>635</v>
      </c>
    </row>
    <row r="87" spans="1:11" ht="24.9">
      <c r="A87" s="452">
        <v>0</v>
      </c>
      <c r="B87" s="453" t="s">
        <v>517</v>
      </c>
      <c r="C87" s="454" t="s">
        <v>538</v>
      </c>
      <c r="D87" s="455" t="s">
        <v>636</v>
      </c>
      <c r="E87" s="453" t="s">
        <v>637</v>
      </c>
      <c r="F87" s="456">
        <v>1849</v>
      </c>
      <c r="G87" s="457"/>
      <c r="H87" s="458">
        <f>F87*(1-$G$84)</f>
        <v>1109.3999999999999</v>
      </c>
      <c r="I87" s="458">
        <f t="shared" ref="I87:I98" si="13">A87*H87</f>
        <v>0</v>
      </c>
      <c r="J87" s="459" t="s">
        <v>638</v>
      </c>
      <c r="K87" s="460" t="s">
        <v>639</v>
      </c>
    </row>
    <row r="88" spans="1:11" ht="12.8" customHeight="1">
      <c r="A88" s="461">
        <v>0</v>
      </c>
      <c r="B88" s="453" t="s">
        <v>517</v>
      </c>
      <c r="C88" s="453" t="s">
        <v>538</v>
      </c>
      <c r="D88" s="462" t="s">
        <v>640</v>
      </c>
      <c r="E88" s="453" t="s">
        <v>641</v>
      </c>
      <c r="F88" s="463">
        <v>1949</v>
      </c>
      <c r="G88" s="457"/>
      <c r="H88" s="458">
        <f t="shared" ref="H88:H98" si="14">F88*(1-$G$83)</f>
        <v>1169.3999999999999</v>
      </c>
      <c r="I88" s="458">
        <f t="shared" si="13"/>
        <v>0</v>
      </c>
      <c r="J88" s="459" t="s">
        <v>638</v>
      </c>
      <c r="K88" s="1051" t="s">
        <v>642</v>
      </c>
    </row>
    <row r="89" spans="1:11" ht="24.9">
      <c r="A89" s="452">
        <v>0</v>
      </c>
      <c r="B89" s="453" t="s">
        <v>539</v>
      </c>
      <c r="C89" s="453" t="s">
        <v>538</v>
      </c>
      <c r="D89" s="462" t="s">
        <v>643</v>
      </c>
      <c r="E89" s="453" t="s">
        <v>641</v>
      </c>
      <c r="F89" s="463">
        <v>80</v>
      </c>
      <c r="G89" s="457"/>
      <c r="H89" s="458">
        <f t="shared" si="14"/>
        <v>48</v>
      </c>
      <c r="I89" s="458">
        <f t="shared" si="13"/>
        <v>0</v>
      </c>
      <c r="J89" s="459" t="s">
        <v>638</v>
      </c>
      <c r="K89" s="1051"/>
    </row>
    <row r="90" spans="1:11" ht="12.8" customHeight="1">
      <c r="A90" s="461">
        <v>0</v>
      </c>
      <c r="B90" s="453" t="s">
        <v>517</v>
      </c>
      <c r="C90" s="453" t="s">
        <v>538</v>
      </c>
      <c r="D90" s="464" t="s">
        <v>644</v>
      </c>
      <c r="E90" s="453" t="s">
        <v>645</v>
      </c>
      <c r="F90" s="463">
        <v>10051</v>
      </c>
      <c r="G90" s="457"/>
      <c r="H90" s="458">
        <f t="shared" si="14"/>
        <v>6030.5999999999995</v>
      </c>
      <c r="I90" s="458">
        <f t="shared" si="13"/>
        <v>0</v>
      </c>
      <c r="J90" s="459" t="s">
        <v>638</v>
      </c>
      <c r="K90" s="1052" t="s">
        <v>646</v>
      </c>
    </row>
    <row r="91" spans="1:11" ht="24.9">
      <c r="A91" s="461">
        <v>0</v>
      </c>
      <c r="B91" s="453" t="s">
        <v>517</v>
      </c>
      <c r="C91" s="453" t="s">
        <v>538</v>
      </c>
      <c r="D91" s="464" t="s">
        <v>644</v>
      </c>
      <c r="E91" s="453" t="s">
        <v>647</v>
      </c>
      <c r="F91" s="463">
        <v>17412</v>
      </c>
      <c r="G91" s="457"/>
      <c r="H91" s="458">
        <f t="shared" si="14"/>
        <v>10447.199999999999</v>
      </c>
      <c r="I91" s="458">
        <f t="shared" si="13"/>
        <v>0</v>
      </c>
      <c r="J91" s="459" t="s">
        <v>638</v>
      </c>
      <c r="K91" s="1052"/>
    </row>
    <row r="92" spans="1:11" ht="12.8" customHeight="1">
      <c r="A92" s="461">
        <v>0</v>
      </c>
      <c r="B92" s="453" t="s">
        <v>517</v>
      </c>
      <c r="C92" s="453" t="s">
        <v>538</v>
      </c>
      <c r="D92" s="465" t="s">
        <v>644</v>
      </c>
      <c r="E92" s="453" t="s">
        <v>648</v>
      </c>
      <c r="F92" s="466">
        <v>2345</v>
      </c>
      <c r="G92" s="457"/>
      <c r="H92" s="458">
        <f t="shared" si="14"/>
        <v>1407</v>
      </c>
      <c r="I92" s="458">
        <f t="shared" si="13"/>
        <v>0</v>
      </c>
      <c r="J92" s="453" t="s">
        <v>649</v>
      </c>
      <c r="K92" s="1049" t="s">
        <v>650</v>
      </c>
    </row>
    <row r="93" spans="1:11" ht="24.9">
      <c r="A93" s="461">
        <v>0</v>
      </c>
      <c r="B93" s="453" t="s">
        <v>517</v>
      </c>
      <c r="C93" s="453" t="s">
        <v>538</v>
      </c>
      <c r="D93" s="465" t="s">
        <v>644</v>
      </c>
      <c r="E93" s="453" t="s">
        <v>651</v>
      </c>
      <c r="F93" s="466">
        <v>3258</v>
      </c>
      <c r="G93" s="457"/>
      <c r="H93" s="458">
        <f t="shared" si="14"/>
        <v>1954.8</v>
      </c>
      <c r="I93" s="458">
        <f t="shared" si="13"/>
        <v>0</v>
      </c>
      <c r="J93" s="453" t="s">
        <v>649</v>
      </c>
      <c r="K93" s="1049"/>
    </row>
    <row r="94" spans="1:11" ht="24.9">
      <c r="A94" s="461">
        <v>0</v>
      </c>
      <c r="B94" s="453" t="s">
        <v>517</v>
      </c>
      <c r="C94" s="453" t="s">
        <v>538</v>
      </c>
      <c r="D94" s="465" t="s">
        <v>644</v>
      </c>
      <c r="E94" s="453" t="s">
        <v>652</v>
      </c>
      <c r="F94" s="463">
        <v>5649</v>
      </c>
      <c r="G94" s="457"/>
      <c r="H94" s="458">
        <f t="shared" si="14"/>
        <v>3389.4</v>
      </c>
      <c r="I94" s="458">
        <f t="shared" si="13"/>
        <v>0</v>
      </c>
      <c r="J94" s="453" t="s">
        <v>649</v>
      </c>
      <c r="K94" s="1049"/>
    </row>
    <row r="95" spans="1:11" ht="24.9">
      <c r="A95" s="461">
        <v>0</v>
      </c>
      <c r="B95" s="453" t="s">
        <v>517</v>
      </c>
      <c r="C95" s="453" t="s">
        <v>538</v>
      </c>
      <c r="D95" s="465" t="s">
        <v>644</v>
      </c>
      <c r="E95" s="453" t="s">
        <v>653</v>
      </c>
      <c r="F95" s="463">
        <v>1488</v>
      </c>
      <c r="G95" s="457"/>
      <c r="H95" s="458">
        <f t="shared" si="14"/>
        <v>892.8</v>
      </c>
      <c r="I95" s="458">
        <f t="shared" si="13"/>
        <v>0</v>
      </c>
      <c r="J95" s="453" t="s">
        <v>649</v>
      </c>
      <c r="K95" s="1049"/>
    </row>
    <row r="96" spans="1:11" ht="24.9">
      <c r="A96" s="461">
        <v>0</v>
      </c>
      <c r="B96" s="453" t="s">
        <v>517</v>
      </c>
      <c r="C96" s="453" t="s">
        <v>538</v>
      </c>
      <c r="D96" s="465" t="s">
        <v>644</v>
      </c>
      <c r="E96" s="453" t="s">
        <v>654</v>
      </c>
      <c r="F96" s="463">
        <v>5269</v>
      </c>
      <c r="G96" s="457"/>
      <c r="H96" s="458">
        <f t="shared" si="14"/>
        <v>3161.4</v>
      </c>
      <c r="I96" s="458">
        <f t="shared" si="13"/>
        <v>0</v>
      </c>
      <c r="J96" s="453" t="s">
        <v>649</v>
      </c>
      <c r="K96" s="1049"/>
    </row>
    <row r="97" spans="1:12" ht="24.9">
      <c r="A97" s="461">
        <v>0</v>
      </c>
      <c r="B97" s="453" t="s">
        <v>517</v>
      </c>
      <c r="C97" s="453" t="s">
        <v>538</v>
      </c>
      <c r="D97" s="465" t="s">
        <v>644</v>
      </c>
      <c r="E97" s="453" t="s">
        <v>655</v>
      </c>
      <c r="F97" s="463">
        <v>3078</v>
      </c>
      <c r="G97" s="457"/>
      <c r="H97" s="458">
        <f t="shared" si="14"/>
        <v>1846.8</v>
      </c>
      <c r="I97" s="458">
        <f t="shared" si="13"/>
        <v>0</v>
      </c>
      <c r="J97" s="453" t="s">
        <v>649</v>
      </c>
      <c r="K97" s="1049"/>
    </row>
    <row r="98" spans="1:12" ht="24.9">
      <c r="A98" s="461">
        <v>0</v>
      </c>
      <c r="B98" s="453" t="s">
        <v>517</v>
      </c>
      <c r="C98" s="453" t="s">
        <v>538</v>
      </c>
      <c r="D98" s="465" t="s">
        <v>644</v>
      </c>
      <c r="E98" s="453" t="s">
        <v>656</v>
      </c>
      <c r="F98" s="463">
        <v>3489</v>
      </c>
      <c r="G98" s="457"/>
      <c r="H98" s="458">
        <f t="shared" si="14"/>
        <v>2093.4</v>
      </c>
      <c r="I98" s="458">
        <f t="shared" si="13"/>
        <v>0</v>
      </c>
      <c r="J98" s="453" t="s">
        <v>649</v>
      </c>
      <c r="K98" s="1049"/>
    </row>
    <row r="99" spans="1:12" ht="24.9">
      <c r="A99" s="461">
        <v>0</v>
      </c>
      <c r="B99" s="453" t="s">
        <v>517</v>
      </c>
      <c r="C99" s="453" t="s">
        <v>538</v>
      </c>
      <c r="D99" s="465" t="s">
        <v>644</v>
      </c>
      <c r="E99" s="453" t="s">
        <v>657</v>
      </c>
      <c r="F99" s="467" t="s">
        <v>658</v>
      </c>
      <c r="G99" s="457"/>
      <c r="H99" s="468"/>
      <c r="I99" s="468"/>
      <c r="J99" s="453" t="s">
        <v>649</v>
      </c>
      <c r="K99" s="1049"/>
    </row>
    <row r="100" spans="1:12" ht="24.9">
      <c r="A100" s="461">
        <v>0</v>
      </c>
      <c r="B100" s="453" t="s">
        <v>517</v>
      </c>
      <c r="C100" s="453" t="s">
        <v>538</v>
      </c>
      <c r="D100" s="465" t="s">
        <v>644</v>
      </c>
      <c r="E100" s="453" t="s">
        <v>659</v>
      </c>
      <c r="F100" s="463">
        <v>7456</v>
      </c>
      <c r="G100" s="457"/>
      <c r="H100" s="458">
        <f t="shared" ref="H100:H102" si="15">F100*(1-$G$83)</f>
        <v>4473.5999999999995</v>
      </c>
      <c r="I100" s="458">
        <f t="shared" ref="I100:I130" si="16">A100*H100</f>
        <v>0</v>
      </c>
      <c r="J100" s="453" t="s">
        <v>649</v>
      </c>
      <c r="K100" s="1049"/>
    </row>
    <row r="101" spans="1:12" ht="24.9">
      <c r="A101" s="461">
        <v>0</v>
      </c>
      <c r="B101" s="453" t="s">
        <v>517</v>
      </c>
      <c r="C101" s="453" t="s">
        <v>538</v>
      </c>
      <c r="D101" s="465" t="s">
        <v>644</v>
      </c>
      <c r="E101" s="453" t="s">
        <v>660</v>
      </c>
      <c r="F101" s="463">
        <v>8494</v>
      </c>
      <c r="G101" s="457"/>
      <c r="H101" s="458">
        <f t="shared" si="15"/>
        <v>5096.3999999999996</v>
      </c>
      <c r="I101" s="458">
        <f t="shared" si="16"/>
        <v>0</v>
      </c>
      <c r="J101" s="453" t="s">
        <v>649</v>
      </c>
      <c r="K101" s="1049"/>
    </row>
    <row r="102" spans="1:12" ht="68.75" customHeight="1">
      <c r="A102" s="461">
        <v>0</v>
      </c>
      <c r="B102" s="453" t="s">
        <v>517</v>
      </c>
      <c r="C102" s="453" t="s">
        <v>538</v>
      </c>
      <c r="D102" s="465" t="s">
        <v>644</v>
      </c>
      <c r="E102" s="453" t="s">
        <v>661</v>
      </c>
      <c r="F102" s="463">
        <v>9434</v>
      </c>
      <c r="G102" s="457"/>
      <c r="H102" s="458">
        <f t="shared" si="15"/>
        <v>5660.4</v>
      </c>
      <c r="I102" s="458">
        <f t="shared" si="16"/>
        <v>0</v>
      </c>
      <c r="J102" s="453" t="s">
        <v>649</v>
      </c>
      <c r="K102" s="1049"/>
      <c r="L102" s="204"/>
    </row>
    <row r="103" spans="1:12">
      <c r="A103" s="469"/>
      <c r="B103" s="427"/>
      <c r="C103" s="427"/>
      <c r="D103" s="470"/>
      <c r="E103" s="427"/>
      <c r="F103" s="471"/>
      <c r="G103" s="471"/>
      <c r="H103" s="472"/>
      <c r="I103" s="473"/>
      <c r="J103" s="427"/>
      <c r="K103" s="427"/>
    </row>
    <row r="104" spans="1:12" ht="37.35">
      <c r="A104" s="474"/>
      <c r="B104" s="475"/>
      <c r="C104" s="475"/>
      <c r="D104" s="476"/>
      <c r="E104" s="475"/>
      <c r="F104" s="477" t="s">
        <v>662</v>
      </c>
      <c r="G104" s="478" t="s">
        <v>663</v>
      </c>
      <c r="H104" s="479"/>
      <c r="I104" s="480"/>
      <c r="J104" s="427"/>
      <c r="K104" s="475"/>
    </row>
    <row r="105" spans="1:12" ht="91" customHeight="1">
      <c r="A105" s="461">
        <v>0</v>
      </c>
      <c r="B105" s="453" t="s">
        <v>539</v>
      </c>
      <c r="C105" s="453" t="s">
        <v>538</v>
      </c>
      <c r="D105" s="481" t="s">
        <v>664</v>
      </c>
      <c r="E105" s="453" t="s">
        <v>665</v>
      </c>
      <c r="F105" s="463">
        <v>108</v>
      </c>
      <c r="G105" s="463">
        <v>79</v>
      </c>
      <c r="H105" s="458">
        <f>IFERROR((MIN(A105,400)*F105+MAX(A105-400,0)*G105)*(1-G83)/A105,0)</f>
        <v>0</v>
      </c>
      <c r="I105" s="458">
        <f t="shared" si="16"/>
        <v>0</v>
      </c>
      <c r="J105" s="453" t="s">
        <v>638</v>
      </c>
      <c r="K105" s="482" t="s">
        <v>666</v>
      </c>
      <c r="L105" s="204"/>
    </row>
    <row r="106" spans="1:12" ht="113.4" customHeight="1">
      <c r="A106" s="474"/>
      <c r="B106" s="475"/>
      <c r="C106" s="475"/>
      <c r="D106" s="476"/>
      <c r="E106" s="475"/>
      <c r="F106" s="457"/>
      <c r="G106" s="457"/>
      <c r="H106" s="479"/>
      <c r="I106" s="480"/>
      <c r="J106" s="475"/>
      <c r="K106" s="475"/>
      <c r="L106" s="204"/>
    </row>
    <row r="107" spans="1:12">
      <c r="A107" s="474"/>
      <c r="B107" s="475"/>
      <c r="C107" s="475"/>
      <c r="D107" s="476"/>
      <c r="E107" s="475"/>
      <c r="F107" s="457"/>
      <c r="G107" s="457"/>
      <c r="H107" s="479"/>
      <c r="I107" s="480"/>
      <c r="J107" s="475"/>
      <c r="K107" s="475"/>
    </row>
    <row r="108" spans="1:12" ht="13.1">
      <c r="A108" s="474"/>
      <c r="B108" s="475"/>
      <c r="C108" s="475"/>
      <c r="D108" s="476"/>
      <c r="E108" s="483" t="s">
        <v>667</v>
      </c>
      <c r="F108" s="457"/>
      <c r="G108" s="457"/>
      <c r="H108" s="479"/>
      <c r="I108" s="480"/>
      <c r="J108" s="475"/>
      <c r="K108" s="475"/>
    </row>
    <row r="109" spans="1:12" ht="12.8" customHeight="1">
      <c r="A109" s="452">
        <v>1</v>
      </c>
      <c r="B109" s="453" t="s">
        <v>517</v>
      </c>
      <c r="C109" s="454" t="s">
        <v>538</v>
      </c>
      <c r="D109" s="455" t="s">
        <v>636</v>
      </c>
      <c r="E109" s="453" t="s">
        <v>668</v>
      </c>
      <c r="F109" s="463">
        <v>3732</v>
      </c>
      <c r="G109" s="457"/>
      <c r="H109" s="458">
        <f>F109*(1-G84)</f>
        <v>2239.1999999999998</v>
      </c>
      <c r="I109" s="458">
        <f t="shared" si="16"/>
        <v>2239.1999999999998</v>
      </c>
      <c r="J109" s="453" t="s">
        <v>649</v>
      </c>
      <c r="K109" s="1050" t="s">
        <v>669</v>
      </c>
    </row>
    <row r="110" spans="1:12" ht="24.9">
      <c r="A110" s="452">
        <v>1</v>
      </c>
      <c r="B110" s="453" t="s">
        <v>539</v>
      </c>
      <c r="C110" s="454" t="s">
        <v>538</v>
      </c>
      <c r="D110" s="455" t="s">
        <v>670</v>
      </c>
      <c r="E110" s="453" t="s">
        <v>671</v>
      </c>
      <c r="F110" s="463">
        <v>88.7</v>
      </c>
      <c r="G110" s="457"/>
      <c r="H110" s="458">
        <f>F110*(1-G84)</f>
        <v>53.22</v>
      </c>
      <c r="I110" s="458">
        <f t="shared" si="16"/>
        <v>53.22</v>
      </c>
      <c r="J110" s="453" t="s">
        <v>649</v>
      </c>
      <c r="K110" s="1050"/>
      <c r="L110" s="17" t="s">
        <v>672</v>
      </c>
    </row>
    <row r="111" spans="1:12" ht="12.8" customHeight="1">
      <c r="A111" s="461">
        <v>1</v>
      </c>
      <c r="B111" s="453" t="s">
        <v>517</v>
      </c>
      <c r="C111" s="453" t="s">
        <v>538</v>
      </c>
      <c r="D111" s="462" t="s">
        <v>640</v>
      </c>
      <c r="E111" s="453" t="s">
        <v>673</v>
      </c>
      <c r="F111" s="463">
        <v>1968</v>
      </c>
      <c r="G111" s="457"/>
      <c r="H111" s="458">
        <f t="shared" ref="H111:H125" si="17">F111*(1-$G$83)</f>
        <v>1180.8</v>
      </c>
      <c r="I111" s="458">
        <f t="shared" si="16"/>
        <v>1180.8</v>
      </c>
      <c r="J111" s="459" t="s">
        <v>638</v>
      </c>
      <c r="K111" s="1051" t="s">
        <v>642</v>
      </c>
    </row>
    <row r="112" spans="1:12" ht="24.9">
      <c r="A112" s="452">
        <v>320</v>
      </c>
      <c r="B112" s="453" t="s">
        <v>539</v>
      </c>
      <c r="C112" s="453" t="s">
        <v>538</v>
      </c>
      <c r="D112" s="462" t="s">
        <v>643</v>
      </c>
      <c r="E112" s="453" t="s">
        <v>673</v>
      </c>
      <c r="F112" s="463">
        <v>87.9</v>
      </c>
      <c r="G112" s="457"/>
      <c r="H112" s="458">
        <f t="shared" si="17"/>
        <v>52.74</v>
      </c>
      <c r="I112" s="458">
        <f t="shared" si="16"/>
        <v>16876.8</v>
      </c>
      <c r="J112" s="459" t="s">
        <v>638</v>
      </c>
      <c r="K112" s="1051"/>
    </row>
    <row r="113" spans="1:11" ht="12.8" customHeight="1">
      <c r="A113" s="452">
        <v>0</v>
      </c>
      <c r="B113" s="453" t="s">
        <v>517</v>
      </c>
      <c r="C113" s="453" t="s">
        <v>538</v>
      </c>
      <c r="D113" s="464" t="s">
        <v>644</v>
      </c>
      <c r="E113" s="453" t="s">
        <v>645</v>
      </c>
      <c r="F113" s="463">
        <v>10051</v>
      </c>
      <c r="G113" s="457"/>
      <c r="H113" s="458">
        <f t="shared" si="17"/>
        <v>6030.5999999999995</v>
      </c>
      <c r="I113" s="458">
        <f t="shared" si="16"/>
        <v>0</v>
      </c>
      <c r="J113" s="459" t="s">
        <v>638</v>
      </c>
      <c r="K113" s="1052" t="s">
        <v>646</v>
      </c>
    </row>
    <row r="114" spans="1:11" ht="24.9">
      <c r="A114" s="461">
        <v>0</v>
      </c>
      <c r="B114" s="453" t="s">
        <v>517</v>
      </c>
      <c r="C114" s="453" t="s">
        <v>538</v>
      </c>
      <c r="D114" s="464" t="s">
        <v>644</v>
      </c>
      <c r="E114" s="453" t="s">
        <v>647</v>
      </c>
      <c r="F114" s="463">
        <v>17412</v>
      </c>
      <c r="G114" s="457"/>
      <c r="H114" s="458">
        <f t="shared" si="17"/>
        <v>10447.199999999999</v>
      </c>
      <c r="I114" s="458">
        <f t="shared" si="16"/>
        <v>0</v>
      </c>
      <c r="J114" s="459" t="s">
        <v>638</v>
      </c>
      <c r="K114" s="1052"/>
    </row>
    <row r="115" spans="1:11" ht="12.8" customHeight="1">
      <c r="A115" s="461">
        <v>0</v>
      </c>
      <c r="B115" s="453" t="s">
        <v>517</v>
      </c>
      <c r="C115" s="453" t="s">
        <v>538</v>
      </c>
      <c r="D115" s="465" t="s">
        <v>644</v>
      </c>
      <c r="E115" s="453" t="s">
        <v>648</v>
      </c>
      <c r="F115" s="463">
        <v>2345</v>
      </c>
      <c r="G115" s="457"/>
      <c r="H115" s="458">
        <f t="shared" si="17"/>
        <v>1407</v>
      </c>
      <c r="I115" s="458">
        <f t="shared" si="16"/>
        <v>0</v>
      </c>
      <c r="J115" s="453" t="s">
        <v>649</v>
      </c>
      <c r="K115" s="1049" t="s">
        <v>650</v>
      </c>
    </row>
    <row r="116" spans="1:11" ht="24.9">
      <c r="A116" s="461">
        <v>0</v>
      </c>
      <c r="B116" s="453" t="s">
        <v>517</v>
      </c>
      <c r="C116" s="453" t="s">
        <v>538</v>
      </c>
      <c r="D116" s="465" t="s">
        <v>644</v>
      </c>
      <c r="E116" s="453" t="s">
        <v>651</v>
      </c>
      <c r="F116" s="463">
        <v>3258</v>
      </c>
      <c r="G116" s="457"/>
      <c r="H116" s="458">
        <f t="shared" si="17"/>
        <v>1954.8</v>
      </c>
      <c r="I116" s="458">
        <f t="shared" si="16"/>
        <v>0</v>
      </c>
      <c r="J116" s="453" t="s">
        <v>649</v>
      </c>
      <c r="K116" s="1049"/>
    </row>
    <row r="117" spans="1:11" ht="24.9">
      <c r="A117" s="461">
        <v>0</v>
      </c>
      <c r="B117" s="453" t="s">
        <v>517</v>
      </c>
      <c r="C117" s="453" t="s">
        <v>538</v>
      </c>
      <c r="D117" s="465" t="s">
        <v>644</v>
      </c>
      <c r="E117" s="453" t="s">
        <v>652</v>
      </c>
      <c r="F117" s="463">
        <v>5649</v>
      </c>
      <c r="G117" s="457"/>
      <c r="H117" s="458">
        <f t="shared" si="17"/>
        <v>3389.4</v>
      </c>
      <c r="I117" s="458">
        <f t="shared" si="16"/>
        <v>0</v>
      </c>
      <c r="J117" s="453" t="s">
        <v>649</v>
      </c>
      <c r="K117" s="1049"/>
    </row>
    <row r="118" spans="1:11" ht="24.9">
      <c r="A118" s="461">
        <v>0</v>
      </c>
      <c r="B118" s="453" t="s">
        <v>517</v>
      </c>
      <c r="C118" s="453" t="s">
        <v>538</v>
      </c>
      <c r="D118" s="465" t="s">
        <v>644</v>
      </c>
      <c r="E118" s="453" t="s">
        <v>653</v>
      </c>
      <c r="F118" s="463">
        <v>1488</v>
      </c>
      <c r="G118" s="457"/>
      <c r="H118" s="458">
        <f t="shared" si="17"/>
        <v>892.8</v>
      </c>
      <c r="I118" s="458">
        <f t="shared" si="16"/>
        <v>0</v>
      </c>
      <c r="J118" s="453" t="s">
        <v>649</v>
      </c>
      <c r="K118" s="1049"/>
    </row>
    <row r="119" spans="1:11" ht="24.9">
      <c r="A119" s="461">
        <v>0</v>
      </c>
      <c r="B119" s="453" t="s">
        <v>517</v>
      </c>
      <c r="C119" s="453" t="s">
        <v>538</v>
      </c>
      <c r="D119" s="465" t="s">
        <v>644</v>
      </c>
      <c r="E119" s="453" t="s">
        <v>654</v>
      </c>
      <c r="F119" s="463">
        <v>5269</v>
      </c>
      <c r="G119" s="457"/>
      <c r="H119" s="458">
        <f t="shared" si="17"/>
        <v>3161.4</v>
      </c>
      <c r="I119" s="458">
        <f t="shared" si="16"/>
        <v>0</v>
      </c>
      <c r="J119" s="453" t="s">
        <v>649</v>
      </c>
      <c r="K119" s="1049"/>
    </row>
    <row r="120" spans="1:11" ht="24.9">
      <c r="A120" s="461">
        <v>0</v>
      </c>
      <c r="B120" s="453" t="s">
        <v>517</v>
      </c>
      <c r="C120" s="453" t="s">
        <v>538</v>
      </c>
      <c r="D120" s="465" t="s">
        <v>644</v>
      </c>
      <c r="E120" s="453" t="s">
        <v>655</v>
      </c>
      <c r="F120" s="463">
        <v>3078</v>
      </c>
      <c r="G120" s="457"/>
      <c r="H120" s="458">
        <f t="shared" si="17"/>
        <v>1846.8</v>
      </c>
      <c r="I120" s="458">
        <f t="shared" si="16"/>
        <v>0</v>
      </c>
      <c r="J120" s="453" t="s">
        <v>649</v>
      </c>
      <c r="K120" s="1049"/>
    </row>
    <row r="121" spans="1:11" ht="24.9">
      <c r="A121" s="461">
        <v>0</v>
      </c>
      <c r="B121" s="453" t="s">
        <v>517</v>
      </c>
      <c r="C121" s="453" t="s">
        <v>538</v>
      </c>
      <c r="D121" s="465" t="s">
        <v>644</v>
      </c>
      <c r="E121" s="453" t="s">
        <v>656</v>
      </c>
      <c r="F121" s="463">
        <v>3489</v>
      </c>
      <c r="G121" s="457"/>
      <c r="H121" s="458">
        <f t="shared" si="17"/>
        <v>2093.4</v>
      </c>
      <c r="I121" s="458">
        <f t="shared" si="16"/>
        <v>0</v>
      </c>
      <c r="J121" s="453" t="s">
        <v>649</v>
      </c>
      <c r="K121" s="1049"/>
    </row>
    <row r="122" spans="1:11" ht="24.9">
      <c r="A122" s="461">
        <v>0</v>
      </c>
      <c r="B122" s="453" t="s">
        <v>517</v>
      </c>
      <c r="C122" s="453" t="s">
        <v>538</v>
      </c>
      <c r="D122" s="465" t="s">
        <v>644</v>
      </c>
      <c r="E122" s="453" t="s">
        <v>657</v>
      </c>
      <c r="F122" s="467" t="s">
        <v>658</v>
      </c>
      <c r="G122" s="457"/>
      <c r="H122" s="468"/>
      <c r="I122" s="484"/>
      <c r="J122" s="453" t="s">
        <v>649</v>
      </c>
      <c r="K122" s="1049"/>
    </row>
    <row r="123" spans="1:11" ht="24.9">
      <c r="A123" s="461">
        <v>0</v>
      </c>
      <c r="B123" s="453" t="s">
        <v>517</v>
      </c>
      <c r="C123" s="453" t="s">
        <v>538</v>
      </c>
      <c r="D123" s="465" t="s">
        <v>644</v>
      </c>
      <c r="E123" s="453" t="s">
        <v>659</v>
      </c>
      <c r="F123" s="463">
        <v>7456</v>
      </c>
      <c r="G123" s="457"/>
      <c r="H123" s="458">
        <f t="shared" si="17"/>
        <v>4473.5999999999995</v>
      </c>
      <c r="I123" s="458">
        <f t="shared" si="16"/>
        <v>0</v>
      </c>
      <c r="J123" s="453" t="s">
        <v>649</v>
      </c>
      <c r="K123" s="1049"/>
    </row>
    <row r="124" spans="1:11" ht="24.9">
      <c r="A124" s="461">
        <v>1</v>
      </c>
      <c r="B124" s="453" t="s">
        <v>517</v>
      </c>
      <c r="C124" s="453" t="s">
        <v>538</v>
      </c>
      <c r="D124" s="465" t="s">
        <v>644</v>
      </c>
      <c r="E124" s="453" t="s">
        <v>660</v>
      </c>
      <c r="F124" s="463">
        <v>8494</v>
      </c>
      <c r="G124" s="457"/>
      <c r="H124" s="458">
        <f t="shared" si="17"/>
        <v>5096.3999999999996</v>
      </c>
      <c r="I124" s="458">
        <f t="shared" si="16"/>
        <v>5096.3999999999996</v>
      </c>
      <c r="J124" s="453" t="s">
        <v>649</v>
      </c>
      <c r="K124" s="1049"/>
    </row>
    <row r="125" spans="1:11" ht="24.9">
      <c r="A125" s="461">
        <v>0</v>
      </c>
      <c r="B125" s="453" t="s">
        <v>517</v>
      </c>
      <c r="C125" s="453" t="s">
        <v>538</v>
      </c>
      <c r="D125" s="465" t="s">
        <v>644</v>
      </c>
      <c r="E125" s="453" t="s">
        <v>661</v>
      </c>
      <c r="F125" s="463">
        <v>9434</v>
      </c>
      <c r="G125" s="457"/>
      <c r="H125" s="458">
        <f t="shared" si="17"/>
        <v>5660.4</v>
      </c>
      <c r="I125" s="458">
        <f t="shared" si="16"/>
        <v>0</v>
      </c>
      <c r="J125" s="453" t="s">
        <v>649</v>
      </c>
      <c r="K125" s="1049"/>
    </row>
    <row r="126" spans="1:11">
      <c r="A126" s="469"/>
      <c r="B126" s="427"/>
      <c r="C126" s="427"/>
      <c r="D126" s="470"/>
      <c r="E126" s="427"/>
      <c r="F126" s="472"/>
      <c r="G126" s="471"/>
      <c r="H126" s="472"/>
      <c r="I126" s="473"/>
      <c r="J126" s="427"/>
      <c r="K126" s="427"/>
    </row>
    <row r="127" spans="1:11" ht="37.35">
      <c r="A127" s="474"/>
      <c r="B127" s="475"/>
      <c r="C127" s="475"/>
      <c r="D127" s="476"/>
      <c r="E127" s="475"/>
      <c r="F127" s="477" t="s">
        <v>662</v>
      </c>
      <c r="G127" s="478" t="s">
        <v>663</v>
      </c>
      <c r="H127" s="479"/>
      <c r="I127" s="480"/>
      <c r="J127" s="427"/>
      <c r="K127" s="475"/>
    </row>
    <row r="128" spans="1:11" ht="87.05">
      <c r="A128" s="461">
        <v>0</v>
      </c>
      <c r="B128" s="453" t="s">
        <v>539</v>
      </c>
      <c r="C128" s="453" t="s">
        <v>538</v>
      </c>
      <c r="D128" s="481" t="s">
        <v>664</v>
      </c>
      <c r="E128" s="453" t="s">
        <v>665</v>
      </c>
      <c r="F128" s="463">
        <v>108</v>
      </c>
      <c r="G128" s="463">
        <v>79</v>
      </c>
      <c r="H128" s="458">
        <f>IFERROR((MIN(A128,400)*F128+MAX(A128-400,0)*G128)*(1-G83)/A128,0)</f>
        <v>0</v>
      </c>
      <c r="I128" s="458">
        <f t="shared" si="16"/>
        <v>0</v>
      </c>
      <c r="J128" s="453" t="s">
        <v>638</v>
      </c>
      <c r="K128" s="482" t="s">
        <v>666</v>
      </c>
    </row>
    <row r="129" spans="1:17">
      <c r="A129" s="204"/>
      <c r="F129" s="204"/>
      <c r="H129" s="403"/>
      <c r="I129" s="403"/>
    </row>
    <row r="130" spans="1:17" ht="33.4">
      <c r="A130" s="204">
        <v>1</v>
      </c>
      <c r="B130" s="17" t="s">
        <v>517</v>
      </c>
      <c r="C130" s="204" t="s">
        <v>674</v>
      </c>
      <c r="E130" s="17" t="s">
        <v>675</v>
      </c>
      <c r="F130" s="496">
        <v>161.44</v>
      </c>
      <c r="G130" s="404">
        <v>0</v>
      </c>
      <c r="H130" s="458">
        <f>F130*(1-G130)</f>
        <v>161.44</v>
      </c>
      <c r="I130" s="458">
        <f t="shared" si="16"/>
        <v>161.44</v>
      </c>
    </row>
    <row r="131" spans="1:17">
      <c r="A131" s="204"/>
      <c r="F131" s="485"/>
      <c r="H131" s="403"/>
      <c r="I131" s="403"/>
    </row>
    <row r="132" spans="1:17" ht="15.75">
      <c r="E132" s="439" t="s">
        <v>676</v>
      </c>
      <c r="I132" s="486">
        <f>SUM(I87:I130)</f>
        <v>25607.859999999997</v>
      </c>
      <c r="Q132" s="438">
        <f>I132</f>
        <v>25607.859999999997</v>
      </c>
    </row>
    <row r="134" spans="1:17" ht="13.75" customHeight="1">
      <c r="A134" s="986" t="s">
        <v>100</v>
      </c>
      <c r="B134" s="986"/>
      <c r="C134" s="986"/>
      <c r="D134" s="986"/>
      <c r="E134" s="986"/>
    </row>
    <row r="136" spans="1:17">
      <c r="E136" s="442" t="s">
        <v>677</v>
      </c>
      <c r="J136" s="403"/>
    </row>
    <row r="137" spans="1:17" ht="22.25">
      <c r="A137" s="407">
        <v>0</v>
      </c>
      <c r="B137" s="407" t="s">
        <v>522</v>
      </c>
      <c r="C137" s="408" t="s">
        <v>678</v>
      </c>
      <c r="D137" s="407" t="s">
        <v>679</v>
      </c>
      <c r="E137" s="408" t="s">
        <v>680</v>
      </c>
      <c r="F137" s="409">
        <v>2801.13</v>
      </c>
      <c r="G137" s="410"/>
      <c r="H137" s="409">
        <f t="shared" ref="H137:H184" si="18">F137*(1-G137)</f>
        <v>2801.13</v>
      </c>
      <c r="I137" s="409"/>
    </row>
    <row r="138" spans="1:17" ht="22.25">
      <c r="A138" s="407">
        <v>0</v>
      </c>
      <c r="B138" s="407" t="s">
        <v>522</v>
      </c>
      <c r="C138" s="408" t="s">
        <v>678</v>
      </c>
      <c r="D138" s="407" t="s">
        <v>681</v>
      </c>
      <c r="E138" s="408" t="s">
        <v>682</v>
      </c>
      <c r="F138" s="409">
        <v>772.15</v>
      </c>
      <c r="G138" s="410"/>
      <c r="H138" s="409">
        <f t="shared" si="18"/>
        <v>772.15</v>
      </c>
      <c r="I138" s="409"/>
    </row>
    <row r="139" spans="1:17" ht="22.25">
      <c r="A139" s="407">
        <v>0</v>
      </c>
      <c r="B139" s="407" t="s">
        <v>522</v>
      </c>
      <c r="C139" s="408" t="s">
        <v>678</v>
      </c>
      <c r="D139" s="407" t="s">
        <v>683</v>
      </c>
      <c r="E139" s="408" t="s">
        <v>684</v>
      </c>
      <c r="F139" s="409">
        <v>150.26</v>
      </c>
      <c r="G139" s="410"/>
      <c r="H139" s="409">
        <f t="shared" si="18"/>
        <v>150.26</v>
      </c>
      <c r="I139" s="409"/>
    </row>
    <row r="140" spans="1:17" ht="22.25">
      <c r="A140" s="407">
        <v>0</v>
      </c>
      <c r="B140" s="407" t="s">
        <v>522</v>
      </c>
      <c r="C140" s="408" t="s">
        <v>678</v>
      </c>
      <c r="D140" s="407" t="s">
        <v>685</v>
      </c>
      <c r="E140" s="408" t="s">
        <v>686</v>
      </c>
      <c r="F140" s="409">
        <v>10.58</v>
      </c>
      <c r="G140" s="410"/>
      <c r="H140" s="409">
        <f t="shared" si="18"/>
        <v>10.58</v>
      </c>
      <c r="I140" s="409"/>
    </row>
    <row r="141" spans="1:17" ht="22.25">
      <c r="A141" s="407">
        <v>0</v>
      </c>
      <c r="B141" s="407" t="s">
        <v>522</v>
      </c>
      <c r="C141" s="408" t="s">
        <v>678</v>
      </c>
      <c r="D141" s="407" t="s">
        <v>687</v>
      </c>
      <c r="E141" s="408" t="s">
        <v>688</v>
      </c>
      <c r="F141" s="409">
        <v>69.78</v>
      </c>
      <c r="G141" s="410"/>
      <c r="H141" s="409">
        <f t="shared" si="18"/>
        <v>69.78</v>
      </c>
      <c r="I141" s="409"/>
      <c r="J141" s="17" t="s">
        <v>689</v>
      </c>
    </row>
    <row r="142" spans="1:17" ht="22.25">
      <c r="A142" s="487">
        <v>0</v>
      </c>
      <c r="B142" s="407" t="s">
        <v>539</v>
      </c>
      <c r="C142" s="408" t="s">
        <v>690</v>
      </c>
      <c r="D142" s="407"/>
      <c r="E142" s="407" t="s">
        <v>691</v>
      </c>
      <c r="F142" s="409">
        <v>7.58</v>
      </c>
      <c r="G142" s="410"/>
      <c r="H142" s="409">
        <f t="shared" si="18"/>
        <v>7.58</v>
      </c>
      <c r="I142" s="409"/>
      <c r="J142" s="17" t="s">
        <v>692</v>
      </c>
    </row>
    <row r="143" spans="1:17" ht="22.25">
      <c r="A143" s="487">
        <v>0</v>
      </c>
      <c r="B143" s="407" t="s">
        <v>539</v>
      </c>
      <c r="C143" s="408" t="s">
        <v>690</v>
      </c>
      <c r="D143" s="407"/>
      <c r="E143" s="407" t="s">
        <v>693</v>
      </c>
      <c r="F143" s="409">
        <v>2.04</v>
      </c>
      <c r="G143" s="410"/>
      <c r="H143" s="409">
        <f t="shared" si="18"/>
        <v>2.04</v>
      </c>
      <c r="I143" s="409"/>
      <c r="J143" s="17" t="s">
        <v>694</v>
      </c>
    </row>
    <row r="144" spans="1:17" ht="22.25">
      <c r="A144" s="407">
        <v>0</v>
      </c>
      <c r="B144" s="407" t="s">
        <v>522</v>
      </c>
      <c r="C144" s="408"/>
      <c r="D144" s="407"/>
      <c r="E144" s="408" t="s">
        <v>695</v>
      </c>
      <c r="F144" s="409">
        <v>50</v>
      </c>
      <c r="G144" s="410"/>
      <c r="H144" s="409">
        <f t="shared" si="18"/>
        <v>50</v>
      </c>
      <c r="I144" s="409"/>
      <c r="J144" s="204" t="s">
        <v>696</v>
      </c>
    </row>
    <row r="145" spans="1:10">
      <c r="A145" s="407">
        <v>0</v>
      </c>
      <c r="B145" s="407" t="s">
        <v>619</v>
      </c>
      <c r="C145" s="408"/>
      <c r="D145" s="407"/>
      <c r="E145" s="408" t="s">
        <v>697</v>
      </c>
      <c r="F145" s="409">
        <f>F69</f>
        <v>55</v>
      </c>
      <c r="G145" s="410"/>
      <c r="H145" s="409">
        <f t="shared" si="18"/>
        <v>55</v>
      </c>
      <c r="I145" s="409"/>
    </row>
    <row r="146" spans="1:10" ht="66.8">
      <c r="A146" s="407">
        <v>0</v>
      </c>
      <c r="B146" s="407" t="s">
        <v>517</v>
      </c>
      <c r="C146" s="408" t="s">
        <v>698</v>
      </c>
      <c r="D146" s="407" t="s">
        <v>636</v>
      </c>
      <c r="E146" s="408" t="s">
        <v>637</v>
      </c>
      <c r="F146" s="409">
        <v>1809</v>
      </c>
      <c r="G146" s="410">
        <v>0.75</v>
      </c>
      <c r="H146" s="409">
        <f t="shared" si="18"/>
        <v>452.25</v>
      </c>
      <c r="I146" s="409"/>
      <c r="J146" s="17" t="s">
        <v>699</v>
      </c>
    </row>
    <row r="147" spans="1:10">
      <c r="A147" s="407"/>
      <c r="B147" s="407"/>
      <c r="C147" s="408"/>
      <c r="D147" s="407"/>
      <c r="E147" s="408"/>
      <c r="F147" s="409"/>
      <c r="G147" s="410"/>
      <c r="H147" s="409"/>
      <c r="I147" s="409"/>
    </row>
    <row r="148" spans="1:10">
      <c r="E148" s="442" t="s">
        <v>700</v>
      </c>
    </row>
    <row r="149" spans="1:10">
      <c r="A149" s="407"/>
      <c r="B149" s="407"/>
      <c r="C149" s="408"/>
      <c r="D149" s="407"/>
      <c r="E149" s="408"/>
      <c r="F149" s="409"/>
      <c r="G149" s="410"/>
      <c r="H149" s="409"/>
      <c r="I149" s="409"/>
    </row>
    <row r="150" spans="1:10">
      <c r="A150" s="407"/>
      <c r="B150" s="407"/>
      <c r="C150" s="408"/>
      <c r="D150" s="407"/>
      <c r="E150" s="408" t="s">
        <v>701</v>
      </c>
      <c r="F150" s="409"/>
      <c r="G150" s="410"/>
      <c r="H150" s="409"/>
      <c r="I150" s="409"/>
    </row>
    <row r="151" spans="1:10">
      <c r="A151" s="407"/>
      <c r="B151" s="407"/>
      <c r="C151" s="408"/>
      <c r="D151" s="407"/>
      <c r="E151" s="408"/>
      <c r="F151" s="409"/>
      <c r="G151" s="410"/>
      <c r="H151" s="409"/>
      <c r="I151" s="409"/>
    </row>
    <row r="152" spans="1:10">
      <c r="A152" s="407"/>
      <c r="B152" s="407"/>
      <c r="C152" s="408"/>
      <c r="D152" s="407"/>
      <c r="E152" s="408"/>
      <c r="F152" s="409"/>
      <c r="G152" s="410"/>
      <c r="H152" s="409"/>
      <c r="I152" s="409"/>
    </row>
    <row r="153" spans="1:10">
      <c r="A153" s="407"/>
      <c r="B153" s="407"/>
      <c r="C153" s="408"/>
      <c r="D153" s="407"/>
      <c r="E153" s="408"/>
      <c r="F153" s="409"/>
      <c r="G153" s="410"/>
      <c r="H153" s="409"/>
      <c r="I153" s="409"/>
    </row>
    <row r="154" spans="1:10">
      <c r="A154" s="407"/>
      <c r="B154" s="407"/>
      <c r="C154" s="408"/>
      <c r="D154" s="407"/>
      <c r="E154" s="408"/>
      <c r="F154" s="409"/>
      <c r="G154" s="410"/>
      <c r="H154" s="409"/>
      <c r="I154" s="409"/>
    </row>
    <row r="155" spans="1:10">
      <c r="A155" s="204"/>
      <c r="F155" s="485"/>
      <c r="H155" s="403"/>
      <c r="I155" s="403"/>
    </row>
    <row r="156" spans="1:10">
      <c r="E156" s="439" t="s">
        <v>702</v>
      </c>
      <c r="I156" s="443">
        <f>SUM(I137:I155)</f>
        <v>0</v>
      </c>
    </row>
    <row r="158" spans="1:10" ht="15.05" customHeight="1">
      <c r="A158" s="1002" t="s">
        <v>90</v>
      </c>
      <c r="B158" s="1002"/>
      <c r="C158" s="1002"/>
      <c r="D158" s="1002"/>
      <c r="E158" s="1002"/>
    </row>
    <row r="160" spans="1:10">
      <c r="A160" s="442">
        <v>1</v>
      </c>
      <c r="B160" s="17" t="s">
        <v>517</v>
      </c>
      <c r="E160" s="17" t="s">
        <v>703</v>
      </c>
      <c r="F160" s="403">
        <v>800</v>
      </c>
      <c r="H160" s="403">
        <f t="shared" si="18"/>
        <v>800</v>
      </c>
      <c r="I160" s="403">
        <f t="shared" ref="I160:I177" si="19">A160*H160</f>
        <v>800</v>
      </c>
      <c r="J160" s="17" t="s">
        <v>704</v>
      </c>
    </row>
    <row r="161" spans="1:10">
      <c r="A161" s="442">
        <v>1</v>
      </c>
      <c r="B161" s="17" t="s">
        <v>517</v>
      </c>
      <c r="E161" s="17" t="s">
        <v>705</v>
      </c>
      <c r="F161" s="403">
        <v>500</v>
      </c>
      <c r="H161" s="403">
        <f t="shared" si="18"/>
        <v>500</v>
      </c>
      <c r="I161" s="403">
        <f t="shared" si="19"/>
        <v>500</v>
      </c>
      <c r="J161" s="17" t="s">
        <v>704</v>
      </c>
    </row>
    <row r="162" spans="1:10">
      <c r="A162" s="17">
        <v>1</v>
      </c>
      <c r="B162" s="17" t="s">
        <v>517</v>
      </c>
      <c r="E162" s="17" t="s">
        <v>706</v>
      </c>
      <c r="F162" s="403">
        <v>40</v>
      </c>
      <c r="H162" s="403">
        <f t="shared" si="18"/>
        <v>40</v>
      </c>
      <c r="I162" s="403">
        <f t="shared" si="19"/>
        <v>40</v>
      </c>
    </row>
    <row r="163" spans="1:10">
      <c r="A163" s="442">
        <v>1</v>
      </c>
      <c r="B163" s="17" t="s">
        <v>517</v>
      </c>
      <c r="E163" s="17" t="s">
        <v>707</v>
      </c>
      <c r="F163" s="403">
        <v>1500</v>
      </c>
      <c r="H163" s="403">
        <f t="shared" si="18"/>
        <v>1500</v>
      </c>
      <c r="I163" s="403">
        <f t="shared" si="19"/>
        <v>1500</v>
      </c>
      <c r="J163" s="17" t="s">
        <v>806</v>
      </c>
    </row>
    <row r="164" spans="1:10">
      <c r="A164" s="442">
        <v>0</v>
      </c>
      <c r="B164" s="17" t="s">
        <v>517</v>
      </c>
      <c r="E164" s="17" t="s">
        <v>807</v>
      </c>
      <c r="F164" s="403">
        <v>500</v>
      </c>
      <c r="H164" s="403">
        <f t="shared" si="18"/>
        <v>500</v>
      </c>
      <c r="I164" s="403">
        <f t="shared" si="19"/>
        <v>0</v>
      </c>
      <c r="J164" s="17" t="s">
        <v>806</v>
      </c>
    </row>
    <row r="165" spans="1:10" ht="55.65">
      <c r="A165" s="442">
        <v>1</v>
      </c>
      <c r="B165" s="17" t="s">
        <v>517</v>
      </c>
      <c r="C165" s="204" t="s">
        <v>708</v>
      </c>
      <c r="E165" s="204" t="s">
        <v>709</v>
      </c>
      <c r="F165" s="403">
        <v>460</v>
      </c>
      <c r="H165" s="403">
        <f t="shared" si="18"/>
        <v>460</v>
      </c>
      <c r="I165" s="403">
        <f t="shared" si="19"/>
        <v>460</v>
      </c>
    </row>
    <row r="166" spans="1:10" ht="33.4">
      <c r="A166" s="442">
        <v>0</v>
      </c>
      <c r="B166" s="17" t="s">
        <v>517</v>
      </c>
      <c r="C166" s="204" t="s">
        <v>808</v>
      </c>
      <c r="E166" s="204" t="s">
        <v>712</v>
      </c>
      <c r="F166" s="403">
        <v>365</v>
      </c>
      <c r="H166" s="403">
        <f t="shared" si="18"/>
        <v>365</v>
      </c>
      <c r="I166" s="403">
        <f t="shared" si="19"/>
        <v>0</v>
      </c>
    </row>
    <row r="167" spans="1:10" ht="55.65">
      <c r="A167" s="442">
        <v>0</v>
      </c>
      <c r="B167" s="17" t="s">
        <v>517</v>
      </c>
      <c r="C167" s="17" t="s">
        <v>713</v>
      </c>
      <c r="D167" s="17" t="s">
        <v>714</v>
      </c>
      <c r="E167" s="204" t="s">
        <v>715</v>
      </c>
      <c r="F167" s="403">
        <v>2725</v>
      </c>
      <c r="H167" s="403">
        <f t="shared" si="18"/>
        <v>2725</v>
      </c>
      <c r="I167" s="403">
        <f t="shared" si="19"/>
        <v>0</v>
      </c>
    </row>
    <row r="168" spans="1:10" ht="33.4">
      <c r="A168" s="442">
        <v>0</v>
      </c>
      <c r="B168" s="17" t="s">
        <v>517</v>
      </c>
      <c r="C168" s="204" t="s">
        <v>716</v>
      </c>
      <c r="E168" s="17" t="s">
        <v>717</v>
      </c>
      <c r="F168" s="403">
        <f>1840*1.04</f>
        <v>1913.6000000000001</v>
      </c>
      <c r="H168" s="403">
        <f t="shared" si="18"/>
        <v>1913.6000000000001</v>
      </c>
      <c r="I168" s="403">
        <f t="shared" si="19"/>
        <v>0</v>
      </c>
      <c r="J168" s="17" t="s">
        <v>718</v>
      </c>
    </row>
    <row r="169" spans="1:10">
      <c r="H169" s="403"/>
      <c r="I169" s="403"/>
    </row>
    <row r="170" spans="1:10">
      <c r="E170" s="446" t="s">
        <v>719</v>
      </c>
      <c r="H170" s="403"/>
      <c r="I170" s="403"/>
    </row>
    <row r="171" spans="1:10" ht="22.25">
      <c r="A171" s="442">
        <v>0</v>
      </c>
      <c r="B171" s="17" t="s">
        <v>619</v>
      </c>
      <c r="C171" s="204" t="s">
        <v>531</v>
      </c>
      <c r="E171" s="17" t="s">
        <v>720</v>
      </c>
      <c r="F171" s="403">
        <v>50</v>
      </c>
      <c r="H171" s="403">
        <f t="shared" si="18"/>
        <v>50</v>
      </c>
      <c r="I171" s="403">
        <f t="shared" si="19"/>
        <v>0</v>
      </c>
    </row>
    <row r="172" spans="1:10">
      <c r="A172" s="442">
        <v>0</v>
      </c>
      <c r="B172" s="17" t="s">
        <v>517</v>
      </c>
      <c r="C172" s="204" t="s">
        <v>721</v>
      </c>
      <c r="E172" s="17" t="s">
        <v>722</v>
      </c>
      <c r="F172" s="403">
        <f>69/100</f>
        <v>0.69</v>
      </c>
      <c r="H172" s="403">
        <f t="shared" si="18"/>
        <v>0.69</v>
      </c>
      <c r="I172" s="403">
        <f t="shared" si="19"/>
        <v>0</v>
      </c>
    </row>
    <row r="173" spans="1:10">
      <c r="A173" s="442">
        <f t="shared" ref="A173:A176" si="20">A172</f>
        <v>0</v>
      </c>
      <c r="B173" s="17" t="s">
        <v>517</v>
      </c>
      <c r="C173" s="204" t="s">
        <v>721</v>
      </c>
      <c r="E173" s="17" t="s">
        <v>723</v>
      </c>
      <c r="F173" s="403">
        <v>0.1</v>
      </c>
      <c r="H173" s="403">
        <f t="shared" si="18"/>
        <v>0.1</v>
      </c>
      <c r="I173" s="403">
        <f t="shared" si="19"/>
        <v>0</v>
      </c>
    </row>
    <row r="174" spans="1:10">
      <c r="A174" s="442">
        <f t="shared" si="20"/>
        <v>0</v>
      </c>
      <c r="B174" s="17" t="s">
        <v>517</v>
      </c>
      <c r="C174" s="204" t="s">
        <v>721</v>
      </c>
      <c r="E174" s="17" t="s">
        <v>724</v>
      </c>
      <c r="F174" s="403">
        <f>13.25/1.2/100</f>
        <v>0.11041666666666668</v>
      </c>
      <c r="H174" s="403">
        <f t="shared" si="18"/>
        <v>0.11041666666666668</v>
      </c>
      <c r="I174" s="403">
        <f t="shared" si="19"/>
        <v>0</v>
      </c>
    </row>
    <row r="175" spans="1:10" ht="22.25">
      <c r="A175" s="442">
        <v>0</v>
      </c>
      <c r="B175" s="17" t="s">
        <v>539</v>
      </c>
      <c r="C175" s="204" t="s">
        <v>725</v>
      </c>
      <c r="E175" s="17" t="s">
        <v>726</v>
      </c>
      <c r="F175" s="403">
        <f>15.73/1.2</f>
        <v>13.108333333333334</v>
      </c>
      <c r="H175" s="403">
        <f t="shared" si="18"/>
        <v>13.108333333333334</v>
      </c>
      <c r="I175" s="403">
        <f t="shared" si="19"/>
        <v>0</v>
      </c>
    </row>
    <row r="176" spans="1:10" ht="22.25">
      <c r="A176" s="442">
        <f t="shared" si="20"/>
        <v>0</v>
      </c>
      <c r="B176" s="17" t="s">
        <v>539</v>
      </c>
      <c r="C176" s="204" t="s">
        <v>531</v>
      </c>
      <c r="E176" s="17" t="s">
        <v>727</v>
      </c>
      <c r="F176" s="403">
        <v>25</v>
      </c>
      <c r="H176" s="403">
        <f t="shared" si="18"/>
        <v>25</v>
      </c>
      <c r="I176" s="403">
        <f t="shared" si="19"/>
        <v>0</v>
      </c>
    </row>
    <row r="177" spans="1:9" ht="22.25">
      <c r="A177" s="442">
        <f>A176*4</f>
        <v>0</v>
      </c>
      <c r="B177" s="17" t="s">
        <v>517</v>
      </c>
      <c r="C177" s="204" t="s">
        <v>531</v>
      </c>
      <c r="E177" s="17" t="s">
        <v>728</v>
      </c>
      <c r="F177" s="403">
        <v>0.1</v>
      </c>
      <c r="H177" s="403">
        <f t="shared" si="18"/>
        <v>0.1</v>
      </c>
      <c r="I177" s="403">
        <f t="shared" si="19"/>
        <v>0</v>
      </c>
    </row>
    <row r="178" spans="1:9">
      <c r="H178" s="403"/>
      <c r="I178" s="403"/>
    </row>
    <row r="179" spans="1:9" ht="15.75">
      <c r="E179" s="439" t="s">
        <v>729</v>
      </c>
      <c r="I179" s="168">
        <f>SUM(I158:I168)</f>
        <v>3300</v>
      </c>
    </row>
    <row r="181" spans="1:9" ht="13.75" customHeight="1">
      <c r="A181" s="997" t="s">
        <v>68</v>
      </c>
      <c r="B181" s="997"/>
      <c r="C181" s="997"/>
      <c r="D181" s="997"/>
      <c r="E181" s="997"/>
    </row>
    <row r="182" spans="1:9">
      <c r="A182" s="442">
        <v>1</v>
      </c>
      <c r="B182" s="17" t="s">
        <v>517</v>
      </c>
      <c r="E182" s="17" t="s">
        <v>730</v>
      </c>
      <c r="F182" s="403">
        <v>500</v>
      </c>
      <c r="H182" s="403">
        <f t="shared" si="18"/>
        <v>500</v>
      </c>
      <c r="I182" s="403">
        <f t="shared" ref="I182:I184" si="21">A182*H182</f>
        <v>500</v>
      </c>
    </row>
    <row r="183" spans="1:9" ht="55.65">
      <c r="A183" s="442">
        <v>0</v>
      </c>
      <c r="B183" s="17" t="s">
        <v>517</v>
      </c>
      <c r="C183" s="204" t="s">
        <v>708</v>
      </c>
      <c r="E183" s="204" t="s">
        <v>731</v>
      </c>
      <c r="F183" s="403">
        <f>460/2</f>
        <v>230</v>
      </c>
      <c r="H183" s="403">
        <f t="shared" si="18"/>
        <v>230</v>
      </c>
      <c r="I183" s="403">
        <f t="shared" si="21"/>
        <v>0</v>
      </c>
    </row>
    <row r="184" spans="1:9" ht="55.65">
      <c r="A184" s="442">
        <v>0</v>
      </c>
      <c r="B184" s="17" t="s">
        <v>517</v>
      </c>
      <c r="C184" s="204" t="s">
        <v>711</v>
      </c>
      <c r="E184" s="204" t="s">
        <v>732</v>
      </c>
      <c r="F184" s="403">
        <f>320/2</f>
        <v>160</v>
      </c>
      <c r="H184" s="403">
        <f t="shared" si="18"/>
        <v>160</v>
      </c>
      <c r="I184" s="403">
        <f t="shared" si="21"/>
        <v>0</v>
      </c>
    </row>
    <row r="186" spans="1:9" ht="15.75">
      <c r="E186" s="439" t="s">
        <v>733</v>
      </c>
      <c r="I186" s="168">
        <f>SUM(I181:I185)</f>
        <v>500</v>
      </c>
    </row>
    <row r="187" spans="1:9">
      <c r="E187" s="439"/>
    </row>
  </sheetData>
  <mergeCells count="13">
    <mergeCell ref="B1:F1"/>
    <mergeCell ref="A2:G2"/>
    <mergeCell ref="J25:L25"/>
    <mergeCell ref="K88:K89"/>
    <mergeCell ref="K90:K91"/>
    <mergeCell ref="A134:E134"/>
    <mergeCell ref="A158:E158"/>
    <mergeCell ref="A181:E181"/>
    <mergeCell ref="K92:K102"/>
    <mergeCell ref="K109:K110"/>
    <mergeCell ref="K111:K112"/>
    <mergeCell ref="K113:K114"/>
    <mergeCell ref="K115:K125"/>
  </mergeCells>
  <pageMargins left="0.78750000000000009" right="0.78750000000000009" top="1.05277777777778" bottom="1.05277777777778" header="0.78750000000000009" footer="0.78750000000000009"/>
  <pageSetup paperSize="9" firstPageNumber="0" orientation="portrait" horizontalDpi="300" verticalDpi="300"/>
  <headerFooter>
    <oddHeader>&amp;C&amp;"Times New Roman,Normal"&amp;12&amp;A</oddHeader>
    <oddFooter>&amp;C&amp;"Times New Roman,Normal"&amp;12Page &amp;P</oddFooter>
  </headerFooter>
  <legacy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66</vt:i4>
      </vt:variant>
      <vt:variant>
        <vt:lpstr>Plages nommées</vt:lpstr>
      </vt:variant>
      <vt:variant>
        <vt:i4>97</vt:i4>
      </vt:variant>
    </vt:vector>
  </HeadingPairs>
  <TitlesOfParts>
    <vt:vector size="163" baseType="lpstr">
      <vt:lpstr>Recapitulatif</vt:lpstr>
      <vt:lpstr>Installations</vt:lpstr>
      <vt:lpstr>Ana_eco</vt:lpstr>
      <vt:lpstr>Comparatif</vt:lpstr>
      <vt:lpstr>543_390_Max</vt:lpstr>
      <vt:lpstr>SIG</vt:lpstr>
      <vt:lpstr>543 DS405 FRON sans BJ</vt:lpstr>
      <vt:lpstr>570_405_bi_pan</vt:lpstr>
      <vt:lpstr>570_405_SE</vt:lpstr>
      <vt:lpstr>570_375_bi_pan_Max</vt:lpstr>
      <vt:lpstr>570_36kW</vt:lpstr>
      <vt:lpstr>570_405_99,9kWc</vt:lpstr>
      <vt:lpstr>MAIF</vt:lpstr>
      <vt:lpstr>Catalogue</vt:lpstr>
      <vt:lpstr>335-36kVA</vt:lpstr>
      <vt:lpstr>335-Max</vt:lpstr>
      <vt:lpstr>337-Sur-SE</vt:lpstr>
      <vt:lpstr>354-360</vt:lpstr>
      <vt:lpstr>543</vt:lpstr>
      <vt:lpstr>543_99,9kW</vt:lpstr>
      <vt:lpstr>543 DS405 SMA</vt:lpstr>
      <vt:lpstr>543 DS405 FRON</vt:lpstr>
      <vt:lpstr>543_375_Max</vt:lpstr>
      <vt:lpstr>550_Max_ISB</vt:lpstr>
      <vt:lpstr>550_Max_IAB</vt:lpstr>
      <vt:lpstr>550_Max_IAB_SE</vt:lpstr>
      <vt:lpstr>550_36kW_ISB</vt:lpstr>
      <vt:lpstr>563_Max</vt:lpstr>
      <vt:lpstr>567</vt:lpstr>
      <vt:lpstr>569</vt:lpstr>
      <vt:lpstr>570_Max</vt:lpstr>
      <vt:lpstr>570_375_bi_pan</vt:lpstr>
      <vt:lpstr>570_405_Max</vt:lpstr>
      <vt:lpstr>599_Sur</vt:lpstr>
      <vt:lpstr>599_ISB</vt:lpstr>
      <vt:lpstr>605</vt:lpstr>
      <vt:lpstr>REX Durées</vt:lpstr>
      <vt:lpstr>Plan_de_trésorerie</vt:lpstr>
      <vt:lpstr>Tresorerie_mensuelle</vt:lpstr>
      <vt:lpstr>Aide</vt:lpstr>
      <vt:lpstr>041</vt:lpstr>
      <vt:lpstr>245</vt:lpstr>
      <vt:lpstr>051</vt:lpstr>
      <vt:lpstr>076</vt:lpstr>
      <vt:lpstr>058</vt:lpstr>
      <vt:lpstr>337-Sur-F</vt:lpstr>
      <vt:lpstr>337-H-375</vt:lpstr>
      <vt:lpstr>338</vt:lpstr>
      <vt:lpstr>354-340</vt:lpstr>
      <vt:lpstr>387</vt:lpstr>
      <vt:lpstr>400</vt:lpstr>
      <vt:lpstr>402</vt:lpstr>
      <vt:lpstr>436</vt:lpstr>
      <vt:lpstr>438</vt:lpstr>
      <vt:lpstr>446</vt:lpstr>
      <vt:lpstr>461</vt:lpstr>
      <vt:lpstr>505-SE</vt:lpstr>
      <vt:lpstr>527</vt:lpstr>
      <vt:lpstr>533</vt:lpstr>
      <vt:lpstr>546</vt:lpstr>
      <vt:lpstr>554</vt:lpstr>
      <vt:lpstr>556</vt:lpstr>
      <vt:lpstr>561Min</vt:lpstr>
      <vt:lpstr>561Max</vt:lpstr>
      <vt:lpstr>562</vt:lpstr>
      <vt:lpstr>Stat</vt:lpstr>
      <vt:lpstr>Catalogue!_FilterDatabase_0</vt:lpstr>
      <vt:lpstr>Catalogue!_FilterDatabase_0_0</vt:lpstr>
      <vt:lpstr>Catalogue!_FilterDatabase_0_0_0</vt:lpstr>
      <vt:lpstr>Catalogue!_FilterDatabase_0_0_0_0</vt:lpstr>
      <vt:lpstr>Catalogue!_FilterDatabase_0_0_0_0_0</vt:lpstr>
      <vt:lpstr>Catalogue!_FilterDatabase_0_0_0_0_0_0</vt:lpstr>
      <vt:lpstr>Catalogue!_FilterDatabase_0_0_0_0_0_0_0</vt:lpstr>
      <vt:lpstr>Catalogue!_FilterDatabase_0_0_0_0_0_0_0_0</vt:lpstr>
      <vt:lpstr>Catalogue!_FilterDatabase_0_0_0_0_0_0_0_0_0</vt:lpstr>
      <vt:lpstr>Catalogue!_FilterDatabase_0_0_0_0_0_0_0_0_0_0</vt:lpstr>
      <vt:lpstr>Catalogue!_FilterDatabase_0_0_0_0_0_0_0_0_0_0_0</vt:lpstr>
      <vt:lpstr>Catalogue!_FilterDatabase_0_0_0_0_0_0_0_0_0_0_0_0</vt:lpstr>
      <vt:lpstr>Catalogue!_FilterDatabase_0_0_0_0_0_0_0_0_0_0_0_0_0</vt:lpstr>
      <vt:lpstr>Catalogue!_FilterDatabase_0_0_0_0_0_0_0_0_0_0_0_0_0_0</vt:lpstr>
      <vt:lpstr>Catalogue!_FilterDatabase_0_0_0_0_0_0_0_0_0_0_0_0_0_0_0</vt:lpstr>
      <vt:lpstr>Catalogue!_FilterDatabase_0_0_0_0_0_0_0_0_0_0_0_0_0_0_0_0</vt:lpstr>
      <vt:lpstr>autres_couts</vt:lpstr>
      <vt:lpstr>avance_remb_1</vt:lpstr>
      <vt:lpstr>avance_remb_2</vt:lpstr>
      <vt:lpstr>avances_remboursables</vt:lpstr>
      <vt:lpstr>CCA_1</vt:lpstr>
      <vt:lpstr>compte_courant_associes</vt:lpstr>
      <vt:lpstr>cout_cables</vt:lpstr>
      <vt:lpstr>cout_coffrets</vt:lpstr>
      <vt:lpstr>coût_maintenance</vt:lpstr>
      <vt:lpstr>cout_monitoring</vt:lpstr>
      <vt:lpstr>cout_ond</vt:lpstr>
      <vt:lpstr>coût_par_Wc</vt:lpstr>
      <vt:lpstr>cout_pose</vt:lpstr>
      <vt:lpstr>cout_PV</vt:lpstr>
      <vt:lpstr>cout_racco</vt:lpstr>
      <vt:lpstr>coût_total</vt:lpstr>
      <vt:lpstr>dette</vt:lpstr>
      <vt:lpstr>differe_AR1</vt:lpstr>
      <vt:lpstr>differe_AR2</vt:lpstr>
      <vt:lpstr>duree_amort_autres_couts</vt:lpstr>
      <vt:lpstr>duree_amort_cables</vt:lpstr>
      <vt:lpstr>duree_amort_coff</vt:lpstr>
      <vt:lpstr>duree_amort_moni</vt:lpstr>
      <vt:lpstr>duree_amort_notaire</vt:lpstr>
      <vt:lpstr>duree_amort_ond</vt:lpstr>
      <vt:lpstr>duree_amort_pose</vt:lpstr>
      <vt:lpstr>duree_amort_racco</vt:lpstr>
      <vt:lpstr>duree_amort_tvxproprios</vt:lpstr>
      <vt:lpstr>duree_amort_tvxPV</vt:lpstr>
      <vt:lpstr>durée_amortPV</vt:lpstr>
      <vt:lpstr>durée_AR1</vt:lpstr>
      <vt:lpstr>durée_AR2</vt:lpstr>
      <vt:lpstr>durée_AR3</vt:lpstr>
      <vt:lpstr>durée_CCA</vt:lpstr>
      <vt:lpstr>durée_CCA_2</vt:lpstr>
      <vt:lpstr>Durée_d_amortissement</vt:lpstr>
      <vt:lpstr>durée_emprunt1</vt:lpstr>
      <vt:lpstr>durée_emprunt2</vt:lpstr>
      <vt:lpstr>duree_extension_garantie_ond</vt:lpstr>
      <vt:lpstr>ecart_tauxCCA</vt:lpstr>
      <vt:lpstr>emprunt1</vt:lpstr>
      <vt:lpstr>emprunt2</vt:lpstr>
      <vt:lpstr>emprunts_bancaires</vt:lpstr>
      <vt:lpstr>fonds_propres</vt:lpstr>
      <vt:lpstr>frais_notaire</vt:lpstr>
      <vt:lpstr>i</vt:lpstr>
      <vt:lpstr>inv_tx_tva</vt:lpstr>
      <vt:lpstr>LOYERS</vt:lpstr>
      <vt:lpstr>montant_part</vt:lpstr>
      <vt:lpstr>nb_parts_pers_mor</vt:lpstr>
      <vt:lpstr>nb_parts_pers_phys</vt:lpstr>
      <vt:lpstr>perte_prod</vt:lpstr>
      <vt:lpstr>pret_relais_TVA</vt:lpstr>
      <vt:lpstr>Installations!Print_Titles</vt:lpstr>
      <vt:lpstr>Tresorerie_mensuelle!Print_Titles</vt:lpstr>
      <vt:lpstr>puissance</vt:lpstr>
      <vt:lpstr>ratioPM</vt:lpstr>
      <vt:lpstr>ratioPP</vt:lpstr>
      <vt:lpstr>reservesL</vt:lpstr>
      <vt:lpstr>reservesS</vt:lpstr>
      <vt:lpstr>societe</vt:lpstr>
      <vt:lpstr>Taux_deduc_CCA</vt:lpstr>
      <vt:lpstr>taux_tva</vt:lpstr>
      <vt:lpstr>TURPE</vt:lpstr>
      <vt:lpstr>tvx_induitsPV</vt:lpstr>
      <vt:lpstr>tvx_proprios</vt:lpstr>
      <vt:lpstr>tx_actualisation_tarif</vt:lpstr>
      <vt:lpstr>tx_AR1</vt:lpstr>
      <vt:lpstr>tx_AR2</vt:lpstr>
      <vt:lpstr>tx_CCA</vt:lpstr>
      <vt:lpstr>tx_emprunt1</vt:lpstr>
      <vt:lpstr>tx_emprunt2</vt:lpstr>
      <vt:lpstr>tx_inflation</vt:lpstr>
      <vt:lpstr>Aide!Zone_d_impression</vt:lpstr>
      <vt:lpstr>Ana_eco!Zone_d_impression</vt:lpstr>
      <vt:lpstr>Installations!Zone_d_impression</vt:lpstr>
      <vt:lpstr>Plan_de_trésorerie!Zone_d_impression</vt:lpstr>
      <vt:lpstr>Recapitulatif!Zone_d_impression</vt:lpstr>
      <vt:lpstr>SIG!Zone_d_impression</vt:lpstr>
      <vt:lpstr>Tresorerie_mensuelle!Zone_d_impression</vt:lpstr>
      <vt:lpstr>ZRR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JulesLCDC</dc:creator>
  <cp:lastModifiedBy>DHK LDLC</cp:lastModifiedBy>
  <cp:revision>429</cp:revision>
  <dcterms:created xsi:type="dcterms:W3CDTF">2021-10-26T08:29:03Z</dcterms:created>
  <dcterms:modified xsi:type="dcterms:W3CDTF">2022-02-07T15:55:10Z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Security">
    <vt:i4>0</vt:i4>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ies>
</file>